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Kaggle\surfy\"/>
    </mc:Choice>
  </mc:AlternateContent>
  <xr:revisionPtr revIDLastSave="0" documentId="10_ncr:100000_{B811C7F3-C9A1-49E2-90FF-3DCC491D6E06}" xr6:coauthVersionLast="31" xr6:coauthVersionMax="31" xr10:uidLastSave="{00000000-0000-0000-0000-000000000000}"/>
  <bookViews>
    <workbookView xWindow="0" yWindow="0" windowWidth="16910" windowHeight="4720" xr2:uid="{73EFDDB6-9AD3-41E9-84EA-F3BA30AD8025}"/>
  </bookViews>
  <sheets>
    <sheet name="11.7_Surfaceom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87" i="1" l="1"/>
  <c r="AH2887" i="1"/>
  <c r="B2887" i="1"/>
  <c r="AK2886" i="1"/>
  <c r="AH2886" i="1"/>
  <c r="B2886" i="1"/>
  <c r="AK2885" i="1"/>
  <c r="AH2885" i="1"/>
  <c r="B2885" i="1"/>
  <c r="AK2884" i="1"/>
  <c r="AH2884" i="1"/>
  <c r="B2884" i="1"/>
  <c r="AK2883" i="1"/>
  <c r="AH2883" i="1"/>
  <c r="B2883" i="1"/>
  <c r="AK2882" i="1"/>
  <c r="AH2882" i="1"/>
  <c r="B2882" i="1"/>
  <c r="AK2881" i="1"/>
  <c r="AH2881" i="1"/>
  <c r="B2881" i="1"/>
  <c r="AK2880" i="1"/>
  <c r="AH2880" i="1"/>
  <c r="B2880" i="1"/>
  <c r="AK2879" i="1"/>
  <c r="AH2879" i="1"/>
  <c r="B2879" i="1"/>
  <c r="AK2878" i="1"/>
  <c r="AH2878" i="1"/>
  <c r="B2878" i="1"/>
  <c r="AK2877" i="1"/>
  <c r="AH2877" i="1"/>
  <c r="B2877" i="1"/>
  <c r="AK2876" i="1"/>
  <c r="B2876" i="1"/>
  <c r="AK2875" i="1"/>
  <c r="AH2875" i="1"/>
  <c r="B2875" i="1"/>
  <c r="AK2874" i="1"/>
  <c r="AH2874" i="1"/>
  <c r="B2874" i="1"/>
  <c r="AK2873" i="1"/>
  <c r="AH2873" i="1"/>
  <c r="B2873" i="1"/>
  <c r="AK2872" i="1"/>
  <c r="AH2872" i="1"/>
  <c r="B2872" i="1"/>
  <c r="AK2871" i="1"/>
  <c r="AH2871" i="1"/>
  <c r="B2871" i="1"/>
  <c r="AK2870" i="1"/>
  <c r="AH2870" i="1"/>
  <c r="B2870" i="1"/>
  <c r="AK2869" i="1"/>
  <c r="AH2869" i="1"/>
  <c r="B2869" i="1"/>
  <c r="AK2868" i="1"/>
  <c r="AH2868" i="1"/>
  <c r="B2868" i="1"/>
  <c r="AK2867" i="1"/>
  <c r="AH2867" i="1"/>
  <c r="B2867" i="1"/>
  <c r="AK2866" i="1"/>
  <c r="AH2866" i="1"/>
  <c r="B2866" i="1"/>
  <c r="AK2865" i="1"/>
  <c r="AH2865" i="1"/>
  <c r="B2865" i="1"/>
  <c r="AK2864" i="1"/>
  <c r="AH2864" i="1"/>
  <c r="B2864" i="1"/>
  <c r="AK2863" i="1"/>
  <c r="AH2863" i="1"/>
  <c r="B2863" i="1"/>
  <c r="AK2862" i="1"/>
  <c r="AH2862" i="1"/>
  <c r="B2862" i="1"/>
  <c r="AK2861" i="1"/>
  <c r="AH2861" i="1"/>
  <c r="B2861" i="1"/>
  <c r="AK2860" i="1"/>
  <c r="AH2860" i="1"/>
  <c r="B2860" i="1"/>
  <c r="AK2859" i="1"/>
  <c r="AH2859" i="1"/>
  <c r="B2859" i="1"/>
  <c r="AK2858" i="1"/>
  <c r="AH2858" i="1"/>
  <c r="B2858" i="1"/>
  <c r="AK2857" i="1"/>
  <c r="AH2857" i="1"/>
  <c r="B2857" i="1"/>
  <c r="AK2856" i="1"/>
  <c r="AH2856" i="1"/>
  <c r="B2856" i="1"/>
  <c r="AK2855" i="1"/>
  <c r="AH2855" i="1"/>
  <c r="B2855" i="1"/>
  <c r="AK2854" i="1"/>
  <c r="AH2854" i="1"/>
  <c r="B2854" i="1"/>
  <c r="AK2853" i="1"/>
  <c r="AH2853" i="1"/>
  <c r="B2853" i="1"/>
  <c r="AK2852" i="1"/>
  <c r="AH2852" i="1"/>
  <c r="B2852" i="1"/>
  <c r="AK2851" i="1"/>
  <c r="AH2851" i="1"/>
  <c r="B2851" i="1"/>
  <c r="AK2850" i="1"/>
  <c r="AH2850" i="1"/>
  <c r="B2850" i="1"/>
  <c r="AK2849" i="1"/>
  <c r="AH2849" i="1"/>
  <c r="B2849" i="1"/>
  <c r="AK2848" i="1"/>
  <c r="AH2848" i="1"/>
  <c r="B2848" i="1"/>
  <c r="AK2847" i="1"/>
  <c r="AH2847" i="1"/>
  <c r="B2847" i="1"/>
  <c r="AK2846" i="1"/>
  <c r="AH2846" i="1"/>
  <c r="B2846" i="1"/>
  <c r="AK2845" i="1"/>
  <c r="AH2845" i="1"/>
  <c r="B2845" i="1"/>
  <c r="AK2844" i="1"/>
  <c r="AH2844" i="1"/>
  <c r="B2844" i="1"/>
  <c r="AK2843" i="1"/>
  <c r="AH2843" i="1"/>
  <c r="B2843" i="1"/>
  <c r="AK2842" i="1"/>
  <c r="AH2842" i="1"/>
  <c r="B2842" i="1"/>
  <c r="AK2841" i="1"/>
  <c r="AH2841" i="1"/>
  <c r="B2841" i="1"/>
  <c r="AK2840" i="1"/>
  <c r="AH2840" i="1"/>
  <c r="B2840" i="1"/>
  <c r="AK2839" i="1"/>
  <c r="AH2839" i="1"/>
  <c r="B2839" i="1"/>
  <c r="AK2838" i="1"/>
  <c r="B2838" i="1"/>
  <c r="AK2837" i="1"/>
  <c r="AH2837" i="1"/>
  <c r="B2837" i="1"/>
  <c r="AK2836" i="1"/>
  <c r="AH2836" i="1"/>
  <c r="B2836" i="1"/>
  <c r="AK2835" i="1"/>
  <c r="AH2835" i="1"/>
  <c r="B2835" i="1"/>
  <c r="AK2834" i="1"/>
  <c r="AH2834" i="1"/>
  <c r="B2834" i="1"/>
  <c r="AK2833" i="1"/>
  <c r="AH2833" i="1"/>
  <c r="B2833" i="1"/>
  <c r="AK2832" i="1"/>
  <c r="AH2832" i="1"/>
  <c r="B2832" i="1"/>
  <c r="AK2831" i="1"/>
  <c r="AH2831" i="1"/>
  <c r="B2831" i="1"/>
  <c r="AK2830" i="1"/>
  <c r="AH2830" i="1"/>
  <c r="B2830" i="1"/>
  <c r="AK2829" i="1"/>
  <c r="AH2829" i="1"/>
  <c r="B2829" i="1"/>
  <c r="AK2828" i="1"/>
  <c r="AH2828" i="1"/>
  <c r="B2828" i="1"/>
  <c r="AK2827" i="1"/>
  <c r="AH2827" i="1"/>
  <c r="B2827" i="1"/>
  <c r="AK2826" i="1"/>
  <c r="AH2826" i="1"/>
  <c r="B2826" i="1"/>
  <c r="AK2825" i="1"/>
  <c r="AH2825" i="1"/>
  <c r="B2825" i="1"/>
  <c r="AK2824" i="1"/>
  <c r="AH2824" i="1"/>
  <c r="B2824" i="1"/>
  <c r="AK2823" i="1"/>
  <c r="AH2823" i="1"/>
  <c r="B2823" i="1"/>
  <c r="AK2822" i="1"/>
  <c r="AH2822" i="1"/>
  <c r="B2822" i="1"/>
  <c r="AK2821" i="1"/>
  <c r="AH2821" i="1"/>
  <c r="B2821" i="1"/>
  <c r="AK2820" i="1"/>
  <c r="AH2820" i="1"/>
  <c r="B2820" i="1"/>
  <c r="AK2819" i="1"/>
  <c r="AH2819" i="1"/>
  <c r="B2819" i="1"/>
  <c r="AK2818" i="1"/>
  <c r="AH2818" i="1"/>
  <c r="B2818" i="1"/>
  <c r="AK2817" i="1"/>
  <c r="AH2817" i="1"/>
  <c r="B2817" i="1"/>
  <c r="AK2816" i="1"/>
  <c r="AH2816" i="1"/>
  <c r="B2816" i="1"/>
  <c r="AK2815" i="1"/>
  <c r="AH2815" i="1"/>
  <c r="B2815" i="1"/>
  <c r="AK2814" i="1"/>
  <c r="AH2814" i="1"/>
  <c r="B2814" i="1"/>
  <c r="AK2813" i="1"/>
  <c r="AH2813" i="1"/>
  <c r="B2813" i="1"/>
  <c r="AK2812" i="1"/>
  <c r="AH2812" i="1"/>
  <c r="B2812" i="1"/>
  <c r="AK2811" i="1"/>
  <c r="AH2811" i="1"/>
  <c r="B2811" i="1"/>
  <c r="AK2810" i="1"/>
  <c r="B2810" i="1"/>
  <c r="AK2809" i="1"/>
  <c r="AH2809" i="1"/>
  <c r="B2809" i="1"/>
  <c r="AK2808" i="1"/>
  <c r="AH2808" i="1"/>
  <c r="B2808" i="1"/>
  <c r="AK2807" i="1"/>
  <c r="B2807" i="1"/>
  <c r="AK2806" i="1"/>
  <c r="AH2806" i="1"/>
  <c r="B2806" i="1"/>
  <c r="AK2805" i="1"/>
  <c r="AH2805" i="1"/>
  <c r="B2805" i="1"/>
  <c r="AK2804" i="1"/>
  <c r="AH2804" i="1"/>
  <c r="B2804" i="1"/>
  <c r="AK2803" i="1"/>
  <c r="AH2803" i="1"/>
  <c r="B2803" i="1"/>
  <c r="AK2802" i="1"/>
  <c r="AH2802" i="1"/>
  <c r="B2802" i="1"/>
  <c r="AK2801" i="1"/>
  <c r="AH2801" i="1"/>
  <c r="B2801" i="1"/>
  <c r="AK2800" i="1"/>
  <c r="AH2800" i="1"/>
  <c r="B2800" i="1"/>
  <c r="AK2799" i="1"/>
  <c r="AH2799" i="1"/>
  <c r="B2799" i="1"/>
  <c r="AK2798" i="1"/>
  <c r="AH2798" i="1"/>
  <c r="B2798" i="1"/>
  <c r="AK2797" i="1"/>
  <c r="AH2797" i="1"/>
  <c r="B2797" i="1"/>
  <c r="AK2796" i="1"/>
  <c r="AH2796" i="1"/>
  <c r="B2796" i="1"/>
  <c r="AK2795" i="1"/>
  <c r="AH2795" i="1"/>
  <c r="B2795" i="1"/>
  <c r="AK2794" i="1"/>
  <c r="AH2794" i="1"/>
  <c r="B2794" i="1"/>
  <c r="AK2793" i="1"/>
  <c r="AH2793" i="1"/>
  <c r="B2793" i="1"/>
  <c r="AK2792" i="1"/>
  <c r="AH2792" i="1"/>
  <c r="B2792" i="1"/>
  <c r="AK2791" i="1"/>
  <c r="AH2791" i="1"/>
  <c r="B2791" i="1"/>
  <c r="AK2790" i="1"/>
  <c r="AH2790" i="1"/>
  <c r="B2790" i="1"/>
  <c r="AK2789" i="1"/>
  <c r="AH2789" i="1"/>
  <c r="B2789" i="1"/>
  <c r="AK2788" i="1"/>
  <c r="AH2788" i="1"/>
  <c r="B2788" i="1"/>
  <c r="AK2787" i="1"/>
  <c r="AH2787" i="1"/>
  <c r="B2787" i="1"/>
  <c r="AK2786" i="1"/>
  <c r="AH2786" i="1"/>
  <c r="B2786" i="1"/>
  <c r="AK2785" i="1"/>
  <c r="AH2785" i="1"/>
  <c r="B2785" i="1"/>
  <c r="AK2784" i="1"/>
  <c r="AH2784" i="1"/>
  <c r="B2784" i="1"/>
  <c r="AK2783" i="1"/>
  <c r="AH2783" i="1"/>
  <c r="B2783" i="1"/>
  <c r="AK2782" i="1"/>
  <c r="B2782" i="1"/>
  <c r="AK2781" i="1"/>
  <c r="AH2781" i="1"/>
  <c r="B2781" i="1"/>
  <c r="AK2780" i="1"/>
  <c r="AH2780" i="1"/>
  <c r="B2780" i="1"/>
  <c r="AK2779" i="1"/>
  <c r="AH2779" i="1"/>
  <c r="B2779" i="1"/>
  <c r="AK2778" i="1"/>
  <c r="AH2778" i="1"/>
  <c r="B2778" i="1"/>
  <c r="AK2777" i="1"/>
  <c r="AH2777" i="1"/>
  <c r="B2777" i="1"/>
  <c r="AK2776" i="1"/>
  <c r="AH2776" i="1"/>
  <c r="B2776" i="1"/>
  <c r="AK2775" i="1"/>
  <c r="AH2775" i="1"/>
  <c r="B2775" i="1"/>
  <c r="AK2774" i="1"/>
  <c r="AH2774" i="1"/>
  <c r="B2774" i="1"/>
  <c r="AK2773" i="1"/>
  <c r="AH2773" i="1"/>
  <c r="B2773" i="1"/>
  <c r="AK2772" i="1"/>
  <c r="AH2772" i="1"/>
  <c r="B2772" i="1"/>
  <c r="AK2771" i="1"/>
  <c r="AH2771" i="1"/>
  <c r="B2771" i="1"/>
  <c r="AK2770" i="1"/>
  <c r="AH2770" i="1"/>
  <c r="B2770" i="1"/>
  <c r="AK2769" i="1"/>
  <c r="AH2769" i="1"/>
  <c r="B2769" i="1"/>
  <c r="AK2768" i="1"/>
  <c r="AH2768" i="1"/>
  <c r="B2768" i="1"/>
  <c r="AK2767" i="1"/>
  <c r="AH2767" i="1"/>
  <c r="B2767" i="1"/>
  <c r="AK2766" i="1"/>
  <c r="AH2766" i="1"/>
  <c r="B2766" i="1"/>
  <c r="AK2765" i="1"/>
  <c r="AH2765" i="1"/>
  <c r="B2765" i="1"/>
  <c r="AK2764" i="1"/>
  <c r="AH2764" i="1"/>
  <c r="B2764" i="1"/>
  <c r="AK2763" i="1"/>
  <c r="AH2763" i="1"/>
  <c r="B2763" i="1"/>
  <c r="AK2762" i="1"/>
  <c r="AH2762" i="1"/>
  <c r="B2762" i="1"/>
  <c r="AK2761" i="1"/>
  <c r="AH2761" i="1"/>
  <c r="B2761" i="1"/>
  <c r="AK2760" i="1"/>
  <c r="AH2760" i="1"/>
  <c r="B2760" i="1"/>
  <c r="AK2759" i="1"/>
  <c r="AH2759" i="1"/>
  <c r="B2759" i="1"/>
  <c r="AK2758" i="1"/>
  <c r="AH2758" i="1"/>
  <c r="B2758" i="1"/>
  <c r="AK2757" i="1"/>
  <c r="AH2757" i="1"/>
  <c r="B2757" i="1"/>
  <c r="AK2756" i="1"/>
  <c r="AH2756" i="1"/>
  <c r="B2756" i="1"/>
  <c r="AK2755" i="1"/>
  <c r="AH2755" i="1"/>
  <c r="B2755" i="1"/>
  <c r="AK2754" i="1"/>
  <c r="AH2754" i="1"/>
  <c r="B2754" i="1"/>
  <c r="AK2753" i="1"/>
  <c r="AH2753" i="1"/>
  <c r="B2753" i="1"/>
  <c r="AK2752" i="1"/>
  <c r="AH2752" i="1"/>
  <c r="B2752" i="1"/>
  <c r="AK2751" i="1"/>
  <c r="AH2751" i="1"/>
  <c r="B2751" i="1"/>
  <c r="AK2750" i="1"/>
  <c r="AH2750" i="1"/>
  <c r="B2750" i="1"/>
  <c r="AK2749" i="1"/>
  <c r="AH2749" i="1"/>
  <c r="B2749" i="1"/>
  <c r="AK2748" i="1"/>
  <c r="AH2748" i="1"/>
  <c r="B2748" i="1"/>
  <c r="AK2747" i="1"/>
  <c r="AH2747" i="1"/>
  <c r="B2747" i="1"/>
  <c r="AK2746" i="1"/>
  <c r="AH2746" i="1"/>
  <c r="B2746" i="1"/>
  <c r="AK2745" i="1"/>
  <c r="AH2745" i="1"/>
  <c r="B2745" i="1"/>
  <c r="AK2744" i="1"/>
  <c r="AH2744" i="1"/>
  <c r="B2744" i="1"/>
  <c r="AK2743" i="1"/>
  <c r="AH2743" i="1"/>
  <c r="B2743" i="1"/>
  <c r="AK2742" i="1"/>
  <c r="AH2742" i="1"/>
  <c r="B2742" i="1"/>
  <c r="AK2741" i="1"/>
  <c r="AH2741" i="1"/>
  <c r="B2741" i="1"/>
  <c r="AK2740" i="1"/>
  <c r="AH2740" i="1"/>
  <c r="B2740" i="1"/>
  <c r="AK2739" i="1"/>
  <c r="AH2739" i="1"/>
  <c r="B2739" i="1"/>
  <c r="AK2738" i="1"/>
  <c r="AH2738" i="1"/>
  <c r="B2738" i="1"/>
  <c r="AK2737" i="1"/>
  <c r="AH2737" i="1"/>
  <c r="B2737" i="1"/>
  <c r="AK2736" i="1"/>
  <c r="AH2736" i="1"/>
  <c r="B2736" i="1"/>
  <c r="AK2735" i="1"/>
  <c r="AH2735" i="1"/>
  <c r="B2735" i="1"/>
  <c r="AK2734" i="1"/>
  <c r="AH2734" i="1"/>
  <c r="B2734" i="1"/>
  <c r="AK2733" i="1"/>
  <c r="AH2733" i="1"/>
  <c r="B2733" i="1"/>
  <c r="AK2732" i="1"/>
  <c r="AH2732" i="1"/>
  <c r="B2732" i="1"/>
  <c r="AK2731" i="1"/>
  <c r="AH2731" i="1"/>
  <c r="B2731" i="1"/>
  <c r="AK2730" i="1"/>
  <c r="AH2730" i="1"/>
  <c r="B2730" i="1"/>
  <c r="AK2729" i="1"/>
  <c r="AH2729" i="1"/>
  <c r="B2729" i="1"/>
  <c r="AK2728" i="1"/>
  <c r="AH2728" i="1"/>
  <c r="B2728" i="1"/>
  <c r="AK2727" i="1"/>
  <c r="AH2727" i="1"/>
  <c r="B2727" i="1"/>
  <c r="AK2726" i="1"/>
  <c r="AH2726" i="1"/>
  <c r="B2726" i="1"/>
  <c r="AK2725" i="1"/>
  <c r="AH2725" i="1"/>
  <c r="B2725" i="1"/>
  <c r="AK2724" i="1"/>
  <c r="AH2724" i="1"/>
  <c r="B2724" i="1"/>
  <c r="AK2723" i="1"/>
  <c r="AH2723" i="1"/>
  <c r="B2723" i="1"/>
  <c r="AK2722" i="1"/>
  <c r="AH2722" i="1"/>
  <c r="B2722" i="1"/>
  <c r="AK2721" i="1"/>
  <c r="B2721" i="1"/>
  <c r="AK2720" i="1"/>
  <c r="AH2720" i="1"/>
  <c r="B2720" i="1"/>
  <c r="AK2719" i="1"/>
  <c r="AH2719" i="1"/>
  <c r="B2719" i="1"/>
  <c r="AK2718" i="1"/>
  <c r="AH2718" i="1"/>
  <c r="B2718" i="1"/>
  <c r="AK2717" i="1"/>
  <c r="AH2717" i="1"/>
  <c r="B2717" i="1"/>
  <c r="AK2716" i="1"/>
  <c r="AH2716" i="1"/>
  <c r="B2716" i="1"/>
  <c r="AK2715" i="1"/>
  <c r="AH2715" i="1"/>
  <c r="B2715" i="1"/>
  <c r="AK2714" i="1"/>
  <c r="AH2714" i="1"/>
  <c r="B2714" i="1"/>
  <c r="AK2713" i="1"/>
  <c r="AH2713" i="1"/>
  <c r="B2713" i="1"/>
  <c r="AK2712" i="1"/>
  <c r="AH2712" i="1"/>
  <c r="B2712" i="1"/>
  <c r="AK2711" i="1"/>
  <c r="AH2711" i="1"/>
  <c r="B2711" i="1"/>
  <c r="AK2710" i="1"/>
  <c r="AH2710" i="1"/>
  <c r="B2710" i="1"/>
  <c r="AK2709" i="1"/>
  <c r="AH2709" i="1"/>
  <c r="B2709" i="1"/>
  <c r="AK2708" i="1"/>
  <c r="AH2708" i="1"/>
  <c r="B2708" i="1"/>
  <c r="AK2707" i="1"/>
  <c r="AH2707" i="1"/>
  <c r="B2707" i="1"/>
  <c r="AK2706" i="1"/>
  <c r="AH2706" i="1"/>
  <c r="B2706" i="1"/>
  <c r="AK2705" i="1"/>
  <c r="AH2705" i="1"/>
  <c r="B2705" i="1"/>
  <c r="AK2704" i="1"/>
  <c r="AH2704" i="1"/>
  <c r="B2704" i="1"/>
  <c r="AK2703" i="1"/>
  <c r="AH2703" i="1"/>
  <c r="B2703" i="1"/>
  <c r="AK2702" i="1"/>
  <c r="AH2702" i="1"/>
  <c r="B2702" i="1"/>
  <c r="AK2701" i="1"/>
  <c r="AH2701" i="1"/>
  <c r="B2701" i="1"/>
  <c r="AK2700" i="1"/>
  <c r="AH2700" i="1"/>
  <c r="B2700" i="1"/>
  <c r="AK2699" i="1"/>
  <c r="AH2699" i="1"/>
  <c r="B2699" i="1"/>
  <c r="AK2698" i="1"/>
  <c r="AH2698" i="1"/>
  <c r="B2698" i="1"/>
  <c r="AK2697" i="1"/>
  <c r="AH2697" i="1"/>
  <c r="B2697" i="1"/>
  <c r="AK2696" i="1"/>
  <c r="AH2696" i="1"/>
  <c r="B2696" i="1"/>
  <c r="AK2695" i="1"/>
  <c r="AH2695" i="1"/>
  <c r="B2695" i="1"/>
  <c r="AK2694" i="1"/>
  <c r="AH2694" i="1"/>
  <c r="B2694" i="1"/>
  <c r="AK2693" i="1"/>
  <c r="AH2693" i="1"/>
  <c r="B2693" i="1"/>
  <c r="AK2692" i="1"/>
  <c r="AH2692" i="1"/>
  <c r="B2692" i="1"/>
  <c r="AK2691" i="1"/>
  <c r="AH2691" i="1"/>
  <c r="B2691" i="1"/>
  <c r="AK2690" i="1"/>
  <c r="AH2690" i="1"/>
  <c r="B2690" i="1"/>
  <c r="AK2689" i="1"/>
  <c r="AH2689" i="1"/>
  <c r="B2689" i="1"/>
  <c r="AK2688" i="1"/>
  <c r="AH2688" i="1"/>
  <c r="B2688" i="1"/>
  <c r="AK2687" i="1"/>
  <c r="B2687" i="1"/>
  <c r="AK2686" i="1"/>
  <c r="AH2686" i="1"/>
  <c r="B2686" i="1"/>
  <c r="AK2685" i="1"/>
  <c r="AH2685" i="1"/>
  <c r="B2685" i="1"/>
  <c r="AK2684" i="1"/>
  <c r="AH2684" i="1"/>
  <c r="B2684" i="1"/>
  <c r="AK2683" i="1"/>
  <c r="AH2683" i="1"/>
  <c r="B2683" i="1"/>
  <c r="AK2682" i="1"/>
  <c r="AH2682" i="1"/>
  <c r="B2682" i="1"/>
  <c r="AK2681" i="1"/>
  <c r="AH2681" i="1"/>
  <c r="B2681" i="1"/>
  <c r="AK2680" i="1"/>
  <c r="AH2680" i="1"/>
  <c r="B2680" i="1"/>
  <c r="AK2679" i="1"/>
  <c r="AH2679" i="1"/>
  <c r="B2679" i="1"/>
  <c r="AK2678" i="1"/>
  <c r="AH2678" i="1"/>
  <c r="B2678" i="1"/>
  <c r="AK2677" i="1"/>
  <c r="AH2677" i="1"/>
  <c r="B2677" i="1"/>
  <c r="AK2676" i="1"/>
  <c r="AH2676" i="1"/>
  <c r="B2676" i="1"/>
  <c r="AK2675" i="1"/>
  <c r="AH2675" i="1"/>
  <c r="B2675" i="1"/>
  <c r="AK2674" i="1"/>
  <c r="AH2674" i="1"/>
  <c r="B2674" i="1"/>
  <c r="AK2673" i="1"/>
  <c r="B2673" i="1"/>
  <c r="AK2672" i="1"/>
  <c r="AH2672" i="1"/>
  <c r="B2672" i="1"/>
  <c r="AK2671" i="1"/>
  <c r="AH2671" i="1"/>
  <c r="B2671" i="1"/>
  <c r="AK2670" i="1"/>
  <c r="AH2670" i="1"/>
  <c r="B2670" i="1"/>
  <c r="AK2669" i="1"/>
  <c r="AH2669" i="1"/>
  <c r="B2669" i="1"/>
  <c r="AK2668" i="1"/>
  <c r="AH2668" i="1"/>
  <c r="B2668" i="1"/>
  <c r="AK2667" i="1"/>
  <c r="AH2667" i="1"/>
  <c r="B2667" i="1"/>
  <c r="AK2666" i="1"/>
  <c r="AH2666" i="1"/>
  <c r="B2666" i="1"/>
  <c r="AK2665" i="1"/>
  <c r="AH2665" i="1"/>
  <c r="B2665" i="1"/>
  <c r="AK2664" i="1"/>
  <c r="AH2664" i="1"/>
  <c r="B2664" i="1"/>
  <c r="AK2663" i="1"/>
  <c r="AH2663" i="1"/>
  <c r="B2663" i="1"/>
  <c r="AK2662" i="1"/>
  <c r="AH2662" i="1"/>
  <c r="B2662" i="1"/>
  <c r="AK2661" i="1"/>
  <c r="AH2661" i="1"/>
  <c r="B2661" i="1"/>
  <c r="AK2660" i="1"/>
  <c r="AH2660" i="1"/>
  <c r="B2660" i="1"/>
  <c r="AK2659" i="1"/>
  <c r="AH2659" i="1"/>
  <c r="B2659" i="1"/>
  <c r="AK2658" i="1"/>
  <c r="AH2658" i="1"/>
  <c r="B2658" i="1"/>
  <c r="AK2657" i="1"/>
  <c r="AH2657" i="1"/>
  <c r="B2657" i="1"/>
  <c r="AK2656" i="1"/>
  <c r="AH2656" i="1"/>
  <c r="B2656" i="1"/>
  <c r="AK2655" i="1"/>
  <c r="AH2655" i="1"/>
  <c r="B2655" i="1"/>
  <c r="AK2654" i="1"/>
  <c r="AH2654" i="1"/>
  <c r="B2654" i="1"/>
  <c r="AK2653" i="1"/>
  <c r="AH2653" i="1"/>
  <c r="B2653" i="1"/>
  <c r="AK2652" i="1"/>
  <c r="AH2652" i="1"/>
  <c r="B2652" i="1"/>
  <c r="AK2651" i="1"/>
  <c r="AH2651" i="1"/>
  <c r="B2651" i="1"/>
  <c r="AK2650" i="1"/>
  <c r="AH2650" i="1"/>
  <c r="B2650" i="1"/>
  <c r="AK2649" i="1"/>
  <c r="AH2649" i="1"/>
  <c r="B2649" i="1"/>
  <c r="AK2648" i="1"/>
  <c r="AH2648" i="1"/>
  <c r="B2648" i="1"/>
  <c r="AK2647" i="1"/>
  <c r="AH2647" i="1"/>
  <c r="B2647" i="1"/>
  <c r="AK2646" i="1"/>
  <c r="AH2646" i="1"/>
  <c r="B2646" i="1"/>
  <c r="AK2645" i="1"/>
  <c r="AH2645" i="1"/>
  <c r="B2645" i="1"/>
  <c r="AK2644" i="1"/>
  <c r="AH2644" i="1"/>
  <c r="B2644" i="1"/>
  <c r="AK2643" i="1"/>
  <c r="AH2643" i="1"/>
  <c r="B2643" i="1"/>
  <c r="AK2642" i="1"/>
  <c r="AH2642" i="1"/>
  <c r="B2642" i="1"/>
  <c r="AK2641" i="1"/>
  <c r="AH2641" i="1"/>
  <c r="B2641" i="1"/>
  <c r="AK2640" i="1"/>
  <c r="AH2640" i="1"/>
  <c r="B2640" i="1"/>
  <c r="AK2639" i="1"/>
  <c r="AH2639" i="1"/>
  <c r="B2639" i="1"/>
  <c r="AK2638" i="1"/>
  <c r="AH2638" i="1"/>
  <c r="B2638" i="1"/>
  <c r="AK2637" i="1"/>
  <c r="AH2637" i="1"/>
  <c r="B2637" i="1"/>
  <c r="AK2636" i="1"/>
  <c r="AH2636" i="1"/>
  <c r="B2636" i="1"/>
  <c r="AK2635" i="1"/>
  <c r="AH2635" i="1"/>
  <c r="B2635" i="1"/>
  <c r="AK2634" i="1"/>
  <c r="AH2634" i="1"/>
  <c r="B2634" i="1"/>
  <c r="AK2633" i="1"/>
  <c r="AH2633" i="1"/>
  <c r="B2633" i="1"/>
  <c r="AK2632" i="1"/>
  <c r="AH2632" i="1"/>
  <c r="B2632" i="1"/>
  <c r="AK2631" i="1"/>
  <c r="AH2631" i="1"/>
  <c r="B2631" i="1"/>
  <c r="AK2630" i="1"/>
  <c r="AH2630" i="1"/>
  <c r="B2630" i="1"/>
  <c r="AK2629" i="1"/>
  <c r="AH2629" i="1"/>
  <c r="B2629" i="1"/>
  <c r="AK2628" i="1"/>
  <c r="AH2628" i="1"/>
  <c r="B2628" i="1"/>
  <c r="AK2627" i="1"/>
  <c r="AH2627" i="1"/>
  <c r="B2627" i="1"/>
  <c r="AK2626" i="1"/>
  <c r="AH2626" i="1"/>
  <c r="B2626" i="1"/>
  <c r="AK2625" i="1"/>
  <c r="AH2625" i="1"/>
  <c r="B2625" i="1"/>
  <c r="AK2624" i="1"/>
  <c r="AH2624" i="1"/>
  <c r="B2624" i="1"/>
  <c r="AK2623" i="1"/>
  <c r="AH2623" i="1"/>
  <c r="B2623" i="1"/>
  <c r="AK2622" i="1"/>
  <c r="AH2622" i="1"/>
  <c r="B2622" i="1"/>
  <c r="AK2621" i="1"/>
  <c r="AH2621" i="1"/>
  <c r="B2621" i="1"/>
  <c r="AK2620" i="1"/>
  <c r="AH2620" i="1"/>
  <c r="B2620" i="1"/>
  <c r="AK2619" i="1"/>
  <c r="AH2619" i="1"/>
  <c r="B2619" i="1"/>
  <c r="AK2618" i="1"/>
  <c r="AH2618" i="1"/>
  <c r="B2618" i="1"/>
  <c r="AK2617" i="1"/>
  <c r="AH2617" i="1"/>
  <c r="B2617" i="1"/>
  <c r="AK2616" i="1"/>
  <c r="AH2616" i="1"/>
  <c r="B2616" i="1"/>
  <c r="AK2615" i="1"/>
  <c r="AH2615" i="1"/>
  <c r="B2615" i="1"/>
  <c r="AK2614" i="1"/>
  <c r="B2614" i="1"/>
  <c r="AK2613" i="1"/>
  <c r="AH2613" i="1"/>
  <c r="B2613" i="1"/>
  <c r="AK2612" i="1"/>
  <c r="AH2612" i="1"/>
  <c r="B2612" i="1"/>
  <c r="AK2611" i="1"/>
  <c r="AH2611" i="1"/>
  <c r="B2611" i="1"/>
  <c r="AK2610" i="1"/>
  <c r="AH2610" i="1"/>
  <c r="B2610" i="1"/>
  <c r="AK2609" i="1"/>
  <c r="AH2609" i="1"/>
  <c r="B2609" i="1"/>
  <c r="AK2608" i="1"/>
  <c r="AH2608" i="1"/>
  <c r="B2608" i="1"/>
  <c r="AK2607" i="1"/>
  <c r="B2607" i="1"/>
  <c r="AK2606" i="1"/>
  <c r="AH2606" i="1"/>
  <c r="B2606" i="1"/>
  <c r="AK2605" i="1"/>
  <c r="B2605" i="1"/>
  <c r="AK2604" i="1"/>
  <c r="AH2604" i="1"/>
  <c r="B2604" i="1"/>
  <c r="AK2603" i="1"/>
  <c r="AH2603" i="1"/>
  <c r="B2603" i="1"/>
  <c r="AK2602" i="1"/>
  <c r="AH2602" i="1"/>
  <c r="B2602" i="1"/>
  <c r="AK2601" i="1"/>
  <c r="AH2601" i="1"/>
  <c r="B2601" i="1"/>
  <c r="AK2600" i="1"/>
  <c r="AH2600" i="1"/>
  <c r="B2600" i="1"/>
  <c r="AK2599" i="1"/>
  <c r="AH2599" i="1"/>
  <c r="B2599" i="1"/>
  <c r="AK2598" i="1"/>
  <c r="AH2598" i="1"/>
  <c r="B2598" i="1"/>
  <c r="AK2597" i="1"/>
  <c r="AH2597" i="1"/>
  <c r="B2597" i="1"/>
  <c r="AK2596" i="1"/>
  <c r="AH2596" i="1"/>
  <c r="B2596" i="1"/>
  <c r="AK2595" i="1"/>
  <c r="AH2595" i="1"/>
  <c r="B2595" i="1"/>
  <c r="AK2594" i="1"/>
  <c r="AH2594" i="1"/>
  <c r="B2594" i="1"/>
  <c r="AK2593" i="1"/>
  <c r="AH2593" i="1"/>
  <c r="B2593" i="1"/>
  <c r="AK2592" i="1"/>
  <c r="AH2592" i="1"/>
  <c r="B2592" i="1"/>
  <c r="AK2591" i="1"/>
  <c r="AH2591" i="1"/>
  <c r="B2591" i="1"/>
  <c r="AK2590" i="1"/>
  <c r="AH2590" i="1"/>
  <c r="B2590" i="1"/>
  <c r="AK2589" i="1"/>
  <c r="AH2589" i="1"/>
  <c r="B2589" i="1"/>
  <c r="AK2588" i="1"/>
  <c r="AH2588" i="1"/>
  <c r="B2588" i="1"/>
  <c r="AK2587" i="1"/>
  <c r="AH2587" i="1"/>
  <c r="B2587" i="1"/>
  <c r="AK2586" i="1"/>
  <c r="AH2586" i="1"/>
  <c r="B2586" i="1"/>
  <c r="AK2585" i="1"/>
  <c r="B2585" i="1"/>
  <c r="AK2584" i="1"/>
  <c r="AH2584" i="1"/>
  <c r="B2584" i="1"/>
  <c r="AK2583" i="1"/>
  <c r="AH2583" i="1"/>
  <c r="B2583" i="1"/>
  <c r="AK2582" i="1"/>
  <c r="AH2582" i="1"/>
  <c r="B2582" i="1"/>
  <c r="AK2581" i="1"/>
  <c r="AH2581" i="1"/>
  <c r="B2581" i="1"/>
  <c r="AK2580" i="1"/>
  <c r="AH2580" i="1"/>
  <c r="B2580" i="1"/>
  <c r="AK2579" i="1"/>
  <c r="AH2579" i="1"/>
  <c r="B2579" i="1"/>
  <c r="AK2578" i="1"/>
  <c r="AH2578" i="1"/>
  <c r="B2578" i="1"/>
  <c r="AK2577" i="1"/>
  <c r="AH2577" i="1"/>
  <c r="B2577" i="1"/>
  <c r="AK2576" i="1"/>
  <c r="AH2576" i="1"/>
  <c r="B2576" i="1"/>
  <c r="AK2575" i="1"/>
  <c r="AH2575" i="1"/>
  <c r="B2575" i="1"/>
  <c r="AK2574" i="1"/>
  <c r="AH2574" i="1"/>
  <c r="B2574" i="1"/>
  <c r="AK2573" i="1"/>
  <c r="AH2573" i="1"/>
  <c r="B2573" i="1"/>
  <c r="AK2572" i="1"/>
  <c r="AH2572" i="1"/>
  <c r="B2572" i="1"/>
  <c r="AK2571" i="1"/>
  <c r="AH2571" i="1"/>
  <c r="B2571" i="1"/>
  <c r="AK2570" i="1"/>
  <c r="AH2570" i="1"/>
  <c r="B2570" i="1"/>
  <c r="AK2569" i="1"/>
  <c r="AH2569" i="1"/>
  <c r="B2569" i="1"/>
  <c r="AK2568" i="1"/>
  <c r="AH2568" i="1"/>
  <c r="B2568" i="1"/>
  <c r="AK2567" i="1"/>
  <c r="AH2567" i="1"/>
  <c r="B2567" i="1"/>
  <c r="AK2566" i="1"/>
  <c r="AH2566" i="1"/>
  <c r="B2566" i="1"/>
  <c r="AK2565" i="1"/>
  <c r="AH2565" i="1"/>
  <c r="B2565" i="1"/>
  <c r="AK2564" i="1"/>
  <c r="AH2564" i="1"/>
  <c r="B2564" i="1"/>
  <c r="AK2563" i="1"/>
  <c r="AH2563" i="1"/>
  <c r="B2563" i="1"/>
  <c r="AK2562" i="1"/>
  <c r="AH2562" i="1"/>
  <c r="B2562" i="1"/>
  <c r="AK2561" i="1"/>
  <c r="B2561" i="1"/>
  <c r="AK2560" i="1"/>
  <c r="AH2560" i="1"/>
  <c r="B2560" i="1"/>
  <c r="AK2559" i="1"/>
  <c r="AH2559" i="1"/>
  <c r="B2559" i="1"/>
  <c r="AK2558" i="1"/>
  <c r="AH2558" i="1"/>
  <c r="B2558" i="1"/>
  <c r="AK2557" i="1"/>
  <c r="AH2557" i="1"/>
  <c r="B2557" i="1"/>
  <c r="AK2556" i="1"/>
  <c r="AH2556" i="1"/>
  <c r="B2556" i="1"/>
  <c r="AK2555" i="1"/>
  <c r="AH2555" i="1"/>
  <c r="B2555" i="1"/>
  <c r="AK2554" i="1"/>
  <c r="AH2554" i="1"/>
  <c r="B2554" i="1"/>
  <c r="AK2553" i="1"/>
  <c r="AH2553" i="1"/>
  <c r="B2553" i="1"/>
  <c r="AK2552" i="1"/>
  <c r="AH2552" i="1"/>
  <c r="B2552" i="1"/>
  <c r="AK2551" i="1"/>
  <c r="AH2551" i="1"/>
  <c r="B2551" i="1"/>
  <c r="AK2550" i="1"/>
  <c r="AH2550" i="1"/>
  <c r="B2550" i="1"/>
  <c r="AK2549" i="1"/>
  <c r="AH2549" i="1"/>
  <c r="B2549" i="1"/>
  <c r="AK2548" i="1"/>
  <c r="AH2548" i="1"/>
  <c r="B2548" i="1"/>
  <c r="AK2547" i="1"/>
  <c r="AH2547" i="1"/>
  <c r="B2547" i="1"/>
  <c r="AK2546" i="1"/>
  <c r="AH2546" i="1"/>
  <c r="B2546" i="1"/>
  <c r="AK2545" i="1"/>
  <c r="AH2545" i="1"/>
  <c r="B2545" i="1"/>
  <c r="AK2544" i="1"/>
  <c r="AH2544" i="1"/>
  <c r="B2544" i="1"/>
  <c r="AK2543" i="1"/>
  <c r="AH2543" i="1"/>
  <c r="B2543" i="1"/>
  <c r="AK2542" i="1"/>
  <c r="AH2542" i="1"/>
  <c r="B2542" i="1"/>
  <c r="AK2541" i="1"/>
  <c r="AH2541" i="1"/>
  <c r="B2541" i="1"/>
  <c r="AK2540" i="1"/>
  <c r="AH2540" i="1"/>
  <c r="B2540" i="1"/>
  <c r="AK2539" i="1"/>
  <c r="AH2539" i="1"/>
  <c r="B2539" i="1"/>
  <c r="AK2538" i="1"/>
  <c r="AH2538" i="1"/>
  <c r="B2538" i="1"/>
  <c r="AK2537" i="1"/>
  <c r="AH2537" i="1"/>
  <c r="B2537" i="1"/>
  <c r="AK2536" i="1"/>
  <c r="AH2536" i="1"/>
  <c r="B2536" i="1"/>
  <c r="AK2535" i="1"/>
  <c r="AH2535" i="1"/>
  <c r="B2535" i="1"/>
  <c r="AK2534" i="1"/>
  <c r="AH2534" i="1"/>
  <c r="B2534" i="1"/>
  <c r="AK2533" i="1"/>
  <c r="B2533" i="1"/>
  <c r="AK2532" i="1"/>
  <c r="B2532" i="1"/>
  <c r="AK2531" i="1"/>
  <c r="AH2531" i="1"/>
  <c r="B2531" i="1"/>
  <c r="AK2530" i="1"/>
  <c r="AH2530" i="1"/>
  <c r="B2530" i="1"/>
  <c r="AK2529" i="1"/>
  <c r="AH2529" i="1"/>
  <c r="B2529" i="1"/>
  <c r="AK2528" i="1"/>
  <c r="AH2528" i="1"/>
  <c r="B2528" i="1"/>
  <c r="AK2527" i="1"/>
  <c r="AH2527" i="1"/>
  <c r="B2527" i="1"/>
  <c r="AK2526" i="1"/>
  <c r="AH2526" i="1"/>
  <c r="B2526" i="1"/>
  <c r="AK2525" i="1"/>
  <c r="AH2525" i="1"/>
  <c r="B2525" i="1"/>
  <c r="AK2524" i="1"/>
  <c r="AH2524" i="1"/>
  <c r="B2524" i="1"/>
  <c r="AK2523" i="1"/>
  <c r="AH2523" i="1"/>
  <c r="B2523" i="1"/>
  <c r="AK2522" i="1"/>
  <c r="AH2522" i="1"/>
  <c r="B2522" i="1"/>
  <c r="AK2521" i="1"/>
  <c r="AH2521" i="1"/>
  <c r="B2521" i="1"/>
  <c r="AK2520" i="1"/>
  <c r="AH2520" i="1"/>
  <c r="B2520" i="1"/>
  <c r="AK2519" i="1"/>
  <c r="AH2519" i="1"/>
  <c r="B2519" i="1"/>
  <c r="AK2518" i="1"/>
  <c r="AH2518" i="1"/>
  <c r="B2518" i="1"/>
  <c r="AK2517" i="1"/>
  <c r="AH2517" i="1"/>
  <c r="B2517" i="1"/>
  <c r="AK2516" i="1"/>
  <c r="AH2516" i="1"/>
  <c r="B2516" i="1"/>
  <c r="AK2515" i="1"/>
  <c r="AH2515" i="1"/>
  <c r="B2515" i="1"/>
  <c r="AK2514" i="1"/>
  <c r="AH2514" i="1"/>
  <c r="B2514" i="1"/>
  <c r="AK2513" i="1"/>
  <c r="AH2513" i="1"/>
  <c r="B2513" i="1"/>
  <c r="AK2512" i="1"/>
  <c r="AH2512" i="1"/>
  <c r="B2512" i="1"/>
  <c r="AK2511" i="1"/>
  <c r="AH2511" i="1"/>
  <c r="B2511" i="1"/>
  <c r="AK2510" i="1"/>
  <c r="AH2510" i="1"/>
  <c r="B2510" i="1"/>
  <c r="AK2509" i="1"/>
  <c r="AH2509" i="1"/>
  <c r="B2509" i="1"/>
  <c r="AK2508" i="1"/>
  <c r="AH2508" i="1"/>
  <c r="B2508" i="1"/>
  <c r="AK2507" i="1"/>
  <c r="AH2507" i="1"/>
  <c r="B2507" i="1"/>
  <c r="AK2506" i="1"/>
  <c r="AH2506" i="1"/>
  <c r="B2506" i="1"/>
  <c r="AK2505" i="1"/>
  <c r="AH2505" i="1"/>
  <c r="B2505" i="1"/>
  <c r="AK2504" i="1"/>
  <c r="AH2504" i="1"/>
  <c r="B2504" i="1"/>
  <c r="AK2503" i="1"/>
  <c r="AH2503" i="1"/>
  <c r="B2503" i="1"/>
  <c r="AK2502" i="1"/>
  <c r="B2502" i="1"/>
  <c r="AK2501" i="1"/>
  <c r="AH2501" i="1"/>
  <c r="B2501" i="1"/>
  <c r="AK2500" i="1"/>
  <c r="AH2500" i="1"/>
  <c r="B2500" i="1"/>
  <c r="AK2499" i="1"/>
  <c r="AH2499" i="1"/>
  <c r="B2499" i="1"/>
  <c r="AK2498" i="1"/>
  <c r="AH2498" i="1"/>
  <c r="B2498" i="1"/>
  <c r="AK2497" i="1"/>
  <c r="AH2497" i="1"/>
  <c r="B2497" i="1"/>
  <c r="AK2496" i="1"/>
  <c r="B2496" i="1"/>
  <c r="AK2495" i="1"/>
  <c r="AH2495" i="1"/>
  <c r="B2495" i="1"/>
  <c r="AK2494" i="1"/>
  <c r="AH2494" i="1"/>
  <c r="B2494" i="1"/>
  <c r="AK2493" i="1"/>
  <c r="AH2493" i="1"/>
  <c r="B2493" i="1"/>
  <c r="AK2492" i="1"/>
  <c r="AH2492" i="1"/>
  <c r="B2492" i="1"/>
  <c r="AK2491" i="1"/>
  <c r="AH2491" i="1"/>
  <c r="B2491" i="1"/>
  <c r="AK2490" i="1"/>
  <c r="AH2490" i="1"/>
  <c r="B2490" i="1"/>
  <c r="AK2489" i="1"/>
  <c r="AH2489" i="1"/>
  <c r="B2489" i="1"/>
  <c r="AK2488" i="1"/>
  <c r="AH2488" i="1"/>
  <c r="B2488" i="1"/>
  <c r="AK2487" i="1"/>
  <c r="AH2487" i="1"/>
  <c r="B2487" i="1"/>
  <c r="AK2486" i="1"/>
  <c r="AH2486" i="1"/>
  <c r="B2486" i="1"/>
  <c r="AK2485" i="1"/>
  <c r="AH2485" i="1"/>
  <c r="B2485" i="1"/>
  <c r="AK2484" i="1"/>
  <c r="AH2484" i="1"/>
  <c r="B2484" i="1"/>
  <c r="AK2483" i="1"/>
  <c r="AH2483" i="1"/>
  <c r="B2483" i="1"/>
  <c r="AK2482" i="1"/>
  <c r="AH2482" i="1"/>
  <c r="B2482" i="1"/>
  <c r="AK2481" i="1"/>
  <c r="AH2481" i="1"/>
  <c r="B2481" i="1"/>
  <c r="AK2480" i="1"/>
  <c r="AH2480" i="1"/>
  <c r="B2480" i="1"/>
  <c r="AK2479" i="1"/>
  <c r="AH2479" i="1"/>
  <c r="B2479" i="1"/>
  <c r="AK2478" i="1"/>
  <c r="AH2478" i="1"/>
  <c r="B2478" i="1"/>
  <c r="AK2477" i="1"/>
  <c r="B2477" i="1"/>
  <c r="AK2476" i="1"/>
  <c r="AH2476" i="1"/>
  <c r="B2476" i="1"/>
  <c r="AK2475" i="1"/>
  <c r="AH2475" i="1"/>
  <c r="B2475" i="1"/>
  <c r="AK2474" i="1"/>
  <c r="AH2474" i="1"/>
  <c r="B2474" i="1"/>
  <c r="AK2473" i="1"/>
  <c r="AH2473" i="1"/>
  <c r="B2473" i="1"/>
  <c r="AK2472" i="1"/>
  <c r="AH2472" i="1"/>
  <c r="B2472" i="1"/>
  <c r="AK2471" i="1"/>
  <c r="AH2471" i="1"/>
  <c r="B2471" i="1"/>
  <c r="AK2470" i="1"/>
  <c r="AH2470" i="1"/>
  <c r="B2470" i="1"/>
  <c r="AK2469" i="1"/>
  <c r="AH2469" i="1"/>
  <c r="B2469" i="1"/>
  <c r="AK2468" i="1"/>
  <c r="AH2468" i="1"/>
  <c r="B2468" i="1"/>
  <c r="AK2467" i="1"/>
  <c r="AH2467" i="1"/>
  <c r="B2467" i="1"/>
  <c r="AK2466" i="1"/>
  <c r="AH2466" i="1"/>
  <c r="B2466" i="1"/>
  <c r="AK2465" i="1"/>
  <c r="AH2465" i="1"/>
  <c r="B2465" i="1"/>
  <c r="AK2464" i="1"/>
  <c r="AH2464" i="1"/>
  <c r="B2464" i="1"/>
  <c r="AK2463" i="1"/>
  <c r="AH2463" i="1"/>
  <c r="B2463" i="1"/>
  <c r="AK2462" i="1"/>
  <c r="AH2462" i="1"/>
  <c r="B2462" i="1"/>
  <c r="AK2461" i="1"/>
  <c r="AH2461" i="1"/>
  <c r="B2461" i="1"/>
  <c r="AK2460" i="1"/>
  <c r="AH2460" i="1"/>
  <c r="B2460" i="1"/>
  <c r="AK2459" i="1"/>
  <c r="AH2459" i="1"/>
  <c r="B2459" i="1"/>
  <c r="AK2458" i="1"/>
  <c r="AH2458" i="1"/>
  <c r="B2458" i="1"/>
  <c r="AK2457" i="1"/>
  <c r="AH2457" i="1"/>
  <c r="B2457" i="1"/>
  <c r="AK2456" i="1"/>
  <c r="AH2456" i="1"/>
  <c r="B2456" i="1"/>
  <c r="AK2455" i="1"/>
  <c r="B2455" i="1"/>
  <c r="AK2454" i="1"/>
  <c r="AH2454" i="1"/>
  <c r="B2454" i="1"/>
  <c r="AK2453" i="1"/>
  <c r="AH2453" i="1"/>
  <c r="B2453" i="1"/>
  <c r="AK2452" i="1"/>
  <c r="AH2452" i="1"/>
  <c r="B2452" i="1"/>
  <c r="AK2451" i="1"/>
  <c r="AH2451" i="1"/>
  <c r="B2451" i="1"/>
  <c r="AK2450" i="1"/>
  <c r="AH2450" i="1"/>
  <c r="B2450" i="1"/>
  <c r="AK2449" i="1"/>
  <c r="AH2449" i="1"/>
  <c r="B2449" i="1"/>
  <c r="AK2448" i="1"/>
  <c r="AH2448" i="1"/>
  <c r="B2448" i="1"/>
  <c r="AK2447" i="1"/>
  <c r="AH2447" i="1"/>
  <c r="B2447" i="1"/>
  <c r="AK2446" i="1"/>
  <c r="AH2446" i="1"/>
  <c r="B2446" i="1"/>
  <c r="AK2445" i="1"/>
  <c r="AH2445" i="1"/>
  <c r="B2445" i="1"/>
  <c r="AK2444" i="1"/>
  <c r="AH2444" i="1"/>
  <c r="B2444" i="1"/>
  <c r="AK2443" i="1"/>
  <c r="AH2443" i="1"/>
  <c r="B2443" i="1"/>
  <c r="AK2442" i="1"/>
  <c r="AH2442" i="1"/>
  <c r="B2442" i="1"/>
  <c r="AK2441" i="1"/>
  <c r="AH2441" i="1"/>
  <c r="B2441" i="1"/>
  <c r="AK2440" i="1"/>
  <c r="AH2440" i="1"/>
  <c r="B2440" i="1"/>
  <c r="AK2439" i="1"/>
  <c r="B2439" i="1"/>
  <c r="AK2438" i="1"/>
  <c r="AH2438" i="1"/>
  <c r="B2438" i="1"/>
  <c r="AK2437" i="1"/>
  <c r="AH2437" i="1"/>
  <c r="B2437" i="1"/>
  <c r="AK2436" i="1"/>
  <c r="AH2436" i="1"/>
  <c r="B2436" i="1"/>
  <c r="AK2435" i="1"/>
  <c r="AH2435" i="1"/>
  <c r="B2435" i="1"/>
  <c r="AK2434" i="1"/>
  <c r="AH2434" i="1"/>
  <c r="B2434" i="1"/>
  <c r="AK2433" i="1"/>
  <c r="AH2433" i="1"/>
  <c r="B2433" i="1"/>
  <c r="AK2432" i="1"/>
  <c r="AH2432" i="1"/>
  <c r="B2432" i="1"/>
  <c r="AK2431" i="1"/>
  <c r="AH2431" i="1"/>
  <c r="B2431" i="1"/>
  <c r="AK2430" i="1"/>
  <c r="AH2430" i="1"/>
  <c r="B2430" i="1"/>
  <c r="AK2429" i="1"/>
  <c r="AH2429" i="1"/>
  <c r="B2429" i="1"/>
  <c r="AK2428" i="1"/>
  <c r="AH2428" i="1"/>
  <c r="B2428" i="1"/>
  <c r="AK2427" i="1"/>
  <c r="AH2427" i="1"/>
  <c r="B2427" i="1"/>
  <c r="AK2426" i="1"/>
  <c r="AH2426" i="1"/>
  <c r="B2426" i="1"/>
  <c r="AK2425" i="1"/>
  <c r="AH2425" i="1"/>
  <c r="B2425" i="1"/>
  <c r="AK2424" i="1"/>
  <c r="AH2424" i="1"/>
  <c r="B2424" i="1"/>
  <c r="AK2423" i="1"/>
  <c r="B2423" i="1"/>
  <c r="AK2422" i="1"/>
  <c r="AH2422" i="1"/>
  <c r="B2422" i="1"/>
  <c r="AK2421" i="1"/>
  <c r="AH2421" i="1"/>
  <c r="B2421" i="1"/>
  <c r="AK2420" i="1"/>
  <c r="AH2420" i="1"/>
  <c r="B2420" i="1"/>
  <c r="AK2419" i="1"/>
  <c r="B2419" i="1"/>
  <c r="AK2418" i="1"/>
  <c r="AH2418" i="1"/>
  <c r="B2418" i="1"/>
  <c r="AK2417" i="1"/>
  <c r="AH2417" i="1"/>
  <c r="B2417" i="1"/>
  <c r="AK2416" i="1"/>
  <c r="AH2416" i="1"/>
  <c r="B2416" i="1"/>
  <c r="AK2415" i="1"/>
  <c r="AH2415" i="1"/>
  <c r="B2415" i="1"/>
  <c r="AK2414" i="1"/>
  <c r="AH2414" i="1"/>
  <c r="B2414" i="1"/>
  <c r="AK2413" i="1"/>
  <c r="AH2413" i="1"/>
  <c r="B2413" i="1"/>
  <c r="AK2412" i="1"/>
  <c r="AH2412" i="1"/>
  <c r="B2412" i="1"/>
  <c r="AK2411" i="1"/>
  <c r="AH2411" i="1"/>
  <c r="B2411" i="1"/>
  <c r="AK2410" i="1"/>
  <c r="AH2410" i="1"/>
  <c r="B2410" i="1"/>
  <c r="AK2409" i="1"/>
  <c r="AH2409" i="1"/>
  <c r="B2409" i="1"/>
  <c r="AK2408" i="1"/>
  <c r="AH2408" i="1"/>
  <c r="B2408" i="1"/>
  <c r="AK2407" i="1"/>
  <c r="AH2407" i="1"/>
  <c r="B2407" i="1"/>
  <c r="AK2406" i="1"/>
  <c r="AH2406" i="1"/>
  <c r="B2406" i="1"/>
  <c r="AK2405" i="1"/>
  <c r="AH2405" i="1"/>
  <c r="B2405" i="1"/>
  <c r="AK2404" i="1"/>
  <c r="AH2404" i="1"/>
  <c r="B2404" i="1"/>
  <c r="AK2403" i="1"/>
  <c r="AH2403" i="1"/>
  <c r="B2403" i="1"/>
  <c r="AK2402" i="1"/>
  <c r="AH2402" i="1"/>
  <c r="B2402" i="1"/>
  <c r="AK2401" i="1"/>
  <c r="AH2401" i="1"/>
  <c r="B2401" i="1"/>
  <c r="AK2400" i="1"/>
  <c r="AH2400" i="1"/>
  <c r="B2400" i="1"/>
  <c r="AK2399" i="1"/>
  <c r="AH2399" i="1"/>
  <c r="B2399" i="1"/>
  <c r="AK2398" i="1"/>
  <c r="AH2398" i="1"/>
  <c r="B2398" i="1"/>
  <c r="AK2397" i="1"/>
  <c r="AH2397" i="1"/>
  <c r="B2397" i="1"/>
  <c r="AK2396" i="1"/>
  <c r="AH2396" i="1"/>
  <c r="B2396" i="1"/>
  <c r="AK2395" i="1"/>
  <c r="AH2395" i="1"/>
  <c r="B2395" i="1"/>
  <c r="AK2394" i="1"/>
  <c r="AH2394" i="1"/>
  <c r="B2394" i="1"/>
  <c r="AK2393" i="1"/>
  <c r="AH2393" i="1"/>
  <c r="B2393" i="1"/>
  <c r="AK2392" i="1"/>
  <c r="AH2392" i="1"/>
  <c r="B2392" i="1"/>
  <c r="AK2391" i="1"/>
  <c r="AH2391" i="1"/>
  <c r="B2391" i="1"/>
  <c r="AK2390" i="1"/>
  <c r="AH2390" i="1"/>
  <c r="B2390" i="1"/>
  <c r="AK2389" i="1"/>
  <c r="AH2389" i="1"/>
  <c r="B2389" i="1"/>
  <c r="AK2388" i="1"/>
  <c r="AH2388" i="1"/>
  <c r="B2388" i="1"/>
  <c r="AK2387" i="1"/>
  <c r="AH2387" i="1"/>
  <c r="B2387" i="1"/>
  <c r="AK2386" i="1"/>
  <c r="AH2386" i="1"/>
  <c r="B2386" i="1"/>
  <c r="AK2385" i="1"/>
  <c r="AH2385" i="1"/>
  <c r="B2385" i="1"/>
  <c r="AK2384" i="1"/>
  <c r="AH2384" i="1"/>
  <c r="B2384" i="1"/>
  <c r="AK2383" i="1"/>
  <c r="AH2383" i="1"/>
  <c r="B2383" i="1"/>
  <c r="AK2382" i="1"/>
  <c r="AH2382" i="1"/>
  <c r="B2382" i="1"/>
  <c r="AK2381" i="1"/>
  <c r="AH2381" i="1"/>
  <c r="B2381" i="1"/>
  <c r="AK2380" i="1"/>
  <c r="AH2380" i="1"/>
  <c r="B2380" i="1"/>
  <c r="AK2379" i="1"/>
  <c r="AH2379" i="1"/>
  <c r="B2379" i="1"/>
  <c r="AK2378" i="1"/>
  <c r="AH2378" i="1"/>
  <c r="B2378" i="1"/>
  <c r="AK2377" i="1"/>
  <c r="AH2377" i="1"/>
  <c r="B2377" i="1"/>
  <c r="AK2376" i="1"/>
  <c r="AH2376" i="1"/>
  <c r="B2376" i="1"/>
  <c r="AK2375" i="1"/>
  <c r="AH2375" i="1"/>
  <c r="B2375" i="1"/>
  <c r="AK2374" i="1"/>
  <c r="AH2374" i="1"/>
  <c r="B2374" i="1"/>
  <c r="AK2373" i="1"/>
  <c r="AH2373" i="1"/>
  <c r="B2373" i="1"/>
  <c r="AK2372" i="1"/>
  <c r="AH2372" i="1"/>
  <c r="B2372" i="1"/>
  <c r="AK2371" i="1"/>
  <c r="AH2371" i="1"/>
  <c r="B2371" i="1"/>
  <c r="AK2370" i="1"/>
  <c r="AH2370" i="1"/>
  <c r="B2370" i="1"/>
  <c r="AK2369" i="1"/>
  <c r="B2369" i="1"/>
  <c r="AK2368" i="1"/>
  <c r="AH2368" i="1"/>
  <c r="B2368" i="1"/>
  <c r="AK2367" i="1"/>
  <c r="AH2367" i="1"/>
  <c r="B2367" i="1"/>
  <c r="AK2366" i="1"/>
  <c r="AH2366" i="1"/>
  <c r="B2366" i="1"/>
  <c r="AK2365" i="1"/>
  <c r="AH2365" i="1"/>
  <c r="B2365" i="1"/>
  <c r="AK2364" i="1"/>
  <c r="AH2364" i="1"/>
  <c r="B2364" i="1"/>
  <c r="AK2363" i="1"/>
  <c r="AH2363" i="1"/>
  <c r="B2363" i="1"/>
  <c r="AK2362" i="1"/>
  <c r="AH2362" i="1"/>
  <c r="B2362" i="1"/>
  <c r="AK2361" i="1"/>
  <c r="AH2361" i="1"/>
  <c r="B2361" i="1"/>
  <c r="AK2360" i="1"/>
  <c r="AH2360" i="1"/>
  <c r="B2360" i="1"/>
  <c r="AK2359" i="1"/>
  <c r="AH2359" i="1"/>
  <c r="B2359" i="1"/>
  <c r="AK2358" i="1"/>
  <c r="AH2358" i="1"/>
  <c r="B2358" i="1"/>
  <c r="AK2357" i="1"/>
  <c r="AH2357" i="1"/>
  <c r="B2357" i="1"/>
  <c r="AK2356" i="1"/>
  <c r="AH2356" i="1"/>
  <c r="B2356" i="1"/>
  <c r="AK2355" i="1"/>
  <c r="B2355" i="1"/>
  <c r="AK2354" i="1"/>
  <c r="AH2354" i="1"/>
  <c r="B2354" i="1"/>
  <c r="AK2353" i="1"/>
  <c r="AH2353" i="1"/>
  <c r="B2353" i="1"/>
  <c r="AK2352" i="1"/>
  <c r="AH2352" i="1"/>
  <c r="B2352" i="1"/>
  <c r="AK2351" i="1"/>
  <c r="AH2351" i="1"/>
  <c r="B2351" i="1"/>
  <c r="AK2350" i="1"/>
  <c r="AH2350" i="1"/>
  <c r="B2350" i="1"/>
  <c r="AK2349" i="1"/>
  <c r="AH2349" i="1"/>
  <c r="B2349" i="1"/>
  <c r="AK2348" i="1"/>
  <c r="AH2348" i="1"/>
  <c r="B2348" i="1"/>
  <c r="AK2347" i="1"/>
  <c r="AH2347" i="1"/>
  <c r="B2347" i="1"/>
  <c r="AK2346" i="1"/>
  <c r="AH2346" i="1"/>
  <c r="B2346" i="1"/>
  <c r="AK2345" i="1"/>
  <c r="AH2345" i="1"/>
  <c r="B2345" i="1"/>
  <c r="AK2344" i="1"/>
  <c r="AH2344" i="1"/>
  <c r="B2344" i="1"/>
  <c r="AK2343" i="1"/>
  <c r="AH2343" i="1"/>
  <c r="B2343" i="1"/>
  <c r="AK2342" i="1"/>
  <c r="AH2342" i="1"/>
  <c r="B2342" i="1"/>
  <c r="AK2341" i="1"/>
  <c r="AH2341" i="1"/>
  <c r="B2341" i="1"/>
  <c r="AK2340" i="1"/>
  <c r="AH2340" i="1"/>
  <c r="B2340" i="1"/>
  <c r="AK2339" i="1"/>
  <c r="AH2339" i="1"/>
  <c r="B2339" i="1"/>
  <c r="AK2338" i="1"/>
  <c r="AH2338" i="1"/>
  <c r="B2338" i="1"/>
  <c r="AK2337" i="1"/>
  <c r="AH2337" i="1"/>
  <c r="B2337" i="1"/>
  <c r="AK2336" i="1"/>
  <c r="AH2336" i="1"/>
  <c r="B2336" i="1"/>
  <c r="AK2335" i="1"/>
  <c r="AH2335" i="1"/>
  <c r="B2335" i="1"/>
  <c r="AK2334" i="1"/>
  <c r="AH2334" i="1"/>
  <c r="B2334" i="1"/>
  <c r="AK2333" i="1"/>
  <c r="AH2333" i="1"/>
  <c r="B2333" i="1"/>
  <c r="AK2332" i="1"/>
  <c r="AH2332" i="1"/>
  <c r="B2332" i="1"/>
  <c r="AK2331" i="1"/>
  <c r="AH2331" i="1"/>
  <c r="B2331" i="1"/>
  <c r="AK2330" i="1"/>
  <c r="AH2330" i="1"/>
  <c r="B2330" i="1"/>
  <c r="AK2329" i="1"/>
  <c r="AH2329" i="1"/>
  <c r="B2329" i="1"/>
  <c r="AK2328" i="1"/>
  <c r="AH2328" i="1"/>
  <c r="B2328" i="1"/>
  <c r="AK2327" i="1"/>
  <c r="AH2327" i="1"/>
  <c r="B2327" i="1"/>
  <c r="AK2326" i="1"/>
  <c r="AH2326" i="1"/>
  <c r="B2326" i="1"/>
  <c r="AK2325" i="1"/>
  <c r="AH2325" i="1"/>
  <c r="B2325" i="1"/>
  <c r="AK2324" i="1"/>
  <c r="AH2324" i="1"/>
  <c r="B2324" i="1"/>
  <c r="AK2323" i="1"/>
  <c r="AH2323" i="1"/>
  <c r="B2323" i="1"/>
  <c r="AK2322" i="1"/>
  <c r="AH2322" i="1"/>
  <c r="B2322" i="1"/>
  <c r="AK2321" i="1"/>
  <c r="AH2321" i="1"/>
  <c r="B2321" i="1"/>
  <c r="AK2320" i="1"/>
  <c r="AH2320" i="1"/>
  <c r="B2320" i="1"/>
  <c r="AK2319" i="1"/>
  <c r="AH2319" i="1"/>
  <c r="B2319" i="1"/>
  <c r="AK2318" i="1"/>
  <c r="AH2318" i="1"/>
  <c r="B2318" i="1"/>
  <c r="AK2317" i="1"/>
  <c r="AH2317" i="1"/>
  <c r="B2317" i="1"/>
  <c r="AK2316" i="1"/>
  <c r="AH2316" i="1"/>
  <c r="B2316" i="1"/>
  <c r="AK2315" i="1"/>
  <c r="AH2315" i="1"/>
  <c r="B2315" i="1"/>
  <c r="AK2314" i="1"/>
  <c r="AH2314" i="1"/>
  <c r="B2314" i="1"/>
  <c r="AK2313" i="1"/>
  <c r="AH2313" i="1"/>
  <c r="B2313" i="1"/>
  <c r="AK2312" i="1"/>
  <c r="AH2312" i="1"/>
  <c r="B2312" i="1"/>
  <c r="AK2311" i="1"/>
  <c r="B2311" i="1"/>
  <c r="AK2310" i="1"/>
  <c r="AH2310" i="1"/>
  <c r="B2310" i="1"/>
  <c r="AK2309" i="1"/>
  <c r="AH2309" i="1"/>
  <c r="B2309" i="1"/>
  <c r="AK2308" i="1"/>
  <c r="B2308" i="1"/>
  <c r="AK2307" i="1"/>
  <c r="AH2307" i="1"/>
  <c r="B2307" i="1"/>
  <c r="AK2306" i="1"/>
  <c r="AH2306" i="1"/>
  <c r="B2306" i="1"/>
  <c r="AK2305" i="1"/>
  <c r="AH2305" i="1"/>
  <c r="B2305" i="1"/>
  <c r="AK2304" i="1"/>
  <c r="AH2304" i="1"/>
  <c r="B2304" i="1"/>
  <c r="AK2303" i="1"/>
  <c r="AH2303" i="1"/>
  <c r="B2303" i="1"/>
  <c r="AK2302" i="1"/>
  <c r="AH2302" i="1"/>
  <c r="B2302" i="1"/>
  <c r="AK2301" i="1"/>
  <c r="AH2301" i="1"/>
  <c r="B2301" i="1"/>
  <c r="AK2300" i="1"/>
  <c r="AH2300" i="1"/>
  <c r="B2300" i="1"/>
  <c r="AK2299" i="1"/>
  <c r="AH2299" i="1"/>
  <c r="B2299" i="1"/>
  <c r="AK2298" i="1"/>
  <c r="AH2298" i="1"/>
  <c r="B2298" i="1"/>
  <c r="AK2297" i="1"/>
  <c r="AH2297" i="1"/>
  <c r="B2297" i="1"/>
  <c r="AK2296" i="1"/>
  <c r="AH2296" i="1"/>
  <c r="B2296" i="1"/>
  <c r="AK2295" i="1"/>
  <c r="AH2295" i="1"/>
  <c r="B2295" i="1"/>
  <c r="AK2294" i="1"/>
  <c r="AH2294" i="1"/>
  <c r="B2294" i="1"/>
  <c r="AK2293" i="1"/>
  <c r="AH2293" i="1"/>
  <c r="B2293" i="1"/>
  <c r="AK2292" i="1"/>
  <c r="AH2292" i="1"/>
  <c r="B2292" i="1"/>
  <c r="AK2291" i="1"/>
  <c r="AH2291" i="1"/>
  <c r="B2291" i="1"/>
  <c r="AK2290" i="1"/>
  <c r="AH2290" i="1"/>
  <c r="B2290" i="1"/>
  <c r="AK2289" i="1"/>
  <c r="AH2289" i="1"/>
  <c r="B2289" i="1"/>
  <c r="AK2288" i="1"/>
  <c r="AH2288" i="1"/>
  <c r="B2288" i="1"/>
  <c r="AK2287" i="1"/>
  <c r="AH2287" i="1"/>
  <c r="B2287" i="1"/>
  <c r="AK2286" i="1"/>
  <c r="AH2286" i="1"/>
  <c r="B2286" i="1"/>
  <c r="AK2285" i="1"/>
  <c r="AH2285" i="1"/>
  <c r="B2285" i="1"/>
  <c r="AK2284" i="1"/>
  <c r="AH2284" i="1"/>
  <c r="B2284" i="1"/>
  <c r="AK2283" i="1"/>
  <c r="AH2283" i="1"/>
  <c r="B2283" i="1"/>
  <c r="AK2282" i="1"/>
  <c r="B2282" i="1"/>
  <c r="AK2281" i="1"/>
  <c r="B2281" i="1"/>
  <c r="AK2280" i="1"/>
  <c r="AH2280" i="1"/>
  <c r="B2280" i="1"/>
  <c r="AK2279" i="1"/>
  <c r="AH2279" i="1"/>
  <c r="B2279" i="1"/>
  <c r="AK2278" i="1"/>
  <c r="AH2278" i="1"/>
  <c r="B2278" i="1"/>
  <c r="AK2277" i="1"/>
  <c r="AH2277" i="1"/>
  <c r="B2277" i="1"/>
  <c r="AK2276" i="1"/>
  <c r="AH2276" i="1"/>
  <c r="B2276" i="1"/>
  <c r="AK2275" i="1"/>
  <c r="AH2275" i="1"/>
  <c r="B2275" i="1"/>
  <c r="AK2274" i="1"/>
  <c r="AH2274" i="1"/>
  <c r="B2274" i="1"/>
  <c r="AK2273" i="1"/>
  <c r="AH2273" i="1"/>
  <c r="B2273" i="1"/>
  <c r="AK2272" i="1"/>
  <c r="AH2272" i="1"/>
  <c r="B2272" i="1"/>
  <c r="AK2271" i="1"/>
  <c r="AH2271" i="1"/>
  <c r="B2271" i="1"/>
  <c r="AK2270" i="1"/>
  <c r="AH2270" i="1"/>
  <c r="B2270" i="1"/>
  <c r="AK2269" i="1"/>
  <c r="AH2269" i="1"/>
  <c r="B2269" i="1"/>
  <c r="AK2268" i="1"/>
  <c r="AH2268" i="1"/>
  <c r="B2268" i="1"/>
  <c r="AK2267" i="1"/>
  <c r="AH2267" i="1"/>
  <c r="B2267" i="1"/>
  <c r="AK2266" i="1"/>
  <c r="AH2266" i="1"/>
  <c r="B2266" i="1"/>
  <c r="AK2265" i="1"/>
  <c r="B2265" i="1"/>
  <c r="AK2264" i="1"/>
  <c r="B2264" i="1"/>
  <c r="AK2263" i="1"/>
  <c r="AH2263" i="1"/>
  <c r="B2263" i="1"/>
  <c r="AK2262" i="1"/>
  <c r="AH2262" i="1"/>
  <c r="B2262" i="1"/>
  <c r="AK2261" i="1"/>
  <c r="AH2261" i="1"/>
  <c r="B2261" i="1"/>
  <c r="AK2260" i="1"/>
  <c r="AH2260" i="1"/>
  <c r="B2260" i="1"/>
  <c r="AK2259" i="1"/>
  <c r="AH2259" i="1"/>
  <c r="B2259" i="1"/>
  <c r="AK2258" i="1"/>
  <c r="AH2258" i="1"/>
  <c r="B2258" i="1"/>
  <c r="AK2257" i="1"/>
  <c r="AH2257" i="1"/>
  <c r="B2257" i="1"/>
  <c r="AK2256" i="1"/>
  <c r="AH2256" i="1"/>
  <c r="B2256" i="1"/>
  <c r="AK2255" i="1"/>
  <c r="AH2255" i="1"/>
  <c r="B2255" i="1"/>
  <c r="AK2254" i="1"/>
  <c r="AH2254" i="1"/>
  <c r="B2254" i="1"/>
  <c r="AK2253" i="1"/>
  <c r="AH2253" i="1"/>
  <c r="B2253" i="1"/>
  <c r="AK2252" i="1"/>
  <c r="AH2252" i="1"/>
  <c r="B2252" i="1"/>
  <c r="AK2251" i="1"/>
  <c r="AH2251" i="1"/>
  <c r="B2251" i="1"/>
  <c r="AK2250" i="1"/>
  <c r="AH2250" i="1"/>
  <c r="B2250" i="1"/>
  <c r="AK2249" i="1"/>
  <c r="AH2249" i="1"/>
  <c r="B2249" i="1"/>
  <c r="AK2248" i="1"/>
  <c r="AH2248" i="1"/>
  <c r="B2248" i="1"/>
  <c r="AK2247" i="1"/>
  <c r="AH2247" i="1"/>
  <c r="B2247" i="1"/>
  <c r="AK2246" i="1"/>
  <c r="AH2246" i="1"/>
  <c r="B2246" i="1"/>
  <c r="AK2245" i="1"/>
  <c r="AH2245" i="1"/>
  <c r="B2245" i="1"/>
  <c r="AK2244" i="1"/>
  <c r="B2244" i="1"/>
  <c r="AK2243" i="1"/>
  <c r="AH2243" i="1"/>
  <c r="B2243" i="1"/>
  <c r="AK2242" i="1"/>
  <c r="AH2242" i="1"/>
  <c r="B2242" i="1"/>
  <c r="AK2241" i="1"/>
  <c r="AH2241" i="1"/>
  <c r="B2241" i="1"/>
  <c r="AK2240" i="1"/>
  <c r="AH2240" i="1"/>
  <c r="B2240" i="1"/>
  <c r="AK2239" i="1"/>
  <c r="AH2239" i="1"/>
  <c r="B2239" i="1"/>
  <c r="AK2238" i="1"/>
  <c r="AH2238" i="1"/>
  <c r="B2238" i="1"/>
  <c r="AK2237" i="1"/>
  <c r="AH2237" i="1"/>
  <c r="B2237" i="1"/>
  <c r="AK2236" i="1"/>
  <c r="AH2236" i="1"/>
  <c r="B2236" i="1"/>
  <c r="AK2235" i="1"/>
  <c r="B2235" i="1"/>
  <c r="AK2234" i="1"/>
  <c r="AH2234" i="1"/>
  <c r="B2234" i="1"/>
  <c r="AK2233" i="1"/>
  <c r="AH2233" i="1"/>
  <c r="B2233" i="1"/>
  <c r="AK2232" i="1"/>
  <c r="AH2232" i="1"/>
  <c r="B2232" i="1"/>
  <c r="AK2231" i="1"/>
  <c r="AH2231" i="1"/>
  <c r="B2231" i="1"/>
  <c r="AK2230" i="1"/>
  <c r="AH2230" i="1"/>
  <c r="B2230" i="1"/>
  <c r="AK2229" i="1"/>
  <c r="AH2229" i="1"/>
  <c r="B2229" i="1"/>
  <c r="AK2228" i="1"/>
  <c r="AH2228" i="1"/>
  <c r="B2228" i="1"/>
  <c r="AK2227" i="1"/>
  <c r="AH2227" i="1"/>
  <c r="B2227" i="1"/>
  <c r="AK2226" i="1"/>
  <c r="B2226" i="1"/>
  <c r="AK2225" i="1"/>
  <c r="AH2225" i="1"/>
  <c r="B2225" i="1"/>
  <c r="AK2224" i="1"/>
  <c r="AH2224" i="1"/>
  <c r="B2224" i="1"/>
  <c r="AK2223" i="1"/>
  <c r="AH2223" i="1"/>
  <c r="B2223" i="1"/>
  <c r="AK2222" i="1"/>
  <c r="AH2222" i="1"/>
  <c r="B2222" i="1"/>
  <c r="AK2221" i="1"/>
  <c r="AH2221" i="1"/>
  <c r="B2221" i="1"/>
  <c r="AK2220" i="1"/>
  <c r="AH2220" i="1"/>
  <c r="B2220" i="1"/>
  <c r="AK2219" i="1"/>
  <c r="AH2219" i="1"/>
  <c r="B2219" i="1"/>
  <c r="AK2218" i="1"/>
  <c r="AH2218" i="1"/>
  <c r="B2218" i="1"/>
  <c r="AK2217" i="1"/>
  <c r="AH2217" i="1"/>
  <c r="B2217" i="1"/>
  <c r="AK2216" i="1"/>
  <c r="AH2216" i="1"/>
  <c r="B2216" i="1"/>
  <c r="AK2215" i="1"/>
  <c r="AH2215" i="1"/>
  <c r="B2215" i="1"/>
  <c r="AK2214" i="1"/>
  <c r="AH2214" i="1"/>
  <c r="B2214" i="1"/>
  <c r="AK2213" i="1"/>
  <c r="AH2213" i="1"/>
  <c r="B2213" i="1"/>
  <c r="AK2212" i="1"/>
  <c r="AH2212" i="1"/>
  <c r="B2212" i="1"/>
  <c r="AK2211" i="1"/>
  <c r="AH2211" i="1"/>
  <c r="B2211" i="1"/>
  <c r="AK2210" i="1"/>
  <c r="AH2210" i="1"/>
  <c r="B2210" i="1"/>
  <c r="AK2209" i="1"/>
  <c r="AH2209" i="1"/>
  <c r="B2209" i="1"/>
  <c r="AK2208" i="1"/>
  <c r="AH2208" i="1"/>
  <c r="B2208" i="1"/>
  <c r="AK2207" i="1"/>
  <c r="AH2207" i="1"/>
  <c r="B2207" i="1"/>
  <c r="AK2206" i="1"/>
  <c r="AH2206" i="1"/>
  <c r="B2206" i="1"/>
  <c r="AK2205" i="1"/>
  <c r="AH2205" i="1"/>
  <c r="B2205" i="1"/>
  <c r="AK2204" i="1"/>
  <c r="AH2204" i="1"/>
  <c r="B2204" i="1"/>
  <c r="AK2203" i="1"/>
  <c r="AH2203" i="1"/>
  <c r="B2203" i="1"/>
  <c r="AK2202" i="1"/>
  <c r="B2202" i="1"/>
  <c r="AK2201" i="1"/>
  <c r="AH2201" i="1"/>
  <c r="B2201" i="1"/>
  <c r="AK2200" i="1"/>
  <c r="AH2200" i="1"/>
  <c r="B2200" i="1"/>
  <c r="AK2199" i="1"/>
  <c r="AH2199" i="1"/>
  <c r="B2199" i="1"/>
  <c r="AK2198" i="1"/>
  <c r="AH2198" i="1"/>
  <c r="B2198" i="1"/>
  <c r="AK2197" i="1"/>
  <c r="AH2197" i="1"/>
  <c r="B2197" i="1"/>
  <c r="AK2196" i="1"/>
  <c r="AH2196" i="1"/>
  <c r="B2196" i="1"/>
  <c r="AK2195" i="1"/>
  <c r="AH2195" i="1"/>
  <c r="B2195" i="1"/>
  <c r="AK2194" i="1"/>
  <c r="AH2194" i="1"/>
  <c r="B2194" i="1"/>
  <c r="AK2193" i="1"/>
  <c r="AH2193" i="1"/>
  <c r="B2193" i="1"/>
  <c r="AK2192" i="1"/>
  <c r="AH2192" i="1"/>
  <c r="B2192" i="1"/>
  <c r="AK2191" i="1"/>
  <c r="AH2191" i="1"/>
  <c r="B2191" i="1"/>
  <c r="AK2190" i="1"/>
  <c r="AH2190" i="1"/>
  <c r="B2190" i="1"/>
  <c r="AK2189" i="1"/>
  <c r="B2189" i="1"/>
  <c r="AK2188" i="1"/>
  <c r="AH2188" i="1"/>
  <c r="B2188" i="1"/>
  <c r="AK2187" i="1"/>
  <c r="AH2187" i="1"/>
  <c r="B2187" i="1"/>
  <c r="AK2186" i="1"/>
  <c r="AH2186" i="1"/>
  <c r="B2186" i="1"/>
  <c r="AK2185" i="1"/>
  <c r="AH2185" i="1"/>
  <c r="B2185" i="1"/>
  <c r="AK2184" i="1"/>
  <c r="AH2184" i="1"/>
  <c r="B2184" i="1"/>
  <c r="AK2183" i="1"/>
  <c r="AH2183" i="1"/>
  <c r="B2183" i="1"/>
  <c r="AK2182" i="1"/>
  <c r="AH2182" i="1"/>
  <c r="B2182" i="1"/>
  <c r="AK2181" i="1"/>
  <c r="AH2181" i="1"/>
  <c r="B2181" i="1"/>
  <c r="AK2180" i="1"/>
  <c r="AH2180" i="1"/>
  <c r="B2180" i="1"/>
  <c r="AK2179" i="1"/>
  <c r="AH2179" i="1"/>
  <c r="B2179" i="1"/>
  <c r="AK2178" i="1"/>
  <c r="AH2178" i="1"/>
  <c r="B2178" i="1"/>
  <c r="AK2177" i="1"/>
  <c r="AH2177" i="1"/>
  <c r="B2177" i="1"/>
  <c r="AK2176" i="1"/>
  <c r="AH2176" i="1"/>
  <c r="B2176" i="1"/>
  <c r="AK2175" i="1"/>
  <c r="AH2175" i="1"/>
  <c r="B2175" i="1"/>
  <c r="AK2174" i="1"/>
  <c r="AH2174" i="1"/>
  <c r="B2174" i="1"/>
  <c r="AK2173" i="1"/>
  <c r="AH2173" i="1"/>
  <c r="B2173" i="1"/>
  <c r="AK2172" i="1"/>
  <c r="AH2172" i="1"/>
  <c r="B2172" i="1"/>
  <c r="AK2171" i="1"/>
  <c r="AH2171" i="1"/>
  <c r="B2171" i="1"/>
  <c r="AK2170" i="1"/>
  <c r="AH2170" i="1"/>
  <c r="B2170" i="1"/>
  <c r="AK2169" i="1"/>
  <c r="AH2169" i="1"/>
  <c r="B2169" i="1"/>
  <c r="AK2168" i="1"/>
  <c r="AH2168" i="1"/>
  <c r="B2168" i="1"/>
  <c r="AK2167" i="1"/>
  <c r="AH2167" i="1"/>
  <c r="B2167" i="1"/>
  <c r="AK2166" i="1"/>
  <c r="AH2166" i="1"/>
  <c r="B2166" i="1"/>
  <c r="AK2165" i="1"/>
  <c r="AH2165" i="1"/>
  <c r="B2165" i="1"/>
  <c r="AK2164" i="1"/>
  <c r="AH2164" i="1"/>
  <c r="B2164" i="1"/>
  <c r="AK2163" i="1"/>
  <c r="AH2163" i="1"/>
  <c r="B2163" i="1"/>
  <c r="AK2162" i="1"/>
  <c r="AH2162" i="1"/>
  <c r="B2162" i="1"/>
  <c r="AK2161" i="1"/>
  <c r="AH2161" i="1"/>
  <c r="B2161" i="1"/>
  <c r="AK2160" i="1"/>
  <c r="AH2160" i="1"/>
  <c r="B2160" i="1"/>
  <c r="AK2159" i="1"/>
  <c r="AH2159" i="1"/>
  <c r="B2159" i="1"/>
  <c r="AK2158" i="1"/>
  <c r="AH2158" i="1"/>
  <c r="B2158" i="1"/>
  <c r="AK2157" i="1"/>
  <c r="AH2157" i="1"/>
  <c r="B2157" i="1"/>
  <c r="AK2156" i="1"/>
  <c r="AH2156" i="1"/>
  <c r="B2156" i="1"/>
  <c r="AK2155" i="1"/>
  <c r="AH2155" i="1"/>
  <c r="B2155" i="1"/>
  <c r="AK2154" i="1"/>
  <c r="AH2154" i="1"/>
  <c r="B2154" i="1"/>
  <c r="AK2153" i="1"/>
  <c r="AH2153" i="1"/>
  <c r="B2153" i="1"/>
  <c r="AK2152" i="1"/>
  <c r="AH2152" i="1"/>
  <c r="B2152" i="1"/>
  <c r="AK2151" i="1"/>
  <c r="AH2151" i="1"/>
  <c r="B2151" i="1"/>
  <c r="AK2150" i="1"/>
  <c r="B2150" i="1"/>
  <c r="AK2149" i="1"/>
  <c r="AH2149" i="1"/>
  <c r="B2149" i="1"/>
  <c r="AK2148" i="1"/>
  <c r="AH2148" i="1"/>
  <c r="B2148" i="1"/>
  <c r="AK2147" i="1"/>
  <c r="AH2147" i="1"/>
  <c r="B2147" i="1"/>
  <c r="AK2146" i="1"/>
  <c r="AH2146" i="1"/>
  <c r="B2146" i="1"/>
  <c r="AK2145" i="1"/>
  <c r="AH2145" i="1"/>
  <c r="B2145" i="1"/>
  <c r="AK2144" i="1"/>
  <c r="AH2144" i="1"/>
  <c r="B2144" i="1"/>
  <c r="AK2143" i="1"/>
  <c r="AH2143" i="1"/>
  <c r="B2143" i="1"/>
  <c r="AK2142" i="1"/>
  <c r="AH2142" i="1"/>
  <c r="B2142" i="1"/>
  <c r="AK2141" i="1"/>
  <c r="B2141" i="1"/>
  <c r="AK2140" i="1"/>
  <c r="B2140" i="1"/>
  <c r="AK2139" i="1"/>
  <c r="B2139" i="1"/>
  <c r="AK2138" i="1"/>
  <c r="AH2138" i="1"/>
  <c r="B2138" i="1"/>
  <c r="AK2137" i="1"/>
  <c r="AH2137" i="1"/>
  <c r="B2137" i="1"/>
  <c r="AK2136" i="1"/>
  <c r="AH2136" i="1"/>
  <c r="B2136" i="1"/>
  <c r="AK2135" i="1"/>
  <c r="AH2135" i="1"/>
  <c r="B2135" i="1"/>
  <c r="AK2134" i="1"/>
  <c r="AH2134" i="1"/>
  <c r="B2134" i="1"/>
  <c r="AK2133" i="1"/>
  <c r="AH2133" i="1"/>
  <c r="B2133" i="1"/>
  <c r="AK2132" i="1"/>
  <c r="AH2132" i="1"/>
  <c r="B2132" i="1"/>
  <c r="AK2131" i="1"/>
  <c r="AH2131" i="1"/>
  <c r="B2131" i="1"/>
  <c r="AK2130" i="1"/>
  <c r="AH2130" i="1"/>
  <c r="B2130" i="1"/>
  <c r="AK2129" i="1"/>
  <c r="B2129" i="1"/>
  <c r="AK2128" i="1"/>
  <c r="AH2128" i="1"/>
  <c r="B2128" i="1"/>
  <c r="AK2127" i="1"/>
  <c r="AH2127" i="1"/>
  <c r="B2127" i="1"/>
  <c r="AK2126" i="1"/>
  <c r="AH2126" i="1"/>
  <c r="B2126" i="1"/>
  <c r="AK2125" i="1"/>
  <c r="AH2125" i="1"/>
  <c r="B2125" i="1"/>
  <c r="AK2124" i="1"/>
  <c r="AH2124" i="1"/>
  <c r="B2124" i="1"/>
  <c r="AK2123" i="1"/>
  <c r="AH2123" i="1"/>
  <c r="B2123" i="1"/>
  <c r="AK2122" i="1"/>
  <c r="AH2122" i="1"/>
  <c r="B2122" i="1"/>
  <c r="AK2121" i="1"/>
  <c r="AH2121" i="1"/>
  <c r="B2121" i="1"/>
  <c r="AK2120" i="1"/>
  <c r="AH2120" i="1"/>
  <c r="B2120" i="1"/>
  <c r="AK2119" i="1"/>
  <c r="AH2119" i="1"/>
  <c r="B2119" i="1"/>
  <c r="AK2118" i="1"/>
  <c r="AH2118" i="1"/>
  <c r="B2118" i="1"/>
  <c r="AK2117" i="1"/>
  <c r="AH2117" i="1"/>
  <c r="B2117" i="1"/>
  <c r="AK2116" i="1"/>
  <c r="AH2116" i="1"/>
  <c r="B2116" i="1"/>
  <c r="AK2115" i="1"/>
  <c r="AH2115" i="1"/>
  <c r="B2115" i="1"/>
  <c r="AK2114" i="1"/>
  <c r="AH2114" i="1"/>
  <c r="B2114" i="1"/>
  <c r="AK2113" i="1"/>
  <c r="AH2113" i="1"/>
  <c r="B2113" i="1"/>
  <c r="AK2112" i="1"/>
  <c r="AH2112" i="1"/>
  <c r="B2112" i="1"/>
  <c r="AK2111" i="1"/>
  <c r="AH2111" i="1"/>
  <c r="B2111" i="1"/>
  <c r="AK2110" i="1"/>
  <c r="AH2110" i="1"/>
  <c r="B2110" i="1"/>
  <c r="AK2109" i="1"/>
  <c r="AH2109" i="1"/>
  <c r="B2109" i="1"/>
  <c r="AK2108" i="1"/>
  <c r="AH2108" i="1"/>
  <c r="B2108" i="1"/>
  <c r="AK2107" i="1"/>
  <c r="AH2107" i="1"/>
  <c r="B2107" i="1"/>
  <c r="AK2106" i="1"/>
  <c r="AH2106" i="1"/>
  <c r="B2106" i="1"/>
  <c r="AK2105" i="1"/>
  <c r="AH2105" i="1"/>
  <c r="B2105" i="1"/>
  <c r="AK2104" i="1"/>
  <c r="AH2104" i="1"/>
  <c r="B2104" i="1"/>
  <c r="AK2103" i="1"/>
  <c r="AH2103" i="1"/>
  <c r="B2103" i="1"/>
  <c r="AK2102" i="1"/>
  <c r="AH2102" i="1"/>
  <c r="B2102" i="1"/>
  <c r="AK2101" i="1"/>
  <c r="AH2101" i="1"/>
  <c r="B2101" i="1"/>
  <c r="AK2100" i="1"/>
  <c r="AH2100" i="1"/>
  <c r="B2100" i="1"/>
  <c r="AK2099" i="1"/>
  <c r="AH2099" i="1"/>
  <c r="B2099" i="1"/>
  <c r="AK2098" i="1"/>
  <c r="AH2098" i="1"/>
  <c r="B2098" i="1"/>
  <c r="AK2097" i="1"/>
  <c r="AH2097" i="1"/>
  <c r="B2097" i="1"/>
  <c r="AK2096" i="1"/>
  <c r="B2096" i="1"/>
  <c r="AK2095" i="1"/>
  <c r="AH2095" i="1"/>
  <c r="B2095" i="1"/>
  <c r="AK2094" i="1"/>
  <c r="AH2094" i="1"/>
  <c r="B2094" i="1"/>
  <c r="AK2093" i="1"/>
  <c r="AH2093" i="1"/>
  <c r="B2093" i="1"/>
  <c r="AK2092" i="1"/>
  <c r="AH2092" i="1"/>
  <c r="B2092" i="1"/>
  <c r="AK2091" i="1"/>
  <c r="AH2091" i="1"/>
  <c r="B2091" i="1"/>
  <c r="AK2090" i="1"/>
  <c r="AH2090" i="1"/>
  <c r="B2090" i="1"/>
  <c r="AK2089" i="1"/>
  <c r="AH2089" i="1"/>
  <c r="B2089" i="1"/>
  <c r="AK2088" i="1"/>
  <c r="AH2088" i="1"/>
  <c r="B2088" i="1"/>
  <c r="AK2087" i="1"/>
  <c r="AH2087" i="1"/>
  <c r="B2087" i="1"/>
  <c r="AK2086" i="1"/>
  <c r="AH2086" i="1"/>
  <c r="B2086" i="1"/>
  <c r="AK2085" i="1"/>
  <c r="AH2085" i="1"/>
  <c r="B2085" i="1"/>
  <c r="AK2084" i="1"/>
  <c r="AH2084" i="1"/>
  <c r="B2084" i="1"/>
  <c r="AK2083" i="1"/>
  <c r="AH2083" i="1"/>
  <c r="B2083" i="1"/>
  <c r="AK2082" i="1"/>
  <c r="AH2082" i="1"/>
  <c r="B2082" i="1"/>
  <c r="AK2081" i="1"/>
  <c r="AH2081" i="1"/>
  <c r="B2081" i="1"/>
  <c r="AK2080" i="1"/>
  <c r="AH2080" i="1"/>
  <c r="B2080" i="1"/>
  <c r="AK2079" i="1"/>
  <c r="AH2079" i="1"/>
  <c r="B2079" i="1"/>
  <c r="AK2078" i="1"/>
  <c r="AH2078" i="1"/>
  <c r="B2078" i="1"/>
  <c r="AK2077" i="1"/>
  <c r="AH2077" i="1"/>
  <c r="B2077" i="1"/>
  <c r="AK2076" i="1"/>
  <c r="AH2076" i="1"/>
  <c r="B2076" i="1"/>
  <c r="AK2075" i="1"/>
  <c r="AH2075" i="1"/>
  <c r="B2075" i="1"/>
  <c r="AK2074" i="1"/>
  <c r="AH2074" i="1"/>
  <c r="B2074" i="1"/>
  <c r="AK2073" i="1"/>
  <c r="AH2073" i="1"/>
  <c r="B2073" i="1"/>
  <c r="AK2072" i="1"/>
  <c r="AH2072" i="1"/>
  <c r="B2072" i="1"/>
  <c r="AK2071" i="1"/>
  <c r="AH2071" i="1"/>
  <c r="B2071" i="1"/>
  <c r="AK2070" i="1"/>
  <c r="AH2070" i="1"/>
  <c r="B2070" i="1"/>
  <c r="AK2069" i="1"/>
  <c r="AH2069" i="1"/>
  <c r="B2069" i="1"/>
  <c r="AK2068" i="1"/>
  <c r="AH2068" i="1"/>
  <c r="B2068" i="1"/>
  <c r="AK2067" i="1"/>
  <c r="AH2067" i="1"/>
  <c r="B2067" i="1"/>
  <c r="AK2066" i="1"/>
  <c r="AH2066" i="1"/>
  <c r="B2066" i="1"/>
  <c r="AK2065" i="1"/>
  <c r="AH2065" i="1"/>
  <c r="B2065" i="1"/>
  <c r="AK2064" i="1"/>
  <c r="B2064" i="1"/>
  <c r="AK2063" i="1"/>
  <c r="AH2063" i="1"/>
  <c r="B2063" i="1"/>
  <c r="AK2062" i="1"/>
  <c r="AH2062" i="1"/>
  <c r="B2062" i="1"/>
  <c r="AK2061" i="1"/>
  <c r="AH2061" i="1"/>
  <c r="B2061" i="1"/>
  <c r="AK2060" i="1"/>
  <c r="AH2060" i="1"/>
  <c r="B2060" i="1"/>
  <c r="AK2059" i="1"/>
  <c r="AH2059" i="1"/>
  <c r="B2059" i="1"/>
  <c r="AK2058" i="1"/>
  <c r="AH2058" i="1"/>
  <c r="B2058" i="1"/>
  <c r="AK2057" i="1"/>
  <c r="AH2057" i="1"/>
  <c r="B2057" i="1"/>
  <c r="AK2056" i="1"/>
  <c r="AH2056" i="1"/>
  <c r="B2056" i="1"/>
  <c r="AK2055" i="1"/>
  <c r="AH2055" i="1"/>
  <c r="B2055" i="1"/>
  <c r="AK2054" i="1"/>
  <c r="AH2054" i="1"/>
  <c r="B2054" i="1"/>
  <c r="AK2053" i="1"/>
  <c r="AH2053" i="1"/>
  <c r="B2053" i="1"/>
  <c r="AK2052" i="1"/>
  <c r="B2052" i="1"/>
  <c r="AK2051" i="1"/>
  <c r="AH2051" i="1"/>
  <c r="B2051" i="1"/>
  <c r="AK2050" i="1"/>
  <c r="AH2050" i="1"/>
  <c r="B2050" i="1"/>
  <c r="AK2049" i="1"/>
  <c r="B2049" i="1"/>
  <c r="AK2048" i="1"/>
  <c r="AH2048" i="1"/>
  <c r="B2048" i="1"/>
  <c r="AK2047" i="1"/>
  <c r="AH2047" i="1"/>
  <c r="B2047" i="1"/>
  <c r="AK2046" i="1"/>
  <c r="AH2046" i="1"/>
  <c r="B2046" i="1"/>
  <c r="AK2045" i="1"/>
  <c r="AH2045" i="1"/>
  <c r="B2045" i="1"/>
  <c r="AK2044" i="1"/>
  <c r="AH2044" i="1"/>
  <c r="B2044" i="1"/>
  <c r="AK2043" i="1"/>
  <c r="B2043" i="1"/>
  <c r="AK2042" i="1"/>
  <c r="B2042" i="1"/>
  <c r="AK2041" i="1"/>
  <c r="AH2041" i="1"/>
  <c r="B2041" i="1"/>
  <c r="AK2040" i="1"/>
  <c r="B2040" i="1"/>
  <c r="AK2039" i="1"/>
  <c r="AH2039" i="1"/>
  <c r="B2039" i="1"/>
  <c r="AK2038" i="1"/>
  <c r="AH2038" i="1"/>
  <c r="B2038" i="1"/>
  <c r="AK2037" i="1"/>
  <c r="AH2037" i="1"/>
  <c r="B2037" i="1"/>
  <c r="AK2036" i="1"/>
  <c r="AH2036" i="1"/>
  <c r="B2036" i="1"/>
  <c r="AK2035" i="1"/>
  <c r="B2035" i="1"/>
  <c r="AK2034" i="1"/>
  <c r="AH2034" i="1"/>
  <c r="B2034" i="1"/>
  <c r="AK2033" i="1"/>
  <c r="AH2033" i="1"/>
  <c r="B2033" i="1"/>
  <c r="AK2032" i="1"/>
  <c r="AH2032" i="1"/>
  <c r="B2032" i="1"/>
  <c r="AK2031" i="1"/>
  <c r="AH2031" i="1"/>
  <c r="B2031" i="1"/>
  <c r="AK2030" i="1"/>
  <c r="AH2030" i="1"/>
  <c r="B2030" i="1"/>
  <c r="AK2029" i="1"/>
  <c r="AH2029" i="1"/>
  <c r="B2029" i="1"/>
  <c r="AK2028" i="1"/>
  <c r="AH2028" i="1"/>
  <c r="B2028" i="1"/>
  <c r="AK2027" i="1"/>
  <c r="AH2027" i="1"/>
  <c r="B2027" i="1"/>
  <c r="AK2026" i="1"/>
  <c r="AH2026" i="1"/>
  <c r="B2026" i="1"/>
  <c r="AK2025" i="1"/>
  <c r="AH2025" i="1"/>
  <c r="B2025" i="1"/>
  <c r="AK2024" i="1"/>
  <c r="AH2024" i="1"/>
  <c r="B2024" i="1"/>
  <c r="AK2023" i="1"/>
  <c r="AH2023" i="1"/>
  <c r="B2023" i="1"/>
  <c r="AK2022" i="1"/>
  <c r="AH2022" i="1"/>
  <c r="B2022" i="1"/>
  <c r="AK2021" i="1"/>
  <c r="AH2021" i="1"/>
  <c r="B2021" i="1"/>
  <c r="AK2020" i="1"/>
  <c r="AH2020" i="1"/>
  <c r="B2020" i="1"/>
  <c r="AK2019" i="1"/>
  <c r="AH2019" i="1"/>
  <c r="B2019" i="1"/>
  <c r="AK2018" i="1"/>
  <c r="AH2018" i="1"/>
  <c r="B2018" i="1"/>
  <c r="AK2017" i="1"/>
  <c r="AH2017" i="1"/>
  <c r="B2017" i="1"/>
  <c r="AK2016" i="1"/>
  <c r="B2016" i="1"/>
  <c r="AK2015" i="1"/>
  <c r="AH2015" i="1"/>
  <c r="B2015" i="1"/>
  <c r="AK2014" i="1"/>
  <c r="AH2014" i="1"/>
  <c r="B2014" i="1"/>
  <c r="AK2013" i="1"/>
  <c r="AH2013" i="1"/>
  <c r="B2013" i="1"/>
  <c r="AK2012" i="1"/>
  <c r="AH2012" i="1"/>
  <c r="B2012" i="1"/>
  <c r="AK2011" i="1"/>
  <c r="AH2011" i="1"/>
  <c r="B2011" i="1"/>
  <c r="AK2010" i="1"/>
  <c r="AH2010" i="1"/>
  <c r="B2010" i="1"/>
  <c r="AK2009" i="1"/>
  <c r="AH2009" i="1"/>
  <c r="B2009" i="1"/>
  <c r="AK2008" i="1"/>
  <c r="AH2008" i="1"/>
  <c r="B2008" i="1"/>
  <c r="AK2007" i="1"/>
  <c r="AH2007" i="1"/>
  <c r="B2007" i="1"/>
  <c r="AK2006" i="1"/>
  <c r="AH2006" i="1"/>
  <c r="B2006" i="1"/>
  <c r="AK2005" i="1"/>
  <c r="AH2005" i="1"/>
  <c r="B2005" i="1"/>
  <c r="AK2004" i="1"/>
  <c r="AH2004" i="1"/>
  <c r="B2004" i="1"/>
  <c r="AK2003" i="1"/>
  <c r="AH2003" i="1"/>
  <c r="B2003" i="1"/>
  <c r="AK2002" i="1"/>
  <c r="AH2002" i="1"/>
  <c r="B2002" i="1"/>
  <c r="AK2001" i="1"/>
  <c r="AH2001" i="1"/>
  <c r="B2001" i="1"/>
  <c r="AK2000" i="1"/>
  <c r="AH2000" i="1"/>
  <c r="B2000" i="1"/>
  <c r="AK1999" i="1"/>
  <c r="AH1999" i="1"/>
  <c r="B1999" i="1"/>
  <c r="AK1998" i="1"/>
  <c r="AH1998" i="1"/>
  <c r="B1998" i="1"/>
  <c r="AK1997" i="1"/>
  <c r="AH1997" i="1"/>
  <c r="B1997" i="1"/>
  <c r="AK1996" i="1"/>
  <c r="B1996" i="1"/>
  <c r="AK1995" i="1"/>
  <c r="AH1995" i="1"/>
  <c r="B1995" i="1"/>
  <c r="AK1994" i="1"/>
  <c r="B1994" i="1"/>
  <c r="AK1993" i="1"/>
  <c r="AH1993" i="1"/>
  <c r="B1993" i="1"/>
  <c r="AK1992" i="1"/>
  <c r="AH1992" i="1"/>
  <c r="B1992" i="1"/>
  <c r="AK1991" i="1"/>
  <c r="AH1991" i="1"/>
  <c r="B1991" i="1"/>
  <c r="AK1990" i="1"/>
  <c r="AH1990" i="1"/>
  <c r="B1990" i="1"/>
  <c r="AK1989" i="1"/>
  <c r="AH1989" i="1"/>
  <c r="B1989" i="1"/>
  <c r="AK1988" i="1"/>
  <c r="AH1988" i="1"/>
  <c r="B1988" i="1"/>
  <c r="AK1987" i="1"/>
  <c r="AH1987" i="1"/>
  <c r="B1987" i="1"/>
  <c r="AK1986" i="1"/>
  <c r="AH1986" i="1"/>
  <c r="B1986" i="1"/>
  <c r="AK1985" i="1"/>
  <c r="AH1985" i="1"/>
  <c r="B1985" i="1"/>
  <c r="AK1984" i="1"/>
  <c r="AH1984" i="1"/>
  <c r="B1984" i="1"/>
  <c r="AK1983" i="1"/>
  <c r="AH1983" i="1"/>
  <c r="B1983" i="1"/>
  <c r="AK1982" i="1"/>
  <c r="AH1982" i="1"/>
  <c r="B1982" i="1"/>
  <c r="AK1981" i="1"/>
  <c r="AH1981" i="1"/>
  <c r="B1981" i="1"/>
  <c r="AK1980" i="1"/>
  <c r="AH1980" i="1"/>
  <c r="B1980" i="1"/>
  <c r="AK1979" i="1"/>
  <c r="B1979" i="1"/>
  <c r="AK1978" i="1"/>
  <c r="AH1978" i="1"/>
  <c r="B1978" i="1"/>
  <c r="AK1977" i="1"/>
  <c r="AH1977" i="1"/>
  <c r="B1977" i="1"/>
  <c r="AK1976" i="1"/>
  <c r="AH1976" i="1"/>
  <c r="B1976" i="1"/>
  <c r="AK1975" i="1"/>
  <c r="AH1975" i="1"/>
  <c r="B1975" i="1"/>
  <c r="AK1974" i="1"/>
  <c r="AH1974" i="1"/>
  <c r="B1974" i="1"/>
  <c r="AK1973" i="1"/>
  <c r="AH1973" i="1"/>
  <c r="B1973" i="1"/>
  <c r="AK1972" i="1"/>
  <c r="AH1972" i="1"/>
  <c r="B1972" i="1"/>
  <c r="AK1971" i="1"/>
  <c r="AH1971" i="1"/>
  <c r="B1971" i="1"/>
  <c r="AK1970" i="1"/>
  <c r="AH1970" i="1"/>
  <c r="B1970" i="1"/>
  <c r="AK1969" i="1"/>
  <c r="AH1969" i="1"/>
  <c r="B1969" i="1"/>
  <c r="AK1968" i="1"/>
  <c r="AH1968" i="1"/>
  <c r="B1968" i="1"/>
  <c r="AK1967" i="1"/>
  <c r="AH1967" i="1"/>
  <c r="B1967" i="1"/>
  <c r="AK1966" i="1"/>
  <c r="AH1966" i="1"/>
  <c r="B1966" i="1"/>
  <c r="AK1965" i="1"/>
  <c r="AH1965" i="1"/>
  <c r="B1965" i="1"/>
  <c r="AK1964" i="1"/>
  <c r="AH1964" i="1"/>
  <c r="B1964" i="1"/>
  <c r="AK1963" i="1"/>
  <c r="AH1963" i="1"/>
  <c r="B1963" i="1"/>
  <c r="AK1962" i="1"/>
  <c r="AH1962" i="1"/>
  <c r="B1962" i="1"/>
  <c r="AK1961" i="1"/>
  <c r="AH1961" i="1"/>
  <c r="B1961" i="1"/>
  <c r="AK1960" i="1"/>
  <c r="AH1960" i="1"/>
  <c r="B1960" i="1"/>
  <c r="AK1959" i="1"/>
  <c r="AH1959" i="1"/>
  <c r="B1959" i="1"/>
  <c r="AK1958" i="1"/>
  <c r="AH1958" i="1"/>
  <c r="B1958" i="1"/>
  <c r="AK1957" i="1"/>
  <c r="B1957" i="1"/>
  <c r="AK1956" i="1"/>
  <c r="AH1956" i="1"/>
  <c r="B1956" i="1"/>
  <c r="AK1955" i="1"/>
  <c r="B1955" i="1"/>
  <c r="AK1954" i="1"/>
  <c r="AH1954" i="1"/>
  <c r="B1954" i="1"/>
  <c r="AK1953" i="1"/>
  <c r="AH1953" i="1"/>
  <c r="B1953" i="1"/>
  <c r="AK1952" i="1"/>
  <c r="AH1952" i="1"/>
  <c r="B1952" i="1"/>
  <c r="AK1951" i="1"/>
  <c r="AH1951" i="1"/>
  <c r="B1951" i="1"/>
  <c r="AK1950" i="1"/>
  <c r="AH1950" i="1"/>
  <c r="B1950" i="1"/>
  <c r="AK1949" i="1"/>
  <c r="AH1949" i="1"/>
  <c r="B1949" i="1"/>
  <c r="AK1948" i="1"/>
  <c r="AH1948" i="1"/>
  <c r="B1948" i="1"/>
  <c r="AK1947" i="1"/>
  <c r="AH1947" i="1"/>
  <c r="B1947" i="1"/>
  <c r="AK1946" i="1"/>
  <c r="AH1946" i="1"/>
  <c r="B1946" i="1"/>
  <c r="AK1945" i="1"/>
  <c r="AH1945" i="1"/>
  <c r="B1945" i="1"/>
  <c r="AK1944" i="1"/>
  <c r="AH1944" i="1"/>
  <c r="B1944" i="1"/>
  <c r="AK1943" i="1"/>
  <c r="AH1943" i="1"/>
  <c r="B1943" i="1"/>
  <c r="AK1942" i="1"/>
  <c r="AH1942" i="1"/>
  <c r="B1942" i="1"/>
  <c r="AK1941" i="1"/>
  <c r="AH1941" i="1"/>
  <c r="B1941" i="1"/>
  <c r="AK1940" i="1"/>
  <c r="AH1940" i="1"/>
  <c r="B1940" i="1"/>
  <c r="AK1939" i="1"/>
  <c r="AH1939" i="1"/>
  <c r="B1939" i="1"/>
  <c r="AK1938" i="1"/>
  <c r="AH1938" i="1"/>
  <c r="B1938" i="1"/>
  <c r="AK1937" i="1"/>
  <c r="AH1937" i="1"/>
  <c r="B1937" i="1"/>
  <c r="AK1936" i="1"/>
  <c r="AH1936" i="1"/>
  <c r="B1936" i="1"/>
  <c r="AK1935" i="1"/>
  <c r="AH1935" i="1"/>
  <c r="B1935" i="1"/>
  <c r="AK1934" i="1"/>
  <c r="AH1934" i="1"/>
  <c r="B1934" i="1"/>
  <c r="AK1933" i="1"/>
  <c r="AH1933" i="1"/>
  <c r="B1933" i="1"/>
  <c r="AK1932" i="1"/>
  <c r="AH1932" i="1"/>
  <c r="B1932" i="1"/>
  <c r="AK1931" i="1"/>
  <c r="AH1931" i="1"/>
  <c r="B1931" i="1"/>
  <c r="AK1930" i="1"/>
  <c r="AH1930" i="1"/>
  <c r="B1930" i="1"/>
  <c r="AK1929" i="1"/>
  <c r="AH1929" i="1"/>
  <c r="B1929" i="1"/>
  <c r="AK1928" i="1"/>
  <c r="AH1928" i="1"/>
  <c r="B1928" i="1"/>
  <c r="AK1927" i="1"/>
  <c r="AH1927" i="1"/>
  <c r="B1927" i="1"/>
  <c r="AK1926" i="1"/>
  <c r="AH1926" i="1"/>
  <c r="B1926" i="1"/>
  <c r="AK1925" i="1"/>
  <c r="AH1925" i="1"/>
  <c r="B1925" i="1"/>
  <c r="AK1924" i="1"/>
  <c r="AH1924" i="1"/>
  <c r="B1924" i="1"/>
  <c r="AK1923" i="1"/>
  <c r="AH1923" i="1"/>
  <c r="B1923" i="1"/>
  <c r="AK1922" i="1"/>
  <c r="AH1922" i="1"/>
  <c r="B1922" i="1"/>
  <c r="AK1921" i="1"/>
  <c r="AH1921" i="1"/>
  <c r="B1921" i="1"/>
  <c r="AK1920" i="1"/>
  <c r="AH1920" i="1"/>
  <c r="B1920" i="1"/>
  <c r="AK1919" i="1"/>
  <c r="AH1919" i="1"/>
  <c r="B1919" i="1"/>
  <c r="AK1918" i="1"/>
  <c r="AH1918" i="1"/>
  <c r="B1918" i="1"/>
  <c r="AK1917" i="1"/>
  <c r="B1917" i="1"/>
  <c r="AK1916" i="1"/>
  <c r="B1916" i="1"/>
  <c r="AK1915" i="1"/>
  <c r="AH1915" i="1"/>
  <c r="B1915" i="1"/>
  <c r="AK1914" i="1"/>
  <c r="AH1914" i="1"/>
  <c r="B1914" i="1"/>
  <c r="AK1913" i="1"/>
  <c r="AH1913" i="1"/>
  <c r="B1913" i="1"/>
  <c r="AK1912" i="1"/>
  <c r="AH1912" i="1"/>
  <c r="B1912" i="1"/>
  <c r="AK1911" i="1"/>
  <c r="AH1911" i="1"/>
  <c r="B1911" i="1"/>
  <c r="AK1910" i="1"/>
  <c r="AH1910" i="1"/>
  <c r="B1910" i="1"/>
  <c r="AK1909" i="1"/>
  <c r="AH1909" i="1"/>
  <c r="B1909" i="1"/>
  <c r="AK1908" i="1"/>
  <c r="AH1908" i="1"/>
  <c r="B1908" i="1"/>
  <c r="AK1907" i="1"/>
  <c r="AH1907" i="1"/>
  <c r="B1907" i="1"/>
  <c r="AK1906" i="1"/>
  <c r="AH1906" i="1"/>
  <c r="B1906" i="1"/>
  <c r="AK1905" i="1"/>
  <c r="AH1905" i="1"/>
  <c r="B1905" i="1"/>
  <c r="AK1904" i="1"/>
  <c r="AH1904" i="1"/>
  <c r="B1904" i="1"/>
  <c r="AK1903" i="1"/>
  <c r="AH1903" i="1"/>
  <c r="B1903" i="1"/>
  <c r="AK1902" i="1"/>
  <c r="AH1902" i="1"/>
  <c r="B1902" i="1"/>
  <c r="AK1901" i="1"/>
  <c r="AH1901" i="1"/>
  <c r="B1901" i="1"/>
  <c r="AK1900" i="1"/>
  <c r="AH1900" i="1"/>
  <c r="B1900" i="1"/>
  <c r="AK1899" i="1"/>
  <c r="AH1899" i="1"/>
  <c r="B1899" i="1"/>
  <c r="AK1898" i="1"/>
  <c r="AH1898" i="1"/>
  <c r="B1898" i="1"/>
  <c r="AK1897" i="1"/>
  <c r="AH1897" i="1"/>
  <c r="B1897" i="1"/>
  <c r="AK1896" i="1"/>
  <c r="AH1896" i="1"/>
  <c r="B1896" i="1"/>
  <c r="AK1895" i="1"/>
  <c r="AH1895" i="1"/>
  <c r="B1895" i="1"/>
  <c r="AK1894" i="1"/>
  <c r="AH1894" i="1"/>
  <c r="B1894" i="1"/>
  <c r="AK1893" i="1"/>
  <c r="AH1893" i="1"/>
  <c r="B1893" i="1"/>
  <c r="AK1892" i="1"/>
  <c r="AH1892" i="1"/>
  <c r="B1892" i="1"/>
  <c r="AK1891" i="1"/>
  <c r="AH1891" i="1"/>
  <c r="B1891" i="1"/>
  <c r="AK1890" i="1"/>
  <c r="AH1890" i="1"/>
  <c r="B1890" i="1"/>
  <c r="AK1889" i="1"/>
  <c r="AH1889" i="1"/>
  <c r="B1889" i="1"/>
  <c r="AK1888" i="1"/>
  <c r="AH1888" i="1"/>
  <c r="B1888" i="1"/>
  <c r="AK1887" i="1"/>
  <c r="AH1887" i="1"/>
  <c r="B1887" i="1"/>
  <c r="AK1886" i="1"/>
  <c r="AH1886" i="1"/>
  <c r="B1886" i="1"/>
  <c r="AK1885" i="1"/>
  <c r="AH1885" i="1"/>
  <c r="B1885" i="1"/>
  <c r="AK1884" i="1"/>
  <c r="AH1884" i="1"/>
  <c r="B1884" i="1"/>
  <c r="AK1883" i="1"/>
  <c r="B1883" i="1"/>
  <c r="AK1882" i="1"/>
  <c r="AH1882" i="1"/>
  <c r="B1882" i="1"/>
  <c r="AK1881" i="1"/>
  <c r="AH1881" i="1"/>
  <c r="B1881" i="1"/>
  <c r="AK1880" i="1"/>
  <c r="AH1880" i="1"/>
  <c r="B1880" i="1"/>
  <c r="AK1879" i="1"/>
  <c r="AH1879" i="1"/>
  <c r="B1879" i="1"/>
  <c r="AK1878" i="1"/>
  <c r="AH1878" i="1"/>
  <c r="B1878" i="1"/>
  <c r="AK1877" i="1"/>
  <c r="AH1877" i="1"/>
  <c r="B1877" i="1"/>
  <c r="AK1876" i="1"/>
  <c r="AH1876" i="1"/>
  <c r="B1876" i="1"/>
  <c r="AK1875" i="1"/>
  <c r="AH1875" i="1"/>
  <c r="B1875" i="1"/>
  <c r="AK1874" i="1"/>
  <c r="AH1874" i="1"/>
  <c r="B1874" i="1"/>
  <c r="AK1873" i="1"/>
  <c r="AH1873" i="1"/>
  <c r="B1873" i="1"/>
  <c r="AK1872" i="1"/>
  <c r="B1872" i="1"/>
  <c r="AK1871" i="1"/>
  <c r="AH1871" i="1"/>
  <c r="B1871" i="1"/>
  <c r="AK1870" i="1"/>
  <c r="AH1870" i="1"/>
  <c r="B1870" i="1"/>
  <c r="AK1869" i="1"/>
  <c r="AH1869" i="1"/>
  <c r="B1869" i="1"/>
  <c r="AK1868" i="1"/>
  <c r="AH1868" i="1"/>
  <c r="B1868" i="1"/>
  <c r="AK1867" i="1"/>
  <c r="B1867" i="1"/>
  <c r="AK1866" i="1"/>
  <c r="AH1866" i="1"/>
  <c r="B1866" i="1"/>
  <c r="AK1865" i="1"/>
  <c r="AH1865" i="1"/>
  <c r="B1865" i="1"/>
  <c r="AK1864" i="1"/>
  <c r="AH1864" i="1"/>
  <c r="B1864" i="1"/>
  <c r="AK1863" i="1"/>
  <c r="AH1863" i="1"/>
  <c r="B1863" i="1"/>
  <c r="AK1862" i="1"/>
  <c r="AH1862" i="1"/>
  <c r="B1862" i="1"/>
  <c r="AK1861" i="1"/>
  <c r="AH1861" i="1"/>
  <c r="B1861" i="1"/>
  <c r="AK1860" i="1"/>
  <c r="AH1860" i="1"/>
  <c r="B1860" i="1"/>
  <c r="AK1859" i="1"/>
  <c r="AH1859" i="1"/>
  <c r="B1859" i="1"/>
  <c r="AK1858" i="1"/>
  <c r="AH1858" i="1"/>
  <c r="B1858" i="1"/>
  <c r="AK1857" i="1"/>
  <c r="B1857" i="1"/>
  <c r="AK1856" i="1"/>
  <c r="AH1856" i="1"/>
  <c r="B1856" i="1"/>
  <c r="AK1855" i="1"/>
  <c r="AH1855" i="1"/>
  <c r="B1855" i="1"/>
  <c r="AK1854" i="1"/>
  <c r="AH1854" i="1"/>
  <c r="B1854" i="1"/>
  <c r="AK1853" i="1"/>
  <c r="AH1853" i="1"/>
  <c r="B1853" i="1"/>
  <c r="AK1852" i="1"/>
  <c r="AH1852" i="1"/>
  <c r="B1852" i="1"/>
  <c r="AK1851" i="1"/>
  <c r="AH1851" i="1"/>
  <c r="B1851" i="1"/>
  <c r="AK1850" i="1"/>
  <c r="AH1850" i="1"/>
  <c r="B1850" i="1"/>
  <c r="AK1849" i="1"/>
  <c r="AH1849" i="1"/>
  <c r="B1849" i="1"/>
  <c r="AK1848" i="1"/>
  <c r="AH1848" i="1"/>
  <c r="B1848" i="1"/>
  <c r="AK1847" i="1"/>
  <c r="AH1847" i="1"/>
  <c r="B1847" i="1"/>
  <c r="AK1846" i="1"/>
  <c r="AH1846" i="1"/>
  <c r="B1846" i="1"/>
  <c r="AK1845" i="1"/>
  <c r="AH1845" i="1"/>
  <c r="B1845" i="1"/>
  <c r="AK1844" i="1"/>
  <c r="AH1844" i="1"/>
  <c r="B1844" i="1"/>
  <c r="AK1843" i="1"/>
  <c r="AH1843" i="1"/>
  <c r="B1843" i="1"/>
  <c r="AK1842" i="1"/>
  <c r="AH1842" i="1"/>
  <c r="B1842" i="1"/>
  <c r="AK1841" i="1"/>
  <c r="AH1841" i="1"/>
  <c r="B1841" i="1"/>
  <c r="AK1840" i="1"/>
  <c r="AH1840" i="1"/>
  <c r="B1840" i="1"/>
  <c r="AK1839" i="1"/>
  <c r="AH1839" i="1"/>
  <c r="B1839" i="1"/>
  <c r="AK1838" i="1"/>
  <c r="AH1838" i="1"/>
  <c r="B1838" i="1"/>
  <c r="AK1837" i="1"/>
  <c r="AH1837" i="1"/>
  <c r="B1837" i="1"/>
  <c r="AK1836" i="1"/>
  <c r="AH1836" i="1"/>
  <c r="B1836" i="1"/>
  <c r="AK1835" i="1"/>
  <c r="AH1835" i="1"/>
  <c r="B1835" i="1"/>
  <c r="AK1834" i="1"/>
  <c r="AH1834" i="1"/>
  <c r="B1834" i="1"/>
  <c r="AK1833" i="1"/>
  <c r="AH1833" i="1"/>
  <c r="B1833" i="1"/>
  <c r="AK1832" i="1"/>
  <c r="B1832" i="1"/>
  <c r="AK1831" i="1"/>
  <c r="AH1831" i="1"/>
  <c r="B1831" i="1"/>
  <c r="AK1830" i="1"/>
  <c r="AH1830" i="1"/>
  <c r="B1830" i="1"/>
  <c r="AK1829" i="1"/>
  <c r="AH1829" i="1"/>
  <c r="B1829" i="1"/>
  <c r="AK1828" i="1"/>
  <c r="AH1828" i="1"/>
  <c r="B1828" i="1"/>
  <c r="AK1827" i="1"/>
  <c r="AH1827" i="1"/>
  <c r="B1827" i="1"/>
  <c r="AK1826" i="1"/>
  <c r="AH1826" i="1"/>
  <c r="B1826" i="1"/>
  <c r="AK1825" i="1"/>
  <c r="AH1825" i="1"/>
  <c r="B1825" i="1"/>
  <c r="AK1824" i="1"/>
  <c r="AH1824" i="1"/>
  <c r="B1824" i="1"/>
  <c r="AK1823" i="1"/>
  <c r="AH1823" i="1"/>
  <c r="B1823" i="1"/>
  <c r="AK1822" i="1"/>
  <c r="AH1822" i="1"/>
  <c r="B1822" i="1"/>
  <c r="AK1821" i="1"/>
  <c r="AH1821" i="1"/>
  <c r="B1821" i="1"/>
  <c r="AK1820" i="1"/>
  <c r="AH1820" i="1"/>
  <c r="B1820" i="1"/>
  <c r="AK1819" i="1"/>
  <c r="AH1819" i="1"/>
  <c r="B1819" i="1"/>
  <c r="AK1818" i="1"/>
  <c r="AH1818" i="1"/>
  <c r="B1818" i="1"/>
  <c r="AK1817" i="1"/>
  <c r="AH1817" i="1"/>
  <c r="B1817" i="1"/>
  <c r="AK1816" i="1"/>
  <c r="AH1816" i="1"/>
  <c r="B1816" i="1"/>
  <c r="AK1815" i="1"/>
  <c r="B1815" i="1"/>
  <c r="AK1814" i="1"/>
  <c r="B1814" i="1"/>
  <c r="AK1813" i="1"/>
  <c r="AH1813" i="1"/>
  <c r="B1813" i="1"/>
  <c r="AK1812" i="1"/>
  <c r="AH1812" i="1"/>
  <c r="B1812" i="1"/>
  <c r="AK1811" i="1"/>
  <c r="AH1811" i="1"/>
  <c r="B1811" i="1"/>
  <c r="AK1810" i="1"/>
  <c r="AH1810" i="1"/>
  <c r="B1810" i="1"/>
  <c r="AK1809" i="1"/>
  <c r="AH1809" i="1"/>
  <c r="B1809" i="1"/>
  <c r="AK1808" i="1"/>
  <c r="AH1808" i="1"/>
  <c r="B1808" i="1"/>
  <c r="AK1807" i="1"/>
  <c r="AH1807" i="1"/>
  <c r="B1807" i="1"/>
  <c r="AK1806" i="1"/>
  <c r="AH1806" i="1"/>
  <c r="B1806" i="1"/>
  <c r="AK1805" i="1"/>
  <c r="AH1805" i="1"/>
  <c r="B1805" i="1"/>
  <c r="AK1804" i="1"/>
  <c r="AH1804" i="1"/>
  <c r="B1804" i="1"/>
  <c r="AK1803" i="1"/>
  <c r="AH1803" i="1"/>
  <c r="B1803" i="1"/>
  <c r="AK1802" i="1"/>
  <c r="AH1802" i="1"/>
  <c r="B1802" i="1"/>
  <c r="AK1801" i="1"/>
  <c r="AH1801" i="1"/>
  <c r="B1801" i="1"/>
  <c r="AK1800" i="1"/>
  <c r="AH1800" i="1"/>
  <c r="B1800" i="1"/>
  <c r="AK1799" i="1"/>
  <c r="AH1799" i="1"/>
  <c r="B1799" i="1"/>
  <c r="AK1798" i="1"/>
  <c r="AH1798" i="1"/>
  <c r="B1798" i="1"/>
  <c r="AK1797" i="1"/>
  <c r="AH1797" i="1"/>
  <c r="B1797" i="1"/>
  <c r="AK1796" i="1"/>
  <c r="AH1796" i="1"/>
  <c r="B1796" i="1"/>
  <c r="AK1795" i="1"/>
  <c r="AH1795" i="1"/>
  <c r="B1795" i="1"/>
  <c r="AK1794" i="1"/>
  <c r="AH1794" i="1"/>
  <c r="B1794" i="1"/>
  <c r="AK1793" i="1"/>
  <c r="AH1793" i="1"/>
  <c r="B1793" i="1"/>
  <c r="AK1792" i="1"/>
  <c r="AH1792" i="1"/>
  <c r="B1792" i="1"/>
  <c r="AK1791" i="1"/>
  <c r="AH1791" i="1"/>
  <c r="B1791" i="1"/>
  <c r="AK1790" i="1"/>
  <c r="AH1790" i="1"/>
  <c r="B1790" i="1"/>
  <c r="AK1789" i="1"/>
  <c r="AH1789" i="1"/>
  <c r="B1789" i="1"/>
  <c r="AK1788" i="1"/>
  <c r="AH1788" i="1"/>
  <c r="B1788" i="1"/>
  <c r="AK1787" i="1"/>
  <c r="AH1787" i="1"/>
  <c r="B1787" i="1"/>
  <c r="AK1786" i="1"/>
  <c r="AH1786" i="1"/>
  <c r="B1786" i="1"/>
  <c r="AK1785" i="1"/>
  <c r="AH1785" i="1"/>
  <c r="B1785" i="1"/>
  <c r="AK1784" i="1"/>
  <c r="AH1784" i="1"/>
  <c r="B1784" i="1"/>
  <c r="AK1783" i="1"/>
  <c r="AH1783" i="1"/>
  <c r="B1783" i="1"/>
  <c r="AK1782" i="1"/>
  <c r="AH1782" i="1"/>
  <c r="B1782" i="1"/>
  <c r="AK1781" i="1"/>
  <c r="AH1781" i="1"/>
  <c r="B1781" i="1"/>
  <c r="AK1780" i="1"/>
  <c r="AH1780" i="1"/>
  <c r="B1780" i="1"/>
  <c r="AK1779" i="1"/>
  <c r="AH1779" i="1"/>
  <c r="B1779" i="1"/>
  <c r="AK1778" i="1"/>
  <c r="AH1778" i="1"/>
  <c r="B1778" i="1"/>
  <c r="AK1777" i="1"/>
  <c r="AH1777" i="1"/>
  <c r="B1777" i="1"/>
  <c r="AK1776" i="1"/>
  <c r="AH1776" i="1"/>
  <c r="B1776" i="1"/>
  <c r="AK1775" i="1"/>
  <c r="AH1775" i="1"/>
  <c r="B1775" i="1"/>
  <c r="AK1774" i="1"/>
  <c r="AH1774" i="1"/>
  <c r="B1774" i="1"/>
  <c r="AK1773" i="1"/>
  <c r="AH1773" i="1"/>
  <c r="B1773" i="1"/>
  <c r="AK1772" i="1"/>
  <c r="AH1772" i="1"/>
  <c r="B1772" i="1"/>
  <c r="AK1771" i="1"/>
  <c r="AH1771" i="1"/>
  <c r="B1771" i="1"/>
  <c r="AK1770" i="1"/>
  <c r="B1770" i="1"/>
  <c r="AK1769" i="1"/>
  <c r="B1769" i="1"/>
  <c r="AK1768" i="1"/>
  <c r="AH1768" i="1"/>
  <c r="B1768" i="1"/>
  <c r="AK1767" i="1"/>
  <c r="AH1767" i="1"/>
  <c r="B1767" i="1"/>
  <c r="AK1766" i="1"/>
  <c r="AH1766" i="1"/>
  <c r="B1766" i="1"/>
  <c r="AK1765" i="1"/>
  <c r="AH1765" i="1"/>
  <c r="B1765" i="1"/>
  <c r="AK1764" i="1"/>
  <c r="AH1764" i="1"/>
  <c r="B1764" i="1"/>
  <c r="AK1763" i="1"/>
  <c r="AH1763" i="1"/>
  <c r="B1763" i="1"/>
  <c r="AK1762" i="1"/>
  <c r="AH1762" i="1"/>
  <c r="B1762" i="1"/>
  <c r="AK1761" i="1"/>
  <c r="AH1761" i="1"/>
  <c r="B1761" i="1"/>
  <c r="AK1760" i="1"/>
  <c r="AH1760" i="1"/>
  <c r="B1760" i="1"/>
  <c r="AK1759" i="1"/>
  <c r="AH1759" i="1"/>
  <c r="B1759" i="1"/>
  <c r="AK1758" i="1"/>
  <c r="AH1758" i="1"/>
  <c r="B1758" i="1"/>
  <c r="AK1757" i="1"/>
  <c r="AH1757" i="1"/>
  <c r="B1757" i="1"/>
  <c r="AK1756" i="1"/>
  <c r="AH1756" i="1"/>
  <c r="B1756" i="1"/>
  <c r="AK1755" i="1"/>
  <c r="AH1755" i="1"/>
  <c r="B1755" i="1"/>
  <c r="AK1754" i="1"/>
  <c r="AH1754" i="1"/>
  <c r="B1754" i="1"/>
  <c r="AK1753" i="1"/>
  <c r="B1753" i="1"/>
  <c r="AK1752" i="1"/>
  <c r="AH1752" i="1"/>
  <c r="B1752" i="1"/>
  <c r="AK1751" i="1"/>
  <c r="AH1751" i="1"/>
  <c r="B1751" i="1"/>
  <c r="AK1750" i="1"/>
  <c r="AH1750" i="1"/>
  <c r="B1750" i="1"/>
  <c r="AK1749" i="1"/>
  <c r="AH1749" i="1"/>
  <c r="B1749" i="1"/>
  <c r="AK1748" i="1"/>
  <c r="AH1748" i="1"/>
  <c r="B1748" i="1"/>
  <c r="AK1747" i="1"/>
  <c r="AH1747" i="1"/>
  <c r="B1747" i="1"/>
  <c r="AK1746" i="1"/>
  <c r="AH1746" i="1"/>
  <c r="B1746" i="1"/>
  <c r="AK1745" i="1"/>
  <c r="AH1745" i="1"/>
  <c r="B1745" i="1"/>
  <c r="AK1744" i="1"/>
  <c r="AH1744" i="1"/>
  <c r="B1744" i="1"/>
  <c r="AK1743" i="1"/>
  <c r="AH1743" i="1"/>
  <c r="B1743" i="1"/>
  <c r="AK1742" i="1"/>
  <c r="AH1742" i="1"/>
  <c r="B1742" i="1"/>
  <c r="AK1741" i="1"/>
  <c r="B1741" i="1"/>
  <c r="AK1740" i="1"/>
  <c r="AH1740" i="1"/>
  <c r="B1740" i="1"/>
  <c r="AK1739" i="1"/>
  <c r="AH1739" i="1"/>
  <c r="B1739" i="1"/>
  <c r="AK1738" i="1"/>
  <c r="B1738" i="1"/>
  <c r="AK1737" i="1"/>
  <c r="AH1737" i="1"/>
  <c r="B1737" i="1"/>
  <c r="AK1736" i="1"/>
  <c r="AH1736" i="1"/>
  <c r="B1736" i="1"/>
  <c r="AK1735" i="1"/>
  <c r="AH1735" i="1"/>
  <c r="B1735" i="1"/>
  <c r="AK1734" i="1"/>
  <c r="AH1734" i="1"/>
  <c r="B1734" i="1"/>
  <c r="AK1733" i="1"/>
  <c r="AH1733" i="1"/>
  <c r="B1733" i="1"/>
  <c r="AK1732" i="1"/>
  <c r="AH1732" i="1"/>
  <c r="B1732" i="1"/>
  <c r="AK1731" i="1"/>
  <c r="AH1731" i="1"/>
  <c r="B1731" i="1"/>
  <c r="AK1730" i="1"/>
  <c r="AH1730" i="1"/>
  <c r="B1730" i="1"/>
  <c r="AK1729" i="1"/>
  <c r="AH1729" i="1"/>
  <c r="B1729" i="1"/>
  <c r="AK1728" i="1"/>
  <c r="AH1728" i="1"/>
  <c r="B1728" i="1"/>
  <c r="AK1727" i="1"/>
  <c r="AH1727" i="1"/>
  <c r="B1727" i="1"/>
  <c r="AK1726" i="1"/>
  <c r="AH1726" i="1"/>
  <c r="B1726" i="1"/>
  <c r="AK1725" i="1"/>
  <c r="AH1725" i="1"/>
  <c r="B1725" i="1"/>
  <c r="AK1724" i="1"/>
  <c r="AH1724" i="1"/>
  <c r="B1724" i="1"/>
  <c r="AK1723" i="1"/>
  <c r="AH1723" i="1"/>
  <c r="B1723" i="1"/>
  <c r="AK1722" i="1"/>
  <c r="AH1722" i="1"/>
  <c r="B1722" i="1"/>
  <c r="AK1721" i="1"/>
  <c r="AH1721" i="1"/>
  <c r="B1721" i="1"/>
  <c r="AK1720" i="1"/>
  <c r="AH1720" i="1"/>
  <c r="B1720" i="1"/>
  <c r="AK1719" i="1"/>
  <c r="AH1719" i="1"/>
  <c r="B1719" i="1"/>
  <c r="AK1718" i="1"/>
  <c r="AH1718" i="1"/>
  <c r="B1718" i="1"/>
  <c r="AK1717" i="1"/>
  <c r="AH1717" i="1"/>
  <c r="B1717" i="1"/>
  <c r="AK1716" i="1"/>
  <c r="AH1716" i="1"/>
  <c r="B1716" i="1"/>
  <c r="AK1715" i="1"/>
  <c r="B1715" i="1"/>
  <c r="AK1714" i="1"/>
  <c r="AH1714" i="1"/>
  <c r="B1714" i="1"/>
  <c r="AK1713" i="1"/>
  <c r="AH1713" i="1"/>
  <c r="B1713" i="1"/>
  <c r="AK1712" i="1"/>
  <c r="AH1712" i="1"/>
  <c r="B1712" i="1"/>
  <c r="AK1711" i="1"/>
  <c r="AH1711" i="1"/>
  <c r="B1711" i="1"/>
  <c r="AK1710" i="1"/>
  <c r="AH1710" i="1"/>
  <c r="B1710" i="1"/>
  <c r="AK1709" i="1"/>
  <c r="AH1709" i="1"/>
  <c r="B1709" i="1"/>
  <c r="AK1708" i="1"/>
  <c r="AH1708" i="1"/>
  <c r="B1708" i="1"/>
  <c r="AK1707" i="1"/>
  <c r="AH1707" i="1"/>
  <c r="B1707" i="1"/>
  <c r="AK1706" i="1"/>
  <c r="AH1706" i="1"/>
  <c r="B1706" i="1"/>
  <c r="AK1705" i="1"/>
  <c r="AH1705" i="1"/>
  <c r="B1705" i="1"/>
  <c r="AK1704" i="1"/>
  <c r="AH1704" i="1"/>
  <c r="B1704" i="1"/>
  <c r="AK1703" i="1"/>
  <c r="AH1703" i="1"/>
  <c r="B1703" i="1"/>
  <c r="AK1702" i="1"/>
  <c r="AH1702" i="1"/>
  <c r="B1702" i="1"/>
  <c r="AK1701" i="1"/>
  <c r="AH1701" i="1"/>
  <c r="B1701" i="1"/>
  <c r="AK1700" i="1"/>
  <c r="AH1700" i="1"/>
  <c r="B1700" i="1"/>
  <c r="AK1699" i="1"/>
  <c r="AH1699" i="1"/>
  <c r="B1699" i="1"/>
  <c r="AK1698" i="1"/>
  <c r="AH1698" i="1"/>
  <c r="B1698" i="1"/>
  <c r="AK1697" i="1"/>
  <c r="AH1697" i="1"/>
  <c r="B1697" i="1"/>
  <c r="AK1696" i="1"/>
  <c r="AH1696" i="1"/>
  <c r="B1696" i="1"/>
  <c r="AK1695" i="1"/>
  <c r="AH1695" i="1"/>
  <c r="B1695" i="1"/>
  <c r="AK1694" i="1"/>
  <c r="AH1694" i="1"/>
  <c r="B1694" i="1"/>
  <c r="AK1693" i="1"/>
  <c r="AH1693" i="1"/>
  <c r="B1693" i="1"/>
  <c r="AK1692" i="1"/>
  <c r="AH1692" i="1"/>
  <c r="B1692" i="1"/>
  <c r="AK1691" i="1"/>
  <c r="AH1691" i="1"/>
  <c r="B1691" i="1"/>
  <c r="AK1690" i="1"/>
  <c r="AH1690" i="1"/>
  <c r="B1690" i="1"/>
  <c r="AK1689" i="1"/>
  <c r="AH1689" i="1"/>
  <c r="B1689" i="1"/>
  <c r="AK1688" i="1"/>
  <c r="AH1688" i="1"/>
  <c r="B1688" i="1"/>
  <c r="AK1687" i="1"/>
  <c r="AH1687" i="1"/>
  <c r="B1687" i="1"/>
  <c r="AK1686" i="1"/>
  <c r="AH1686" i="1"/>
  <c r="B1686" i="1"/>
  <c r="AK1685" i="1"/>
  <c r="AH1685" i="1"/>
  <c r="B1685" i="1"/>
  <c r="AK1684" i="1"/>
  <c r="AH1684" i="1"/>
  <c r="B1684" i="1"/>
  <c r="AK1683" i="1"/>
  <c r="AH1683" i="1"/>
  <c r="B1683" i="1"/>
  <c r="AK1682" i="1"/>
  <c r="AH1682" i="1"/>
  <c r="B1682" i="1"/>
  <c r="AK1681" i="1"/>
  <c r="AH1681" i="1"/>
  <c r="B1681" i="1"/>
  <c r="AK1680" i="1"/>
  <c r="AH1680" i="1"/>
  <c r="B1680" i="1"/>
  <c r="AK1679" i="1"/>
  <c r="AH1679" i="1"/>
  <c r="B1679" i="1"/>
  <c r="AK1678" i="1"/>
  <c r="B1678" i="1"/>
  <c r="AK1677" i="1"/>
  <c r="AH1677" i="1"/>
  <c r="B1677" i="1"/>
  <c r="AK1676" i="1"/>
  <c r="AH1676" i="1"/>
  <c r="B1676" i="1"/>
  <c r="AK1675" i="1"/>
  <c r="AH1675" i="1"/>
  <c r="B1675" i="1"/>
  <c r="AK1674" i="1"/>
  <c r="AH1674" i="1"/>
  <c r="B1674" i="1"/>
  <c r="AK1673" i="1"/>
  <c r="AH1673" i="1"/>
  <c r="B1673" i="1"/>
  <c r="AK1672" i="1"/>
  <c r="AH1672" i="1"/>
  <c r="B1672" i="1"/>
  <c r="AK1671" i="1"/>
  <c r="AH1671" i="1"/>
  <c r="B1671" i="1"/>
  <c r="AK1670" i="1"/>
  <c r="B1670" i="1"/>
  <c r="AK1669" i="1"/>
  <c r="AH1669" i="1"/>
  <c r="B1669" i="1"/>
  <c r="AK1668" i="1"/>
  <c r="AH1668" i="1"/>
  <c r="B1668" i="1"/>
  <c r="AK1667" i="1"/>
  <c r="AH1667" i="1"/>
  <c r="B1667" i="1"/>
  <c r="AK1666" i="1"/>
  <c r="AH1666" i="1"/>
  <c r="B1666" i="1"/>
  <c r="AK1665" i="1"/>
  <c r="AH1665" i="1"/>
  <c r="B1665" i="1"/>
  <c r="AK1664" i="1"/>
  <c r="AH1664" i="1"/>
  <c r="B1664" i="1"/>
  <c r="AK1663" i="1"/>
  <c r="AH1663" i="1"/>
  <c r="B1663" i="1"/>
  <c r="AK1662" i="1"/>
  <c r="AH1662" i="1"/>
  <c r="B1662" i="1"/>
  <c r="AK1661" i="1"/>
  <c r="AH1661" i="1"/>
  <c r="B1661" i="1"/>
  <c r="AK1660" i="1"/>
  <c r="AH1660" i="1"/>
  <c r="B1660" i="1"/>
  <c r="AK1659" i="1"/>
  <c r="AH1659" i="1"/>
  <c r="B1659" i="1"/>
  <c r="AK1658" i="1"/>
  <c r="AH1658" i="1"/>
  <c r="B1658" i="1"/>
  <c r="AK1657" i="1"/>
  <c r="AH1657" i="1"/>
  <c r="B1657" i="1"/>
  <c r="AK1656" i="1"/>
  <c r="AH1656" i="1"/>
  <c r="B1656" i="1"/>
  <c r="AK1655" i="1"/>
  <c r="AH1655" i="1"/>
  <c r="B1655" i="1"/>
  <c r="AK1654" i="1"/>
  <c r="AH1654" i="1"/>
  <c r="B1654" i="1"/>
  <c r="AK1653" i="1"/>
  <c r="AH1653" i="1"/>
  <c r="B1653" i="1"/>
  <c r="AK1652" i="1"/>
  <c r="B1652" i="1"/>
  <c r="AK1651" i="1"/>
  <c r="AH1651" i="1"/>
  <c r="B1651" i="1"/>
  <c r="AK1650" i="1"/>
  <c r="AH1650" i="1"/>
  <c r="B1650" i="1"/>
  <c r="AK1649" i="1"/>
  <c r="AH1649" i="1"/>
  <c r="B1649" i="1"/>
  <c r="AK1648" i="1"/>
  <c r="AH1648" i="1"/>
  <c r="B1648" i="1"/>
  <c r="AK1647" i="1"/>
  <c r="AH1647" i="1"/>
  <c r="B1647" i="1"/>
  <c r="AK1646" i="1"/>
  <c r="AH1646" i="1"/>
  <c r="B1646" i="1"/>
  <c r="AK1645" i="1"/>
  <c r="AH1645" i="1"/>
  <c r="B1645" i="1"/>
  <c r="AK1644" i="1"/>
  <c r="AH1644" i="1"/>
  <c r="B1644" i="1"/>
  <c r="AK1643" i="1"/>
  <c r="AH1643" i="1"/>
  <c r="B1643" i="1"/>
  <c r="AK1642" i="1"/>
  <c r="AH1642" i="1"/>
  <c r="B1642" i="1"/>
  <c r="AK1641" i="1"/>
  <c r="AH1641" i="1"/>
  <c r="B1641" i="1"/>
  <c r="AK1640" i="1"/>
  <c r="AH1640" i="1"/>
  <c r="B1640" i="1"/>
  <c r="AK1639" i="1"/>
  <c r="AH1639" i="1"/>
  <c r="B1639" i="1"/>
  <c r="AK1638" i="1"/>
  <c r="AH1638" i="1"/>
  <c r="B1638" i="1"/>
  <c r="AK1637" i="1"/>
  <c r="AH1637" i="1"/>
  <c r="B1637" i="1"/>
  <c r="AK1636" i="1"/>
  <c r="AH1636" i="1"/>
  <c r="B1636" i="1"/>
  <c r="AK1635" i="1"/>
  <c r="AH1635" i="1"/>
  <c r="B1635" i="1"/>
  <c r="AK1634" i="1"/>
  <c r="AH1634" i="1"/>
  <c r="B1634" i="1"/>
  <c r="AK1633" i="1"/>
  <c r="AH1633" i="1"/>
  <c r="B1633" i="1"/>
  <c r="AK1632" i="1"/>
  <c r="B1632" i="1"/>
  <c r="AK1631" i="1"/>
  <c r="AH1631" i="1"/>
  <c r="B1631" i="1"/>
  <c r="AK1630" i="1"/>
  <c r="AH1630" i="1"/>
  <c r="B1630" i="1"/>
  <c r="AK1629" i="1"/>
  <c r="AH1629" i="1"/>
  <c r="B1629" i="1"/>
  <c r="AK1628" i="1"/>
  <c r="AH1628" i="1"/>
  <c r="B1628" i="1"/>
  <c r="AK1627" i="1"/>
  <c r="AH1627" i="1"/>
  <c r="B1627" i="1"/>
  <c r="AK1626" i="1"/>
  <c r="AH1626" i="1"/>
  <c r="B1626" i="1"/>
  <c r="AK1625" i="1"/>
  <c r="B1625" i="1"/>
  <c r="AK1624" i="1"/>
  <c r="AH1624" i="1"/>
  <c r="B1624" i="1"/>
  <c r="AK1623" i="1"/>
  <c r="AH1623" i="1"/>
  <c r="B1623" i="1"/>
  <c r="AK1622" i="1"/>
  <c r="AH1622" i="1"/>
  <c r="B1622" i="1"/>
  <c r="AK1621" i="1"/>
  <c r="AH1621" i="1"/>
  <c r="B1621" i="1"/>
  <c r="AK1620" i="1"/>
  <c r="AH1620" i="1"/>
  <c r="B1620" i="1"/>
  <c r="AK1619" i="1"/>
  <c r="AH1619" i="1"/>
  <c r="B1619" i="1"/>
  <c r="AK1618" i="1"/>
  <c r="AH1618" i="1"/>
  <c r="B1618" i="1"/>
  <c r="AK1617" i="1"/>
  <c r="AH1617" i="1"/>
  <c r="B1617" i="1"/>
  <c r="AK1616" i="1"/>
  <c r="AH1616" i="1"/>
  <c r="B1616" i="1"/>
  <c r="AK1615" i="1"/>
  <c r="AH1615" i="1"/>
  <c r="B1615" i="1"/>
  <c r="AK1614" i="1"/>
  <c r="AH1614" i="1"/>
  <c r="B1614" i="1"/>
  <c r="AK1613" i="1"/>
  <c r="AH1613" i="1"/>
  <c r="B1613" i="1"/>
  <c r="AK1612" i="1"/>
  <c r="AH1612" i="1"/>
  <c r="B1612" i="1"/>
  <c r="AK1611" i="1"/>
  <c r="AH1611" i="1"/>
  <c r="B1611" i="1"/>
  <c r="AK1610" i="1"/>
  <c r="AH1610" i="1"/>
  <c r="B1610" i="1"/>
  <c r="AK1609" i="1"/>
  <c r="AH1609" i="1"/>
  <c r="B1609" i="1"/>
  <c r="AK1608" i="1"/>
  <c r="B1608" i="1"/>
  <c r="AK1607" i="1"/>
  <c r="AH1607" i="1"/>
  <c r="B1607" i="1"/>
  <c r="AK1606" i="1"/>
  <c r="AH1606" i="1"/>
  <c r="B1606" i="1"/>
  <c r="AK1605" i="1"/>
  <c r="AH1605" i="1"/>
  <c r="B1605" i="1"/>
  <c r="AK1604" i="1"/>
  <c r="AH1604" i="1"/>
  <c r="B1604" i="1"/>
  <c r="AK1603" i="1"/>
  <c r="AH1603" i="1"/>
  <c r="B1603" i="1"/>
  <c r="AK1602" i="1"/>
  <c r="AH1602" i="1"/>
  <c r="B1602" i="1"/>
  <c r="AK1601" i="1"/>
  <c r="AH1601" i="1"/>
  <c r="B1601" i="1"/>
  <c r="AK1600" i="1"/>
  <c r="AH1600" i="1"/>
  <c r="B1600" i="1"/>
  <c r="AK1599" i="1"/>
  <c r="AH1599" i="1"/>
  <c r="B1599" i="1"/>
  <c r="AK1598" i="1"/>
  <c r="AH1598" i="1"/>
  <c r="B1598" i="1"/>
  <c r="AK1597" i="1"/>
  <c r="AH1597" i="1"/>
  <c r="B1597" i="1"/>
  <c r="AK1596" i="1"/>
  <c r="AH1596" i="1"/>
  <c r="B1596" i="1"/>
  <c r="AK1595" i="1"/>
  <c r="AH1595" i="1"/>
  <c r="B1595" i="1"/>
  <c r="AK1594" i="1"/>
  <c r="AH1594" i="1"/>
  <c r="B1594" i="1"/>
  <c r="AK1593" i="1"/>
  <c r="AH1593" i="1"/>
  <c r="B1593" i="1"/>
  <c r="AK1592" i="1"/>
  <c r="AH1592" i="1"/>
  <c r="B1592" i="1"/>
  <c r="AK1591" i="1"/>
  <c r="AH1591" i="1"/>
  <c r="B1591" i="1"/>
  <c r="AK1590" i="1"/>
  <c r="AH1590" i="1"/>
  <c r="B1590" i="1"/>
  <c r="AK1589" i="1"/>
  <c r="AH1589" i="1"/>
  <c r="B1589" i="1"/>
  <c r="AK1588" i="1"/>
  <c r="AH1588" i="1"/>
  <c r="B1588" i="1"/>
  <c r="AK1587" i="1"/>
  <c r="B1587" i="1"/>
  <c r="AK1586" i="1"/>
  <c r="AH1586" i="1"/>
  <c r="B1586" i="1"/>
  <c r="AK1585" i="1"/>
  <c r="AH1585" i="1"/>
  <c r="B1585" i="1"/>
  <c r="AK1584" i="1"/>
  <c r="AH1584" i="1"/>
  <c r="B1584" i="1"/>
  <c r="AK1583" i="1"/>
  <c r="AH1583" i="1"/>
  <c r="B1583" i="1"/>
  <c r="AK1582" i="1"/>
  <c r="AH1582" i="1"/>
  <c r="B1582" i="1"/>
  <c r="AK1581" i="1"/>
  <c r="AH1581" i="1"/>
  <c r="B1581" i="1"/>
  <c r="AK1580" i="1"/>
  <c r="AH1580" i="1"/>
  <c r="B1580" i="1"/>
  <c r="AK1579" i="1"/>
  <c r="AH1579" i="1"/>
  <c r="B1579" i="1"/>
  <c r="AK1578" i="1"/>
  <c r="AH1578" i="1"/>
  <c r="B1578" i="1"/>
  <c r="AK1577" i="1"/>
  <c r="AH1577" i="1"/>
  <c r="B1577" i="1"/>
  <c r="AK1576" i="1"/>
  <c r="AH1576" i="1"/>
  <c r="B1576" i="1"/>
  <c r="AK1575" i="1"/>
  <c r="B1575" i="1"/>
  <c r="AK1574" i="1"/>
  <c r="B1574" i="1"/>
  <c r="AK1573" i="1"/>
  <c r="AH1573" i="1"/>
  <c r="B1573" i="1"/>
  <c r="AK1572" i="1"/>
  <c r="AH1572" i="1"/>
  <c r="B1572" i="1"/>
  <c r="AK1571" i="1"/>
  <c r="AH1571" i="1"/>
  <c r="B1571" i="1"/>
  <c r="AK1570" i="1"/>
  <c r="AH1570" i="1"/>
  <c r="B1570" i="1"/>
  <c r="AK1569" i="1"/>
  <c r="AH1569" i="1"/>
  <c r="B1569" i="1"/>
  <c r="AK1568" i="1"/>
  <c r="AH1568" i="1"/>
  <c r="B1568" i="1"/>
  <c r="AK1567" i="1"/>
  <c r="AH1567" i="1"/>
  <c r="B1567" i="1"/>
  <c r="AK1566" i="1"/>
  <c r="AH1566" i="1"/>
  <c r="B1566" i="1"/>
  <c r="AK1565" i="1"/>
  <c r="AH1565" i="1"/>
  <c r="B1565" i="1"/>
  <c r="AK1564" i="1"/>
  <c r="AH1564" i="1"/>
  <c r="B1564" i="1"/>
  <c r="AK1563" i="1"/>
  <c r="AH1563" i="1"/>
  <c r="B1563" i="1"/>
  <c r="AK1562" i="1"/>
  <c r="B1562" i="1"/>
  <c r="AK1561" i="1"/>
  <c r="AH1561" i="1"/>
  <c r="B1561" i="1"/>
  <c r="AK1560" i="1"/>
  <c r="AH1560" i="1"/>
  <c r="B1560" i="1"/>
  <c r="AK1559" i="1"/>
  <c r="AH1559" i="1"/>
  <c r="B1559" i="1"/>
  <c r="AK1558" i="1"/>
  <c r="AH1558" i="1"/>
  <c r="B1558" i="1"/>
  <c r="AK1557" i="1"/>
  <c r="AH1557" i="1"/>
  <c r="B1557" i="1"/>
  <c r="AK1556" i="1"/>
  <c r="AH1556" i="1"/>
  <c r="B1556" i="1"/>
  <c r="AK1555" i="1"/>
  <c r="AH1555" i="1"/>
  <c r="B1555" i="1"/>
  <c r="AK1554" i="1"/>
  <c r="AH1554" i="1"/>
  <c r="B1554" i="1"/>
  <c r="AK1553" i="1"/>
  <c r="AH1553" i="1"/>
  <c r="B1553" i="1"/>
  <c r="AK1552" i="1"/>
  <c r="AH1552" i="1"/>
  <c r="B1552" i="1"/>
  <c r="AK1551" i="1"/>
  <c r="AH1551" i="1"/>
  <c r="B1551" i="1"/>
  <c r="AK1550" i="1"/>
  <c r="AH1550" i="1"/>
  <c r="B1550" i="1"/>
  <c r="AK1549" i="1"/>
  <c r="AH1549" i="1"/>
  <c r="B1549" i="1"/>
  <c r="AK1548" i="1"/>
  <c r="AH1548" i="1"/>
  <c r="B1548" i="1"/>
  <c r="AK1547" i="1"/>
  <c r="AH1547" i="1"/>
  <c r="B1547" i="1"/>
  <c r="AK1546" i="1"/>
  <c r="AH1546" i="1"/>
  <c r="B1546" i="1"/>
  <c r="AK1545" i="1"/>
  <c r="AH1545" i="1"/>
  <c r="B1545" i="1"/>
  <c r="AK1544" i="1"/>
  <c r="AH1544" i="1"/>
  <c r="B1544" i="1"/>
  <c r="AK1543" i="1"/>
  <c r="B1543" i="1"/>
  <c r="AK1542" i="1"/>
  <c r="AH1542" i="1"/>
  <c r="B1542" i="1"/>
  <c r="AK1541" i="1"/>
  <c r="AH1541" i="1"/>
  <c r="B1541" i="1"/>
  <c r="AK1540" i="1"/>
  <c r="AH1540" i="1"/>
  <c r="B1540" i="1"/>
  <c r="AK1539" i="1"/>
  <c r="AH1539" i="1"/>
  <c r="B1539" i="1"/>
  <c r="AK1538" i="1"/>
  <c r="AH1538" i="1"/>
  <c r="B1538" i="1"/>
  <c r="AK1537" i="1"/>
  <c r="AH1537" i="1"/>
  <c r="B1537" i="1"/>
  <c r="AK1536" i="1"/>
  <c r="AH1536" i="1"/>
  <c r="B1536" i="1"/>
  <c r="AK1535" i="1"/>
  <c r="AH1535" i="1"/>
  <c r="B1535" i="1"/>
  <c r="AK1534" i="1"/>
  <c r="AH1534" i="1"/>
  <c r="B1534" i="1"/>
  <c r="AK1533" i="1"/>
  <c r="AH1533" i="1"/>
  <c r="B1533" i="1"/>
  <c r="AK1532" i="1"/>
  <c r="AH1532" i="1"/>
  <c r="B1532" i="1"/>
  <c r="AK1531" i="1"/>
  <c r="AH1531" i="1"/>
  <c r="B1531" i="1"/>
  <c r="AK1530" i="1"/>
  <c r="AH1530" i="1"/>
  <c r="B1530" i="1"/>
  <c r="AK1529" i="1"/>
  <c r="AH1529" i="1"/>
  <c r="B1529" i="1"/>
  <c r="AK1528" i="1"/>
  <c r="B1528" i="1"/>
  <c r="AK1527" i="1"/>
  <c r="AH1527" i="1"/>
  <c r="B1527" i="1"/>
  <c r="AK1526" i="1"/>
  <c r="AH1526" i="1"/>
  <c r="B1526" i="1"/>
  <c r="AK1525" i="1"/>
  <c r="AH1525" i="1"/>
  <c r="B1525" i="1"/>
  <c r="AK1524" i="1"/>
  <c r="AH1524" i="1"/>
  <c r="B1524" i="1"/>
  <c r="AK1523" i="1"/>
  <c r="AH1523" i="1"/>
  <c r="B1523" i="1"/>
  <c r="AK1522" i="1"/>
  <c r="AH1522" i="1"/>
  <c r="B1522" i="1"/>
  <c r="AK1521" i="1"/>
  <c r="AH1521" i="1"/>
  <c r="B1521" i="1"/>
  <c r="AK1520" i="1"/>
  <c r="AH1520" i="1"/>
  <c r="B1520" i="1"/>
  <c r="AK1519" i="1"/>
  <c r="AH1519" i="1"/>
  <c r="B1519" i="1"/>
  <c r="AK1518" i="1"/>
  <c r="AH1518" i="1"/>
  <c r="B1518" i="1"/>
  <c r="AK1517" i="1"/>
  <c r="AH1517" i="1"/>
  <c r="B1517" i="1"/>
  <c r="AK1516" i="1"/>
  <c r="AH1516" i="1"/>
  <c r="B1516" i="1"/>
  <c r="AK1515" i="1"/>
  <c r="AH1515" i="1"/>
  <c r="B1515" i="1"/>
  <c r="AK1514" i="1"/>
  <c r="AH1514" i="1"/>
  <c r="B1514" i="1"/>
  <c r="AK1513" i="1"/>
  <c r="AH1513" i="1"/>
  <c r="B1513" i="1"/>
  <c r="AK1512" i="1"/>
  <c r="AH1512" i="1"/>
  <c r="B1512" i="1"/>
  <c r="AK1511" i="1"/>
  <c r="AH1511" i="1"/>
  <c r="B1511" i="1"/>
  <c r="AK1510" i="1"/>
  <c r="AH1510" i="1"/>
  <c r="B1510" i="1"/>
  <c r="AK1509" i="1"/>
  <c r="AH1509" i="1"/>
  <c r="B1509" i="1"/>
  <c r="AK1508" i="1"/>
  <c r="AH1508" i="1"/>
  <c r="B1508" i="1"/>
  <c r="AK1507" i="1"/>
  <c r="AH1507" i="1"/>
  <c r="B1507" i="1"/>
  <c r="AK1506" i="1"/>
  <c r="B1506" i="1"/>
  <c r="AK1505" i="1"/>
  <c r="AH1505" i="1"/>
  <c r="B1505" i="1"/>
  <c r="AK1504" i="1"/>
  <c r="AH1504" i="1"/>
  <c r="B1504" i="1"/>
  <c r="AK1503" i="1"/>
  <c r="AH1503" i="1"/>
  <c r="B1503" i="1"/>
  <c r="AK1502" i="1"/>
  <c r="AH1502" i="1"/>
  <c r="B1502" i="1"/>
  <c r="AK1501" i="1"/>
  <c r="AH1501" i="1"/>
  <c r="B1501" i="1"/>
  <c r="AK1500" i="1"/>
  <c r="AH1500" i="1"/>
  <c r="B1500" i="1"/>
  <c r="AK1499" i="1"/>
  <c r="AH1499" i="1"/>
  <c r="B1499" i="1"/>
  <c r="AK1498" i="1"/>
  <c r="AH1498" i="1"/>
  <c r="B1498" i="1"/>
  <c r="AK1497" i="1"/>
  <c r="AH1497" i="1"/>
  <c r="B1497" i="1"/>
  <c r="AK1496" i="1"/>
  <c r="AH1496" i="1"/>
  <c r="B1496" i="1"/>
  <c r="AK1495" i="1"/>
  <c r="AH1495" i="1"/>
  <c r="B1495" i="1"/>
  <c r="AK1494" i="1"/>
  <c r="AH1494" i="1"/>
  <c r="B1494" i="1"/>
  <c r="AK1493" i="1"/>
  <c r="AH1493" i="1"/>
  <c r="B1493" i="1"/>
  <c r="AK1492" i="1"/>
  <c r="AH1492" i="1"/>
  <c r="B1492" i="1"/>
  <c r="AK1491" i="1"/>
  <c r="AH1491" i="1"/>
  <c r="B1491" i="1"/>
  <c r="AK1490" i="1"/>
  <c r="AH1490" i="1"/>
  <c r="B1490" i="1"/>
  <c r="AK1489" i="1"/>
  <c r="AH1489" i="1"/>
  <c r="B1489" i="1"/>
  <c r="AK1488" i="1"/>
  <c r="AH1488" i="1"/>
  <c r="B1488" i="1"/>
  <c r="AK1487" i="1"/>
  <c r="AH1487" i="1"/>
  <c r="B1487" i="1"/>
  <c r="AK1486" i="1"/>
  <c r="AH1486" i="1"/>
  <c r="B1486" i="1"/>
  <c r="AK1485" i="1"/>
  <c r="AH1485" i="1"/>
  <c r="B1485" i="1"/>
  <c r="AK1484" i="1"/>
  <c r="AH1484" i="1"/>
  <c r="B1484" i="1"/>
  <c r="AK1483" i="1"/>
  <c r="AH1483" i="1"/>
  <c r="B1483" i="1"/>
  <c r="AK1482" i="1"/>
  <c r="AH1482" i="1"/>
  <c r="B1482" i="1"/>
  <c r="AK1481" i="1"/>
  <c r="B1481" i="1"/>
  <c r="AK1480" i="1"/>
  <c r="AH1480" i="1"/>
  <c r="B1480" i="1"/>
  <c r="AK1479" i="1"/>
  <c r="AH1479" i="1"/>
  <c r="B1479" i="1"/>
  <c r="AK1478" i="1"/>
  <c r="AH1478" i="1"/>
  <c r="B1478" i="1"/>
  <c r="AK1477" i="1"/>
  <c r="AH1477" i="1"/>
  <c r="B1477" i="1"/>
  <c r="AK1476" i="1"/>
  <c r="AH1476" i="1"/>
  <c r="B1476" i="1"/>
  <c r="AK1475" i="1"/>
  <c r="AH1475" i="1"/>
  <c r="B1475" i="1"/>
  <c r="AK1474" i="1"/>
  <c r="AH1474" i="1"/>
  <c r="B1474" i="1"/>
  <c r="AK1473" i="1"/>
  <c r="AH1473" i="1"/>
  <c r="B1473" i="1"/>
  <c r="AK1472" i="1"/>
  <c r="AH1472" i="1"/>
  <c r="B1472" i="1"/>
  <c r="AK1471" i="1"/>
  <c r="AH1471" i="1"/>
  <c r="B1471" i="1"/>
  <c r="AK1470" i="1"/>
  <c r="AH1470" i="1"/>
  <c r="B1470" i="1"/>
  <c r="AK1469" i="1"/>
  <c r="AH1469" i="1"/>
  <c r="B1469" i="1"/>
  <c r="AK1468" i="1"/>
  <c r="AH1468" i="1"/>
  <c r="B1468" i="1"/>
  <c r="AK1467" i="1"/>
  <c r="AH1467" i="1"/>
  <c r="B1467" i="1"/>
  <c r="AK1466" i="1"/>
  <c r="AH1466" i="1"/>
  <c r="B1466" i="1"/>
  <c r="AK1465" i="1"/>
  <c r="AH1465" i="1"/>
  <c r="B1465" i="1"/>
  <c r="AK1464" i="1"/>
  <c r="AH1464" i="1"/>
  <c r="B1464" i="1"/>
  <c r="AK1463" i="1"/>
  <c r="AH1463" i="1"/>
  <c r="B1463" i="1"/>
  <c r="AK1462" i="1"/>
  <c r="AH1462" i="1"/>
  <c r="B1462" i="1"/>
  <c r="AK1461" i="1"/>
  <c r="AH1461" i="1"/>
  <c r="B1461" i="1"/>
  <c r="AK1460" i="1"/>
  <c r="AH1460" i="1"/>
  <c r="B1460" i="1"/>
  <c r="AK1459" i="1"/>
  <c r="AH1459" i="1"/>
  <c r="B1459" i="1"/>
  <c r="AK1458" i="1"/>
  <c r="AH1458" i="1"/>
  <c r="B1458" i="1"/>
  <c r="AK1457" i="1"/>
  <c r="AH1457" i="1"/>
  <c r="B1457" i="1"/>
  <c r="AK1456" i="1"/>
  <c r="AH1456" i="1"/>
  <c r="B1456" i="1"/>
  <c r="AK1455" i="1"/>
  <c r="AH1455" i="1"/>
  <c r="B1455" i="1"/>
  <c r="AK1454" i="1"/>
  <c r="AH1454" i="1"/>
  <c r="B1454" i="1"/>
  <c r="AK1453" i="1"/>
  <c r="AH1453" i="1"/>
  <c r="B1453" i="1"/>
  <c r="AK1452" i="1"/>
  <c r="AH1452" i="1"/>
  <c r="B1452" i="1"/>
  <c r="AK1451" i="1"/>
  <c r="AH1451" i="1"/>
  <c r="B1451" i="1"/>
  <c r="AK1450" i="1"/>
  <c r="AH1450" i="1"/>
  <c r="B1450" i="1"/>
  <c r="AK1449" i="1"/>
  <c r="AH1449" i="1"/>
  <c r="B1449" i="1"/>
  <c r="AK1448" i="1"/>
  <c r="AH1448" i="1"/>
  <c r="B1448" i="1"/>
  <c r="AK1447" i="1"/>
  <c r="AH1447" i="1"/>
  <c r="B1447" i="1"/>
  <c r="AK1446" i="1"/>
  <c r="AH1446" i="1"/>
  <c r="B1446" i="1"/>
  <c r="AK1445" i="1"/>
  <c r="AH1445" i="1"/>
  <c r="B1445" i="1"/>
  <c r="AK1444" i="1"/>
  <c r="AH1444" i="1"/>
  <c r="B1444" i="1"/>
  <c r="AK1443" i="1"/>
  <c r="AH1443" i="1"/>
  <c r="B1443" i="1"/>
  <c r="AK1442" i="1"/>
  <c r="AH1442" i="1"/>
  <c r="B1442" i="1"/>
  <c r="AK1441" i="1"/>
  <c r="AH1441" i="1"/>
  <c r="B1441" i="1"/>
  <c r="AK1440" i="1"/>
  <c r="AH1440" i="1"/>
  <c r="B1440" i="1"/>
  <c r="AK1439" i="1"/>
  <c r="AH1439" i="1"/>
  <c r="B1439" i="1"/>
  <c r="AK1438" i="1"/>
  <c r="AH1438" i="1"/>
  <c r="B1438" i="1"/>
  <c r="AK1437" i="1"/>
  <c r="AH1437" i="1"/>
  <c r="B1437" i="1"/>
  <c r="AK1436" i="1"/>
  <c r="AH1436" i="1"/>
  <c r="B1436" i="1"/>
  <c r="AK1435" i="1"/>
  <c r="AH1435" i="1"/>
  <c r="B1435" i="1"/>
  <c r="AK1434" i="1"/>
  <c r="B1434" i="1"/>
  <c r="AK1433" i="1"/>
  <c r="AH1433" i="1"/>
  <c r="B1433" i="1"/>
  <c r="AK1432" i="1"/>
  <c r="AH1432" i="1"/>
  <c r="B1432" i="1"/>
  <c r="AK1431" i="1"/>
  <c r="AH1431" i="1"/>
  <c r="B1431" i="1"/>
  <c r="AK1430" i="1"/>
  <c r="AH1430" i="1"/>
  <c r="B1430" i="1"/>
  <c r="AK1429" i="1"/>
  <c r="AH1429" i="1"/>
  <c r="B1429" i="1"/>
  <c r="AK1428" i="1"/>
  <c r="AH1428" i="1"/>
  <c r="B1428" i="1"/>
  <c r="AK1427" i="1"/>
  <c r="AH1427" i="1"/>
  <c r="B1427" i="1"/>
  <c r="AK1426" i="1"/>
  <c r="AH1426" i="1"/>
  <c r="B1426" i="1"/>
  <c r="AK1425" i="1"/>
  <c r="AH1425" i="1"/>
  <c r="B1425" i="1"/>
  <c r="AK1424" i="1"/>
  <c r="AH1424" i="1"/>
  <c r="B1424" i="1"/>
  <c r="AK1423" i="1"/>
  <c r="AH1423" i="1"/>
  <c r="B1423" i="1"/>
  <c r="AK1422" i="1"/>
  <c r="AH1422" i="1"/>
  <c r="B1422" i="1"/>
  <c r="AK1421" i="1"/>
  <c r="AH1421" i="1"/>
  <c r="B1421" i="1"/>
  <c r="AK1420" i="1"/>
  <c r="AH1420" i="1"/>
  <c r="B1420" i="1"/>
  <c r="AK1419" i="1"/>
  <c r="AH1419" i="1"/>
  <c r="B1419" i="1"/>
  <c r="AK1418" i="1"/>
  <c r="AH1418" i="1"/>
  <c r="B1418" i="1"/>
  <c r="AK1417" i="1"/>
  <c r="AH1417" i="1"/>
  <c r="B1417" i="1"/>
  <c r="AK1416" i="1"/>
  <c r="AH1416" i="1"/>
  <c r="B1416" i="1"/>
  <c r="AK1415" i="1"/>
  <c r="AH1415" i="1"/>
  <c r="B1415" i="1"/>
  <c r="AK1414" i="1"/>
  <c r="AH1414" i="1"/>
  <c r="B1414" i="1"/>
  <c r="AK1413" i="1"/>
  <c r="AH1413" i="1"/>
  <c r="B1413" i="1"/>
  <c r="AK1412" i="1"/>
  <c r="AH1412" i="1"/>
  <c r="B1412" i="1"/>
  <c r="AK1411" i="1"/>
  <c r="AH1411" i="1"/>
  <c r="B1411" i="1"/>
  <c r="AK1410" i="1"/>
  <c r="AH1410" i="1"/>
  <c r="B1410" i="1"/>
  <c r="AK1409" i="1"/>
  <c r="AH1409" i="1"/>
  <c r="B1409" i="1"/>
  <c r="AK1408" i="1"/>
  <c r="AH1408" i="1"/>
  <c r="B1408" i="1"/>
  <c r="AK1407" i="1"/>
  <c r="AH1407" i="1"/>
  <c r="B1407" i="1"/>
  <c r="AK1406" i="1"/>
  <c r="AH1406" i="1"/>
  <c r="B1406" i="1"/>
  <c r="AK1405" i="1"/>
  <c r="AH1405" i="1"/>
  <c r="B1405" i="1"/>
  <c r="AK1404" i="1"/>
  <c r="AH1404" i="1"/>
  <c r="B1404" i="1"/>
  <c r="AK1403" i="1"/>
  <c r="AH1403" i="1"/>
  <c r="B1403" i="1"/>
  <c r="AK1402" i="1"/>
  <c r="AH1402" i="1"/>
  <c r="B1402" i="1"/>
  <c r="AK1401" i="1"/>
  <c r="AH1401" i="1"/>
  <c r="B1401" i="1"/>
  <c r="AK1400" i="1"/>
  <c r="AH1400" i="1"/>
  <c r="B1400" i="1"/>
  <c r="AK1399" i="1"/>
  <c r="AH1399" i="1"/>
  <c r="B1399" i="1"/>
  <c r="AK1398" i="1"/>
  <c r="AH1398" i="1"/>
  <c r="B1398" i="1"/>
  <c r="AK1397" i="1"/>
  <c r="AH1397" i="1"/>
  <c r="B1397" i="1"/>
  <c r="AK1396" i="1"/>
  <c r="AH1396" i="1"/>
  <c r="B1396" i="1"/>
  <c r="AK1395" i="1"/>
  <c r="AH1395" i="1"/>
  <c r="B1395" i="1"/>
  <c r="AK1394" i="1"/>
  <c r="AH1394" i="1"/>
  <c r="B1394" i="1"/>
  <c r="AK1393" i="1"/>
  <c r="AH1393" i="1"/>
  <c r="B1393" i="1"/>
  <c r="AK1392" i="1"/>
  <c r="AH1392" i="1"/>
  <c r="B1392" i="1"/>
  <c r="AK1391" i="1"/>
  <c r="AH1391" i="1"/>
  <c r="B1391" i="1"/>
  <c r="AK1390" i="1"/>
  <c r="AH1390" i="1"/>
  <c r="B1390" i="1"/>
  <c r="AK1389" i="1"/>
  <c r="AH1389" i="1"/>
  <c r="B1389" i="1"/>
  <c r="AK1388" i="1"/>
  <c r="AH1388" i="1"/>
  <c r="B1388" i="1"/>
  <c r="AK1387" i="1"/>
  <c r="AH1387" i="1"/>
  <c r="B1387" i="1"/>
  <c r="AK1386" i="1"/>
  <c r="AH1386" i="1"/>
  <c r="B1386" i="1"/>
  <c r="AK1385" i="1"/>
  <c r="AH1385" i="1"/>
  <c r="B1385" i="1"/>
  <c r="AK1384" i="1"/>
  <c r="AH1384" i="1"/>
  <c r="B1384" i="1"/>
  <c r="AK1383" i="1"/>
  <c r="AH1383" i="1"/>
  <c r="B1383" i="1"/>
  <c r="AK1382" i="1"/>
  <c r="AH1382" i="1"/>
  <c r="B1382" i="1"/>
  <c r="AK1381" i="1"/>
  <c r="AH1381" i="1"/>
  <c r="B1381" i="1"/>
  <c r="AK1380" i="1"/>
  <c r="AH1380" i="1"/>
  <c r="B1380" i="1"/>
  <c r="AK1379" i="1"/>
  <c r="AH1379" i="1"/>
  <c r="B1379" i="1"/>
  <c r="AK1378" i="1"/>
  <c r="AH1378" i="1"/>
  <c r="B1378" i="1"/>
  <c r="AK1377" i="1"/>
  <c r="AH1377" i="1"/>
  <c r="B1377" i="1"/>
  <c r="AK1376" i="1"/>
  <c r="B1376" i="1"/>
  <c r="AK1375" i="1"/>
  <c r="AH1375" i="1"/>
  <c r="B1375" i="1"/>
  <c r="AK1374" i="1"/>
  <c r="AH1374" i="1"/>
  <c r="B1374" i="1"/>
  <c r="AK1373" i="1"/>
  <c r="AH1373" i="1"/>
  <c r="B1373" i="1"/>
  <c r="AK1372" i="1"/>
  <c r="AH1372" i="1"/>
  <c r="B1372" i="1"/>
  <c r="AK1371" i="1"/>
  <c r="AH1371" i="1"/>
  <c r="B1371" i="1"/>
  <c r="AK1370" i="1"/>
  <c r="AH1370" i="1"/>
  <c r="B1370" i="1"/>
  <c r="AK1369" i="1"/>
  <c r="AH1369" i="1"/>
  <c r="B1369" i="1"/>
  <c r="AK1368" i="1"/>
  <c r="AH1368" i="1"/>
  <c r="B1368" i="1"/>
  <c r="AK1367" i="1"/>
  <c r="AH1367" i="1"/>
  <c r="B1367" i="1"/>
  <c r="AK1366" i="1"/>
  <c r="AH1366" i="1"/>
  <c r="B1366" i="1"/>
  <c r="AK1365" i="1"/>
  <c r="AH1365" i="1"/>
  <c r="B1365" i="1"/>
  <c r="AK1364" i="1"/>
  <c r="AH1364" i="1"/>
  <c r="B1364" i="1"/>
  <c r="AK1363" i="1"/>
  <c r="B1363" i="1"/>
  <c r="AK1362" i="1"/>
  <c r="AH1362" i="1"/>
  <c r="B1362" i="1"/>
  <c r="AK1361" i="1"/>
  <c r="AH1361" i="1"/>
  <c r="B1361" i="1"/>
  <c r="AK1360" i="1"/>
  <c r="AH1360" i="1"/>
  <c r="B1360" i="1"/>
  <c r="AK1359" i="1"/>
  <c r="AH1359" i="1"/>
  <c r="B1359" i="1"/>
  <c r="AK1358" i="1"/>
  <c r="AH1358" i="1"/>
  <c r="B1358" i="1"/>
  <c r="AK1357" i="1"/>
  <c r="AH1357" i="1"/>
  <c r="B1357" i="1"/>
  <c r="AK1356" i="1"/>
  <c r="AH1356" i="1"/>
  <c r="B1356" i="1"/>
  <c r="AK1355" i="1"/>
  <c r="AH1355" i="1"/>
  <c r="B1355" i="1"/>
  <c r="AK1354" i="1"/>
  <c r="AH1354" i="1"/>
  <c r="B1354" i="1"/>
  <c r="AK1353" i="1"/>
  <c r="AH1353" i="1"/>
  <c r="B1353" i="1"/>
  <c r="AK1352" i="1"/>
  <c r="AH1352" i="1"/>
  <c r="B1352" i="1"/>
  <c r="AK1351" i="1"/>
  <c r="AH1351" i="1"/>
  <c r="B1351" i="1"/>
  <c r="AK1350" i="1"/>
  <c r="AH1350" i="1"/>
  <c r="B1350" i="1"/>
  <c r="AK1349" i="1"/>
  <c r="AH1349" i="1"/>
  <c r="B1349" i="1"/>
  <c r="AK1348" i="1"/>
  <c r="AH1348" i="1"/>
  <c r="B1348" i="1"/>
  <c r="AK1347" i="1"/>
  <c r="AH1347" i="1"/>
  <c r="B1347" i="1"/>
  <c r="AK1346" i="1"/>
  <c r="AH1346" i="1"/>
  <c r="B1346" i="1"/>
  <c r="AK1345" i="1"/>
  <c r="AH1345" i="1"/>
  <c r="B1345" i="1"/>
  <c r="AK1344" i="1"/>
  <c r="B1344" i="1"/>
  <c r="AK1343" i="1"/>
  <c r="AH1343" i="1"/>
  <c r="B1343" i="1"/>
  <c r="AK1342" i="1"/>
  <c r="AH1342" i="1"/>
  <c r="B1342" i="1"/>
  <c r="AK1341" i="1"/>
  <c r="AH1341" i="1"/>
  <c r="B1341" i="1"/>
  <c r="AK1340" i="1"/>
  <c r="AH1340" i="1"/>
  <c r="B1340" i="1"/>
  <c r="AK1339" i="1"/>
  <c r="AH1339" i="1"/>
  <c r="B1339" i="1"/>
  <c r="AK1338" i="1"/>
  <c r="AH1338" i="1"/>
  <c r="B1338" i="1"/>
  <c r="AK1337" i="1"/>
  <c r="AH1337" i="1"/>
  <c r="B1337" i="1"/>
  <c r="AK1336" i="1"/>
  <c r="AH1336" i="1"/>
  <c r="B1336" i="1"/>
  <c r="AK1335" i="1"/>
  <c r="AH1335" i="1"/>
  <c r="B1335" i="1"/>
  <c r="AK1334" i="1"/>
  <c r="AH1334" i="1"/>
  <c r="B1334" i="1"/>
  <c r="AK1333" i="1"/>
  <c r="AH1333" i="1"/>
  <c r="B1333" i="1"/>
  <c r="AK1332" i="1"/>
  <c r="B1332" i="1"/>
  <c r="AK1331" i="1"/>
  <c r="AH1331" i="1"/>
  <c r="B1331" i="1"/>
  <c r="AK1330" i="1"/>
  <c r="AH1330" i="1"/>
  <c r="B1330" i="1"/>
  <c r="AK1329" i="1"/>
  <c r="AH1329" i="1"/>
  <c r="B1329" i="1"/>
  <c r="AK1328" i="1"/>
  <c r="AH1328" i="1"/>
  <c r="B1328" i="1"/>
  <c r="AK1327" i="1"/>
  <c r="AH1327" i="1"/>
  <c r="B1327" i="1"/>
  <c r="AK1326" i="1"/>
  <c r="AH1326" i="1"/>
  <c r="B1326" i="1"/>
  <c r="AK1325" i="1"/>
  <c r="AH1325" i="1"/>
  <c r="B1325" i="1"/>
  <c r="AK1324" i="1"/>
  <c r="AH1324" i="1"/>
  <c r="B1324" i="1"/>
  <c r="AK1323" i="1"/>
  <c r="AH1323" i="1"/>
  <c r="B1323" i="1"/>
  <c r="AK1322" i="1"/>
  <c r="AH1322" i="1"/>
  <c r="B1322" i="1"/>
  <c r="AK1321" i="1"/>
  <c r="AH1321" i="1"/>
  <c r="B1321" i="1"/>
  <c r="AK1320" i="1"/>
  <c r="AH1320" i="1"/>
  <c r="B1320" i="1"/>
  <c r="AK1319" i="1"/>
  <c r="AH1319" i="1"/>
  <c r="B1319" i="1"/>
  <c r="AK1318" i="1"/>
  <c r="AH1318" i="1"/>
  <c r="B1318" i="1"/>
  <c r="AK1317" i="1"/>
  <c r="AH1317" i="1"/>
  <c r="B1317" i="1"/>
  <c r="AK1316" i="1"/>
  <c r="AH1316" i="1"/>
  <c r="B1316" i="1"/>
  <c r="AK1315" i="1"/>
  <c r="AH1315" i="1"/>
  <c r="B1315" i="1"/>
  <c r="AK1314" i="1"/>
  <c r="AH1314" i="1"/>
  <c r="B1314" i="1"/>
  <c r="AK1313" i="1"/>
  <c r="AH1313" i="1"/>
  <c r="B1313" i="1"/>
  <c r="AK1312" i="1"/>
  <c r="AH1312" i="1"/>
  <c r="B1312" i="1"/>
  <c r="AK1311" i="1"/>
  <c r="AH1311" i="1"/>
  <c r="B1311" i="1"/>
  <c r="AK1310" i="1"/>
  <c r="AH1310" i="1"/>
  <c r="B1310" i="1"/>
  <c r="AK1309" i="1"/>
  <c r="AH1309" i="1"/>
  <c r="B1309" i="1"/>
  <c r="AK1308" i="1"/>
  <c r="AH1308" i="1"/>
  <c r="B1308" i="1"/>
  <c r="AK1307" i="1"/>
  <c r="AH1307" i="1"/>
  <c r="B1307" i="1"/>
  <c r="AK1306" i="1"/>
  <c r="AH1306" i="1"/>
  <c r="B1306" i="1"/>
  <c r="AK1305" i="1"/>
  <c r="AH1305" i="1"/>
  <c r="B1305" i="1"/>
  <c r="AK1304" i="1"/>
  <c r="AH1304" i="1"/>
  <c r="B1304" i="1"/>
  <c r="AK1303" i="1"/>
  <c r="AH1303" i="1"/>
  <c r="B1303" i="1"/>
  <c r="AK1302" i="1"/>
  <c r="AH1302" i="1"/>
  <c r="B1302" i="1"/>
  <c r="AK1301" i="1"/>
  <c r="AH1301" i="1"/>
  <c r="B1301" i="1"/>
  <c r="AK1300" i="1"/>
  <c r="AH1300" i="1"/>
  <c r="B1300" i="1"/>
  <c r="AK1299" i="1"/>
  <c r="AH1299" i="1"/>
  <c r="B1299" i="1"/>
  <c r="AK1298" i="1"/>
  <c r="AH1298" i="1"/>
  <c r="B1298" i="1"/>
  <c r="AK1297" i="1"/>
  <c r="AH1297" i="1"/>
  <c r="B1297" i="1"/>
  <c r="AK1296" i="1"/>
  <c r="AH1296" i="1"/>
  <c r="B1296" i="1"/>
  <c r="AK1295" i="1"/>
  <c r="AH1295" i="1"/>
  <c r="B1295" i="1"/>
  <c r="AK1294" i="1"/>
  <c r="AH1294" i="1"/>
  <c r="B1294" i="1"/>
  <c r="AK1293" i="1"/>
  <c r="AH1293" i="1"/>
  <c r="B1293" i="1"/>
  <c r="AK1292" i="1"/>
  <c r="AH1292" i="1"/>
  <c r="B1292" i="1"/>
  <c r="AK1291" i="1"/>
  <c r="AH1291" i="1"/>
  <c r="B1291" i="1"/>
  <c r="AK1290" i="1"/>
  <c r="AH1290" i="1"/>
  <c r="B1290" i="1"/>
  <c r="AK1289" i="1"/>
  <c r="AH1289" i="1"/>
  <c r="B1289" i="1"/>
  <c r="AK1288" i="1"/>
  <c r="AH1288" i="1"/>
  <c r="B1288" i="1"/>
  <c r="AK1287" i="1"/>
  <c r="AH1287" i="1"/>
  <c r="B1287" i="1"/>
  <c r="AK1286" i="1"/>
  <c r="AH1286" i="1"/>
  <c r="B1286" i="1"/>
  <c r="AK1285" i="1"/>
  <c r="AH1285" i="1"/>
  <c r="B1285" i="1"/>
  <c r="AK1284" i="1"/>
  <c r="AH1284" i="1"/>
  <c r="B1284" i="1"/>
  <c r="AK1283" i="1"/>
  <c r="AH1283" i="1"/>
  <c r="B1283" i="1"/>
  <c r="AK1282" i="1"/>
  <c r="AH1282" i="1"/>
  <c r="B1282" i="1"/>
  <c r="AK1281" i="1"/>
  <c r="AH1281" i="1"/>
  <c r="B1281" i="1"/>
  <c r="AK1280" i="1"/>
  <c r="AH1280" i="1"/>
  <c r="B1280" i="1"/>
  <c r="AK1279" i="1"/>
  <c r="AH1279" i="1"/>
  <c r="B1279" i="1"/>
  <c r="AK1278" i="1"/>
  <c r="AH1278" i="1"/>
  <c r="B1278" i="1"/>
  <c r="AK1277" i="1"/>
  <c r="AH1277" i="1"/>
  <c r="B1277" i="1"/>
  <c r="AK1276" i="1"/>
  <c r="AH1276" i="1"/>
  <c r="B1276" i="1"/>
  <c r="AK1275" i="1"/>
  <c r="AH1275" i="1"/>
  <c r="B1275" i="1"/>
  <c r="AK1274" i="1"/>
  <c r="AH1274" i="1"/>
  <c r="B1274" i="1"/>
  <c r="AK1273" i="1"/>
  <c r="AH1273" i="1"/>
  <c r="B1273" i="1"/>
  <c r="AK1272" i="1"/>
  <c r="B1272" i="1"/>
  <c r="AK1271" i="1"/>
  <c r="AH1271" i="1"/>
  <c r="B1271" i="1"/>
  <c r="AK1270" i="1"/>
  <c r="AH1270" i="1"/>
  <c r="B1270" i="1"/>
  <c r="AK1269" i="1"/>
  <c r="AH1269" i="1"/>
  <c r="B1269" i="1"/>
  <c r="AK1268" i="1"/>
  <c r="AH1268" i="1"/>
  <c r="B1268" i="1"/>
  <c r="AK1267" i="1"/>
  <c r="AH1267" i="1"/>
  <c r="B1267" i="1"/>
  <c r="AK1266" i="1"/>
  <c r="AH1266" i="1"/>
  <c r="B1266" i="1"/>
  <c r="AK1265" i="1"/>
  <c r="AH1265" i="1"/>
  <c r="B1265" i="1"/>
  <c r="AK1264" i="1"/>
  <c r="AH1264" i="1"/>
  <c r="B1264" i="1"/>
  <c r="AK1263" i="1"/>
  <c r="AH1263" i="1"/>
  <c r="B1263" i="1"/>
  <c r="AK1262" i="1"/>
  <c r="AH1262" i="1"/>
  <c r="B1262" i="1"/>
  <c r="AK1261" i="1"/>
  <c r="AH1261" i="1"/>
  <c r="B1261" i="1"/>
  <c r="AK1260" i="1"/>
  <c r="AH1260" i="1"/>
  <c r="B1260" i="1"/>
  <c r="AK1259" i="1"/>
  <c r="AH1259" i="1"/>
  <c r="B1259" i="1"/>
  <c r="AK1258" i="1"/>
  <c r="AH1258" i="1"/>
  <c r="B1258" i="1"/>
  <c r="AK1257" i="1"/>
  <c r="AH1257" i="1"/>
  <c r="B1257" i="1"/>
  <c r="AK1256" i="1"/>
  <c r="AH1256" i="1"/>
  <c r="B1256" i="1"/>
  <c r="AK1255" i="1"/>
  <c r="AH1255" i="1"/>
  <c r="B1255" i="1"/>
  <c r="AK1254" i="1"/>
  <c r="AH1254" i="1"/>
  <c r="B1254" i="1"/>
  <c r="AK1253" i="1"/>
  <c r="AH1253" i="1"/>
  <c r="B1253" i="1"/>
  <c r="AK1252" i="1"/>
  <c r="AH1252" i="1"/>
  <c r="B1252" i="1"/>
  <c r="AK1251" i="1"/>
  <c r="AH1251" i="1"/>
  <c r="B1251" i="1"/>
  <c r="AK1250" i="1"/>
  <c r="B1250" i="1"/>
  <c r="AK1249" i="1"/>
  <c r="B1249" i="1"/>
  <c r="AK1248" i="1"/>
  <c r="AH1248" i="1"/>
  <c r="B1248" i="1"/>
  <c r="AK1247" i="1"/>
  <c r="AH1247" i="1"/>
  <c r="B1247" i="1"/>
  <c r="AK1246" i="1"/>
  <c r="AH1246" i="1"/>
  <c r="B1246" i="1"/>
  <c r="AK1245" i="1"/>
  <c r="AH1245" i="1"/>
  <c r="B1245" i="1"/>
  <c r="AK1244" i="1"/>
  <c r="AH1244" i="1"/>
  <c r="B1244" i="1"/>
  <c r="AK1243" i="1"/>
  <c r="AH1243" i="1"/>
  <c r="B1243" i="1"/>
  <c r="AK1242" i="1"/>
  <c r="AH1242" i="1"/>
  <c r="B1242" i="1"/>
  <c r="AK1241" i="1"/>
  <c r="AH1241" i="1"/>
  <c r="B1241" i="1"/>
  <c r="AK1240" i="1"/>
  <c r="AH1240" i="1"/>
  <c r="B1240" i="1"/>
  <c r="AK1239" i="1"/>
  <c r="AH1239" i="1"/>
  <c r="B1239" i="1"/>
  <c r="AK1238" i="1"/>
  <c r="AH1238" i="1"/>
  <c r="B1238" i="1"/>
  <c r="AK1237" i="1"/>
  <c r="AH1237" i="1"/>
  <c r="B1237" i="1"/>
  <c r="AK1236" i="1"/>
  <c r="AH1236" i="1"/>
  <c r="B1236" i="1"/>
  <c r="AK1235" i="1"/>
  <c r="AH1235" i="1"/>
  <c r="B1235" i="1"/>
  <c r="AK1234" i="1"/>
  <c r="AH1234" i="1"/>
  <c r="B1234" i="1"/>
  <c r="AK1233" i="1"/>
  <c r="AH1233" i="1"/>
  <c r="B1233" i="1"/>
  <c r="AK1232" i="1"/>
  <c r="AH1232" i="1"/>
  <c r="B1232" i="1"/>
  <c r="AK1231" i="1"/>
  <c r="AH1231" i="1"/>
  <c r="B1231" i="1"/>
  <c r="AK1230" i="1"/>
  <c r="AH1230" i="1"/>
  <c r="B1230" i="1"/>
  <c r="AK1229" i="1"/>
  <c r="AH1229" i="1"/>
  <c r="B1229" i="1"/>
  <c r="AK1228" i="1"/>
  <c r="AH1228" i="1"/>
  <c r="B1228" i="1"/>
  <c r="AK1227" i="1"/>
  <c r="AH1227" i="1"/>
  <c r="B1227" i="1"/>
  <c r="AK1226" i="1"/>
  <c r="AH1226" i="1"/>
  <c r="B1226" i="1"/>
  <c r="AK1225" i="1"/>
  <c r="AH1225" i="1"/>
  <c r="B1225" i="1"/>
  <c r="AK1224" i="1"/>
  <c r="AH1224" i="1"/>
  <c r="B1224" i="1"/>
  <c r="AK1223" i="1"/>
  <c r="AH1223" i="1"/>
  <c r="B1223" i="1"/>
  <c r="AK1222" i="1"/>
  <c r="AH1222" i="1"/>
  <c r="B1222" i="1"/>
  <c r="AK1221" i="1"/>
  <c r="AH1221" i="1"/>
  <c r="B1221" i="1"/>
  <c r="AK1220" i="1"/>
  <c r="AH1220" i="1"/>
  <c r="B1220" i="1"/>
  <c r="AK1219" i="1"/>
  <c r="B1219" i="1"/>
  <c r="AK1218" i="1"/>
  <c r="AH1218" i="1"/>
  <c r="B1218" i="1"/>
  <c r="AK1217" i="1"/>
  <c r="AH1217" i="1"/>
  <c r="B1217" i="1"/>
  <c r="AK1216" i="1"/>
  <c r="AH1216" i="1"/>
  <c r="B1216" i="1"/>
  <c r="AK1215" i="1"/>
  <c r="AH1215" i="1"/>
  <c r="B1215" i="1"/>
  <c r="AK1214" i="1"/>
  <c r="AH1214" i="1"/>
  <c r="B1214" i="1"/>
  <c r="AK1213" i="1"/>
  <c r="AH1213" i="1"/>
  <c r="B1213" i="1"/>
  <c r="AK1212" i="1"/>
  <c r="AH1212" i="1"/>
  <c r="B1212" i="1"/>
  <c r="AK1211" i="1"/>
  <c r="AH1211" i="1"/>
  <c r="B1211" i="1"/>
  <c r="AK1210" i="1"/>
  <c r="AH1210" i="1"/>
  <c r="B1210" i="1"/>
  <c r="AK1209" i="1"/>
  <c r="AH1209" i="1"/>
  <c r="B1209" i="1"/>
  <c r="AK1208" i="1"/>
  <c r="AH1208" i="1"/>
  <c r="B1208" i="1"/>
  <c r="AK1207" i="1"/>
  <c r="AH1207" i="1"/>
  <c r="B1207" i="1"/>
  <c r="AK1206" i="1"/>
  <c r="AH1206" i="1"/>
  <c r="B1206" i="1"/>
  <c r="AK1205" i="1"/>
  <c r="AH1205" i="1"/>
  <c r="B1205" i="1"/>
  <c r="AK1204" i="1"/>
  <c r="AH1204" i="1"/>
  <c r="B1204" i="1"/>
  <c r="AK1203" i="1"/>
  <c r="AH1203" i="1"/>
  <c r="B1203" i="1"/>
  <c r="AK1202" i="1"/>
  <c r="AH1202" i="1"/>
  <c r="B1202" i="1"/>
  <c r="AK1201" i="1"/>
  <c r="AH1201" i="1"/>
  <c r="B1201" i="1"/>
  <c r="AK1200" i="1"/>
  <c r="AH1200" i="1"/>
  <c r="B1200" i="1"/>
  <c r="AK1199" i="1"/>
  <c r="AH1199" i="1"/>
  <c r="B1199" i="1"/>
  <c r="AK1198" i="1"/>
  <c r="AH1198" i="1"/>
  <c r="B1198" i="1"/>
  <c r="AK1197" i="1"/>
  <c r="AH1197" i="1"/>
  <c r="B1197" i="1"/>
  <c r="AK1196" i="1"/>
  <c r="AH1196" i="1"/>
  <c r="B1196" i="1"/>
  <c r="AK1195" i="1"/>
  <c r="AH1195" i="1"/>
  <c r="B1195" i="1"/>
  <c r="AK1194" i="1"/>
  <c r="AH1194" i="1"/>
  <c r="B1194" i="1"/>
  <c r="AK1193" i="1"/>
  <c r="AH1193" i="1"/>
  <c r="B1193" i="1"/>
  <c r="AK1192" i="1"/>
  <c r="AH1192" i="1"/>
  <c r="B1192" i="1"/>
  <c r="AK1191" i="1"/>
  <c r="AH1191" i="1"/>
  <c r="B1191" i="1"/>
  <c r="AK1190" i="1"/>
  <c r="AH1190" i="1"/>
  <c r="B1190" i="1"/>
  <c r="AK1189" i="1"/>
  <c r="AH1189" i="1"/>
  <c r="B1189" i="1"/>
  <c r="AK1188" i="1"/>
  <c r="AH1188" i="1"/>
  <c r="B1188" i="1"/>
  <c r="AK1187" i="1"/>
  <c r="AH1187" i="1"/>
  <c r="B1187" i="1"/>
  <c r="AK1186" i="1"/>
  <c r="AH1186" i="1"/>
  <c r="B1186" i="1"/>
  <c r="AK1185" i="1"/>
  <c r="AH1185" i="1"/>
  <c r="B1185" i="1"/>
  <c r="AK1184" i="1"/>
  <c r="AH1184" i="1"/>
  <c r="B1184" i="1"/>
  <c r="AK1183" i="1"/>
  <c r="AH1183" i="1"/>
  <c r="B1183" i="1"/>
  <c r="AK1182" i="1"/>
  <c r="AH1182" i="1"/>
  <c r="B1182" i="1"/>
  <c r="AK1181" i="1"/>
  <c r="AH1181" i="1"/>
  <c r="B1181" i="1"/>
  <c r="AK1180" i="1"/>
  <c r="AH1180" i="1"/>
  <c r="B1180" i="1"/>
  <c r="AK1179" i="1"/>
  <c r="AH1179" i="1"/>
  <c r="B1179" i="1"/>
  <c r="AK1178" i="1"/>
  <c r="AH1178" i="1"/>
  <c r="B1178" i="1"/>
  <c r="AK1177" i="1"/>
  <c r="AH1177" i="1"/>
  <c r="B1177" i="1"/>
  <c r="AK1176" i="1"/>
  <c r="AH1176" i="1"/>
  <c r="B1176" i="1"/>
  <c r="AK1175" i="1"/>
  <c r="AH1175" i="1"/>
  <c r="B1175" i="1"/>
  <c r="AK1174" i="1"/>
  <c r="AH1174" i="1"/>
  <c r="B1174" i="1"/>
  <c r="AK1173" i="1"/>
  <c r="AH1173" i="1"/>
  <c r="B1173" i="1"/>
  <c r="AK1172" i="1"/>
  <c r="AH1172" i="1"/>
  <c r="B1172" i="1"/>
  <c r="AK1171" i="1"/>
  <c r="AH1171" i="1"/>
  <c r="B1171" i="1"/>
  <c r="AK1170" i="1"/>
  <c r="AH1170" i="1"/>
  <c r="B1170" i="1"/>
  <c r="AK1169" i="1"/>
  <c r="AH1169" i="1"/>
  <c r="B1169" i="1"/>
  <c r="AK1168" i="1"/>
  <c r="AH1168" i="1"/>
  <c r="B1168" i="1"/>
  <c r="AK1167" i="1"/>
  <c r="AH1167" i="1"/>
  <c r="B1167" i="1"/>
  <c r="AK1166" i="1"/>
  <c r="AH1166" i="1"/>
  <c r="B1166" i="1"/>
  <c r="AK1165" i="1"/>
  <c r="AH1165" i="1"/>
  <c r="B1165" i="1"/>
  <c r="AK1164" i="1"/>
  <c r="AH1164" i="1"/>
  <c r="B1164" i="1"/>
  <c r="AK1163" i="1"/>
  <c r="AH1163" i="1"/>
  <c r="B1163" i="1"/>
  <c r="AK1162" i="1"/>
  <c r="AH1162" i="1"/>
  <c r="B1162" i="1"/>
  <c r="AK1161" i="1"/>
  <c r="AH1161" i="1"/>
  <c r="B1161" i="1"/>
  <c r="AK1160" i="1"/>
  <c r="AH1160" i="1"/>
  <c r="B1160" i="1"/>
  <c r="AK1159" i="1"/>
  <c r="AH1159" i="1"/>
  <c r="B1159" i="1"/>
  <c r="AK1158" i="1"/>
  <c r="AH1158" i="1"/>
  <c r="B1158" i="1"/>
  <c r="AK1157" i="1"/>
  <c r="AH1157" i="1"/>
  <c r="B1157" i="1"/>
  <c r="AK1156" i="1"/>
  <c r="AH1156" i="1"/>
  <c r="B1156" i="1"/>
  <c r="AK1155" i="1"/>
  <c r="AH1155" i="1"/>
  <c r="B1155" i="1"/>
  <c r="AK1154" i="1"/>
  <c r="AH1154" i="1"/>
  <c r="B1154" i="1"/>
  <c r="AK1153" i="1"/>
  <c r="AH1153" i="1"/>
  <c r="B1153" i="1"/>
  <c r="AK1152" i="1"/>
  <c r="AH1152" i="1"/>
  <c r="B1152" i="1"/>
  <c r="AK1151" i="1"/>
  <c r="AH1151" i="1"/>
  <c r="B1151" i="1"/>
  <c r="AK1150" i="1"/>
  <c r="AH1150" i="1"/>
  <c r="B1150" i="1"/>
  <c r="AK1149" i="1"/>
  <c r="AH1149" i="1"/>
  <c r="B1149" i="1"/>
  <c r="AK1148" i="1"/>
  <c r="AH1148" i="1"/>
  <c r="B1148" i="1"/>
  <c r="AK1147" i="1"/>
  <c r="AH1147" i="1"/>
  <c r="B1147" i="1"/>
  <c r="AK1146" i="1"/>
  <c r="AH1146" i="1"/>
  <c r="B1146" i="1"/>
  <c r="AK1145" i="1"/>
  <c r="AH1145" i="1"/>
  <c r="B1145" i="1"/>
  <c r="AK1144" i="1"/>
  <c r="AH1144" i="1"/>
  <c r="B1144" i="1"/>
  <c r="AK1143" i="1"/>
  <c r="AH1143" i="1"/>
  <c r="B1143" i="1"/>
  <c r="AK1142" i="1"/>
  <c r="AH1142" i="1"/>
  <c r="B1142" i="1"/>
  <c r="AK1141" i="1"/>
  <c r="AH1141" i="1"/>
  <c r="B1141" i="1"/>
  <c r="AK1140" i="1"/>
  <c r="AH1140" i="1"/>
  <c r="B1140" i="1"/>
  <c r="AK1139" i="1"/>
  <c r="AH1139" i="1"/>
  <c r="B1139" i="1"/>
  <c r="AK1138" i="1"/>
  <c r="AH1138" i="1"/>
  <c r="B1138" i="1"/>
  <c r="AK1137" i="1"/>
  <c r="AH1137" i="1"/>
  <c r="B1137" i="1"/>
  <c r="AK1136" i="1"/>
  <c r="AH1136" i="1"/>
  <c r="B1136" i="1"/>
  <c r="AK1135" i="1"/>
  <c r="AH1135" i="1"/>
  <c r="B1135" i="1"/>
  <c r="AK1134" i="1"/>
  <c r="AH1134" i="1"/>
  <c r="B1134" i="1"/>
  <c r="AK1133" i="1"/>
  <c r="AH1133" i="1"/>
  <c r="B1133" i="1"/>
  <c r="AK1132" i="1"/>
  <c r="AH1132" i="1"/>
  <c r="B1132" i="1"/>
  <c r="AK1131" i="1"/>
  <c r="AH1131" i="1"/>
  <c r="B1131" i="1"/>
  <c r="AK1130" i="1"/>
  <c r="AH1130" i="1"/>
  <c r="B1130" i="1"/>
  <c r="AK1129" i="1"/>
  <c r="AH1129" i="1"/>
  <c r="B1129" i="1"/>
  <c r="AK1128" i="1"/>
  <c r="AH1128" i="1"/>
  <c r="B1128" i="1"/>
  <c r="AK1127" i="1"/>
  <c r="AH1127" i="1"/>
  <c r="B1127" i="1"/>
  <c r="AK1126" i="1"/>
  <c r="AH1126" i="1"/>
  <c r="B1126" i="1"/>
  <c r="AK1125" i="1"/>
  <c r="AH1125" i="1"/>
  <c r="B1125" i="1"/>
  <c r="AK1124" i="1"/>
  <c r="AH1124" i="1"/>
  <c r="B1124" i="1"/>
  <c r="AK1123" i="1"/>
  <c r="AH1123" i="1"/>
  <c r="B1123" i="1"/>
  <c r="AK1122" i="1"/>
  <c r="AH1122" i="1"/>
  <c r="B1122" i="1"/>
  <c r="AK1121" i="1"/>
  <c r="AH1121" i="1"/>
  <c r="B1121" i="1"/>
  <c r="AK1120" i="1"/>
  <c r="AH1120" i="1"/>
  <c r="B1120" i="1"/>
  <c r="AK1119" i="1"/>
  <c r="AH1119" i="1"/>
  <c r="B1119" i="1"/>
  <c r="AK1118" i="1"/>
  <c r="AH1118" i="1"/>
  <c r="B1118" i="1"/>
  <c r="AK1117" i="1"/>
  <c r="AH1117" i="1"/>
  <c r="B1117" i="1"/>
  <c r="AK1116" i="1"/>
  <c r="AH1116" i="1"/>
  <c r="B1116" i="1"/>
  <c r="AK1115" i="1"/>
  <c r="AH1115" i="1"/>
  <c r="B1115" i="1"/>
  <c r="AK1114" i="1"/>
  <c r="AH1114" i="1"/>
  <c r="B1114" i="1"/>
  <c r="AK1113" i="1"/>
  <c r="AH1113" i="1"/>
  <c r="B1113" i="1"/>
  <c r="AK1112" i="1"/>
  <c r="AH1112" i="1"/>
  <c r="B1112" i="1"/>
  <c r="AK1111" i="1"/>
  <c r="AH1111" i="1"/>
  <c r="B1111" i="1"/>
  <c r="AK1110" i="1"/>
  <c r="AH1110" i="1"/>
  <c r="B1110" i="1"/>
  <c r="AK1109" i="1"/>
  <c r="AH1109" i="1"/>
  <c r="B1109" i="1"/>
  <c r="AK1108" i="1"/>
  <c r="AH1108" i="1"/>
  <c r="B1108" i="1"/>
  <c r="AK1107" i="1"/>
  <c r="AH1107" i="1"/>
  <c r="B1107" i="1"/>
  <c r="AK1106" i="1"/>
  <c r="AH1106" i="1"/>
  <c r="B1106" i="1"/>
  <c r="AK1105" i="1"/>
  <c r="AH1105" i="1"/>
  <c r="B1105" i="1"/>
  <c r="AK1104" i="1"/>
  <c r="AH1104" i="1"/>
  <c r="B1104" i="1"/>
  <c r="AK1103" i="1"/>
  <c r="AH1103" i="1"/>
  <c r="B1103" i="1"/>
  <c r="AK1102" i="1"/>
  <c r="AH1102" i="1"/>
  <c r="B1102" i="1"/>
  <c r="AK1101" i="1"/>
  <c r="AH1101" i="1"/>
  <c r="B1101" i="1"/>
  <c r="AK1100" i="1"/>
  <c r="AH1100" i="1"/>
  <c r="B1100" i="1"/>
  <c r="AK1099" i="1"/>
  <c r="AH1099" i="1"/>
  <c r="B1099" i="1"/>
  <c r="AK1098" i="1"/>
  <c r="AH1098" i="1"/>
  <c r="B1098" i="1"/>
  <c r="AK1097" i="1"/>
  <c r="AH1097" i="1"/>
  <c r="B1097" i="1"/>
  <c r="AK1096" i="1"/>
  <c r="AH1096" i="1"/>
  <c r="B1096" i="1"/>
  <c r="AK1095" i="1"/>
  <c r="AH1095" i="1"/>
  <c r="B1095" i="1"/>
  <c r="AK1094" i="1"/>
  <c r="AH1094" i="1"/>
  <c r="B1094" i="1"/>
  <c r="AK1093" i="1"/>
  <c r="AH1093" i="1"/>
  <c r="B1093" i="1"/>
  <c r="AK1092" i="1"/>
  <c r="AH1092" i="1"/>
  <c r="B1092" i="1"/>
  <c r="AK1091" i="1"/>
  <c r="AH1091" i="1"/>
  <c r="B1091" i="1"/>
  <c r="AK1090" i="1"/>
  <c r="AH1090" i="1"/>
  <c r="B1090" i="1"/>
  <c r="AK1089" i="1"/>
  <c r="AH1089" i="1"/>
  <c r="B1089" i="1"/>
  <c r="AK1088" i="1"/>
  <c r="AH1088" i="1"/>
  <c r="B1088" i="1"/>
  <c r="AK1087" i="1"/>
  <c r="AH1087" i="1"/>
  <c r="B1087" i="1"/>
  <c r="AK1086" i="1"/>
  <c r="AH1086" i="1"/>
  <c r="B1086" i="1"/>
  <c r="AK1085" i="1"/>
  <c r="AH1085" i="1"/>
  <c r="B1085" i="1"/>
  <c r="AK1084" i="1"/>
  <c r="AH1084" i="1"/>
  <c r="B1084" i="1"/>
  <c r="AK1083" i="1"/>
  <c r="AH1083" i="1"/>
  <c r="B1083" i="1"/>
  <c r="AK1082" i="1"/>
  <c r="AH1082" i="1"/>
  <c r="B1082" i="1"/>
  <c r="AK1081" i="1"/>
  <c r="AH1081" i="1"/>
  <c r="B1081" i="1"/>
  <c r="AK1080" i="1"/>
  <c r="AH1080" i="1"/>
  <c r="B1080" i="1"/>
  <c r="AK1079" i="1"/>
  <c r="AH1079" i="1"/>
  <c r="B1079" i="1"/>
  <c r="AK1078" i="1"/>
  <c r="AH1078" i="1"/>
  <c r="B1078" i="1"/>
  <c r="AK1077" i="1"/>
  <c r="AH1077" i="1"/>
  <c r="B1077" i="1"/>
  <c r="AK1076" i="1"/>
  <c r="AH1076" i="1"/>
  <c r="B1076" i="1"/>
  <c r="AK1075" i="1"/>
  <c r="AH1075" i="1"/>
  <c r="B1075" i="1"/>
  <c r="AK1074" i="1"/>
  <c r="AH1074" i="1"/>
  <c r="B1074" i="1"/>
  <c r="AK1073" i="1"/>
  <c r="AH1073" i="1"/>
  <c r="B1073" i="1"/>
  <c r="AK1072" i="1"/>
  <c r="AH1072" i="1"/>
  <c r="B1072" i="1"/>
  <c r="AK1071" i="1"/>
  <c r="AH1071" i="1"/>
  <c r="B1071" i="1"/>
  <c r="AK1070" i="1"/>
  <c r="AH1070" i="1"/>
  <c r="B1070" i="1"/>
  <c r="AK1069" i="1"/>
  <c r="AH1069" i="1"/>
  <c r="B1069" i="1"/>
  <c r="AK1068" i="1"/>
  <c r="AH1068" i="1"/>
  <c r="B1068" i="1"/>
  <c r="AK1067" i="1"/>
  <c r="AH1067" i="1"/>
  <c r="B1067" i="1"/>
  <c r="AK1066" i="1"/>
  <c r="B1066" i="1"/>
  <c r="AK1065" i="1"/>
  <c r="B1065" i="1"/>
  <c r="AK1064" i="1"/>
  <c r="B1064" i="1"/>
  <c r="AK1063" i="1"/>
  <c r="B1063" i="1"/>
  <c r="AK1062" i="1"/>
  <c r="B1062" i="1"/>
  <c r="AK1061" i="1"/>
  <c r="AH1061" i="1"/>
  <c r="B1061" i="1"/>
  <c r="AK1060" i="1"/>
  <c r="AH1060" i="1"/>
  <c r="B1060" i="1"/>
  <c r="AK1059" i="1"/>
  <c r="AH1059" i="1"/>
  <c r="B1059" i="1"/>
  <c r="AK1058" i="1"/>
  <c r="B1058" i="1"/>
  <c r="AK1057" i="1"/>
  <c r="AH1057" i="1"/>
  <c r="B1057" i="1"/>
  <c r="AK1056" i="1"/>
  <c r="B1056" i="1"/>
  <c r="AK1055" i="1"/>
  <c r="AH1055" i="1"/>
  <c r="B1055" i="1"/>
  <c r="AK1054" i="1"/>
  <c r="B1054" i="1"/>
  <c r="AK1053" i="1"/>
  <c r="AH1053" i="1"/>
  <c r="B1053" i="1"/>
  <c r="AK1052" i="1"/>
  <c r="AH1052" i="1"/>
  <c r="B1052" i="1"/>
  <c r="AK1051" i="1"/>
  <c r="AH1051" i="1"/>
  <c r="B1051" i="1"/>
  <c r="AK1050" i="1"/>
  <c r="AH1050" i="1"/>
  <c r="B1050" i="1"/>
  <c r="AK1049" i="1"/>
  <c r="AH1049" i="1"/>
  <c r="B1049" i="1"/>
  <c r="AK1048" i="1"/>
  <c r="AH1048" i="1"/>
  <c r="B1048" i="1"/>
  <c r="AK1047" i="1"/>
  <c r="AH1047" i="1"/>
  <c r="B1047" i="1"/>
  <c r="AK1046" i="1"/>
  <c r="AH1046" i="1"/>
  <c r="B1046" i="1"/>
  <c r="AK1045" i="1"/>
  <c r="AH1045" i="1"/>
  <c r="B1045" i="1"/>
  <c r="AK1044" i="1"/>
  <c r="AH1044" i="1"/>
  <c r="B1044" i="1"/>
  <c r="AK1043" i="1"/>
  <c r="AH1043" i="1"/>
  <c r="B1043" i="1"/>
  <c r="AK1042" i="1"/>
  <c r="AH1042" i="1"/>
  <c r="B1042" i="1"/>
  <c r="AK1041" i="1"/>
  <c r="AH1041" i="1"/>
  <c r="B1041" i="1"/>
  <c r="AK1040" i="1"/>
  <c r="AH1040" i="1"/>
  <c r="B1040" i="1"/>
  <c r="AK1039" i="1"/>
  <c r="AH1039" i="1"/>
  <c r="B1039" i="1"/>
  <c r="AK1038" i="1"/>
  <c r="AH1038" i="1"/>
  <c r="B1038" i="1"/>
  <c r="AK1037" i="1"/>
  <c r="AH1037" i="1"/>
  <c r="B1037" i="1"/>
  <c r="AK1036" i="1"/>
  <c r="AH1036" i="1"/>
  <c r="B1036" i="1"/>
  <c r="AK1035" i="1"/>
  <c r="AH1035" i="1"/>
  <c r="B1035" i="1"/>
  <c r="AK1034" i="1"/>
  <c r="AH1034" i="1"/>
  <c r="B1034" i="1"/>
  <c r="AK1033" i="1"/>
  <c r="AH1033" i="1"/>
  <c r="B1033" i="1"/>
  <c r="AK1032" i="1"/>
  <c r="AH1032" i="1"/>
  <c r="B1032" i="1"/>
  <c r="AK1031" i="1"/>
  <c r="AH1031" i="1"/>
  <c r="B1031" i="1"/>
  <c r="AK1030" i="1"/>
  <c r="AH1030" i="1"/>
  <c r="B1030" i="1"/>
  <c r="AK1029" i="1"/>
  <c r="AH1029" i="1"/>
  <c r="B1029" i="1"/>
  <c r="AK1028" i="1"/>
  <c r="AH1028" i="1"/>
  <c r="B1028" i="1"/>
  <c r="AK1027" i="1"/>
  <c r="AH1027" i="1"/>
  <c r="B1027" i="1"/>
  <c r="AK1026" i="1"/>
  <c r="AH1026" i="1"/>
  <c r="B1026" i="1"/>
  <c r="AK1025" i="1"/>
  <c r="AH1025" i="1"/>
  <c r="B1025" i="1"/>
  <c r="AK1024" i="1"/>
  <c r="AH1024" i="1"/>
  <c r="B1024" i="1"/>
  <c r="AK1023" i="1"/>
  <c r="AH1023" i="1"/>
  <c r="B1023" i="1"/>
  <c r="AK1022" i="1"/>
  <c r="AH1022" i="1"/>
  <c r="B1022" i="1"/>
  <c r="AK1021" i="1"/>
  <c r="AH1021" i="1"/>
  <c r="B1021" i="1"/>
  <c r="AK1020" i="1"/>
  <c r="AH1020" i="1"/>
  <c r="B1020" i="1"/>
  <c r="AK1019" i="1"/>
  <c r="AH1019" i="1"/>
  <c r="B1019" i="1"/>
  <c r="AK1018" i="1"/>
  <c r="AH1018" i="1"/>
  <c r="B1018" i="1"/>
  <c r="AK1017" i="1"/>
  <c r="AH1017" i="1"/>
  <c r="B1017" i="1"/>
  <c r="AK1016" i="1"/>
  <c r="AH1016" i="1"/>
  <c r="B1016" i="1"/>
  <c r="AK1015" i="1"/>
  <c r="AH1015" i="1"/>
  <c r="B1015" i="1"/>
  <c r="AK1014" i="1"/>
  <c r="AH1014" i="1"/>
  <c r="B1014" i="1"/>
  <c r="AK1013" i="1"/>
  <c r="AH1013" i="1"/>
  <c r="B1013" i="1"/>
  <c r="AK1012" i="1"/>
  <c r="AH1012" i="1"/>
  <c r="B1012" i="1"/>
  <c r="AK1011" i="1"/>
  <c r="AH1011" i="1"/>
  <c r="B1011" i="1"/>
  <c r="AK1010" i="1"/>
  <c r="AH1010" i="1"/>
  <c r="B1010" i="1"/>
  <c r="AK1009" i="1"/>
  <c r="AH1009" i="1"/>
  <c r="B1009" i="1"/>
  <c r="AK1008" i="1"/>
  <c r="AH1008" i="1"/>
  <c r="B1008" i="1"/>
  <c r="AK1007" i="1"/>
  <c r="AH1007" i="1"/>
  <c r="B1007" i="1"/>
  <c r="AK1006" i="1"/>
  <c r="AH1006" i="1"/>
  <c r="B1006" i="1"/>
  <c r="AK1005" i="1"/>
  <c r="AH1005" i="1"/>
  <c r="B1005" i="1"/>
  <c r="AK1004" i="1"/>
  <c r="AH1004" i="1"/>
  <c r="B1004" i="1"/>
  <c r="AK1003" i="1"/>
  <c r="AH1003" i="1"/>
  <c r="B1003" i="1"/>
  <c r="AK1002" i="1"/>
  <c r="AH1002" i="1"/>
  <c r="B1002" i="1"/>
  <c r="AK1001" i="1"/>
  <c r="AH1001" i="1"/>
  <c r="B1001" i="1"/>
  <c r="AK1000" i="1"/>
  <c r="AH1000" i="1"/>
  <c r="B1000" i="1"/>
  <c r="AK999" i="1"/>
  <c r="AH999" i="1"/>
  <c r="B999" i="1"/>
  <c r="AK998" i="1"/>
  <c r="AH998" i="1"/>
  <c r="B998" i="1"/>
  <c r="AK997" i="1"/>
  <c r="AH997" i="1"/>
  <c r="B997" i="1"/>
  <c r="AK996" i="1"/>
  <c r="AH996" i="1"/>
  <c r="B996" i="1"/>
  <c r="AK995" i="1"/>
  <c r="AH995" i="1"/>
  <c r="B995" i="1"/>
  <c r="AK994" i="1"/>
  <c r="AH994" i="1"/>
  <c r="B994" i="1"/>
  <c r="AK993" i="1"/>
  <c r="AH993" i="1"/>
  <c r="B993" i="1"/>
  <c r="AK992" i="1"/>
  <c r="AH992" i="1"/>
  <c r="B992" i="1"/>
  <c r="AK991" i="1"/>
  <c r="AH991" i="1"/>
  <c r="B991" i="1"/>
  <c r="AK990" i="1"/>
  <c r="AH990" i="1"/>
  <c r="B990" i="1"/>
  <c r="AK989" i="1"/>
  <c r="AH989" i="1"/>
  <c r="B989" i="1"/>
  <c r="AK988" i="1"/>
  <c r="AH988" i="1"/>
  <c r="B988" i="1"/>
  <c r="AK987" i="1"/>
  <c r="AH987" i="1"/>
  <c r="B987" i="1"/>
  <c r="AK986" i="1"/>
  <c r="AH986" i="1"/>
  <c r="B986" i="1"/>
  <c r="AK985" i="1"/>
  <c r="AH985" i="1"/>
  <c r="B985" i="1"/>
  <c r="AK984" i="1"/>
  <c r="AH984" i="1"/>
  <c r="B984" i="1"/>
  <c r="AK983" i="1"/>
  <c r="AH983" i="1"/>
  <c r="B983" i="1"/>
  <c r="AK982" i="1"/>
  <c r="AH982" i="1"/>
  <c r="B982" i="1"/>
  <c r="AK981" i="1"/>
  <c r="AH981" i="1"/>
  <c r="B981" i="1"/>
  <c r="AK980" i="1"/>
  <c r="B980" i="1"/>
  <c r="AK979" i="1"/>
  <c r="AH979" i="1"/>
  <c r="B979" i="1"/>
  <c r="AK978" i="1"/>
  <c r="AH978" i="1"/>
  <c r="B978" i="1"/>
  <c r="AK977" i="1"/>
  <c r="AH977" i="1"/>
  <c r="B977" i="1"/>
  <c r="AK976" i="1"/>
  <c r="AH976" i="1"/>
  <c r="B976" i="1"/>
  <c r="AK975" i="1"/>
  <c r="AH975" i="1"/>
  <c r="B975" i="1"/>
  <c r="AK974" i="1"/>
  <c r="AH974" i="1"/>
  <c r="B974" i="1"/>
  <c r="AK973" i="1"/>
  <c r="AH973" i="1"/>
  <c r="B973" i="1"/>
  <c r="AK972" i="1"/>
  <c r="AH972" i="1"/>
  <c r="B972" i="1"/>
  <c r="AK971" i="1"/>
  <c r="AH971" i="1"/>
  <c r="B971" i="1"/>
  <c r="AK970" i="1"/>
  <c r="AH970" i="1"/>
  <c r="B970" i="1"/>
  <c r="AK969" i="1"/>
  <c r="AH969" i="1"/>
  <c r="B969" i="1"/>
  <c r="AK968" i="1"/>
  <c r="AH968" i="1"/>
  <c r="B968" i="1"/>
  <c r="AK967" i="1"/>
  <c r="AH967" i="1"/>
  <c r="B967" i="1"/>
  <c r="AK966" i="1"/>
  <c r="AH966" i="1"/>
  <c r="B966" i="1"/>
  <c r="AK965" i="1"/>
  <c r="AH965" i="1"/>
  <c r="B965" i="1"/>
  <c r="AK964" i="1"/>
  <c r="AH964" i="1"/>
  <c r="B964" i="1"/>
  <c r="AK963" i="1"/>
  <c r="AH963" i="1"/>
  <c r="B963" i="1"/>
  <c r="AK962" i="1"/>
  <c r="AH962" i="1"/>
  <c r="B962" i="1"/>
  <c r="AK961" i="1"/>
  <c r="AH961" i="1"/>
  <c r="B961" i="1"/>
  <c r="AK960" i="1"/>
  <c r="AH960" i="1"/>
  <c r="B960" i="1"/>
  <c r="AK959" i="1"/>
  <c r="AH959" i="1"/>
  <c r="B959" i="1"/>
  <c r="AK958" i="1"/>
  <c r="AH958" i="1"/>
  <c r="B958" i="1"/>
  <c r="AK957" i="1"/>
  <c r="AH957" i="1"/>
  <c r="B957" i="1"/>
  <c r="AK956" i="1"/>
  <c r="AH956" i="1"/>
  <c r="B956" i="1"/>
  <c r="AK955" i="1"/>
  <c r="AH955" i="1"/>
  <c r="B955" i="1"/>
  <c r="AK954" i="1"/>
  <c r="AH954" i="1"/>
  <c r="B954" i="1"/>
  <c r="AK953" i="1"/>
  <c r="AH953" i="1"/>
  <c r="B953" i="1"/>
  <c r="AK952" i="1"/>
  <c r="AH952" i="1"/>
  <c r="B952" i="1"/>
  <c r="AK951" i="1"/>
  <c r="AH951" i="1"/>
  <c r="B951" i="1"/>
  <c r="AK950" i="1"/>
  <c r="AH950" i="1"/>
  <c r="B950" i="1"/>
  <c r="AK949" i="1"/>
  <c r="AH949" i="1"/>
  <c r="B949" i="1"/>
  <c r="AK948" i="1"/>
  <c r="AH948" i="1"/>
  <c r="B948" i="1"/>
  <c r="AK947" i="1"/>
  <c r="AH947" i="1"/>
  <c r="B947" i="1"/>
  <c r="AK946" i="1"/>
  <c r="AH946" i="1"/>
  <c r="B946" i="1"/>
  <c r="AK945" i="1"/>
  <c r="AH945" i="1"/>
  <c r="B945" i="1"/>
  <c r="AK944" i="1"/>
  <c r="AH944" i="1"/>
  <c r="B944" i="1"/>
  <c r="AK943" i="1"/>
  <c r="AH943" i="1"/>
  <c r="B943" i="1"/>
  <c r="AK942" i="1"/>
  <c r="AH942" i="1"/>
  <c r="B942" i="1"/>
  <c r="AK941" i="1"/>
  <c r="AH941" i="1"/>
  <c r="B941" i="1"/>
  <c r="AK940" i="1"/>
  <c r="AH940" i="1"/>
  <c r="B940" i="1"/>
  <c r="AK939" i="1"/>
  <c r="AH939" i="1"/>
  <c r="B939" i="1"/>
  <c r="AK938" i="1"/>
  <c r="AH938" i="1"/>
  <c r="B938" i="1"/>
  <c r="AK937" i="1"/>
  <c r="AH937" i="1"/>
  <c r="B937" i="1"/>
  <c r="AK936" i="1"/>
  <c r="AH936" i="1"/>
  <c r="B936" i="1"/>
  <c r="AK935" i="1"/>
  <c r="AH935" i="1"/>
  <c r="B935" i="1"/>
  <c r="AK934" i="1"/>
  <c r="AH934" i="1"/>
  <c r="B934" i="1"/>
  <c r="AK933" i="1"/>
  <c r="AH933" i="1"/>
  <c r="B933" i="1"/>
  <c r="AK932" i="1"/>
  <c r="AH932" i="1"/>
  <c r="B932" i="1"/>
  <c r="AK931" i="1"/>
  <c r="AH931" i="1"/>
  <c r="B931" i="1"/>
  <c r="AK930" i="1"/>
  <c r="AH930" i="1"/>
  <c r="B930" i="1"/>
  <c r="AK929" i="1"/>
  <c r="AH929" i="1"/>
  <c r="B929" i="1"/>
  <c r="AK928" i="1"/>
  <c r="AH928" i="1"/>
  <c r="B928" i="1"/>
  <c r="AK927" i="1"/>
  <c r="AH927" i="1"/>
  <c r="B927" i="1"/>
  <c r="AK926" i="1"/>
  <c r="AH926" i="1"/>
  <c r="B926" i="1"/>
  <c r="AK925" i="1"/>
  <c r="AH925" i="1"/>
  <c r="B925" i="1"/>
  <c r="AK924" i="1"/>
  <c r="AH924" i="1"/>
  <c r="B924" i="1"/>
  <c r="AK923" i="1"/>
  <c r="AH923" i="1"/>
  <c r="B923" i="1"/>
  <c r="AK922" i="1"/>
  <c r="AH922" i="1"/>
  <c r="B922" i="1"/>
  <c r="AK921" i="1"/>
  <c r="AH921" i="1"/>
  <c r="B921" i="1"/>
  <c r="AK920" i="1"/>
  <c r="AH920" i="1"/>
  <c r="B920" i="1"/>
  <c r="AK919" i="1"/>
  <c r="AH919" i="1"/>
  <c r="B919" i="1"/>
  <c r="AK918" i="1"/>
  <c r="AH918" i="1"/>
  <c r="B918" i="1"/>
  <c r="AK917" i="1"/>
  <c r="AH917" i="1"/>
  <c r="B917" i="1"/>
  <c r="AK916" i="1"/>
  <c r="AH916" i="1"/>
  <c r="B916" i="1"/>
  <c r="AK915" i="1"/>
  <c r="AH915" i="1"/>
  <c r="B915" i="1"/>
  <c r="AK914" i="1"/>
  <c r="B914" i="1"/>
  <c r="AK913" i="1"/>
  <c r="B913" i="1"/>
  <c r="AK912" i="1"/>
  <c r="AH912" i="1"/>
  <c r="B912" i="1"/>
  <c r="AK911" i="1"/>
  <c r="AH911" i="1"/>
  <c r="B911" i="1"/>
  <c r="AK910" i="1"/>
  <c r="AH910" i="1"/>
  <c r="B910" i="1"/>
  <c r="AK909" i="1"/>
  <c r="AH909" i="1"/>
  <c r="B909" i="1"/>
  <c r="AK908" i="1"/>
  <c r="AH908" i="1"/>
  <c r="B908" i="1"/>
  <c r="AK907" i="1"/>
  <c r="B907" i="1"/>
  <c r="AK906" i="1"/>
  <c r="AH906" i="1"/>
  <c r="B906" i="1"/>
  <c r="AK905" i="1"/>
  <c r="AH905" i="1"/>
  <c r="B905" i="1"/>
  <c r="AK904" i="1"/>
  <c r="AH904" i="1"/>
  <c r="B904" i="1"/>
  <c r="AK903" i="1"/>
  <c r="AH903" i="1"/>
  <c r="B903" i="1"/>
  <c r="AK902" i="1"/>
  <c r="AH902" i="1"/>
  <c r="B902" i="1"/>
  <c r="AK901" i="1"/>
  <c r="AH901" i="1"/>
  <c r="B901" i="1"/>
  <c r="AK900" i="1"/>
  <c r="AH900" i="1"/>
  <c r="B900" i="1"/>
  <c r="AK899" i="1"/>
  <c r="AH899" i="1"/>
  <c r="B899" i="1"/>
  <c r="AK898" i="1"/>
  <c r="AH898" i="1"/>
  <c r="B898" i="1"/>
  <c r="AK897" i="1"/>
  <c r="AH897" i="1"/>
  <c r="B897" i="1"/>
  <c r="AK896" i="1"/>
  <c r="AH896" i="1"/>
  <c r="B896" i="1"/>
  <c r="AK895" i="1"/>
  <c r="AH895" i="1"/>
  <c r="B895" i="1"/>
  <c r="AK894" i="1"/>
  <c r="AH894" i="1"/>
  <c r="B894" i="1"/>
  <c r="AK893" i="1"/>
  <c r="AH893" i="1"/>
  <c r="B893" i="1"/>
  <c r="AK892" i="1"/>
  <c r="AH892" i="1"/>
  <c r="B892" i="1"/>
  <c r="AK891" i="1"/>
  <c r="AH891" i="1"/>
  <c r="B891" i="1"/>
  <c r="AK890" i="1"/>
  <c r="AH890" i="1"/>
  <c r="B890" i="1"/>
  <c r="AK889" i="1"/>
  <c r="AH889" i="1"/>
  <c r="B889" i="1"/>
  <c r="AK888" i="1"/>
  <c r="AH888" i="1"/>
  <c r="B888" i="1"/>
  <c r="AK887" i="1"/>
  <c r="AH887" i="1"/>
  <c r="B887" i="1"/>
  <c r="AK886" i="1"/>
  <c r="AH886" i="1"/>
  <c r="B886" i="1"/>
  <c r="AK885" i="1"/>
  <c r="AH885" i="1"/>
  <c r="B885" i="1"/>
  <c r="AK884" i="1"/>
  <c r="AH884" i="1"/>
  <c r="B884" i="1"/>
  <c r="AK883" i="1"/>
  <c r="AH883" i="1"/>
  <c r="B883" i="1"/>
  <c r="AK882" i="1"/>
  <c r="AH882" i="1"/>
  <c r="B882" i="1"/>
  <c r="AK881" i="1"/>
  <c r="AH881" i="1"/>
  <c r="B881" i="1"/>
  <c r="AK880" i="1"/>
  <c r="AH880" i="1"/>
  <c r="B880" i="1"/>
  <c r="AK879" i="1"/>
  <c r="AH879" i="1"/>
  <c r="B879" i="1"/>
  <c r="AK878" i="1"/>
  <c r="AH878" i="1"/>
  <c r="B878" i="1"/>
  <c r="AK877" i="1"/>
  <c r="AH877" i="1"/>
  <c r="B877" i="1"/>
  <c r="AK876" i="1"/>
  <c r="AH876" i="1"/>
  <c r="B876" i="1"/>
  <c r="AK875" i="1"/>
  <c r="AH875" i="1"/>
  <c r="B875" i="1"/>
  <c r="AK874" i="1"/>
  <c r="AH874" i="1"/>
  <c r="B874" i="1"/>
  <c r="AK873" i="1"/>
  <c r="AH873" i="1"/>
  <c r="B873" i="1"/>
  <c r="AK872" i="1"/>
  <c r="AH872" i="1"/>
  <c r="B872" i="1"/>
  <c r="AK871" i="1"/>
  <c r="AH871" i="1"/>
  <c r="B871" i="1"/>
  <c r="AK870" i="1"/>
  <c r="AH870" i="1"/>
  <c r="B870" i="1"/>
  <c r="AK869" i="1"/>
  <c r="AH869" i="1"/>
  <c r="B869" i="1"/>
  <c r="AK868" i="1"/>
  <c r="AH868" i="1"/>
  <c r="B868" i="1"/>
  <c r="AK867" i="1"/>
  <c r="AH867" i="1"/>
  <c r="B867" i="1"/>
  <c r="AK866" i="1"/>
  <c r="AH866" i="1"/>
  <c r="B866" i="1"/>
  <c r="AK865" i="1"/>
  <c r="AH865" i="1"/>
  <c r="B865" i="1"/>
  <c r="AK864" i="1"/>
  <c r="AH864" i="1"/>
  <c r="B864" i="1"/>
  <c r="AK863" i="1"/>
  <c r="AH863" i="1"/>
  <c r="B863" i="1"/>
  <c r="AK862" i="1"/>
  <c r="AH862" i="1"/>
  <c r="B862" i="1"/>
  <c r="AK861" i="1"/>
  <c r="AH861" i="1"/>
  <c r="B861" i="1"/>
  <c r="AK860" i="1"/>
  <c r="AH860" i="1"/>
  <c r="B860" i="1"/>
  <c r="AK859" i="1"/>
  <c r="AH859" i="1"/>
  <c r="B859" i="1"/>
  <c r="AK858" i="1"/>
  <c r="AH858" i="1"/>
  <c r="B858" i="1"/>
  <c r="AK857" i="1"/>
  <c r="AH857" i="1"/>
  <c r="B857" i="1"/>
  <c r="AK856" i="1"/>
  <c r="AH856" i="1"/>
  <c r="B856" i="1"/>
  <c r="AK855" i="1"/>
  <c r="AH855" i="1"/>
  <c r="B855" i="1"/>
  <c r="AK854" i="1"/>
  <c r="B854" i="1"/>
  <c r="AK853" i="1"/>
  <c r="AH853" i="1"/>
  <c r="B853" i="1"/>
  <c r="AK852" i="1"/>
  <c r="AH852" i="1"/>
  <c r="B852" i="1"/>
  <c r="AK851" i="1"/>
  <c r="AH851" i="1"/>
  <c r="B851" i="1"/>
  <c r="AK850" i="1"/>
  <c r="AH850" i="1"/>
  <c r="B850" i="1"/>
  <c r="AK849" i="1"/>
  <c r="AH849" i="1"/>
  <c r="B849" i="1"/>
  <c r="AK848" i="1"/>
  <c r="AH848" i="1"/>
  <c r="B848" i="1"/>
  <c r="AK847" i="1"/>
  <c r="AH847" i="1"/>
  <c r="B847" i="1"/>
  <c r="AK846" i="1"/>
  <c r="AH846" i="1"/>
  <c r="B846" i="1"/>
  <c r="AK845" i="1"/>
  <c r="AH845" i="1"/>
  <c r="B845" i="1"/>
  <c r="AK844" i="1"/>
  <c r="AH844" i="1"/>
  <c r="B844" i="1"/>
  <c r="AK843" i="1"/>
  <c r="AH843" i="1"/>
  <c r="B843" i="1"/>
  <c r="AK842" i="1"/>
  <c r="AH842" i="1"/>
  <c r="B842" i="1"/>
  <c r="AK841" i="1"/>
  <c r="AH841" i="1"/>
  <c r="B841" i="1"/>
  <c r="AK840" i="1"/>
  <c r="AH840" i="1"/>
  <c r="B840" i="1"/>
  <c r="AK839" i="1"/>
  <c r="AH839" i="1"/>
  <c r="B839" i="1"/>
  <c r="AK838" i="1"/>
  <c r="AH838" i="1"/>
  <c r="B838" i="1"/>
  <c r="AK837" i="1"/>
  <c r="AH837" i="1"/>
  <c r="B837" i="1"/>
  <c r="AK836" i="1"/>
  <c r="AH836" i="1"/>
  <c r="B836" i="1"/>
  <c r="AK835" i="1"/>
  <c r="AH835" i="1"/>
  <c r="B835" i="1"/>
  <c r="AK834" i="1"/>
  <c r="AH834" i="1"/>
  <c r="B834" i="1"/>
  <c r="AK833" i="1"/>
  <c r="AH833" i="1"/>
  <c r="B833" i="1"/>
  <c r="AK832" i="1"/>
  <c r="AH832" i="1"/>
  <c r="B832" i="1"/>
  <c r="AK831" i="1"/>
  <c r="AH831" i="1"/>
  <c r="B831" i="1"/>
  <c r="AK830" i="1"/>
  <c r="AH830" i="1"/>
  <c r="B830" i="1"/>
  <c r="AK829" i="1"/>
  <c r="AH829" i="1"/>
  <c r="B829" i="1"/>
  <c r="AK828" i="1"/>
  <c r="AH828" i="1"/>
  <c r="B828" i="1"/>
  <c r="AK827" i="1"/>
  <c r="AH827" i="1"/>
  <c r="B827" i="1"/>
  <c r="AK826" i="1"/>
  <c r="AH826" i="1"/>
  <c r="B826" i="1"/>
  <c r="AK825" i="1"/>
  <c r="AH825" i="1"/>
  <c r="B825" i="1"/>
  <c r="AK824" i="1"/>
  <c r="AH824" i="1"/>
  <c r="B824" i="1"/>
  <c r="AK823" i="1"/>
  <c r="AH823" i="1"/>
  <c r="B823" i="1"/>
  <c r="AK822" i="1"/>
  <c r="AH822" i="1"/>
  <c r="B822" i="1"/>
  <c r="AK821" i="1"/>
  <c r="AH821" i="1"/>
  <c r="B821" i="1"/>
  <c r="AK820" i="1"/>
  <c r="AH820" i="1"/>
  <c r="B820" i="1"/>
  <c r="AK819" i="1"/>
  <c r="AH819" i="1"/>
  <c r="B819" i="1"/>
  <c r="AK818" i="1"/>
  <c r="AH818" i="1"/>
  <c r="B818" i="1"/>
  <c r="AK817" i="1"/>
  <c r="AH817" i="1"/>
  <c r="B817" i="1"/>
  <c r="AK816" i="1"/>
  <c r="AH816" i="1"/>
  <c r="B816" i="1"/>
  <c r="AK815" i="1"/>
  <c r="AH815" i="1"/>
  <c r="B815" i="1"/>
  <c r="AK814" i="1"/>
  <c r="AH814" i="1"/>
  <c r="B814" i="1"/>
  <c r="AK813" i="1"/>
  <c r="AH813" i="1"/>
  <c r="B813" i="1"/>
  <c r="AK812" i="1"/>
  <c r="AH812" i="1"/>
  <c r="B812" i="1"/>
  <c r="AK811" i="1"/>
  <c r="AH811" i="1"/>
  <c r="B811" i="1"/>
  <c r="AK810" i="1"/>
  <c r="AH810" i="1"/>
  <c r="B810" i="1"/>
  <c r="AK809" i="1"/>
  <c r="AH809" i="1"/>
  <c r="B809" i="1"/>
  <c r="AK808" i="1"/>
  <c r="AH808" i="1"/>
  <c r="B808" i="1"/>
  <c r="AK807" i="1"/>
  <c r="AH807" i="1"/>
  <c r="B807" i="1"/>
  <c r="AK806" i="1"/>
  <c r="AH806" i="1"/>
  <c r="B806" i="1"/>
  <c r="AK805" i="1"/>
  <c r="AH805" i="1"/>
  <c r="B805" i="1"/>
  <c r="AK804" i="1"/>
  <c r="AH804" i="1"/>
  <c r="B804" i="1"/>
  <c r="AK803" i="1"/>
  <c r="AH803" i="1"/>
  <c r="B803" i="1"/>
  <c r="AK802" i="1"/>
  <c r="AH802" i="1"/>
  <c r="B802" i="1"/>
  <c r="AK801" i="1"/>
  <c r="AH801" i="1"/>
  <c r="B801" i="1"/>
  <c r="AK800" i="1"/>
  <c r="AH800" i="1"/>
  <c r="B800" i="1"/>
  <c r="AK799" i="1"/>
  <c r="AH799" i="1"/>
  <c r="B799" i="1"/>
  <c r="AK798" i="1"/>
  <c r="AH798" i="1"/>
  <c r="B798" i="1"/>
  <c r="AK797" i="1"/>
  <c r="AH797" i="1"/>
  <c r="B797" i="1"/>
  <c r="AK796" i="1"/>
  <c r="AH796" i="1"/>
  <c r="B796" i="1"/>
  <c r="AK795" i="1"/>
  <c r="AH795" i="1"/>
  <c r="B795" i="1"/>
  <c r="AK794" i="1"/>
  <c r="AH794" i="1"/>
  <c r="B794" i="1"/>
  <c r="AK793" i="1"/>
  <c r="AH793" i="1"/>
  <c r="B793" i="1"/>
  <c r="AK792" i="1"/>
  <c r="AH792" i="1"/>
  <c r="B792" i="1"/>
  <c r="AK791" i="1"/>
  <c r="AH791" i="1"/>
  <c r="B791" i="1"/>
  <c r="AK790" i="1"/>
  <c r="AH790" i="1"/>
  <c r="B790" i="1"/>
  <c r="AK789" i="1"/>
  <c r="AH789" i="1"/>
  <c r="B789" i="1"/>
  <c r="AK788" i="1"/>
  <c r="AH788" i="1"/>
  <c r="B788" i="1"/>
  <c r="AK787" i="1"/>
  <c r="AH787" i="1"/>
  <c r="B787" i="1"/>
  <c r="AK786" i="1"/>
  <c r="AH786" i="1"/>
  <c r="B786" i="1"/>
  <c r="AK785" i="1"/>
  <c r="AH785" i="1"/>
  <c r="B785" i="1"/>
  <c r="AK784" i="1"/>
  <c r="AH784" i="1"/>
  <c r="B784" i="1"/>
  <c r="AK783" i="1"/>
  <c r="AH783" i="1"/>
  <c r="B783" i="1"/>
  <c r="AK782" i="1"/>
  <c r="B782" i="1"/>
  <c r="AK781" i="1"/>
  <c r="AH781" i="1"/>
  <c r="B781" i="1"/>
  <c r="AK780" i="1"/>
  <c r="AH780" i="1"/>
  <c r="B780" i="1"/>
  <c r="AK779" i="1"/>
  <c r="AH779" i="1"/>
  <c r="B779" i="1"/>
  <c r="AK778" i="1"/>
  <c r="AH778" i="1"/>
  <c r="B778" i="1"/>
  <c r="AK777" i="1"/>
  <c r="AH777" i="1"/>
  <c r="B777" i="1"/>
  <c r="AK776" i="1"/>
  <c r="AH776" i="1"/>
  <c r="B776" i="1"/>
  <c r="AK775" i="1"/>
  <c r="AH775" i="1"/>
  <c r="B775" i="1"/>
  <c r="AK774" i="1"/>
  <c r="AH774" i="1"/>
  <c r="B774" i="1"/>
  <c r="AK773" i="1"/>
  <c r="AH773" i="1"/>
  <c r="B773" i="1"/>
  <c r="AK772" i="1"/>
  <c r="AH772" i="1"/>
  <c r="B772" i="1"/>
  <c r="AK771" i="1"/>
  <c r="B771" i="1"/>
  <c r="AK770" i="1"/>
  <c r="AH770" i="1"/>
  <c r="B770" i="1"/>
  <c r="AK769" i="1"/>
  <c r="AH769" i="1"/>
  <c r="B769" i="1"/>
  <c r="AK768" i="1"/>
  <c r="AH768" i="1"/>
  <c r="B768" i="1"/>
  <c r="AK767" i="1"/>
  <c r="AH767" i="1"/>
  <c r="B767" i="1"/>
  <c r="AK766" i="1"/>
  <c r="AH766" i="1"/>
  <c r="B766" i="1"/>
  <c r="AK765" i="1"/>
  <c r="AH765" i="1"/>
  <c r="B765" i="1"/>
  <c r="AK764" i="1"/>
  <c r="AH764" i="1"/>
  <c r="B764" i="1"/>
  <c r="AK763" i="1"/>
  <c r="AH763" i="1"/>
  <c r="B763" i="1"/>
  <c r="AK762" i="1"/>
  <c r="AH762" i="1"/>
  <c r="B762" i="1"/>
  <c r="AK761" i="1"/>
  <c r="AH761" i="1"/>
  <c r="B761" i="1"/>
  <c r="AK760" i="1"/>
  <c r="AH760" i="1"/>
  <c r="B760" i="1"/>
  <c r="AK759" i="1"/>
  <c r="AH759" i="1"/>
  <c r="B759" i="1"/>
  <c r="AK758" i="1"/>
  <c r="AH758" i="1"/>
  <c r="B758" i="1"/>
  <c r="AK757" i="1"/>
  <c r="AH757" i="1"/>
  <c r="B757" i="1"/>
  <c r="AK756" i="1"/>
  <c r="AH756" i="1"/>
  <c r="B756" i="1"/>
  <c r="AK755" i="1"/>
  <c r="AH755" i="1"/>
  <c r="B755" i="1"/>
  <c r="AK754" i="1"/>
  <c r="AH754" i="1"/>
  <c r="B754" i="1"/>
  <c r="AK753" i="1"/>
  <c r="AH753" i="1"/>
  <c r="B753" i="1"/>
  <c r="AK752" i="1"/>
  <c r="AH752" i="1"/>
  <c r="B752" i="1"/>
  <c r="AK751" i="1"/>
  <c r="AH751" i="1"/>
  <c r="B751" i="1"/>
  <c r="AK750" i="1"/>
  <c r="AH750" i="1"/>
  <c r="B750" i="1"/>
  <c r="AK749" i="1"/>
  <c r="AH749" i="1"/>
  <c r="B749" i="1"/>
  <c r="AK748" i="1"/>
  <c r="AH748" i="1"/>
  <c r="B748" i="1"/>
  <c r="AK747" i="1"/>
  <c r="AH747" i="1"/>
  <c r="B747" i="1"/>
  <c r="AK746" i="1"/>
  <c r="AH746" i="1"/>
  <c r="B746" i="1"/>
  <c r="AK745" i="1"/>
  <c r="AH745" i="1"/>
  <c r="B745" i="1"/>
  <c r="AK744" i="1"/>
  <c r="AH744" i="1"/>
  <c r="B744" i="1"/>
  <c r="AK743" i="1"/>
  <c r="AH743" i="1"/>
  <c r="B743" i="1"/>
  <c r="AK742" i="1"/>
  <c r="AH742" i="1"/>
  <c r="B742" i="1"/>
  <c r="AK741" i="1"/>
  <c r="AH741" i="1"/>
  <c r="B741" i="1"/>
  <c r="AK740" i="1"/>
  <c r="AH740" i="1"/>
  <c r="B740" i="1"/>
  <c r="AK739" i="1"/>
  <c r="AH739" i="1"/>
  <c r="B739" i="1"/>
  <c r="AK738" i="1"/>
  <c r="AH738" i="1"/>
  <c r="B738" i="1"/>
  <c r="AK737" i="1"/>
  <c r="AH737" i="1"/>
  <c r="B737" i="1"/>
  <c r="AK736" i="1"/>
  <c r="AH736" i="1"/>
  <c r="B736" i="1"/>
  <c r="AK735" i="1"/>
  <c r="AH735" i="1"/>
  <c r="B735" i="1"/>
  <c r="AK734" i="1"/>
  <c r="AH734" i="1"/>
  <c r="B734" i="1"/>
  <c r="AK733" i="1"/>
  <c r="AH733" i="1"/>
  <c r="B733" i="1"/>
  <c r="AK732" i="1"/>
  <c r="AH732" i="1"/>
  <c r="B732" i="1"/>
  <c r="AK731" i="1"/>
  <c r="AH731" i="1"/>
  <c r="B731" i="1"/>
  <c r="AK730" i="1"/>
  <c r="AH730" i="1"/>
  <c r="B730" i="1"/>
  <c r="AK729" i="1"/>
  <c r="AH729" i="1"/>
  <c r="B729" i="1"/>
  <c r="AK728" i="1"/>
  <c r="AH728" i="1"/>
  <c r="B728" i="1"/>
  <c r="AK727" i="1"/>
  <c r="AH727" i="1"/>
  <c r="B727" i="1"/>
  <c r="AK726" i="1"/>
  <c r="AH726" i="1"/>
  <c r="B726" i="1"/>
  <c r="AK725" i="1"/>
  <c r="AH725" i="1"/>
  <c r="B725" i="1"/>
  <c r="AK724" i="1"/>
  <c r="AH724" i="1"/>
  <c r="B724" i="1"/>
  <c r="AK723" i="1"/>
  <c r="AH723" i="1"/>
  <c r="B723" i="1"/>
  <c r="AK722" i="1"/>
  <c r="AH722" i="1"/>
  <c r="B722" i="1"/>
  <c r="AK721" i="1"/>
  <c r="AH721" i="1"/>
  <c r="B721" i="1"/>
  <c r="AK720" i="1"/>
  <c r="AH720" i="1"/>
  <c r="B720" i="1"/>
  <c r="AK719" i="1"/>
  <c r="AH719" i="1"/>
  <c r="B719" i="1"/>
  <c r="AK718" i="1"/>
  <c r="AH718" i="1"/>
  <c r="B718" i="1"/>
  <c r="AK717" i="1"/>
  <c r="AH717" i="1"/>
  <c r="B717" i="1"/>
  <c r="AK716" i="1"/>
  <c r="AH716" i="1"/>
  <c r="B716" i="1"/>
  <c r="AK715" i="1"/>
  <c r="AH715" i="1"/>
  <c r="B715" i="1"/>
  <c r="AK714" i="1"/>
  <c r="AH714" i="1"/>
  <c r="B714" i="1"/>
  <c r="AK713" i="1"/>
  <c r="AH713" i="1"/>
  <c r="B713" i="1"/>
  <c r="AK712" i="1"/>
  <c r="AH712" i="1"/>
  <c r="B712" i="1"/>
  <c r="AK711" i="1"/>
  <c r="AH711" i="1"/>
  <c r="B711" i="1"/>
  <c r="AK710" i="1"/>
  <c r="AH710" i="1"/>
  <c r="B710" i="1"/>
  <c r="AK709" i="1"/>
  <c r="AH709" i="1"/>
  <c r="B709" i="1"/>
  <c r="AK708" i="1"/>
  <c r="AH708" i="1"/>
  <c r="B708" i="1"/>
  <c r="AK707" i="1"/>
  <c r="AH707" i="1"/>
  <c r="B707" i="1"/>
  <c r="AK706" i="1"/>
  <c r="AH706" i="1"/>
  <c r="B706" i="1"/>
  <c r="AK705" i="1"/>
  <c r="AH705" i="1"/>
  <c r="B705" i="1"/>
  <c r="AK704" i="1"/>
  <c r="AH704" i="1"/>
  <c r="B704" i="1"/>
  <c r="AK703" i="1"/>
  <c r="AH703" i="1"/>
  <c r="B703" i="1"/>
  <c r="AK702" i="1"/>
  <c r="AH702" i="1"/>
  <c r="B702" i="1"/>
  <c r="AK701" i="1"/>
  <c r="AH701" i="1"/>
  <c r="B701" i="1"/>
  <c r="AK700" i="1"/>
  <c r="AH700" i="1"/>
  <c r="B700" i="1"/>
  <c r="AK699" i="1"/>
  <c r="AH699" i="1"/>
  <c r="B699" i="1"/>
  <c r="AK698" i="1"/>
  <c r="AH698" i="1"/>
  <c r="B698" i="1"/>
  <c r="AK697" i="1"/>
  <c r="AH697" i="1"/>
  <c r="B697" i="1"/>
  <c r="AK696" i="1"/>
  <c r="AH696" i="1"/>
  <c r="B696" i="1"/>
  <c r="AK695" i="1"/>
  <c r="AH695" i="1"/>
  <c r="B695" i="1"/>
  <c r="AK694" i="1"/>
  <c r="AH694" i="1"/>
  <c r="B694" i="1"/>
  <c r="AK693" i="1"/>
  <c r="AH693" i="1"/>
  <c r="B693" i="1"/>
  <c r="AK692" i="1"/>
  <c r="AH692" i="1"/>
  <c r="B692" i="1"/>
  <c r="AK691" i="1"/>
  <c r="AH691" i="1"/>
  <c r="B691" i="1"/>
  <c r="AK690" i="1"/>
  <c r="AH690" i="1"/>
  <c r="B690" i="1"/>
  <c r="AK689" i="1"/>
  <c r="AH689" i="1"/>
  <c r="B689" i="1"/>
  <c r="AK688" i="1"/>
  <c r="AH688" i="1"/>
  <c r="B688" i="1"/>
  <c r="AK687" i="1"/>
  <c r="AH687" i="1"/>
  <c r="B687" i="1"/>
  <c r="AK686" i="1"/>
  <c r="AH686" i="1"/>
  <c r="B686" i="1"/>
  <c r="AK685" i="1"/>
  <c r="AH685" i="1"/>
  <c r="B685" i="1"/>
  <c r="AK684" i="1"/>
  <c r="AH684" i="1"/>
  <c r="B684" i="1"/>
  <c r="AK683" i="1"/>
  <c r="AH683" i="1"/>
  <c r="B683" i="1"/>
  <c r="AK682" i="1"/>
  <c r="AH682" i="1"/>
  <c r="B682" i="1"/>
  <c r="AK681" i="1"/>
  <c r="AH681" i="1"/>
  <c r="B681" i="1"/>
  <c r="AK680" i="1"/>
  <c r="AH680" i="1"/>
  <c r="B680" i="1"/>
  <c r="AK679" i="1"/>
  <c r="AH679" i="1"/>
  <c r="B679" i="1"/>
  <c r="AK678" i="1"/>
  <c r="AH678" i="1"/>
  <c r="B678" i="1"/>
  <c r="AK677" i="1"/>
  <c r="AH677" i="1"/>
  <c r="B677" i="1"/>
  <c r="AK676" i="1"/>
  <c r="AH676" i="1"/>
  <c r="B676" i="1"/>
  <c r="AK675" i="1"/>
  <c r="AH675" i="1"/>
  <c r="B675" i="1"/>
  <c r="AK674" i="1"/>
  <c r="AH674" i="1"/>
  <c r="B674" i="1"/>
  <c r="AK673" i="1"/>
  <c r="AH673" i="1"/>
  <c r="B673" i="1"/>
  <c r="AK672" i="1"/>
  <c r="AH672" i="1"/>
  <c r="B672" i="1"/>
  <c r="AK671" i="1"/>
  <c r="AH671" i="1"/>
  <c r="B671" i="1"/>
  <c r="AK670" i="1"/>
  <c r="AH670" i="1"/>
  <c r="B670" i="1"/>
  <c r="AK669" i="1"/>
  <c r="AH669" i="1"/>
  <c r="B669" i="1"/>
  <c r="AK668" i="1"/>
  <c r="AH668" i="1"/>
  <c r="B668" i="1"/>
  <c r="AK667" i="1"/>
  <c r="AH667" i="1"/>
  <c r="B667" i="1"/>
  <c r="AK666" i="1"/>
  <c r="AH666" i="1"/>
  <c r="B666" i="1"/>
  <c r="AK665" i="1"/>
  <c r="AH665" i="1"/>
  <c r="B665" i="1"/>
  <c r="AK664" i="1"/>
  <c r="AH664" i="1"/>
  <c r="B664" i="1"/>
  <c r="AK663" i="1"/>
  <c r="AH663" i="1"/>
  <c r="B663" i="1"/>
  <c r="AK662" i="1"/>
  <c r="AH662" i="1"/>
  <c r="B662" i="1"/>
  <c r="AK661" i="1"/>
  <c r="AH661" i="1"/>
  <c r="B661" i="1"/>
  <c r="AK660" i="1"/>
  <c r="AH660" i="1"/>
  <c r="B660" i="1"/>
  <c r="AK659" i="1"/>
  <c r="AH659" i="1"/>
  <c r="B659" i="1"/>
  <c r="AK658" i="1"/>
  <c r="AH658" i="1"/>
  <c r="B658" i="1"/>
  <c r="AK657" i="1"/>
  <c r="AH657" i="1"/>
  <c r="B657" i="1"/>
  <c r="AK656" i="1"/>
  <c r="AH656" i="1"/>
  <c r="B656" i="1"/>
  <c r="AK655" i="1"/>
  <c r="AH655" i="1"/>
  <c r="B655" i="1"/>
  <c r="AK654" i="1"/>
  <c r="AH654" i="1"/>
  <c r="B654" i="1"/>
  <c r="AK653" i="1"/>
  <c r="AH653" i="1"/>
  <c r="B653" i="1"/>
  <c r="AK652" i="1"/>
  <c r="AH652" i="1"/>
  <c r="B652" i="1"/>
  <c r="AK651" i="1"/>
  <c r="AH651" i="1"/>
  <c r="B651" i="1"/>
  <c r="AK650" i="1"/>
  <c r="AH650" i="1"/>
  <c r="B650" i="1"/>
  <c r="AK649" i="1"/>
  <c r="B649" i="1"/>
  <c r="AK648" i="1"/>
  <c r="AH648" i="1"/>
  <c r="B648" i="1"/>
  <c r="AK647" i="1"/>
  <c r="AH647" i="1"/>
  <c r="B647" i="1"/>
  <c r="AK646" i="1"/>
  <c r="AH646" i="1"/>
  <c r="B646" i="1"/>
  <c r="AK645" i="1"/>
  <c r="AH645" i="1"/>
  <c r="B645" i="1"/>
  <c r="AK644" i="1"/>
  <c r="AH644" i="1"/>
  <c r="B644" i="1"/>
  <c r="AK643" i="1"/>
  <c r="AH643" i="1"/>
  <c r="B643" i="1"/>
  <c r="AK642" i="1"/>
  <c r="AH642" i="1"/>
  <c r="B642" i="1"/>
  <c r="AK641" i="1"/>
  <c r="AH641" i="1"/>
  <c r="B641" i="1"/>
  <c r="AK640" i="1"/>
  <c r="AH640" i="1"/>
  <c r="B640" i="1"/>
  <c r="AK639" i="1"/>
  <c r="AH639" i="1"/>
  <c r="B639" i="1"/>
  <c r="AK638" i="1"/>
  <c r="B638" i="1"/>
  <c r="AK637" i="1"/>
  <c r="AH637" i="1"/>
  <c r="B637" i="1"/>
  <c r="AK636" i="1"/>
  <c r="AH636" i="1"/>
  <c r="B636" i="1"/>
  <c r="AK635" i="1"/>
  <c r="AH635" i="1"/>
  <c r="B635" i="1"/>
  <c r="AK634" i="1"/>
  <c r="AH634" i="1"/>
  <c r="B634" i="1"/>
  <c r="AK633" i="1"/>
  <c r="AH633" i="1"/>
  <c r="B633" i="1"/>
  <c r="AK632" i="1"/>
  <c r="AH632" i="1"/>
  <c r="B632" i="1"/>
  <c r="AK631" i="1"/>
  <c r="AH631" i="1"/>
  <c r="B631" i="1"/>
  <c r="AK630" i="1"/>
  <c r="AH630" i="1"/>
  <c r="B630" i="1"/>
  <c r="AK629" i="1"/>
  <c r="AH629" i="1"/>
  <c r="B629" i="1"/>
  <c r="AK628" i="1"/>
  <c r="AH628" i="1"/>
  <c r="B628" i="1"/>
  <c r="AK627" i="1"/>
  <c r="AH627" i="1"/>
  <c r="B627" i="1"/>
  <c r="AK626" i="1"/>
  <c r="AH626" i="1"/>
  <c r="B626" i="1"/>
  <c r="AK625" i="1"/>
  <c r="AH625" i="1"/>
  <c r="B625" i="1"/>
  <c r="AK624" i="1"/>
  <c r="AH624" i="1"/>
  <c r="B624" i="1"/>
  <c r="AK623" i="1"/>
  <c r="AH623" i="1"/>
  <c r="B623" i="1"/>
  <c r="AK622" i="1"/>
  <c r="AH622" i="1"/>
  <c r="B622" i="1"/>
  <c r="AK621" i="1"/>
  <c r="AH621" i="1"/>
  <c r="B621" i="1"/>
  <c r="AK620" i="1"/>
  <c r="AH620" i="1"/>
  <c r="B620" i="1"/>
  <c r="AK619" i="1"/>
  <c r="AH619" i="1"/>
  <c r="B619" i="1"/>
  <c r="AK618" i="1"/>
  <c r="AH618" i="1"/>
  <c r="B618" i="1"/>
  <c r="AK617" i="1"/>
  <c r="AH617" i="1"/>
  <c r="B617" i="1"/>
  <c r="AK616" i="1"/>
  <c r="AH616" i="1"/>
  <c r="B616" i="1"/>
  <c r="AK615" i="1"/>
  <c r="AH615" i="1"/>
  <c r="B615" i="1"/>
  <c r="AK614" i="1"/>
  <c r="AH614" i="1"/>
  <c r="B614" i="1"/>
  <c r="AK613" i="1"/>
  <c r="AH613" i="1"/>
  <c r="B613" i="1"/>
  <c r="AK612" i="1"/>
  <c r="AH612" i="1"/>
  <c r="B612" i="1"/>
  <c r="AK611" i="1"/>
  <c r="AH611" i="1"/>
  <c r="B611" i="1"/>
  <c r="AK610" i="1"/>
  <c r="AH610" i="1"/>
  <c r="B610" i="1"/>
  <c r="AK609" i="1"/>
  <c r="B609" i="1"/>
  <c r="AK608" i="1"/>
  <c r="AH608" i="1"/>
  <c r="B608" i="1"/>
  <c r="AK607" i="1"/>
  <c r="AH607" i="1"/>
  <c r="B607" i="1"/>
  <c r="AK606" i="1"/>
  <c r="AH606" i="1"/>
  <c r="B606" i="1"/>
  <c r="AK605" i="1"/>
  <c r="AH605" i="1"/>
  <c r="B605" i="1"/>
  <c r="AK604" i="1"/>
  <c r="AH604" i="1"/>
  <c r="B604" i="1"/>
  <c r="AK603" i="1"/>
  <c r="AH603" i="1"/>
  <c r="B603" i="1"/>
  <c r="AK602" i="1"/>
  <c r="AH602" i="1"/>
  <c r="B602" i="1"/>
  <c r="AK601" i="1"/>
  <c r="AH601" i="1"/>
  <c r="B601" i="1"/>
  <c r="AK600" i="1"/>
  <c r="AH600" i="1"/>
  <c r="B600" i="1"/>
  <c r="AK599" i="1"/>
  <c r="AH599" i="1"/>
  <c r="B599" i="1"/>
  <c r="AK598" i="1"/>
  <c r="AH598" i="1"/>
  <c r="B598" i="1"/>
  <c r="AK597" i="1"/>
  <c r="AH597" i="1"/>
  <c r="B597" i="1"/>
  <c r="AK596" i="1"/>
  <c r="AH596" i="1"/>
  <c r="B596" i="1"/>
  <c r="AK595" i="1"/>
  <c r="AH595" i="1"/>
  <c r="B595" i="1"/>
  <c r="AK594" i="1"/>
  <c r="AH594" i="1"/>
  <c r="B594" i="1"/>
  <c r="AK593" i="1"/>
  <c r="AH593" i="1"/>
  <c r="B593" i="1"/>
  <c r="AK592" i="1"/>
  <c r="AH592" i="1"/>
  <c r="B592" i="1"/>
  <c r="AK591" i="1"/>
  <c r="AH591" i="1"/>
  <c r="B591" i="1"/>
  <c r="AK590" i="1"/>
  <c r="AH590" i="1"/>
  <c r="B590" i="1"/>
  <c r="AK589" i="1"/>
  <c r="AH589" i="1"/>
  <c r="B589" i="1"/>
  <c r="AK588" i="1"/>
  <c r="AH588" i="1"/>
  <c r="B588" i="1"/>
  <c r="AK587" i="1"/>
  <c r="AH587" i="1"/>
  <c r="B587" i="1"/>
  <c r="AK586" i="1"/>
  <c r="AH586" i="1"/>
  <c r="B586" i="1"/>
  <c r="AK585" i="1"/>
  <c r="AH585" i="1"/>
  <c r="B585" i="1"/>
  <c r="AK584" i="1"/>
  <c r="AH584" i="1"/>
  <c r="B584" i="1"/>
  <c r="AK583" i="1"/>
  <c r="AH583" i="1"/>
  <c r="B583" i="1"/>
  <c r="AK582" i="1"/>
  <c r="AH582" i="1"/>
  <c r="B582" i="1"/>
  <c r="AK581" i="1"/>
  <c r="AH581" i="1"/>
  <c r="B581" i="1"/>
  <c r="AK580" i="1"/>
  <c r="AH580" i="1"/>
  <c r="B580" i="1"/>
  <c r="AK579" i="1"/>
  <c r="AH579" i="1"/>
  <c r="B579" i="1"/>
  <c r="AK578" i="1"/>
  <c r="AH578" i="1"/>
  <c r="B578" i="1"/>
  <c r="AK577" i="1"/>
  <c r="AH577" i="1"/>
  <c r="B577" i="1"/>
  <c r="AK576" i="1"/>
  <c r="AH576" i="1"/>
  <c r="B576" i="1"/>
  <c r="AK575" i="1"/>
  <c r="AH575" i="1"/>
  <c r="B575" i="1"/>
  <c r="AK574" i="1"/>
  <c r="AH574" i="1"/>
  <c r="B574" i="1"/>
  <c r="AK573" i="1"/>
  <c r="AH573" i="1"/>
  <c r="B573" i="1"/>
  <c r="AK572" i="1"/>
  <c r="AH572" i="1"/>
  <c r="B572" i="1"/>
  <c r="AK571" i="1"/>
  <c r="AH571" i="1"/>
  <c r="B571" i="1"/>
  <c r="AK570" i="1"/>
  <c r="AH570" i="1"/>
  <c r="B570" i="1"/>
  <c r="AK569" i="1"/>
  <c r="AH569" i="1"/>
  <c r="B569" i="1"/>
  <c r="AK568" i="1"/>
  <c r="AH568" i="1"/>
  <c r="B568" i="1"/>
  <c r="AK567" i="1"/>
  <c r="AH567" i="1"/>
  <c r="B567" i="1"/>
  <c r="AK566" i="1"/>
  <c r="AH566" i="1"/>
  <c r="B566" i="1"/>
  <c r="AK565" i="1"/>
  <c r="B565" i="1"/>
  <c r="AK564" i="1"/>
  <c r="B564" i="1"/>
  <c r="AK563" i="1"/>
  <c r="AH563" i="1"/>
  <c r="B563" i="1"/>
  <c r="AK562" i="1"/>
  <c r="AH562" i="1"/>
  <c r="B562" i="1"/>
  <c r="AK561" i="1"/>
  <c r="AH561" i="1"/>
  <c r="B561" i="1"/>
  <c r="AK560" i="1"/>
  <c r="AH560" i="1"/>
  <c r="B560" i="1"/>
  <c r="AK559" i="1"/>
  <c r="AH559" i="1"/>
  <c r="B559" i="1"/>
  <c r="AK558" i="1"/>
  <c r="AH558" i="1"/>
  <c r="B558" i="1"/>
  <c r="AK557" i="1"/>
  <c r="AH557" i="1"/>
  <c r="B557" i="1"/>
  <c r="AK556" i="1"/>
  <c r="AH556" i="1"/>
  <c r="B556" i="1"/>
  <c r="AK555" i="1"/>
  <c r="AH555" i="1"/>
  <c r="B555" i="1"/>
  <c r="AK554" i="1"/>
  <c r="AH554" i="1"/>
  <c r="B554" i="1"/>
  <c r="AK553" i="1"/>
  <c r="AH553" i="1"/>
  <c r="B553" i="1"/>
  <c r="AK552" i="1"/>
  <c r="AH552" i="1"/>
  <c r="B552" i="1"/>
  <c r="AK551" i="1"/>
  <c r="AH551" i="1"/>
  <c r="B551" i="1"/>
  <c r="AK550" i="1"/>
  <c r="AH550" i="1"/>
  <c r="B550" i="1"/>
  <c r="AK549" i="1"/>
  <c r="B549" i="1"/>
  <c r="AK548" i="1"/>
  <c r="AH548" i="1"/>
  <c r="B548" i="1"/>
  <c r="AK547" i="1"/>
  <c r="AH547" i="1"/>
  <c r="B547" i="1"/>
  <c r="AK546" i="1"/>
  <c r="AH546" i="1"/>
  <c r="B546" i="1"/>
  <c r="AK545" i="1"/>
  <c r="AH545" i="1"/>
  <c r="B545" i="1"/>
  <c r="AK544" i="1"/>
  <c r="B544" i="1"/>
  <c r="AK543" i="1"/>
  <c r="AH543" i="1"/>
  <c r="B543" i="1"/>
  <c r="AK542" i="1"/>
  <c r="AH542" i="1"/>
  <c r="B542" i="1"/>
  <c r="AK541" i="1"/>
  <c r="AH541" i="1"/>
  <c r="B541" i="1"/>
  <c r="AK540" i="1"/>
  <c r="AH540" i="1"/>
  <c r="B540" i="1"/>
  <c r="AK539" i="1"/>
  <c r="AH539" i="1"/>
  <c r="B539" i="1"/>
  <c r="AK538" i="1"/>
  <c r="AH538" i="1"/>
  <c r="B538" i="1"/>
  <c r="AK537" i="1"/>
  <c r="AH537" i="1"/>
  <c r="B537" i="1"/>
  <c r="AK536" i="1"/>
  <c r="AH536" i="1"/>
  <c r="B536" i="1"/>
  <c r="AK535" i="1"/>
  <c r="AH535" i="1"/>
  <c r="B535" i="1"/>
  <c r="AK534" i="1"/>
  <c r="AH534" i="1"/>
  <c r="B534" i="1"/>
  <c r="AK533" i="1"/>
  <c r="AH533" i="1"/>
  <c r="B533" i="1"/>
  <c r="AK532" i="1"/>
  <c r="AH532" i="1"/>
  <c r="B532" i="1"/>
  <c r="AK531" i="1"/>
  <c r="AH531" i="1"/>
  <c r="B531" i="1"/>
  <c r="AK530" i="1"/>
  <c r="AH530" i="1"/>
  <c r="B530" i="1"/>
  <c r="AK529" i="1"/>
  <c r="AH529" i="1"/>
  <c r="B529" i="1"/>
  <c r="AK528" i="1"/>
  <c r="AH528" i="1"/>
  <c r="B528" i="1"/>
  <c r="AK527" i="1"/>
  <c r="AH527" i="1"/>
  <c r="B527" i="1"/>
  <c r="AK526" i="1"/>
  <c r="AH526" i="1"/>
  <c r="B526" i="1"/>
  <c r="AK525" i="1"/>
  <c r="AH525" i="1"/>
  <c r="B525" i="1"/>
  <c r="AK524" i="1"/>
  <c r="AH524" i="1"/>
  <c r="B524" i="1"/>
  <c r="AK523" i="1"/>
  <c r="AH523" i="1"/>
  <c r="B523" i="1"/>
  <c r="AK522" i="1"/>
  <c r="AH522" i="1"/>
  <c r="B522" i="1"/>
  <c r="AK521" i="1"/>
  <c r="AH521" i="1"/>
  <c r="B521" i="1"/>
  <c r="AK520" i="1"/>
  <c r="AH520" i="1"/>
  <c r="B520" i="1"/>
  <c r="AK519" i="1"/>
  <c r="AH519" i="1"/>
  <c r="B519" i="1"/>
  <c r="AK518" i="1"/>
  <c r="AH518" i="1"/>
  <c r="B518" i="1"/>
  <c r="AK517" i="1"/>
  <c r="AH517" i="1"/>
  <c r="B517" i="1"/>
  <c r="AK516" i="1"/>
  <c r="AH516" i="1"/>
  <c r="B516" i="1"/>
  <c r="AK515" i="1"/>
  <c r="AH515" i="1"/>
  <c r="B515" i="1"/>
  <c r="AK514" i="1"/>
  <c r="AH514" i="1"/>
  <c r="B514" i="1"/>
  <c r="AK513" i="1"/>
  <c r="B513" i="1"/>
  <c r="AK512" i="1"/>
  <c r="AH512" i="1"/>
  <c r="B512" i="1"/>
  <c r="AK511" i="1"/>
  <c r="AH511" i="1"/>
  <c r="B511" i="1"/>
  <c r="AK510" i="1"/>
  <c r="AH510" i="1"/>
  <c r="B510" i="1"/>
  <c r="AK509" i="1"/>
  <c r="AH509" i="1"/>
  <c r="B509" i="1"/>
  <c r="AK508" i="1"/>
  <c r="AH508" i="1"/>
  <c r="B508" i="1"/>
  <c r="AK507" i="1"/>
  <c r="AH507" i="1"/>
  <c r="B507" i="1"/>
  <c r="AK506" i="1"/>
  <c r="AH506" i="1"/>
  <c r="B506" i="1"/>
  <c r="AK505" i="1"/>
  <c r="AH505" i="1"/>
  <c r="B505" i="1"/>
  <c r="AK504" i="1"/>
  <c r="AH504" i="1"/>
  <c r="B504" i="1"/>
  <c r="AK503" i="1"/>
  <c r="AH503" i="1"/>
  <c r="B503" i="1"/>
  <c r="AK502" i="1"/>
  <c r="AH502" i="1"/>
  <c r="B502" i="1"/>
  <c r="AK501" i="1"/>
  <c r="AH501" i="1"/>
  <c r="B501" i="1"/>
  <c r="AK500" i="1"/>
  <c r="AH500" i="1"/>
  <c r="B500" i="1"/>
  <c r="AK499" i="1"/>
  <c r="AH499" i="1"/>
  <c r="B499" i="1"/>
  <c r="AK498" i="1"/>
  <c r="AH498" i="1"/>
  <c r="B498" i="1"/>
  <c r="AK497" i="1"/>
  <c r="AH497" i="1"/>
  <c r="B497" i="1"/>
  <c r="AK496" i="1"/>
  <c r="AH496" i="1"/>
  <c r="B496" i="1"/>
  <c r="AK495" i="1"/>
  <c r="AH495" i="1"/>
  <c r="B495" i="1"/>
  <c r="AK494" i="1"/>
  <c r="AH494" i="1"/>
  <c r="B494" i="1"/>
  <c r="AK493" i="1"/>
  <c r="AH493" i="1"/>
  <c r="B493" i="1"/>
  <c r="AK492" i="1"/>
  <c r="AH492" i="1"/>
  <c r="B492" i="1"/>
  <c r="AK491" i="1"/>
  <c r="AH491" i="1"/>
  <c r="B491" i="1"/>
  <c r="AK490" i="1"/>
  <c r="AH490" i="1"/>
  <c r="B490" i="1"/>
  <c r="AK489" i="1"/>
  <c r="AH489" i="1"/>
  <c r="B489" i="1"/>
  <c r="AK488" i="1"/>
  <c r="AH488" i="1"/>
  <c r="B488" i="1"/>
  <c r="AK487" i="1"/>
  <c r="AH487" i="1"/>
  <c r="B487" i="1"/>
  <c r="AK486" i="1"/>
  <c r="AH486" i="1"/>
  <c r="B486" i="1"/>
  <c r="AK485" i="1"/>
  <c r="AH485" i="1"/>
  <c r="B485" i="1"/>
  <c r="AK484" i="1"/>
  <c r="AH484" i="1"/>
  <c r="B484" i="1"/>
  <c r="AK483" i="1"/>
  <c r="AH483" i="1"/>
  <c r="B483" i="1"/>
  <c r="AK482" i="1"/>
  <c r="AH482" i="1"/>
  <c r="B482" i="1"/>
  <c r="AK481" i="1"/>
  <c r="AH481" i="1"/>
  <c r="B481" i="1"/>
  <c r="AK480" i="1"/>
  <c r="AH480" i="1"/>
  <c r="B480" i="1"/>
  <c r="AK479" i="1"/>
  <c r="AH479" i="1"/>
  <c r="B479" i="1"/>
  <c r="AK478" i="1"/>
  <c r="AH478" i="1"/>
  <c r="B478" i="1"/>
  <c r="AK477" i="1"/>
  <c r="AH477" i="1"/>
  <c r="B477" i="1"/>
  <c r="AK476" i="1"/>
  <c r="AH476" i="1"/>
  <c r="B476" i="1"/>
  <c r="AK475" i="1"/>
  <c r="AH475" i="1"/>
  <c r="B475" i="1"/>
  <c r="AK474" i="1"/>
  <c r="AH474" i="1"/>
  <c r="B474" i="1"/>
  <c r="AK473" i="1"/>
  <c r="AH473" i="1"/>
  <c r="B473" i="1"/>
  <c r="AK472" i="1"/>
  <c r="AH472" i="1"/>
  <c r="B472" i="1"/>
  <c r="AK471" i="1"/>
  <c r="AH471" i="1"/>
  <c r="B471" i="1"/>
  <c r="AK470" i="1"/>
  <c r="AH470" i="1"/>
  <c r="B470" i="1"/>
  <c r="AK469" i="1"/>
  <c r="AH469" i="1"/>
  <c r="B469" i="1"/>
  <c r="AK468" i="1"/>
  <c r="AH468" i="1"/>
  <c r="B468" i="1"/>
  <c r="AK467" i="1"/>
  <c r="AH467" i="1"/>
  <c r="B467" i="1"/>
  <c r="AK466" i="1"/>
  <c r="AH466" i="1"/>
  <c r="B466" i="1"/>
  <c r="AK465" i="1"/>
  <c r="AH465" i="1"/>
  <c r="B465" i="1"/>
  <c r="AK464" i="1"/>
  <c r="AH464" i="1"/>
  <c r="B464" i="1"/>
  <c r="AK463" i="1"/>
  <c r="AH463" i="1"/>
  <c r="B463" i="1"/>
  <c r="AK462" i="1"/>
  <c r="AH462" i="1"/>
  <c r="B462" i="1"/>
  <c r="AK461" i="1"/>
  <c r="AH461" i="1"/>
  <c r="B461" i="1"/>
  <c r="AK460" i="1"/>
  <c r="AH460" i="1"/>
  <c r="B460" i="1"/>
  <c r="AK459" i="1"/>
  <c r="B459" i="1"/>
  <c r="AK458" i="1"/>
  <c r="B458" i="1"/>
  <c r="AK457" i="1"/>
  <c r="B457" i="1"/>
  <c r="AK456" i="1"/>
  <c r="AH456" i="1"/>
  <c r="B456" i="1"/>
  <c r="AK455" i="1"/>
  <c r="B455" i="1"/>
  <c r="AK454" i="1"/>
  <c r="B454" i="1"/>
  <c r="AK453" i="1"/>
  <c r="B453" i="1"/>
  <c r="AK452" i="1"/>
  <c r="B452" i="1"/>
  <c r="AK451" i="1"/>
  <c r="B451" i="1"/>
  <c r="AK450" i="1"/>
  <c r="B450" i="1"/>
  <c r="AK449" i="1"/>
  <c r="B449" i="1"/>
  <c r="AK448" i="1"/>
  <c r="B448" i="1"/>
  <c r="AK447" i="1"/>
  <c r="AH447" i="1"/>
  <c r="B447" i="1"/>
  <c r="AK446" i="1"/>
  <c r="AH446" i="1"/>
  <c r="B446" i="1"/>
  <c r="AK445" i="1"/>
  <c r="AH445" i="1"/>
  <c r="B445" i="1"/>
  <c r="AK444" i="1"/>
  <c r="AH444" i="1"/>
  <c r="B444" i="1"/>
  <c r="AK443" i="1"/>
  <c r="AH443" i="1"/>
  <c r="B443" i="1"/>
  <c r="AK442" i="1"/>
  <c r="AH442" i="1"/>
  <c r="B442" i="1"/>
  <c r="AK441" i="1"/>
  <c r="AH441" i="1"/>
  <c r="B441" i="1"/>
  <c r="AK440" i="1"/>
  <c r="AH440" i="1"/>
  <c r="B440" i="1"/>
  <c r="AK439" i="1"/>
  <c r="AH439" i="1"/>
  <c r="B439" i="1"/>
  <c r="AK438" i="1"/>
  <c r="AH438" i="1"/>
  <c r="B438" i="1"/>
  <c r="AK437" i="1"/>
  <c r="AH437" i="1"/>
  <c r="B437" i="1"/>
  <c r="AK436" i="1"/>
  <c r="AH436" i="1"/>
  <c r="B436" i="1"/>
  <c r="AK435" i="1"/>
  <c r="AH435" i="1"/>
  <c r="B435" i="1"/>
  <c r="AK434" i="1"/>
  <c r="AH434" i="1"/>
  <c r="B434" i="1"/>
  <c r="AK433" i="1"/>
  <c r="AH433" i="1"/>
  <c r="B433" i="1"/>
  <c r="AK432" i="1"/>
  <c r="AH432" i="1"/>
  <c r="B432" i="1"/>
  <c r="AK431" i="1"/>
  <c r="AH431" i="1"/>
  <c r="B431" i="1"/>
  <c r="AK430" i="1"/>
  <c r="AH430" i="1"/>
  <c r="B430" i="1"/>
  <c r="AK429" i="1"/>
  <c r="AH429" i="1"/>
  <c r="B429" i="1"/>
  <c r="AK428" i="1"/>
  <c r="AH428" i="1"/>
  <c r="B428" i="1"/>
  <c r="AK427" i="1"/>
  <c r="AH427" i="1"/>
  <c r="B427" i="1"/>
  <c r="AK426" i="1"/>
  <c r="AH426" i="1"/>
  <c r="B426" i="1"/>
  <c r="AK425" i="1"/>
  <c r="AH425" i="1"/>
  <c r="B425" i="1"/>
  <c r="AK424" i="1"/>
  <c r="AH424" i="1"/>
  <c r="B424" i="1"/>
  <c r="AK423" i="1"/>
  <c r="AH423" i="1"/>
  <c r="B423" i="1"/>
  <c r="AK422" i="1"/>
  <c r="AH422" i="1"/>
  <c r="B422" i="1"/>
  <c r="AK421" i="1"/>
  <c r="AH421" i="1"/>
  <c r="B421" i="1"/>
  <c r="AK420" i="1"/>
  <c r="AH420" i="1"/>
  <c r="B420" i="1"/>
  <c r="AK419" i="1"/>
  <c r="AH419" i="1"/>
  <c r="B419" i="1"/>
  <c r="AK418" i="1"/>
  <c r="AH418" i="1"/>
  <c r="B418" i="1"/>
  <c r="AK417" i="1"/>
  <c r="AH417" i="1"/>
  <c r="B417" i="1"/>
  <c r="AK416" i="1"/>
  <c r="AH416" i="1"/>
  <c r="B416" i="1"/>
  <c r="AK415" i="1"/>
  <c r="AH415" i="1"/>
  <c r="B415" i="1"/>
  <c r="AK414" i="1"/>
  <c r="AH414" i="1"/>
  <c r="B414" i="1"/>
  <c r="AK413" i="1"/>
  <c r="AH413" i="1"/>
  <c r="B413" i="1"/>
  <c r="AK412" i="1"/>
  <c r="AH412" i="1"/>
  <c r="B412" i="1"/>
  <c r="AK411" i="1"/>
  <c r="AH411" i="1"/>
  <c r="B411" i="1"/>
  <c r="AK410" i="1"/>
  <c r="AH410" i="1"/>
  <c r="B410" i="1"/>
  <c r="AK409" i="1"/>
  <c r="AH409" i="1"/>
  <c r="B409" i="1"/>
  <c r="AK408" i="1"/>
  <c r="AH408" i="1"/>
  <c r="B408" i="1"/>
  <c r="AK407" i="1"/>
  <c r="AH407" i="1"/>
  <c r="B407" i="1"/>
  <c r="AK406" i="1"/>
  <c r="AH406" i="1"/>
  <c r="B406" i="1"/>
  <c r="AK405" i="1"/>
  <c r="AH405" i="1"/>
  <c r="B405" i="1"/>
  <c r="AK404" i="1"/>
  <c r="AH404" i="1"/>
  <c r="B404" i="1"/>
  <c r="AK403" i="1"/>
  <c r="AH403" i="1"/>
  <c r="B403" i="1"/>
  <c r="AK402" i="1"/>
  <c r="AH402" i="1"/>
  <c r="B402" i="1"/>
  <c r="AK401" i="1"/>
  <c r="AH401" i="1"/>
  <c r="B401" i="1"/>
  <c r="AK400" i="1"/>
  <c r="AH400" i="1"/>
  <c r="B400" i="1"/>
  <c r="AK399" i="1"/>
  <c r="AH399" i="1"/>
  <c r="B399" i="1"/>
  <c r="AK398" i="1"/>
  <c r="AH398" i="1"/>
  <c r="B398" i="1"/>
  <c r="AK397" i="1"/>
  <c r="AH397" i="1"/>
  <c r="B397" i="1"/>
  <c r="AK396" i="1"/>
  <c r="AH396" i="1"/>
  <c r="B396" i="1"/>
  <c r="AK395" i="1"/>
  <c r="AH395" i="1"/>
  <c r="B395" i="1"/>
  <c r="AK394" i="1"/>
  <c r="AH394" i="1"/>
  <c r="B394" i="1"/>
  <c r="AK393" i="1"/>
  <c r="AH393" i="1"/>
  <c r="B393" i="1"/>
  <c r="AK392" i="1"/>
  <c r="AH392" i="1"/>
  <c r="B392" i="1"/>
  <c r="AK391" i="1"/>
  <c r="AH391" i="1"/>
  <c r="B391" i="1"/>
  <c r="AK390" i="1"/>
  <c r="AH390" i="1"/>
  <c r="B390" i="1"/>
  <c r="AK389" i="1"/>
  <c r="AH389" i="1"/>
  <c r="B389" i="1"/>
  <c r="AK388" i="1"/>
  <c r="AH388" i="1"/>
  <c r="B388" i="1"/>
  <c r="AK387" i="1"/>
  <c r="AH387" i="1"/>
  <c r="B387" i="1"/>
  <c r="AK386" i="1"/>
  <c r="AH386" i="1"/>
  <c r="B386" i="1"/>
  <c r="AK385" i="1"/>
  <c r="AH385" i="1"/>
  <c r="B385" i="1"/>
  <c r="AK384" i="1"/>
  <c r="AH384" i="1"/>
  <c r="B384" i="1"/>
  <c r="AK383" i="1"/>
  <c r="AH383" i="1"/>
  <c r="B383" i="1"/>
  <c r="AK382" i="1"/>
  <c r="AH382" i="1"/>
  <c r="B382" i="1"/>
  <c r="AK381" i="1"/>
  <c r="AH381" i="1"/>
  <c r="B381" i="1"/>
  <c r="AK380" i="1"/>
  <c r="AH380" i="1"/>
  <c r="B380" i="1"/>
  <c r="AK379" i="1"/>
  <c r="AH379" i="1"/>
  <c r="B379" i="1"/>
  <c r="AK378" i="1"/>
  <c r="AH378" i="1"/>
  <c r="B378" i="1"/>
  <c r="AK377" i="1"/>
  <c r="AH377" i="1"/>
  <c r="B377" i="1"/>
  <c r="AK376" i="1"/>
  <c r="AH376" i="1"/>
  <c r="B376" i="1"/>
  <c r="AK375" i="1"/>
  <c r="AH375" i="1"/>
  <c r="B375" i="1"/>
  <c r="AK374" i="1"/>
  <c r="AH374" i="1"/>
  <c r="B374" i="1"/>
  <c r="AK373" i="1"/>
  <c r="AH373" i="1"/>
  <c r="B373" i="1"/>
  <c r="AK372" i="1"/>
  <c r="AH372" i="1"/>
  <c r="B372" i="1"/>
  <c r="AK371" i="1"/>
  <c r="AH371" i="1"/>
  <c r="B371" i="1"/>
  <c r="AK370" i="1"/>
  <c r="AH370" i="1"/>
  <c r="B370" i="1"/>
  <c r="AK369" i="1"/>
  <c r="AH369" i="1"/>
  <c r="B369" i="1"/>
  <c r="AK368" i="1"/>
  <c r="AH368" i="1"/>
  <c r="B368" i="1"/>
  <c r="AK367" i="1"/>
  <c r="AH367" i="1"/>
  <c r="B367" i="1"/>
  <c r="AK366" i="1"/>
  <c r="AH366" i="1"/>
  <c r="B366" i="1"/>
  <c r="AK365" i="1"/>
  <c r="AH365" i="1"/>
  <c r="B365" i="1"/>
  <c r="AK364" i="1"/>
  <c r="AH364" i="1"/>
  <c r="B364" i="1"/>
  <c r="AK363" i="1"/>
  <c r="B363" i="1"/>
  <c r="AK362" i="1"/>
  <c r="AH362" i="1"/>
  <c r="B362" i="1"/>
  <c r="AK361" i="1"/>
  <c r="AH361" i="1"/>
  <c r="B361" i="1"/>
  <c r="AK360" i="1"/>
  <c r="AH360" i="1"/>
  <c r="B360" i="1"/>
  <c r="AK359" i="1"/>
  <c r="AH359" i="1"/>
  <c r="B359" i="1"/>
  <c r="AK358" i="1"/>
  <c r="AH358" i="1"/>
  <c r="B358" i="1"/>
  <c r="AK357" i="1"/>
  <c r="AH357" i="1"/>
  <c r="B357" i="1"/>
  <c r="AK356" i="1"/>
  <c r="AH356" i="1"/>
  <c r="B356" i="1"/>
  <c r="AK355" i="1"/>
  <c r="AH355" i="1"/>
  <c r="B355" i="1"/>
  <c r="AK354" i="1"/>
  <c r="AH354" i="1"/>
  <c r="B354" i="1"/>
  <c r="AK353" i="1"/>
  <c r="B353" i="1"/>
  <c r="AK352" i="1"/>
  <c r="AH352" i="1"/>
  <c r="B352" i="1"/>
  <c r="AK351" i="1"/>
  <c r="AH351" i="1"/>
  <c r="B351" i="1"/>
  <c r="AK350" i="1"/>
  <c r="AH350" i="1"/>
  <c r="B350" i="1"/>
  <c r="AK349" i="1"/>
  <c r="AH349" i="1"/>
  <c r="B349" i="1"/>
  <c r="AK348" i="1"/>
  <c r="AH348" i="1"/>
  <c r="B348" i="1"/>
  <c r="AK347" i="1"/>
  <c r="AH347" i="1"/>
  <c r="B347" i="1"/>
  <c r="AK346" i="1"/>
  <c r="AH346" i="1"/>
  <c r="B346" i="1"/>
  <c r="AK345" i="1"/>
  <c r="AH345" i="1"/>
  <c r="B345" i="1"/>
  <c r="AK344" i="1"/>
  <c r="AH344" i="1"/>
  <c r="B344" i="1"/>
  <c r="AK343" i="1"/>
  <c r="AH343" i="1"/>
  <c r="B343" i="1"/>
  <c r="AK342" i="1"/>
  <c r="AH342" i="1"/>
  <c r="B342" i="1"/>
  <c r="AK341" i="1"/>
  <c r="AH341" i="1"/>
  <c r="B341" i="1"/>
  <c r="AK340" i="1"/>
  <c r="AH340" i="1"/>
  <c r="B340" i="1"/>
  <c r="AK339" i="1"/>
  <c r="AH339" i="1"/>
  <c r="B339" i="1"/>
  <c r="AK338" i="1"/>
  <c r="AH338" i="1"/>
  <c r="B338" i="1"/>
  <c r="AK337" i="1"/>
  <c r="AH337" i="1"/>
  <c r="B337" i="1"/>
  <c r="AK336" i="1"/>
  <c r="AH336" i="1"/>
  <c r="B336" i="1"/>
  <c r="AK335" i="1"/>
  <c r="AH335" i="1"/>
  <c r="B335" i="1"/>
  <c r="AK334" i="1"/>
  <c r="AH334" i="1"/>
  <c r="B334" i="1"/>
  <c r="AK333" i="1"/>
  <c r="AH333" i="1"/>
  <c r="B333" i="1"/>
  <c r="AK332" i="1"/>
  <c r="AH332" i="1"/>
  <c r="B332" i="1"/>
  <c r="AK331" i="1"/>
  <c r="AH331" i="1"/>
  <c r="B331" i="1"/>
  <c r="AK330" i="1"/>
  <c r="AH330" i="1"/>
  <c r="B330" i="1"/>
  <c r="AK329" i="1"/>
  <c r="AH329" i="1"/>
  <c r="B329" i="1"/>
  <c r="AK328" i="1"/>
  <c r="AH328" i="1"/>
  <c r="B328" i="1"/>
  <c r="AK327" i="1"/>
  <c r="AH327" i="1"/>
  <c r="B327" i="1"/>
  <c r="AK326" i="1"/>
  <c r="AH326" i="1"/>
  <c r="B326" i="1"/>
  <c r="AK325" i="1"/>
  <c r="AH325" i="1"/>
  <c r="B325" i="1"/>
  <c r="AK324" i="1"/>
  <c r="AH324" i="1"/>
  <c r="B324" i="1"/>
  <c r="AK323" i="1"/>
  <c r="AH323" i="1"/>
  <c r="B323" i="1"/>
  <c r="AK322" i="1"/>
  <c r="AH322" i="1"/>
  <c r="B322" i="1"/>
  <c r="AK321" i="1"/>
  <c r="AH321" i="1"/>
  <c r="B321" i="1"/>
  <c r="AK320" i="1"/>
  <c r="AH320" i="1"/>
  <c r="B320" i="1"/>
  <c r="AK319" i="1"/>
  <c r="AH319" i="1"/>
  <c r="B319" i="1"/>
  <c r="AK318" i="1"/>
  <c r="AH318" i="1"/>
  <c r="B318" i="1"/>
  <c r="AK317" i="1"/>
  <c r="AH317" i="1"/>
  <c r="B317" i="1"/>
  <c r="AK316" i="1"/>
  <c r="AH316" i="1"/>
  <c r="B316" i="1"/>
  <c r="AK315" i="1"/>
  <c r="AH315" i="1"/>
  <c r="B315" i="1"/>
  <c r="AK314" i="1"/>
  <c r="AH314" i="1"/>
  <c r="B314" i="1"/>
  <c r="AK313" i="1"/>
  <c r="AH313" i="1"/>
  <c r="B313" i="1"/>
  <c r="AK312" i="1"/>
  <c r="AH312" i="1"/>
  <c r="B312" i="1"/>
  <c r="AK311" i="1"/>
  <c r="AH311" i="1"/>
  <c r="B311" i="1"/>
  <c r="AK310" i="1"/>
  <c r="AH310" i="1"/>
  <c r="B310" i="1"/>
  <c r="AK309" i="1"/>
  <c r="AH309" i="1"/>
  <c r="B309" i="1"/>
  <c r="AK308" i="1"/>
  <c r="AH308" i="1"/>
  <c r="B308" i="1"/>
  <c r="AK307" i="1"/>
  <c r="AH307" i="1"/>
  <c r="B307" i="1"/>
  <c r="AK306" i="1"/>
  <c r="AH306" i="1"/>
  <c r="B306" i="1"/>
  <c r="AK305" i="1"/>
  <c r="AH305" i="1"/>
  <c r="B305" i="1"/>
  <c r="AK304" i="1"/>
  <c r="AH304" i="1"/>
  <c r="B304" i="1"/>
  <c r="AK303" i="1"/>
  <c r="AH303" i="1"/>
  <c r="B303" i="1"/>
  <c r="AK302" i="1"/>
  <c r="AH302" i="1"/>
  <c r="B302" i="1"/>
  <c r="AK301" i="1"/>
  <c r="AH301" i="1"/>
  <c r="B301" i="1"/>
  <c r="AK300" i="1"/>
  <c r="AH300" i="1"/>
  <c r="B300" i="1"/>
  <c r="AK299" i="1"/>
  <c r="AH299" i="1"/>
  <c r="B299" i="1"/>
  <c r="AK298" i="1"/>
  <c r="AH298" i="1"/>
  <c r="B298" i="1"/>
  <c r="AK297" i="1"/>
  <c r="AH297" i="1"/>
  <c r="B297" i="1"/>
  <c r="AK296" i="1"/>
  <c r="AH296" i="1"/>
  <c r="B296" i="1"/>
  <c r="AK295" i="1"/>
  <c r="AH295" i="1"/>
  <c r="B295" i="1"/>
  <c r="AK294" i="1"/>
  <c r="AH294" i="1"/>
  <c r="B294" i="1"/>
  <c r="AK293" i="1"/>
  <c r="AH293" i="1"/>
  <c r="B293" i="1"/>
  <c r="AK292" i="1"/>
  <c r="AH292" i="1"/>
  <c r="B292" i="1"/>
  <c r="AK291" i="1"/>
  <c r="AH291" i="1"/>
  <c r="B291" i="1"/>
  <c r="AK290" i="1"/>
  <c r="AH290" i="1"/>
  <c r="B290" i="1"/>
  <c r="AK289" i="1"/>
  <c r="AH289" i="1"/>
  <c r="B289" i="1"/>
  <c r="AK288" i="1"/>
  <c r="AH288" i="1"/>
  <c r="B288" i="1"/>
  <c r="AK287" i="1"/>
  <c r="AH287" i="1"/>
  <c r="B287" i="1"/>
  <c r="AK286" i="1"/>
  <c r="AH286" i="1"/>
  <c r="B286" i="1"/>
  <c r="AK285" i="1"/>
  <c r="AH285" i="1"/>
  <c r="B285" i="1"/>
  <c r="AK284" i="1"/>
  <c r="AH284" i="1"/>
  <c r="B284" i="1"/>
  <c r="AK283" i="1"/>
  <c r="AH283" i="1"/>
  <c r="B283" i="1"/>
  <c r="AK282" i="1"/>
  <c r="AH282" i="1"/>
  <c r="B282" i="1"/>
  <c r="AK281" i="1"/>
  <c r="AH281" i="1"/>
  <c r="B281" i="1"/>
  <c r="AK280" i="1"/>
  <c r="AH280" i="1"/>
  <c r="B280" i="1"/>
  <c r="AK279" i="1"/>
  <c r="AH279" i="1"/>
  <c r="B279" i="1"/>
  <c r="AK278" i="1"/>
  <c r="AH278" i="1"/>
  <c r="B278" i="1"/>
  <c r="AK277" i="1"/>
  <c r="AH277" i="1"/>
  <c r="B277" i="1"/>
  <c r="AK276" i="1"/>
  <c r="AH276" i="1"/>
  <c r="B276" i="1"/>
  <c r="AK275" i="1"/>
  <c r="AH275" i="1"/>
  <c r="B275" i="1"/>
  <c r="AK274" i="1"/>
  <c r="AH274" i="1"/>
  <c r="B274" i="1"/>
  <c r="AK273" i="1"/>
  <c r="AH273" i="1"/>
  <c r="B273" i="1"/>
  <c r="AK272" i="1"/>
  <c r="AH272" i="1"/>
  <c r="B272" i="1"/>
  <c r="AK271" i="1"/>
  <c r="AH271" i="1"/>
  <c r="B271" i="1"/>
  <c r="AK270" i="1"/>
  <c r="AH270" i="1"/>
  <c r="B270" i="1"/>
  <c r="AK269" i="1"/>
  <c r="AH269" i="1"/>
  <c r="B269" i="1"/>
  <c r="AK268" i="1"/>
  <c r="AH268" i="1"/>
  <c r="B268" i="1"/>
  <c r="AK267" i="1"/>
  <c r="AH267" i="1"/>
  <c r="B267" i="1"/>
  <c r="AK266" i="1"/>
  <c r="AH266" i="1"/>
  <c r="B266" i="1"/>
  <c r="AK265" i="1"/>
  <c r="AH265" i="1"/>
  <c r="B265" i="1"/>
  <c r="AK264" i="1"/>
  <c r="AH264" i="1"/>
  <c r="B264" i="1"/>
  <c r="AK263" i="1"/>
  <c r="AH263" i="1"/>
  <c r="B263" i="1"/>
  <c r="AK262" i="1"/>
  <c r="AH262" i="1"/>
  <c r="B262" i="1"/>
  <c r="AK261" i="1"/>
  <c r="AH261" i="1"/>
  <c r="B261" i="1"/>
  <c r="AK260" i="1"/>
  <c r="AH260" i="1"/>
  <c r="B260" i="1"/>
  <c r="AK259" i="1"/>
  <c r="AH259" i="1"/>
  <c r="B259" i="1"/>
  <c r="AK258" i="1"/>
  <c r="AH258" i="1"/>
  <c r="B258" i="1"/>
  <c r="AK257" i="1"/>
  <c r="AH257" i="1"/>
  <c r="B257" i="1"/>
  <c r="AK256" i="1"/>
  <c r="AH256" i="1"/>
  <c r="B256" i="1"/>
  <c r="AK255" i="1"/>
  <c r="AH255" i="1"/>
  <c r="B255" i="1"/>
  <c r="AK254" i="1"/>
  <c r="AH254" i="1"/>
  <c r="B254" i="1"/>
  <c r="AK253" i="1"/>
  <c r="AH253" i="1"/>
  <c r="B253" i="1"/>
  <c r="AK252" i="1"/>
  <c r="AH252" i="1"/>
  <c r="B252" i="1"/>
  <c r="AK251" i="1"/>
  <c r="AH251" i="1"/>
  <c r="B251" i="1"/>
  <c r="AK250" i="1"/>
  <c r="AH250" i="1"/>
  <c r="B250" i="1"/>
  <c r="AK249" i="1"/>
  <c r="AH249" i="1"/>
  <c r="B249" i="1"/>
  <c r="AK248" i="1"/>
  <c r="AH248" i="1"/>
  <c r="B248" i="1"/>
  <c r="AK247" i="1"/>
  <c r="AH247" i="1"/>
  <c r="B247" i="1"/>
  <c r="AK246" i="1"/>
  <c r="AH246" i="1"/>
  <c r="B246" i="1"/>
  <c r="AK245" i="1"/>
  <c r="AH245" i="1"/>
  <c r="B245" i="1"/>
  <c r="AK244" i="1"/>
  <c r="AH244" i="1"/>
  <c r="B244" i="1"/>
  <c r="AK243" i="1"/>
  <c r="AH243" i="1"/>
  <c r="B243" i="1"/>
  <c r="AK242" i="1"/>
  <c r="AH242" i="1"/>
  <c r="B242" i="1"/>
  <c r="AK241" i="1"/>
  <c r="AH241" i="1"/>
  <c r="B241" i="1"/>
  <c r="AK240" i="1"/>
  <c r="AH240" i="1"/>
  <c r="B240" i="1"/>
  <c r="AK239" i="1"/>
  <c r="AH239" i="1"/>
  <c r="B239" i="1"/>
  <c r="AK238" i="1"/>
  <c r="AH238" i="1"/>
  <c r="B238" i="1"/>
  <c r="AK237" i="1"/>
  <c r="AH237" i="1"/>
  <c r="B237" i="1"/>
  <c r="AK236" i="1"/>
  <c r="B236" i="1"/>
  <c r="AK235" i="1"/>
  <c r="AH235" i="1"/>
  <c r="B235" i="1"/>
  <c r="AK234" i="1"/>
  <c r="AH234" i="1"/>
  <c r="B234" i="1"/>
  <c r="AK233" i="1"/>
  <c r="AH233" i="1"/>
  <c r="B233" i="1"/>
  <c r="AK232" i="1"/>
  <c r="AH232" i="1"/>
  <c r="B232" i="1"/>
  <c r="AK231" i="1"/>
  <c r="AH231" i="1"/>
  <c r="B231" i="1"/>
  <c r="AK230" i="1"/>
  <c r="AH230" i="1"/>
  <c r="B230" i="1"/>
  <c r="AK229" i="1"/>
  <c r="AH229" i="1"/>
  <c r="B229" i="1"/>
  <c r="AK228" i="1"/>
  <c r="AH228" i="1"/>
  <c r="B228" i="1"/>
  <c r="AK227" i="1"/>
  <c r="AH227" i="1"/>
  <c r="B227" i="1"/>
  <c r="AK226" i="1"/>
  <c r="AH226" i="1"/>
  <c r="B226" i="1"/>
  <c r="AK225" i="1"/>
  <c r="AH225" i="1"/>
  <c r="B225" i="1"/>
  <c r="AK224" i="1"/>
  <c r="AH224" i="1"/>
  <c r="B224" i="1"/>
  <c r="AK223" i="1"/>
  <c r="AH223" i="1"/>
  <c r="B223" i="1"/>
  <c r="AK222" i="1"/>
  <c r="AH222" i="1"/>
  <c r="B222" i="1"/>
  <c r="AK221" i="1"/>
  <c r="AH221" i="1"/>
  <c r="B221" i="1"/>
  <c r="AK220" i="1"/>
  <c r="AH220" i="1"/>
  <c r="B220" i="1"/>
  <c r="AK219" i="1"/>
  <c r="AH219" i="1"/>
  <c r="B219" i="1"/>
  <c r="AK218" i="1"/>
  <c r="AH218" i="1"/>
  <c r="B218" i="1"/>
  <c r="AK217" i="1"/>
  <c r="AH217" i="1"/>
  <c r="B217" i="1"/>
  <c r="AK216" i="1"/>
  <c r="AH216" i="1"/>
  <c r="B216" i="1"/>
  <c r="AK215" i="1"/>
  <c r="AH215" i="1"/>
  <c r="B215" i="1"/>
  <c r="AK214" i="1"/>
  <c r="AH214" i="1"/>
  <c r="B214" i="1"/>
  <c r="AK213" i="1"/>
  <c r="B213" i="1"/>
  <c r="AK212" i="1"/>
  <c r="AH212" i="1"/>
  <c r="B212" i="1"/>
  <c r="AK211" i="1"/>
  <c r="AH211" i="1"/>
  <c r="B211" i="1"/>
  <c r="AK210" i="1"/>
  <c r="AH210" i="1"/>
  <c r="B210" i="1"/>
  <c r="AK209" i="1"/>
  <c r="AH209" i="1"/>
  <c r="B209" i="1"/>
  <c r="AK208" i="1"/>
  <c r="AH208" i="1"/>
  <c r="B208" i="1"/>
  <c r="AK207" i="1"/>
  <c r="AH207" i="1"/>
  <c r="B207" i="1"/>
  <c r="AK206" i="1"/>
  <c r="AH206" i="1"/>
  <c r="B206" i="1"/>
  <c r="AK205" i="1"/>
  <c r="AH205" i="1"/>
  <c r="B205" i="1"/>
  <c r="AK204" i="1"/>
  <c r="AH204" i="1"/>
  <c r="B204" i="1"/>
  <c r="AK203" i="1"/>
  <c r="AH203" i="1"/>
  <c r="B203" i="1"/>
  <c r="AK202" i="1"/>
  <c r="AH202" i="1"/>
  <c r="B202" i="1"/>
  <c r="AK201" i="1"/>
  <c r="AH201" i="1"/>
  <c r="B201" i="1"/>
  <c r="AK200" i="1"/>
  <c r="AH200" i="1"/>
  <c r="B200" i="1"/>
  <c r="AK199" i="1"/>
  <c r="AH199" i="1"/>
  <c r="B199" i="1"/>
  <c r="AK198" i="1"/>
  <c r="AH198" i="1"/>
  <c r="B198" i="1"/>
  <c r="AK197" i="1"/>
  <c r="AH197" i="1"/>
  <c r="B197" i="1"/>
  <c r="AK196" i="1"/>
  <c r="AH196" i="1"/>
  <c r="B196" i="1"/>
  <c r="AK195" i="1"/>
  <c r="AH195" i="1"/>
  <c r="B195" i="1"/>
  <c r="AK194" i="1"/>
  <c r="AH194" i="1"/>
  <c r="B194" i="1"/>
  <c r="AK193" i="1"/>
  <c r="AH193" i="1"/>
  <c r="B193" i="1"/>
  <c r="AK192" i="1"/>
  <c r="B192" i="1"/>
  <c r="AK191" i="1"/>
  <c r="AH191" i="1"/>
  <c r="B191" i="1"/>
  <c r="AK190" i="1"/>
  <c r="AH190" i="1"/>
  <c r="B190" i="1"/>
  <c r="AK189" i="1"/>
  <c r="AH189" i="1"/>
  <c r="B189" i="1"/>
  <c r="AK188" i="1"/>
  <c r="AH188" i="1"/>
  <c r="B188" i="1"/>
  <c r="AK187" i="1"/>
  <c r="AH187" i="1"/>
  <c r="B187" i="1"/>
  <c r="AK186" i="1"/>
  <c r="AH186" i="1"/>
  <c r="B186" i="1"/>
  <c r="AK185" i="1"/>
  <c r="AH185" i="1"/>
  <c r="B185" i="1"/>
  <c r="AK184" i="1"/>
  <c r="AH184" i="1"/>
  <c r="B184" i="1"/>
  <c r="AK183" i="1"/>
  <c r="AH183" i="1"/>
  <c r="B183" i="1"/>
  <c r="AK182" i="1"/>
  <c r="AH182" i="1"/>
  <c r="B182" i="1"/>
  <c r="AK181" i="1"/>
  <c r="AH181" i="1"/>
  <c r="B181" i="1"/>
  <c r="AK180" i="1"/>
  <c r="AH180" i="1"/>
  <c r="B180" i="1"/>
  <c r="AK179" i="1"/>
  <c r="AH179" i="1"/>
  <c r="B179" i="1"/>
  <c r="AK178" i="1"/>
  <c r="AH178" i="1"/>
  <c r="B178" i="1"/>
  <c r="AK177" i="1"/>
  <c r="B177" i="1"/>
  <c r="AK176" i="1"/>
  <c r="AH176" i="1"/>
  <c r="B176" i="1"/>
  <c r="AK175" i="1"/>
  <c r="AH175" i="1"/>
  <c r="B175" i="1"/>
  <c r="AK174" i="1"/>
  <c r="AH174" i="1"/>
  <c r="B174" i="1"/>
  <c r="AK173" i="1"/>
  <c r="AH173" i="1"/>
  <c r="B173" i="1"/>
  <c r="AK172" i="1"/>
  <c r="AH172" i="1"/>
  <c r="B172" i="1"/>
  <c r="AK171" i="1"/>
  <c r="AH171" i="1"/>
  <c r="B171" i="1"/>
  <c r="AK170" i="1"/>
  <c r="AH170" i="1"/>
  <c r="B170" i="1"/>
  <c r="AK169" i="1"/>
  <c r="AH169" i="1"/>
  <c r="B169" i="1"/>
  <c r="AK168" i="1"/>
  <c r="AH168" i="1"/>
  <c r="B168" i="1"/>
  <c r="AK167" i="1"/>
  <c r="AH167" i="1"/>
  <c r="B167" i="1"/>
  <c r="AK166" i="1"/>
  <c r="AH166" i="1"/>
  <c r="B166" i="1"/>
  <c r="AK165" i="1"/>
  <c r="AH165" i="1"/>
  <c r="B165" i="1"/>
  <c r="AK164" i="1"/>
  <c r="AH164" i="1"/>
  <c r="B164" i="1"/>
  <c r="AK163" i="1"/>
  <c r="B163" i="1"/>
  <c r="AK162" i="1"/>
  <c r="AH162" i="1"/>
  <c r="B162" i="1"/>
  <c r="AK161" i="1"/>
  <c r="AH161" i="1"/>
  <c r="B161" i="1"/>
  <c r="AK160" i="1"/>
  <c r="AH160" i="1"/>
  <c r="B160" i="1"/>
  <c r="AK159" i="1"/>
  <c r="AH159" i="1"/>
  <c r="B159" i="1"/>
  <c r="AK158" i="1"/>
  <c r="AH158" i="1"/>
  <c r="B158" i="1"/>
  <c r="AK157" i="1"/>
  <c r="AH157" i="1"/>
  <c r="B157" i="1"/>
  <c r="AK156" i="1"/>
  <c r="AH156" i="1"/>
  <c r="B156" i="1"/>
  <c r="AK155" i="1"/>
  <c r="AH155" i="1"/>
  <c r="B155" i="1"/>
  <c r="AK154" i="1"/>
  <c r="AH154" i="1"/>
  <c r="B154" i="1"/>
  <c r="AK153" i="1"/>
  <c r="AH153" i="1"/>
  <c r="B153" i="1"/>
  <c r="AK152" i="1"/>
  <c r="AH152" i="1"/>
  <c r="B152" i="1"/>
  <c r="AK151" i="1"/>
  <c r="AH151" i="1"/>
  <c r="B151" i="1"/>
  <c r="AK150" i="1"/>
  <c r="AH150" i="1"/>
  <c r="B150" i="1"/>
  <c r="AK149" i="1"/>
  <c r="AH149" i="1"/>
  <c r="B149" i="1"/>
  <c r="AK148" i="1"/>
  <c r="AH148" i="1"/>
  <c r="B148" i="1"/>
  <c r="AK147" i="1"/>
  <c r="AH147" i="1"/>
  <c r="B147" i="1"/>
  <c r="AK146" i="1"/>
  <c r="AH146" i="1"/>
  <c r="B146" i="1"/>
  <c r="AK145" i="1"/>
  <c r="AH145" i="1"/>
  <c r="B145" i="1"/>
  <c r="AK144" i="1"/>
  <c r="AH144" i="1"/>
  <c r="B144" i="1"/>
  <c r="AK143" i="1"/>
  <c r="AH143" i="1"/>
  <c r="B143" i="1"/>
  <c r="AK142" i="1"/>
  <c r="AH142" i="1"/>
  <c r="B142" i="1"/>
  <c r="AK141" i="1"/>
  <c r="AH141" i="1"/>
  <c r="B141" i="1"/>
  <c r="AK140" i="1"/>
  <c r="AH140" i="1"/>
  <c r="B140" i="1"/>
  <c r="AK139" i="1"/>
  <c r="AH139" i="1"/>
  <c r="B139" i="1"/>
  <c r="AK138" i="1"/>
  <c r="AH138" i="1"/>
  <c r="B138" i="1"/>
  <c r="AK137" i="1"/>
  <c r="AH137" i="1"/>
  <c r="B137" i="1"/>
  <c r="AK136" i="1"/>
  <c r="AH136" i="1"/>
  <c r="B136" i="1"/>
  <c r="AK135" i="1"/>
  <c r="AH135" i="1"/>
  <c r="B135" i="1"/>
  <c r="AK134" i="1"/>
  <c r="AH134" i="1"/>
  <c r="B134" i="1"/>
  <c r="AK133" i="1"/>
  <c r="AH133" i="1"/>
  <c r="B133" i="1"/>
  <c r="AK132" i="1"/>
  <c r="AH132" i="1"/>
  <c r="B132" i="1"/>
  <c r="AK131" i="1"/>
  <c r="AH131" i="1"/>
  <c r="B131" i="1"/>
  <c r="AK130" i="1"/>
  <c r="AH130" i="1"/>
  <c r="B130" i="1"/>
  <c r="AK129" i="1"/>
  <c r="AH129" i="1"/>
  <c r="B129" i="1"/>
  <c r="AK128" i="1"/>
  <c r="AH128" i="1"/>
  <c r="B128" i="1"/>
  <c r="AK127" i="1"/>
  <c r="AH127" i="1"/>
  <c r="B127" i="1"/>
  <c r="AK126" i="1"/>
  <c r="AH126" i="1"/>
  <c r="B126" i="1"/>
  <c r="AK125" i="1"/>
  <c r="AH125" i="1"/>
  <c r="B125" i="1"/>
  <c r="AK124" i="1"/>
  <c r="AH124" i="1"/>
  <c r="B124" i="1"/>
  <c r="AK123" i="1"/>
  <c r="AH123" i="1"/>
  <c r="B123" i="1"/>
  <c r="AK122" i="1"/>
  <c r="AH122" i="1"/>
  <c r="B122" i="1"/>
  <c r="AK121" i="1"/>
  <c r="AH121" i="1"/>
  <c r="B121" i="1"/>
  <c r="AK120" i="1"/>
  <c r="AH120" i="1"/>
  <c r="B120" i="1"/>
  <c r="AK119" i="1"/>
  <c r="B119" i="1"/>
  <c r="AK118" i="1"/>
  <c r="AH118" i="1"/>
  <c r="B118" i="1"/>
  <c r="AK117" i="1"/>
  <c r="AH117" i="1"/>
  <c r="B117" i="1"/>
  <c r="AK116" i="1"/>
  <c r="AH116" i="1"/>
  <c r="B116" i="1"/>
  <c r="AK115" i="1"/>
  <c r="AH115" i="1"/>
  <c r="B115" i="1"/>
  <c r="AK114" i="1"/>
  <c r="AH114" i="1"/>
  <c r="B114" i="1"/>
  <c r="AK113" i="1"/>
  <c r="AH113" i="1"/>
  <c r="B113" i="1"/>
  <c r="AK112" i="1"/>
  <c r="AH112" i="1"/>
  <c r="B112" i="1"/>
  <c r="AK111" i="1"/>
  <c r="AH111" i="1"/>
  <c r="B111" i="1"/>
  <c r="AK110" i="1"/>
  <c r="AH110" i="1"/>
  <c r="B110" i="1"/>
  <c r="AK109" i="1"/>
  <c r="AH109" i="1"/>
  <c r="B109" i="1"/>
  <c r="AK108" i="1"/>
  <c r="AH108" i="1"/>
  <c r="B108" i="1"/>
  <c r="AK107" i="1"/>
  <c r="AH107" i="1"/>
  <c r="B107" i="1"/>
  <c r="AK106" i="1"/>
  <c r="AH106" i="1"/>
  <c r="B106" i="1"/>
  <c r="AK105" i="1"/>
  <c r="AH105" i="1"/>
  <c r="B105" i="1"/>
  <c r="AK104" i="1"/>
  <c r="AH104" i="1"/>
  <c r="B104" i="1"/>
  <c r="AK103" i="1"/>
  <c r="AH103" i="1"/>
  <c r="B103" i="1"/>
  <c r="AK102" i="1"/>
  <c r="AH102" i="1"/>
  <c r="B102" i="1"/>
  <c r="AK101" i="1"/>
  <c r="AH101" i="1"/>
  <c r="B101" i="1"/>
  <c r="AK100" i="1"/>
  <c r="AH100" i="1"/>
  <c r="B100" i="1"/>
  <c r="AK99" i="1"/>
  <c r="AH99" i="1"/>
  <c r="B99" i="1"/>
  <c r="AK98" i="1"/>
  <c r="AH98" i="1"/>
  <c r="B98" i="1"/>
  <c r="AK97" i="1"/>
  <c r="AH97" i="1"/>
  <c r="B97" i="1"/>
  <c r="AK96" i="1"/>
  <c r="AH96" i="1"/>
  <c r="B96" i="1"/>
  <c r="AK95" i="1"/>
  <c r="AH95" i="1"/>
  <c r="B95" i="1"/>
  <c r="AK94" i="1"/>
  <c r="AH94" i="1"/>
  <c r="B94" i="1"/>
  <c r="AK93" i="1"/>
  <c r="AH93" i="1"/>
  <c r="B93" i="1"/>
  <c r="AK92" i="1"/>
  <c r="AH92" i="1"/>
  <c r="B92" i="1"/>
  <c r="AK91" i="1"/>
  <c r="AH91" i="1"/>
  <c r="B91" i="1"/>
  <c r="AK90" i="1"/>
  <c r="AH90" i="1"/>
  <c r="B90" i="1"/>
  <c r="AK89" i="1"/>
  <c r="AH89" i="1"/>
  <c r="B89" i="1"/>
  <c r="AK88" i="1"/>
  <c r="AH88" i="1"/>
  <c r="B88" i="1"/>
  <c r="AK87" i="1"/>
  <c r="AH87" i="1"/>
  <c r="B87" i="1"/>
  <c r="AK86" i="1"/>
  <c r="AH86" i="1"/>
  <c r="B86" i="1"/>
  <c r="AK85" i="1"/>
  <c r="AH85" i="1"/>
  <c r="B85" i="1"/>
  <c r="AK84" i="1"/>
  <c r="AH84" i="1"/>
  <c r="B84" i="1"/>
  <c r="AK83" i="1"/>
  <c r="AH83" i="1"/>
  <c r="B83" i="1"/>
  <c r="AK82" i="1"/>
  <c r="AH82" i="1"/>
  <c r="B82" i="1"/>
  <c r="AK81" i="1"/>
  <c r="AH81" i="1"/>
  <c r="B81" i="1"/>
  <c r="AK80" i="1"/>
  <c r="AH80" i="1"/>
  <c r="B80" i="1"/>
  <c r="AK79" i="1"/>
  <c r="AH79" i="1"/>
  <c r="B79" i="1"/>
  <c r="AK78" i="1"/>
  <c r="AH78" i="1"/>
  <c r="B78" i="1"/>
  <c r="AK77" i="1"/>
  <c r="AH77" i="1"/>
  <c r="B77" i="1"/>
  <c r="AK76" i="1"/>
  <c r="AH76" i="1"/>
  <c r="B76" i="1"/>
  <c r="AK75" i="1"/>
  <c r="AH75" i="1"/>
  <c r="B75" i="1"/>
  <c r="AK74" i="1"/>
  <c r="AH74" i="1"/>
  <c r="B74" i="1"/>
  <c r="AK73" i="1"/>
  <c r="AH73" i="1"/>
  <c r="B73" i="1"/>
  <c r="AK72" i="1"/>
  <c r="AH72" i="1"/>
  <c r="B72" i="1"/>
  <c r="AK71" i="1"/>
  <c r="AH71" i="1"/>
  <c r="B71" i="1"/>
  <c r="AK70" i="1"/>
  <c r="AH70" i="1"/>
  <c r="B70" i="1"/>
  <c r="AK69" i="1"/>
  <c r="B69" i="1"/>
  <c r="AK68" i="1"/>
  <c r="AH68" i="1"/>
  <c r="B68" i="1"/>
  <c r="AK67" i="1"/>
  <c r="AH67" i="1"/>
  <c r="B67" i="1"/>
  <c r="AK66" i="1"/>
  <c r="AH66" i="1"/>
  <c r="B66" i="1"/>
  <c r="AK65" i="1"/>
  <c r="B65" i="1"/>
  <c r="AK64" i="1"/>
  <c r="AH64" i="1"/>
  <c r="B64" i="1"/>
  <c r="AK63" i="1"/>
  <c r="AH63" i="1"/>
  <c r="B63" i="1"/>
  <c r="AK62" i="1"/>
  <c r="AH62" i="1"/>
  <c r="B62" i="1"/>
  <c r="AK61" i="1"/>
  <c r="AH61" i="1"/>
  <c r="B61" i="1"/>
  <c r="AK60" i="1"/>
  <c r="B60" i="1"/>
  <c r="AK59" i="1"/>
  <c r="B59" i="1"/>
  <c r="AK58" i="1"/>
  <c r="AH58" i="1"/>
  <c r="B58" i="1"/>
  <c r="AK57" i="1"/>
  <c r="AH57" i="1"/>
  <c r="B57" i="1"/>
  <c r="AK56" i="1"/>
  <c r="B56" i="1"/>
  <c r="AK55" i="1"/>
  <c r="AH55" i="1"/>
  <c r="B55" i="1"/>
  <c r="AK54" i="1"/>
  <c r="AH54" i="1"/>
  <c r="B54" i="1"/>
  <c r="AK53" i="1"/>
  <c r="AH53" i="1"/>
  <c r="B53" i="1"/>
  <c r="AK52" i="1"/>
  <c r="AH52" i="1"/>
  <c r="B52" i="1"/>
  <c r="AK51" i="1"/>
  <c r="AH51" i="1"/>
  <c r="B51" i="1"/>
  <c r="AK50" i="1"/>
  <c r="AH50" i="1"/>
  <c r="B50" i="1"/>
  <c r="AK49" i="1"/>
  <c r="AH49" i="1"/>
  <c r="B49" i="1"/>
  <c r="AK48" i="1"/>
  <c r="AH48" i="1"/>
  <c r="B48" i="1"/>
  <c r="AK47" i="1"/>
  <c r="B47" i="1"/>
  <c r="AK46" i="1"/>
  <c r="AH46" i="1"/>
  <c r="B46" i="1"/>
  <c r="AK45" i="1"/>
  <c r="B45" i="1"/>
  <c r="AK44" i="1"/>
  <c r="AH44" i="1"/>
  <c r="B44" i="1"/>
  <c r="AK43" i="1"/>
  <c r="B43" i="1"/>
  <c r="AK42" i="1"/>
  <c r="AH42" i="1"/>
  <c r="B42" i="1"/>
  <c r="AK41" i="1"/>
  <c r="AH41" i="1"/>
  <c r="B41" i="1"/>
  <c r="AK40" i="1"/>
  <c r="AH40" i="1"/>
  <c r="B40" i="1"/>
  <c r="AK39" i="1"/>
  <c r="AH39" i="1"/>
  <c r="B39" i="1"/>
  <c r="AK38" i="1"/>
  <c r="AH38" i="1"/>
  <c r="B38" i="1"/>
  <c r="AK37" i="1"/>
  <c r="AH37" i="1"/>
  <c r="B37" i="1"/>
  <c r="AK36" i="1"/>
  <c r="AH36" i="1"/>
  <c r="B36" i="1"/>
  <c r="AK35" i="1"/>
  <c r="AH35" i="1"/>
  <c r="B35" i="1"/>
  <c r="AK34" i="1"/>
  <c r="AH34" i="1"/>
  <c r="B34" i="1"/>
  <c r="AK33" i="1"/>
  <c r="B33" i="1"/>
  <c r="AK32" i="1"/>
  <c r="AH32" i="1"/>
  <c r="B32" i="1"/>
  <c r="AK31" i="1"/>
  <c r="AH31" i="1"/>
  <c r="B31" i="1"/>
  <c r="AK30" i="1"/>
  <c r="AH30" i="1"/>
  <c r="B30" i="1"/>
  <c r="AK29" i="1"/>
  <c r="AH29" i="1"/>
  <c r="B29" i="1"/>
  <c r="AK28" i="1"/>
  <c r="AH28" i="1"/>
  <c r="B28" i="1"/>
  <c r="AK27" i="1"/>
  <c r="AH27" i="1"/>
  <c r="B27" i="1"/>
  <c r="AK26" i="1"/>
  <c r="AH26" i="1"/>
  <c r="B26" i="1"/>
  <c r="AK25" i="1"/>
  <c r="AH25" i="1"/>
  <c r="B25" i="1"/>
  <c r="AK24" i="1"/>
  <c r="AH24" i="1"/>
  <c r="B24" i="1"/>
  <c r="AK23" i="1"/>
  <c r="AH23" i="1"/>
  <c r="B23" i="1"/>
  <c r="AK22" i="1"/>
  <c r="AH22" i="1"/>
  <c r="B22" i="1"/>
  <c r="AK21" i="1"/>
  <c r="AH21" i="1"/>
  <c r="B21" i="1"/>
  <c r="AK20" i="1"/>
  <c r="B20" i="1"/>
  <c r="AK19" i="1"/>
  <c r="AH19" i="1"/>
  <c r="B19" i="1"/>
  <c r="AK18" i="1"/>
  <c r="AH18" i="1"/>
  <c r="B18" i="1"/>
  <c r="AK17" i="1"/>
  <c r="AH17" i="1"/>
  <c r="B17" i="1"/>
  <c r="AK16" i="1"/>
  <c r="AH16" i="1"/>
  <c r="B16" i="1"/>
  <c r="AK15" i="1"/>
  <c r="AH15" i="1"/>
  <c r="B15" i="1"/>
  <c r="AK14" i="1"/>
  <c r="AH14" i="1"/>
  <c r="B14" i="1"/>
  <c r="AK13" i="1"/>
  <c r="AH13" i="1"/>
  <c r="B13" i="1"/>
  <c r="AK12" i="1"/>
  <c r="AH12" i="1"/>
  <c r="B12" i="1"/>
  <c r="AK11" i="1"/>
  <c r="AH11" i="1"/>
  <c r="B11" i="1"/>
  <c r="AK10" i="1"/>
  <c r="AH10" i="1"/>
  <c r="B10" i="1"/>
  <c r="AK9" i="1"/>
  <c r="AH9" i="1"/>
  <c r="B9" i="1"/>
  <c r="AK8" i="1"/>
  <c r="AH8" i="1"/>
  <c r="B8" i="1"/>
  <c r="AK7" i="1"/>
  <c r="AH7" i="1"/>
  <c r="B7" i="1"/>
  <c r="AK6" i="1"/>
  <c r="AH6" i="1"/>
  <c r="B6" i="1"/>
  <c r="AK5" i="1"/>
  <c r="AH5" i="1"/>
  <c r="B5" i="1"/>
  <c r="AK4" i="1"/>
  <c r="AH4" i="1"/>
  <c r="B4" i="1"/>
  <c r="AK3" i="1"/>
  <c r="AH3" i="1"/>
  <c r="B3" i="1"/>
  <c r="AK2" i="1"/>
  <c r="AH2" i="1"/>
  <c r="B2" i="1"/>
</calcChain>
</file>

<file path=xl/sharedStrings.xml><?xml version="1.0" encoding="utf-8"?>
<sst xmlns="http://schemas.openxmlformats.org/spreadsheetml/2006/main" count="52406" uniqueCount="28474">
  <si>
    <t>UniProt accession</t>
  </si>
  <si>
    <t>UniProt description</t>
  </si>
  <si>
    <t>UniProt gene</t>
  </si>
  <si>
    <t>Surfaceome Label</t>
  </si>
  <si>
    <t>Surfaceome Label Source</t>
  </si>
  <si>
    <t>Comment</t>
  </si>
  <si>
    <t>length</t>
  </si>
  <si>
    <t>TM domains</t>
  </si>
  <si>
    <t>signalpeptide</t>
  </si>
  <si>
    <t>topology</t>
  </si>
  <si>
    <t>topology source</t>
  </si>
  <si>
    <t>MachineLearning trainingset</t>
  </si>
  <si>
    <t>SURFY score</t>
  </si>
  <si>
    <t>MachineLearning FPR class (1=1%, 2=5%, 3=15%)</t>
  </si>
  <si>
    <t>Ensembl gene</t>
  </si>
  <si>
    <t>Ensembl protein</t>
  </si>
  <si>
    <t>CD number</t>
  </si>
  <si>
    <t>nxst motifs</t>
  </si>
  <si>
    <t>noncyt. nxst count</t>
  </si>
  <si>
    <t>glycomineN sites</t>
  </si>
  <si>
    <t>glycomineO sites</t>
  </si>
  <si>
    <t>glycomineC sites</t>
  </si>
  <si>
    <t>CSPA category</t>
  </si>
  <si>
    <t>CSPA peptide count</t>
  </si>
  <si>
    <t>CSPA peptides</t>
  </si>
  <si>
    <t>CSPA N115 sites</t>
  </si>
  <si>
    <t>CSPA id</t>
  </si>
  <si>
    <t>UniProt subcellular</t>
  </si>
  <si>
    <t>UniProt keywords</t>
  </si>
  <si>
    <t>UniProt uniref</t>
  </si>
  <si>
    <t>COMPARTMENTS link</t>
  </si>
  <si>
    <t>COMPARTMENTS benchmark pos</t>
  </si>
  <si>
    <t>COMPARTMENTS benchmark neg</t>
  </si>
  <si>
    <t>HPA antibody</t>
  </si>
  <si>
    <t>DrugBank approved drug IDs</t>
  </si>
  <si>
    <t>GeneID</t>
  </si>
  <si>
    <t>S12A8_HUMAN</t>
  </si>
  <si>
    <t>Solute carrier family 12 member 8</t>
  </si>
  <si>
    <t>SLC12A8</t>
  </si>
  <si>
    <t>surface</t>
  </si>
  <si>
    <t>machine learning</t>
  </si>
  <si>
    <t>NC:1-37;TM:38-60;CY:61-71;TM:72-93;NC:94-98;TM:99-116;CY:117-122;TM:123-142;NC:143-153;TM:154-174;CY:175-183;TM:184-204;NC:205-232;TM:233-254;CY:255-266;TM:267-289;NC:290-307;TM:308-330;CY:331-359;TM:360-377;NC:378-382;TM:383-403;CY:404-592;TM:593-616;NC:617-621;TM:622-646;CY:647-714</t>
  </si>
  <si>
    <t>phobius</t>
  </si>
  <si>
    <t>ENSG00000221955</t>
  </si>
  <si>
    <t>ENSP00000377112;ENSP00000415713;ENSP00000418783</t>
  </si>
  <si>
    <t>Transporters</t>
  </si>
  <si>
    <t>SLC;APC;SLC12</t>
  </si>
  <si>
    <t>221;357;483;561;645</t>
  </si>
  <si>
    <t>Membrane (Multi-pass membrane protein)</t>
  </si>
  <si>
    <t>Alternative splicing;Chloride;Complete proteome;Glycoprotein;Ion transport;Membrane;Polymorphism;Potassium;Potassium transport;Reference proteome;Symport;Transmembrane;Transmembrane helix;Transport</t>
  </si>
  <si>
    <t>UniRef100_A0AV02;UniRef90_A0AV02;UniRef50_A0AV02</t>
  </si>
  <si>
    <t>Cytoskeleton;Cytosol;Endoplasmic Reticulum;Endosome;Extracellular space;Golgi apparatus;Lysosome;Mitochondrion;Nucleus;Peroxisome</t>
  </si>
  <si>
    <t>ESYT3_HUMAN</t>
  </si>
  <si>
    <t>Extended synaptotagmin-3</t>
  </si>
  <si>
    <t>ESYT3</t>
  </si>
  <si>
    <t>pos. trainingset</t>
  </si>
  <si>
    <t>CY:1-27;TM:28-46;NC:47-51;TM:52-72;CY:73-886</t>
  </si>
  <si>
    <t>uniprot</t>
  </si>
  <si>
    <t>ENSG00000158220</t>
  </si>
  <si>
    <t>ENSP00000374218</t>
  </si>
  <si>
    <t>Unclassified</t>
  </si>
  <si>
    <t>251;411;780</t>
  </si>
  <si>
    <t>Cell membrane (Peripheral membrane protein);Endoplasmic reticulum membrane (Multi-pass membrane protein)</t>
  </si>
  <si>
    <t>Alternative splicing;Calcium;Cell membrane;Complete proteome;Endoplasmic reticulum;Lipid transport;Lipid-binding;Membrane;Metal-binding;Polymorphism;Reference proteome;Repeat;Transmembrane;Transmembrane helix;Transport</t>
  </si>
  <si>
    <t>UniRef100_A0FGR9;UniRef90_A0FGR9;UniRef50_A0FGR9</t>
  </si>
  <si>
    <t>Plasma membrane</t>
  </si>
  <si>
    <t>SC5AA_HUMAN</t>
  </si>
  <si>
    <t>Sodium/glucose cotransporter 5</t>
  </si>
  <si>
    <t>SLC5A10</t>
  </si>
  <si>
    <t>NC:1-15;TM:16-37;CY:38-73;TM:74-93;NC:94-98;TM:99-124;CY:125-145;TM:146-169;NC:170-174;TM:175-194;CY:195-200;TM:201-219;NC:220-260;TM:261-279;CY:280-299;TM:300-321;NC:322-362;TM:363-381;CY:382-408;TM:409-428;NC:429-439;TM:440-464;CY:465-470;TM:471-492;NC:493-511;TM:512-534;CY:535-571;TM:572-595;NC:596-596</t>
  </si>
  <si>
    <t>ENSG00000154025</t>
  </si>
  <si>
    <t>ENSP00000379007</t>
  </si>
  <si>
    <t>SLC;APC;SLC5</t>
  </si>
  <si>
    <t>4;96;239;386;545</t>
  </si>
  <si>
    <t>Cell membrane (Multi-pass membrane protein)</t>
  </si>
  <si>
    <t>Alternative splicing;Cell membrane;Complete proteome;Glycoprotein;Ion transport;Membrane;Phosphoprotein;Polymorphism;Reference proteome;Sodium;Sodium transport;Transmembrane;Transmembrane helix;Transport</t>
  </si>
  <si>
    <t>UniRef100_A0PJK1;UniRef90_A0PJK1;UniRef50_A0PJK1</t>
  </si>
  <si>
    <t>CLRN2_HUMAN</t>
  </si>
  <si>
    <t>Clarin-2</t>
  </si>
  <si>
    <t>CLRN2</t>
  </si>
  <si>
    <t>CY:1-11;TM:12-33;NC:34-96;TM:97-124;CY:125-135;TM:136-158;NC:159-187;TM:188-209;CY:210-232</t>
  </si>
  <si>
    <t>ENSG00000249581</t>
  </si>
  <si>
    <t>ENSP00000424711</t>
  </si>
  <si>
    <t>Complete proteome;Glycoprotein;Membrane;Polymorphism;Reference proteome;Transmembrane;Transmembrane helix</t>
  </si>
  <si>
    <t>UniRef100_A0PK11;UniRef90_A0PK11;UniRef50_A0PK11</t>
  </si>
  <si>
    <t>CC50C_HUMAN</t>
  </si>
  <si>
    <t>Cell cycle control protein 50C</t>
  </si>
  <si>
    <t>TMEM30C</t>
  </si>
  <si>
    <t>CY:1-34;TM:35-57;NC:58-113</t>
  </si>
  <si>
    <t>ENSG00000235156</t>
  </si>
  <si>
    <t>ENSP00000402698</t>
  </si>
  <si>
    <t>Miscellaneous</t>
  </si>
  <si>
    <t>Unknown_function;TMEM30</t>
  </si>
  <si>
    <t>66;80</t>
  </si>
  <si>
    <t>Membrane (Single-pass membrane protein)</t>
  </si>
  <si>
    <t>Complete proteome;Glycoprotein;Membrane;Reference proteome;Transmembrane;Transmembrane helix</t>
  </si>
  <si>
    <t>UniRef100_A0ZSE6;UniRef90_A0ZT23-2;UniRef50_A0ZT23-2</t>
  </si>
  <si>
    <t>ANO9_HUMAN</t>
  </si>
  <si>
    <t>Anoctamin-9</t>
  </si>
  <si>
    <t>ANO9</t>
  </si>
  <si>
    <t>CY:1-195;TM:196-217;NC:218-266;TM:267-285;CY:286-330;TM:331-354;NC:355-373;TM:374-394;CY:395-421;TM:422-444;NC:445-547;TM:548-571;CY:572-599;TM:600-621;NC:622-698;TM:699-724;CY:725-782</t>
  </si>
  <si>
    <t>uniprot - CSPA confirmed</t>
  </si>
  <si>
    <t>ENSG00000185101</t>
  </si>
  <si>
    <t>ENSP00000332788</t>
  </si>
  <si>
    <t>Unknown_function;TMEM16</t>
  </si>
  <si>
    <t>130;641;652;674;690</t>
  </si>
  <si>
    <t>164;193</t>
  </si>
  <si>
    <t>1 - high confidence</t>
  </si>
  <si>
    <t>EGN[115]STVDCLK;DFQDPDGIEGSEN[115]VTLCR</t>
  </si>
  <si>
    <t>641;674</t>
  </si>
  <si>
    <t>A1A5B4</t>
  </si>
  <si>
    <t>Alternative splicing;Cell membrane;Complete proteome;Glycoprotein;Lipid transport;Membrane;Polymorphism;Reference proteome;Transmembrane;Transmembrane helix;Transport</t>
  </si>
  <si>
    <t>UniRef100_A1A5B4;UniRef90_A1A5B4;UniRef50_A1A5B4</t>
  </si>
  <si>
    <t>Extracellular space</t>
  </si>
  <si>
    <t>S22AN_HUMAN</t>
  </si>
  <si>
    <t>Solute carrier family 22 member 23</t>
  </si>
  <si>
    <t>SLC22A23</t>
  </si>
  <si>
    <t>NC:1-230;TM:231-253;CY:254-258;TM:259-280;NC:281-285;TM:286-304;CY:305-315;TM:316-337;NC:338-343;TM:344-362;CY:363-467;TM:468-489;NC:490-494;TM:495-517;CY:518-537;TM:538-558;NC:559-565;TM:566-589;CY:590-597;TM:598-618;NC:619-686</t>
  </si>
  <si>
    <t>uniprot - CSPA based corrected Nterm - CSPA confirmed</t>
  </si>
  <si>
    <t>ENSG00000137266</t>
  </si>
  <si>
    <t>ENSP00000385028</t>
  </si>
  <si>
    <t>SLC;MFS;SLC22</t>
  </si>
  <si>
    <t>24;151;170;173;194;279;629</t>
  </si>
  <si>
    <t>2 - putative</t>
  </si>
  <si>
    <t>SNSSGADGGDTPPLPSPPDKGDN[115]ASN[115]CDCR;SN[115]SSGADGGDTPPLPSPPDK;SN[115]SSGADGGDTPPLPSPPDKGDN[115]ASNCDCR</t>
  </si>
  <si>
    <t>173;194</t>
  </si>
  <si>
    <t>A1A5C7</t>
  </si>
  <si>
    <t>Alternative splicing;Complete proteome;Glycoprotein;Ion transport;Membrane;Reference proteome;Transmembrane;Transmembrane helix;Transport</t>
  </si>
  <si>
    <t>UniRef100_A1A5C7;UniRef90_A1A5C7;UniRef50_A1A5C7</t>
  </si>
  <si>
    <t>TSN11_HUMAN</t>
  </si>
  <si>
    <t>Tetraspanin-11</t>
  </si>
  <si>
    <t>TSPAN11</t>
  </si>
  <si>
    <t>CY:1-14;TM:15-41;NC:42-60;TM:61-83;CY:84-92;TM:93-115;NC:116-219;TM:220-244;CY:245-253</t>
  </si>
  <si>
    <t>ENSG00000110900</t>
  </si>
  <si>
    <t>ENSP00000261177;ENSP00000437403</t>
  </si>
  <si>
    <t>Other;Tetraspanin</t>
  </si>
  <si>
    <t>127;159</t>
  </si>
  <si>
    <t>UniRef100_A1L157;UniRef90_A1L157;UniRef50_A1L157</t>
  </si>
  <si>
    <t>TM213_HUMAN</t>
  </si>
  <si>
    <t>Transmembrane protein 213</t>
  </si>
  <si>
    <t>TMEM213</t>
  </si>
  <si>
    <t>SP:1-29;NC:30-69;TM:70-91;CY:92-107</t>
  </si>
  <si>
    <t>ENSG00000214128</t>
  </si>
  <si>
    <t>ENSP00000390407</t>
  </si>
  <si>
    <t>Membrane (Single-pass type I membrane protein)</t>
  </si>
  <si>
    <t>Alternative splicing;Complete proteome;Membrane;Reference proteome;Signal;Transmembrane;Transmembrane helix</t>
  </si>
  <si>
    <t>UniRef100_A2RRL7;UniRef90_A2RRL7;UniRef50_A2RRL7</t>
  </si>
  <si>
    <t>T131L_HUMAN</t>
  </si>
  <si>
    <t>Transmembrane protein 131-like</t>
  </si>
  <si>
    <t>KIAA0922</t>
  </si>
  <si>
    <t>SP:1-40;NC:41-869;TM:870-891;CY:892-1609</t>
  </si>
  <si>
    <t>ENSG00000121210</t>
  </si>
  <si>
    <t>ENSP00000386574</t>
  </si>
  <si>
    <t>173;225;268;343;403;439;522;593;649;709;809;846;908;1045;1210;1365;1422</t>
  </si>
  <si>
    <t>408;1322</t>
  </si>
  <si>
    <t>DALSLQFEPVLLPTSTTN[115]FTK;NN[115]LTVIDMIGVEGFGAR</t>
  </si>
  <si>
    <t>343;709</t>
  </si>
  <si>
    <t>A2VDJ0</t>
  </si>
  <si>
    <t>Alternative splicing;Complete proteome;Glycoprotein;Membrane;Phosphoprotein;Polymorphism;Reference proteome;Signal;Transmembrane;Transmembrane helix</t>
  </si>
  <si>
    <t>UniRef100_A2VDJ0;UniRef90_A2VDJ0;UniRef50_A2VDJ0</t>
  </si>
  <si>
    <t>OR2M5_HUMAN</t>
  </si>
  <si>
    <t>Olfactory receptor 2M5</t>
  </si>
  <si>
    <t>OR2M5</t>
  </si>
  <si>
    <t>NC:1-25;TM:26-50;CY:51-59;TM:60-81;NC:82-100;TM:101-120;CY:121-139;TM:140-161;NC:162-197;TM:198-222;CY:223-237;TM:238-260;NC:261-272;TM:273-292;CY:293-312</t>
  </si>
  <si>
    <t>ENSG00000162727</t>
  </si>
  <si>
    <t>ENSP00000355432</t>
  </si>
  <si>
    <t>Receptors</t>
  </si>
  <si>
    <t>GPCR;Olf</t>
  </si>
  <si>
    <t>5;19;190</t>
  </si>
  <si>
    <t>Cell membrane;Complete proteome;Disulfide bond;G-protein coupled receptor;Glycoprotein;Membrane;Olfaction;Polymorphism;Receptor;Reference proteome;Sensory transduction;Transducer;Transmembrane;Transmembrane helix</t>
  </si>
  <si>
    <t>UniRef100_A3KFT3;UniRef90_Q8NG83;UniRef50_Q96R27</t>
  </si>
  <si>
    <t>O2A25_HUMAN</t>
  </si>
  <si>
    <t>Olfactory receptor 2A25</t>
  </si>
  <si>
    <t>OR2A25</t>
  </si>
  <si>
    <t>NC:1-23;TM:24-48;CY:49-58;TM:59-81;NC:82-99;TM:100-119;CY:120-138;TM:139-162;NC:163-198;TM:199-224;CY:225-235;TM:236-259;NC:260-271;TM:272-291;CY:292-310</t>
  </si>
  <si>
    <t>ENSG00000221933</t>
  </si>
  <si>
    <t>ENSP00000386167</t>
  </si>
  <si>
    <t>4;41</t>
  </si>
  <si>
    <t>UniRef100_A4D2G3;UniRef90_A4D2G3;UniRef50_Q96R47</t>
  </si>
  <si>
    <t>S35F4_HUMAN</t>
  </si>
  <si>
    <t>Solute carrier family 35 member F4</t>
  </si>
  <si>
    <t>SLC35F4</t>
  </si>
  <si>
    <t>NC:1-163;TM:164-183;CY:184-191;TM:192-214;NC:215-251;TM:252-269;CY:270-277;TM:278-297;NC:298-302;TM:303-322;CY:323-328;TM:329-350;NC:351-361;TM:362-386;CY:387-396;TM:397-417;NC:418-422;TM:423-443;CY:444-449;TM:450-472;NC:473-521</t>
  </si>
  <si>
    <t>ENSG00000151812</t>
  </si>
  <si>
    <t>ENSP00000342518</t>
  </si>
  <si>
    <t>SLC;DMT;SLC35</t>
  </si>
  <si>
    <t>130;143;513</t>
  </si>
  <si>
    <t>Alternative splicing;Complete proteome;Membrane;Reference proteome;Transmembrane;Transmembrane helix;Transport</t>
  </si>
  <si>
    <t>UniRef100_A4IF30;UniRef90_A4IF30;UniRef50_A4IF30</t>
  </si>
  <si>
    <t>5HT3E_HUMAN</t>
  </si>
  <si>
    <t>5-hydroxytryptamine receptor 3E</t>
  </si>
  <si>
    <t>HTR3E</t>
  </si>
  <si>
    <t>SP:1-25;NC:26-248;TM:249-271;CY:272-282;TM:283-301;NC:302-307;TM:308-330;CY:331-434;TM:435-454;NC:455-456</t>
  </si>
  <si>
    <t>ENSG00000186038</t>
  </si>
  <si>
    <t>ENSP00000401444</t>
  </si>
  <si>
    <t>Channels;Ligand_gated_ion_channels;cys-loop</t>
  </si>
  <si>
    <t>31;59;67;175</t>
  </si>
  <si>
    <t>Alternative splicing;Cell membrane;Complete proteome;Disulfide bond;Glycoprotein;Ion channel;Ion transport;Ligand-gated ion channel;Membrane;Polymorphism;Receptor;Reference proteome;Signal;Transmembrane;Transmembrane helix;Transport</t>
  </si>
  <si>
    <t>UniRef100_A5X5Y0;UniRef90_A5X5Y0;UniRef50_A5X5Y0</t>
  </si>
  <si>
    <t>MEG11_HUMAN</t>
  </si>
  <si>
    <t>Multiple epidermal growth factor-like domains protein 11</t>
  </si>
  <si>
    <t>MEGF11</t>
  </si>
  <si>
    <t>SP:1-19;NC:20-848;TM:849-871;CY:872-1044</t>
  </si>
  <si>
    <t>ENSG00000157890</t>
  </si>
  <si>
    <t>ENSP00000386908;ENSP00000414475</t>
  </si>
  <si>
    <t>SCAR;Class_F</t>
  </si>
  <si>
    <t>270;391;445;490;531;574;672;800;801;938;1005</t>
  </si>
  <si>
    <t>Basolateral cell membrane (Single- pass type I membrane protein);Cell membrane (Single-pass type I membrane protein)</t>
  </si>
  <si>
    <t>Alternative splicing;Cell membrane;Complete proteome;Disulfide bond;EGF-like domain;Glycoprotein;Membrane;Polymorphism;Reference proteome;Repeat;Signal;Transmembrane;Transmembrane helix</t>
  </si>
  <si>
    <t>UniRef100_A6BM72;UniRef90_A6BM72;UniRef50_A6BM72</t>
  </si>
  <si>
    <t>CDHR4_HUMAN</t>
  </si>
  <si>
    <t>Cadherin-related family member 4</t>
  </si>
  <si>
    <t>CDHR4</t>
  </si>
  <si>
    <t>SP:1-16;NC:17-686;TM:687-707;CY:708-788</t>
  </si>
  <si>
    <t>ENSG00000187492</t>
  </si>
  <si>
    <t>ENSP00000391409</t>
  </si>
  <si>
    <t>StructuralAndAdhesion;ProtocadherinsOther</t>
  </si>
  <si>
    <t>26;43;242;323;397</t>
  </si>
  <si>
    <t>Alternative splicing;Calcium;Cell adhesion;Complete proteome;Glycoprotein;Membrane;Polymorphism;Reference proteome;Repeat;Signal;Transmembrane;Transmembrane helix</t>
  </si>
  <si>
    <t>UniRef100_A6H8M9;UniRef90_A6H8M9;UniRef50_A6H8M9</t>
  </si>
  <si>
    <t>T150B_HUMAN</t>
  </si>
  <si>
    <t>Transmembrane protein 150B</t>
  </si>
  <si>
    <t>TMEM150B</t>
  </si>
  <si>
    <t>SP:1-25;NC:26-53;TM:54-75;CY:76-88;TM:89-107;NC:108-116;TM:117-138;CY:139-153;TM:154-174;NC:175-185;TM:186-206;CY:207-233</t>
  </si>
  <si>
    <t>ENSG00000180061</t>
  </si>
  <si>
    <t>ENSP00000320757</t>
  </si>
  <si>
    <t>Complete proteome;Glycoprotein;Membrane;Polymorphism;Reference proteome;Signal;Transmembrane;Transmembrane helix</t>
  </si>
  <si>
    <t>UniRef100_A6NC51;UniRef90_A6NC51;UniRef50_Q8R218</t>
  </si>
  <si>
    <t>O6C74_HUMAN</t>
  </si>
  <si>
    <t>Olfactory receptor 6C74</t>
  </si>
  <si>
    <t>OR6C74</t>
  </si>
  <si>
    <t>NC:1-22;TM:23-48;CY:49-58;TM:59-77;NC:78-95;TM:96-118;CY:119-137;TM:138-158;NC:159-194;TM:195-216;CY:217-235;TM:236-258;NC:259-270;TM:271-290;CY:291-312</t>
  </si>
  <si>
    <t>ENSG00000197706</t>
  </si>
  <si>
    <t>ENSP00000342836</t>
  </si>
  <si>
    <t>3;40;63</t>
  </si>
  <si>
    <t>UniRef100_A6NCV1;UniRef90_A6NCV1;UniRef50_Q9NZP2</t>
  </si>
  <si>
    <t>JUNO_HUMAN</t>
  </si>
  <si>
    <t>Sperm-egg fusion protein Juno</t>
  </si>
  <si>
    <t>IZUMO1R</t>
  </si>
  <si>
    <t>GPI (UniProt)</t>
  </si>
  <si>
    <t>SP:1-19;NC:20-250</t>
  </si>
  <si>
    <t>2 (nonTM)</t>
  </si>
  <si>
    <t>ENSG00000183560</t>
  </si>
  <si>
    <t>Cell membrane (Lipid-anchor, GPI-anchor)</t>
  </si>
  <si>
    <t>Alternative splicing;Cell membrane;Complete proteome;Disulfide bond;Fertilization;Glycoprotein;GPI-anchor;Lipoprotein;Membrane;Receptor;Reference proteome;Signal</t>
  </si>
  <si>
    <t>UniRef100_A6ND01;UniRef90_A6ND01;UniRef50_Q9EQF4</t>
  </si>
  <si>
    <t>O14I1_HUMAN</t>
  </si>
  <si>
    <t>Olfactory receptor 14I1</t>
  </si>
  <si>
    <t>OR14I1</t>
  </si>
  <si>
    <t>NC:1-22;TM:23-47;CY:48-58;TM:59-77;NC:78-93;TM:94-117;CY:118-137;TM:138-156;NC:157-190;TM:191-215;CY:216-238;TM:239-259;NC:260-269;TM:270-290;CY:291-311</t>
  </si>
  <si>
    <t>ENSG00000189181</t>
  </si>
  <si>
    <t>ENSP00000339726</t>
  </si>
  <si>
    <t>3;63</t>
  </si>
  <si>
    <t>UniRef100_A6ND48;UniRef90_A6ND48;UniRef50_A6ND48</t>
  </si>
  <si>
    <t>LRIT2_HUMAN</t>
  </si>
  <si>
    <t>Leucine-rich repeat, immunoglobulin-like domain and transmembrane domain-containing protein 2</t>
  </si>
  <si>
    <t>LRIT2</t>
  </si>
  <si>
    <t>SP:1-19;NC:20-462;TM:463-485;CY:486-550</t>
  </si>
  <si>
    <t>ENSG00000204033</t>
  </si>
  <si>
    <t>ENSP00000361185</t>
  </si>
  <si>
    <t>Other;LRRC</t>
  </si>
  <si>
    <t>52;77;90;261;269;324</t>
  </si>
  <si>
    <t>Alternative splicing;Complete proteome;Disulfide bond;Glycoprotein;Immunoglobulin domain;Leucine-rich repeat;Membrane;Polymorphism;Reference proteome;Repeat;Signal;Transmembrane;Transmembrane helix</t>
  </si>
  <si>
    <t>UniRef100_A6NDA9;UniRef90_A6NDA9;UniRef50_A6NDA9</t>
  </si>
  <si>
    <t>O5H15_HUMAN</t>
  </si>
  <si>
    <t>Olfactory receptor 5H15</t>
  </si>
  <si>
    <t>OR5H15</t>
  </si>
  <si>
    <t>NC:1-26;TM:27-50;CY:51-56;TM:57-78;NC:79-98;TM:99-120;CY:121-139;TM:140-158;NC:159-194;TM:195-221;CY:222-240;TM:241-260;NC:261-274;TM:275-293;CY:294-313</t>
  </si>
  <si>
    <t>ENSG00000233412</t>
  </si>
  <si>
    <t>ENSP00000373195</t>
  </si>
  <si>
    <t>UniRef100_A6NDH6;UniRef90_A6NKK0;UniRef50_Q8NGV6</t>
  </si>
  <si>
    <t>O6C68_HUMAN</t>
  </si>
  <si>
    <t>Olfactory receptor 6C68</t>
  </si>
  <si>
    <t>OR6C68</t>
  </si>
  <si>
    <t>NC:1-22;TM:23-46;CY:47-57;TM:58-80;NC:81-95;TM:96-118;CY:119-137;TM:138-159;NC:160-196;TM:197-219;CY:220-238;TM:239-258;NC:259-270;TM:271-290;CY:291-312</t>
  </si>
  <si>
    <t>ENSG00000205327</t>
  </si>
  <si>
    <t>ENSP00000448811</t>
  </si>
  <si>
    <t>Cell membrane;Complete proteome;Disulfide bond;G-protein coupled receptor;Membrane;Olfaction;Receptor;Reference proteome;Sensory transduction;Transducer;Transmembrane;Transmembrane helix</t>
  </si>
  <si>
    <t>UniRef100_A6NDL8;UniRef90_A6NDL8;UniRef50_A6NDL8</t>
  </si>
  <si>
    <t>MADL2_HUMAN</t>
  </si>
  <si>
    <t>Myeloid-associated differentiation marker-like protein 2</t>
  </si>
  <si>
    <t>MYADML2</t>
  </si>
  <si>
    <t>NC:1-54;TM:55-74;CY:75-85;TM:86-109;NC:110-128;TM:129-148;CY:149-159;TM:160-183;NC:184-195;TM:196-218;CY:219-229;TM:230-252;NC:253-277;TM:278-297;CY:298-307</t>
  </si>
  <si>
    <t>ENSG00000185105</t>
  </si>
  <si>
    <t>ENSP00000327718;ENSP00000386702</t>
  </si>
  <si>
    <t>Complete proteome;Membrane;Reference proteome;Repeat;Transmembrane;Transmembrane helix</t>
  </si>
  <si>
    <t>UniRef100_A6NDP7;UniRef90_Q08AU7;UniRef50_Q08AU7</t>
  </si>
  <si>
    <t>TMM8B_HUMAN</t>
  </si>
  <si>
    <t>Transmembrane protein 8B</t>
  </si>
  <si>
    <t>TMEM8B</t>
  </si>
  <si>
    <t>NC:1-229;TM:230-251;CY:252-257;TM:258-277;NC:278-292;TM:293-312;CY:313-318;TM:319-337;NC:338-343;TM:344-363;CY:364-378;TM:379-400;NC:401-405;TM:406-425;CY:426-472</t>
  </si>
  <si>
    <t>ENSG00000137103</t>
  </si>
  <si>
    <t>ENSP00000367227;ENSP00000367230</t>
  </si>
  <si>
    <t>92;100;172</t>
  </si>
  <si>
    <t>215;376</t>
  </si>
  <si>
    <t>Cell membrane (Multi-pass membrane protein);Cytoplasm;Endoplasmic reticulum;Mitochondrion;Nucleus</t>
  </si>
  <si>
    <t>Alternative splicing;Cell adhesion;Cell membrane;Complete proteome;Cytoplasm;Disulfide bond;EGF-like domain;Endoplasmic reticulum;Glycoprotein;Growth regulation;Membrane;Mitochondrion;Nucleus;Reference proteome;Transmembrane;Transmembrane helix</t>
  </si>
  <si>
    <t>UniRef100_A6NDV4;UniRef90_A6NDV4;UniRef50_A6NDV4</t>
  </si>
  <si>
    <t>Endoplasmic Reticulum;Mitochondrion;Plasma membrane</t>
  </si>
  <si>
    <t>Cytoskeleton;Extracellular space</t>
  </si>
  <si>
    <t>OR5K3_HUMAN</t>
  </si>
  <si>
    <t>Olfactory receptor 5K3</t>
  </si>
  <si>
    <t>OR5K3</t>
  </si>
  <si>
    <t>NC:1-25;TM:26-50;CY:51-59;TM:60-79;NC:80-98;TM:99-120;CY:121-139;TM:140-158;NC:159-196;TM:197-221;CY:222-234;TM:235-258;NC:259-269;TM:270-290;CY:291-321</t>
  </si>
  <si>
    <t>ENSG00000206536</t>
  </si>
  <si>
    <t>ENSP00000373194</t>
  </si>
  <si>
    <t>UniRef100_A6NET4;UniRef90_A6NET4;UniRef50_Q8NHB7</t>
  </si>
  <si>
    <t>ANTRL_HUMAN</t>
  </si>
  <si>
    <t>Anthrax toxin receptor-like</t>
  </si>
  <si>
    <t>ANTXRL</t>
  </si>
  <si>
    <t>SP:1-27;NC:28-353;TM:354-374;CY:375-631</t>
  </si>
  <si>
    <t>ENSG00000274209</t>
  </si>
  <si>
    <t>ENSP00000480615</t>
  </si>
  <si>
    <t>293;307;340</t>
  </si>
  <si>
    <t>Complete proteome;Membrane;Metal-binding;Polymorphism;Reference proteome;Signal;Transmembrane;Transmembrane helix</t>
  </si>
  <si>
    <t>UniRef100_A6NF34;UniRef90_A6NF34;UniRef50_A6NF34</t>
  </si>
  <si>
    <t>OR6C6_HUMAN</t>
  </si>
  <si>
    <t>Olfactory receptor 6C6</t>
  </si>
  <si>
    <t>OR6C6</t>
  </si>
  <si>
    <t>NC:1-21;TM:22-48;CY:49-59;TM:60-84;NC:85-97;TM:98-118;CY:119-137;TM:138-159;NC:160-197;TM:198-220;CY:221-235;TM:236-258;NC:259-270;TM:271-290;CY:291-314</t>
  </si>
  <si>
    <t>ENSG00000188324</t>
  </si>
  <si>
    <t>ENSP00000351211</t>
  </si>
  <si>
    <t>3;32;63</t>
  </si>
  <si>
    <t>UniRef100_A6NF89;UniRef90_A6NF89;UniRef50_Q9NZP2</t>
  </si>
  <si>
    <t>TIKI2_HUMAN</t>
  </si>
  <si>
    <t>Metalloprotease TIKI2</t>
  </si>
  <si>
    <t>TRABD2B</t>
  </si>
  <si>
    <t>SP:1-19;NC:20-493;TM:494-514;CY:515-517</t>
  </si>
  <si>
    <t>ENSG00000269113</t>
  </si>
  <si>
    <t>ENSP00000476820</t>
  </si>
  <si>
    <t>219;228;277;335</t>
  </si>
  <si>
    <t>228;277;335</t>
  </si>
  <si>
    <t>Cell membrane (Single-pass type I membrane protein)</t>
  </si>
  <si>
    <t>Cell membrane;Complete proteome;Glycoprotein;Hydrolase;Membrane;Metal-binding;Metalloprotease;Protease;Reference proteome;Signal;Transmembrane;Transmembrane helix;Wnt signaling pathway</t>
  </si>
  <si>
    <t>UniRef100_A6NFA1;UniRef90_A6NFA1;UniRef50_A6NFA1</t>
  </si>
  <si>
    <t>TM235_HUMAN</t>
  </si>
  <si>
    <t>Transmembrane protein 235</t>
  </si>
  <si>
    <t>TMEM235</t>
  </si>
  <si>
    <t>SP:1-27;NC:28-90;TM:91-115;CY:116-124;TM:125-149;NC:150-174;TM:175-198;CY:199-223</t>
  </si>
  <si>
    <t>ENSG00000204278</t>
  </si>
  <si>
    <t>ENSP00000402790;ENSP00000446514</t>
  </si>
  <si>
    <t>AuxillaryTransportUnit;CACNG</t>
  </si>
  <si>
    <t>Endoplasmic reticulum;Membrane (Multi-pass membrane protein)</t>
  </si>
  <si>
    <t>Alternative splicing;Complete proteome;Endoplasmic reticulum;Glycoprotein;Membrane;Reference proteome;Signal;Transmembrane;Transmembrane helix</t>
  </si>
  <si>
    <t>UniRef100_A6NFC5;UniRef90_A6NFC5;UniRef50_B1AQL3</t>
  </si>
  <si>
    <t>Cytoskeleton;Cytosol;Endosome;Extracellular space;Golgi apparatus;Lysosome;Mitochondrion;Nucleus;Peroxisome</t>
  </si>
  <si>
    <t>MFS2B_HUMAN</t>
  </si>
  <si>
    <t>Major facilitator superfamily domain-containing protein 2B</t>
  </si>
  <si>
    <t>MFSD2B</t>
  </si>
  <si>
    <t>CY:1-112;TM:113-134;NC:135-145;TM:146-170;CY:171-184;TM:185-206;NC:207-227;TM:228-251;CY:252-282;TM:283-306;NC:307-317;TM:318-339;CY:340-346;TM:347-365;NC:366-370;TM:371-392;CY:393-412;TM:413-435;NC:436-456;TM:457-478;CY:479-497</t>
  </si>
  <si>
    <t>ENSG00000205639</t>
  </si>
  <si>
    <t>ENSP00000385527</t>
  </si>
  <si>
    <t>Complete proteome;Membrane;Reference proteome;Transmembrane;Transmembrane helix;Transport</t>
  </si>
  <si>
    <t>UniRef100_A6NFX1;UniRef90_A6NFX1;UniRef50_A6NFX1</t>
  </si>
  <si>
    <t>GGT3_HUMAN</t>
  </si>
  <si>
    <t>Putative gamma-glutamyltranspeptidase 3</t>
  </si>
  <si>
    <t>GGT3P</t>
  </si>
  <si>
    <t>CY:1-6;TM:7-27;NC:28-568</t>
  </si>
  <si>
    <t>95;120;230;266;297;344;510</t>
  </si>
  <si>
    <t>Membrane (Single-pass type II membrane protein)</t>
  </si>
  <si>
    <t>Acyltransferase;Complete proteome;Glutathione biosynthesis;Glycoprotein;Hydrolase;Membrane;Protease;Reference proteome;Signal-anchor;Transferase;Transmembrane;Transmembrane helix;Zymogen</t>
  </si>
  <si>
    <t>UniRef100_A6NGU5;UniRef90_P19440;UniRef50_P19440</t>
  </si>
  <si>
    <t>O51F1_HUMAN</t>
  </si>
  <si>
    <t>Olfactory receptor 51F1</t>
  </si>
  <si>
    <t>OR51F1</t>
  </si>
  <si>
    <t>NC:1-33;TM:34-59;CY:60-70;TM:71-96;NC:97-105;TM:106-129;CY:130-149;TM:150-172;NC:173-211;TM:212-235;CY:236-246;TM:247-271;NC:272-279;TM:280-300;CY:301-319</t>
  </si>
  <si>
    <t>ENSG00000280021</t>
  </si>
  <si>
    <t>ENSP00000369744</t>
  </si>
  <si>
    <t>Cell membrane;Complete proteome;Disulfide bond;G-protein coupled receptor;Membrane;Olfaction;Polymorphism;Receptor;Reference proteome;Sensory transduction;Transducer;Transmembrane;Transmembrane helix</t>
  </si>
  <si>
    <t>UniRef100_A6NGY5;UniRef90_A6NGY5;UniRef50_A6NGY5</t>
  </si>
  <si>
    <t>OR2T8_HUMAN</t>
  </si>
  <si>
    <t>Olfactory receptor 2T8</t>
  </si>
  <si>
    <t>OR2T8</t>
  </si>
  <si>
    <t>NC:1-23;TM:24-46;CY:47-57;TM:58-77;NC:78-96;TM:97-118;CY:119-137;TM:138-160;NC:161-195;TM:196-223;CY:224-234;TM:235-258;NC:259-270;TM:271-290;CY:291-312</t>
  </si>
  <si>
    <t>ENSG00000177462</t>
  </si>
  <si>
    <t>ENSP00000326225</t>
  </si>
  <si>
    <t>3;17;143</t>
  </si>
  <si>
    <t>UniRef100_A6NH00;UniRef90_A6NH00;UniRef50_A6NH00</t>
  </si>
  <si>
    <t>SERC4_HUMAN</t>
  </si>
  <si>
    <t>Serine incorporator 4</t>
  </si>
  <si>
    <t>SERINC4</t>
  </si>
  <si>
    <t>CY:1-61;TM:62-82;NC:83-117;TM:118-140;CY:141-152;TM:153-172;NC:173-180;TM:181-203;CY:204-220;TM:221-247;NC:248-258;TM:259-279;CY:280-287;TM:288-306;NC:307-337;TM:338-356;CY:357-426;TM:427-447;NC:448-465;TM:466-489;CY:490-518</t>
  </si>
  <si>
    <t>ENSG00000184716</t>
  </si>
  <si>
    <t>ENSP00000319796</t>
  </si>
  <si>
    <t>Other_transporters;SERINC</t>
  </si>
  <si>
    <t>320;424</t>
  </si>
  <si>
    <t>Alternative splicing;Complete proteome;Lipid biosynthesis;Lipid metabolism;Membrane;Phospholipid biosynthesis;Phospholipid metabolism;Reference proteome;Transmembrane;Transmembrane helix</t>
  </si>
  <si>
    <t>UniRef100_A6NH21;UniRef90_A6NH21;UniRef50_A6NH21</t>
  </si>
  <si>
    <t>O4C46_HUMAN</t>
  </si>
  <si>
    <t>Olfactory receptor 4C46</t>
  </si>
  <si>
    <t>OR4C46</t>
  </si>
  <si>
    <t>NC:1-23;TM:24-43;CY:44-52;TM:53-71;NC:72-103;TM:104-125;CY:126-136;TM:137-162;NC:163-199;TM:200-223;CY:224-234;TM:235-257;NC:258-267;TM:268-287;CY:288-309</t>
  </si>
  <si>
    <t>ENSG00000185926</t>
  </si>
  <si>
    <t>ENSP00000329056</t>
  </si>
  <si>
    <t>UniRef100_A6NHA9;UniRef90_A6NHA9;UniRef50_Q8NGB6</t>
  </si>
  <si>
    <t>O5H14_HUMAN</t>
  </si>
  <si>
    <t>Olfactory receptor 5H14</t>
  </si>
  <si>
    <t>OR5H14</t>
  </si>
  <si>
    <t>NC:1-26;TM:27-50;CY:51-58;TM:59-79;NC:80-98;TM:99-120;CY:121-139;TM:140-158;NC:159-194;TM:195-221;CY:222-240;TM:241-261;NC:262-274;TM:275-292;CY:293-310</t>
  </si>
  <si>
    <t>ENSG00000236032</t>
  </si>
  <si>
    <t>ENSP00000401706</t>
  </si>
  <si>
    <t>UniRef100_A6NHG9;UniRef90_A6NHG9;UniRef50_Q8NGV6</t>
  </si>
  <si>
    <t>MANS4_HUMAN</t>
  </si>
  <si>
    <t>MANSC domain-containing protein 4</t>
  </si>
  <si>
    <t>MANSC4</t>
  </si>
  <si>
    <t>SP:1-24;NC:25-284;TM:285-308;CY:309-340</t>
  </si>
  <si>
    <t>ENSG00000205693</t>
  </si>
  <si>
    <t>ENSP00000370673</t>
  </si>
  <si>
    <t>118;187;207;229;253;260;269;338</t>
  </si>
  <si>
    <t>Complete proteome;Glycoprotein;Membrane;Reference proteome;Signal;Transmembrane;Transmembrane helix</t>
  </si>
  <si>
    <t>UniRef100_A6NHS7;UniRef90_A6NHS7;UniRef50_Q3UU94</t>
  </si>
  <si>
    <t>LIRA5_HUMAN</t>
  </si>
  <si>
    <t>Leukocyte immunoglobulin-like receptor subfamily A member 5</t>
  </si>
  <si>
    <t>LILRA5</t>
  </si>
  <si>
    <t>SP:1-41;NC:42-265;TM:266-284;CY:285-299</t>
  </si>
  <si>
    <t>ENSG00000187116;ENSG00000278355;ENSG00000274914;ENSG00000274113;ENSG00000275404</t>
  </si>
  <si>
    <t>ENSP00000404236;ENSP00000484785;ENSP00000478354;ENSP00000480458;ENSP00000482882</t>
  </si>
  <si>
    <t>CD85f</t>
  </si>
  <si>
    <t>IG;LILR</t>
  </si>
  <si>
    <t>43;157;242;248</t>
  </si>
  <si>
    <t>SGAADNLSPSQN[115]K;SGAADN[115]LSPSQN[115]K</t>
  </si>
  <si>
    <t>242;248</t>
  </si>
  <si>
    <t>A6NI73</t>
  </si>
  <si>
    <t>Membrane (Single-pass type I membrane protein);Secreted;Membrane (Single-pass type I membrane protein);Secreted;Secreted;Secreted</t>
  </si>
  <si>
    <t>3D-structure;Alternative splicing;Complete proteome;Disulfide bond;Glycoprotein;Immunity;Immunoglobulin domain;Innate immunity;Membrane;Receptor;Reference proteome;Repeat;Secreted;Signal;Transmembrane;Transmembrane helix</t>
  </si>
  <si>
    <t>UniRef100_A6NI73;UniRef90_A6NI73;UniRef50_A6NI73</t>
  </si>
  <si>
    <t>O6C70_HUMAN</t>
  </si>
  <si>
    <t>Olfactory receptor 6C70</t>
  </si>
  <si>
    <t>OR6C70</t>
  </si>
  <si>
    <t>NC:1-22;TM:23-48;CY:49-59;TM:60-81;NC:82-98;TM:99-118;CY:119-137;TM:138-160;NC:161-194;TM:195-219;CY:220-238;TM:239-258;NC:259-270;TM:271-290;CY:291-312</t>
  </si>
  <si>
    <t>ENSG00000184954</t>
  </si>
  <si>
    <t>ENSP00000329153</t>
  </si>
  <si>
    <t>3;40;63;276</t>
  </si>
  <si>
    <t>UniRef100_A6NIJ9;UniRef90_A6NIJ9;UniRef50_Q9NZP2</t>
  </si>
  <si>
    <t>S15A5_HUMAN</t>
  </si>
  <si>
    <t>Solute carrier family 15 member 5</t>
  </si>
  <si>
    <t>SLC15A5</t>
  </si>
  <si>
    <t>NC:1-79;TM:80-100;CY:101-109;TM:110-131;NC:132-153;TM:154-180;CY:181-192;TM:193-214;NC:215-219;TM:220-243;CY:244-304;TM:305-328;NC:329-343;TM:344-369;CY:370-380;TM:381-404;NC:405-424;TM:425-447;CY:448-468;TM:469-490;NC:491-509;TM:510-528;CY:529-579</t>
  </si>
  <si>
    <t>ENSG00000188991</t>
  </si>
  <si>
    <t>ENSP00000340402</t>
  </si>
  <si>
    <t>Complete proteome;Membrane;Peptide transport;Polymorphism;Protein transport;Reference proteome;Symport;Transmembrane;Transmembrane helix;Transport</t>
  </si>
  <si>
    <t>UniRef100_A6NIM6;UniRef90_A6NIM6;UniRef50_A6NIM6</t>
  </si>
  <si>
    <t>CD8BL_HUMAN</t>
  </si>
  <si>
    <t>Putative T-cell surface glycoprotein CD8 beta-2 chain</t>
  </si>
  <si>
    <t>CD8BP</t>
  </si>
  <si>
    <t>SP:1-23;NC:24-173;TM:174-196;CY:197-211</t>
  </si>
  <si>
    <t>Adaptive immunity;Cell membrane;Complete proteome;Disulfide bond;Glycoprotein;Immunity;Immunoglobulin domain;Membrane;Reference proteome;Signal;Transmembrane;Transmembrane helix</t>
  </si>
  <si>
    <t>UniRef100_A6NJW9;UniRef90_P10966;UniRef50_P10966</t>
  </si>
  <si>
    <t>O6C65_HUMAN</t>
  </si>
  <si>
    <t>Olfactory receptor 6C65</t>
  </si>
  <si>
    <t>OR6C65</t>
  </si>
  <si>
    <t>NC:1-22;TM:23-48;CY:49-59;TM:60-81;NC:82-95;TM:96-118;CY:119-137;TM:138-159;NC:160-195;TM:196-219;CY:220-239;TM:240-261;NC:262-267;TM:268-290;CY:291-312</t>
  </si>
  <si>
    <t>ENSG00000205328</t>
  </si>
  <si>
    <t>ENSP00000368986</t>
  </si>
  <si>
    <t>3;63;93;276</t>
  </si>
  <si>
    <t>Cell membrane;Complete proteome;G-protein coupled receptor;Glycoprotein;Membrane;Olfaction;Polymorphism;Receptor;Reference proteome;Sensory transduction;Transducer;Transmembrane;Transmembrane helix</t>
  </si>
  <si>
    <t>UniRef100_A6NJZ3;UniRef90_A6NJZ3;UniRef50_Q9NZP2</t>
  </si>
  <si>
    <t>S22AK_HUMAN</t>
  </si>
  <si>
    <t>Solute carrier family 22 member 20</t>
  </si>
  <si>
    <t>SLC22A20</t>
  </si>
  <si>
    <t>CY:1-20;TM:21-37;NC:38-140;TM:141-158;CY:159-167;TM:168-187;NC:188-192;TM:193-214;CY:215-224;TM:225-246;NC:247-251;TM:252-270;CY:271-339;TM:340-358;NC:359-369;TM:370-393;CY:394-399;TM:400-417;NC:418-428;TM:429-450;CY:451-485;TM:486-507;NC:508-555</t>
  </si>
  <si>
    <t>19;39;54;61;96;114</t>
  </si>
  <si>
    <t>Alternative splicing;Complete proteome;Glycoprotein;Ion transport;Membrane;Polymorphism;Reference proteome;Transmembrane;Transmembrane helix;Transport</t>
  </si>
  <si>
    <t>UniRef100_A6NK97;UniRef90_A6NK97;UniRef50_Q80UJ1</t>
  </si>
  <si>
    <t>PCX2_HUMAN</t>
  </si>
  <si>
    <t>Pecanex-like protein 2</t>
  </si>
  <si>
    <t>PCNXL2</t>
  </si>
  <si>
    <t>CY:1-35;TM:36-53;NC:54-58;TM:59-77;CY:78-842;TM:843-862;NC:863-867;TM:868-885;CY:886-951;TM:952-972;NC:973-991;TM:992-1018;CY:1019-1029;TM:1030-1049;NC:1050-1093;TM:1094-1114;CY:1115-1123;TM:1124-1144;NC:1145-1192;TM:1193-1211;CY:1212-1222;TM:1223-1246;NC:1247-1265;TM:1266-1284;CY:1285-1290;TM:1291-1314;NC:1315-1319;TM:1320-1347;CY:1348-1531;TM:1532-1551;NC:1552-2137</t>
  </si>
  <si>
    <t>ENSG00000135749</t>
  </si>
  <si>
    <t>ENSP00000258229</t>
  </si>
  <si>
    <t>136;449;550;572;587;598;613;1247;1412;1553;1818;2054</t>
  </si>
  <si>
    <t>1494;1863</t>
  </si>
  <si>
    <t>Alternative splicing;Complete proteome;Glycoprotein;Membrane;Polymorphism;Reference proteome;Transmembrane;Transmembrane helix</t>
  </si>
  <si>
    <t>UniRef100_A6NKB5;UniRef90_A6NKB5;UniRef50_A6NKB5</t>
  </si>
  <si>
    <t>FCGRC_HUMAN</t>
  </si>
  <si>
    <t>Putative high affinity immunoglobulin gamma Fc receptor IC</t>
  </si>
  <si>
    <t>FCGR1C</t>
  </si>
  <si>
    <t>SP:1-15;NC:16-195;TM:196-219;CY:220-280</t>
  </si>
  <si>
    <t>IG;FcR</t>
  </si>
  <si>
    <t>59;78;152;159;163</t>
  </si>
  <si>
    <t>Adaptive immunity;Cell membrane;Complete proteome;Disulfide bond;Glycoprotein;IgG-binding protein;Immunity;Immunoglobulin domain;Membrane;Polymorphism;Receptor;Reference proteome;Repeat;Signal;Transmembrane;Transmembrane helix</t>
  </si>
  <si>
    <t>UniRef100_A6NKC4;UniRef90_Q92637;UniRef50_Q92637</t>
  </si>
  <si>
    <t>OR5H1_HUMAN</t>
  </si>
  <si>
    <t>Olfactory receptor 5H1</t>
  </si>
  <si>
    <t>OR5H1</t>
  </si>
  <si>
    <t>NC:1-26;TM:27-50;CY:51-56;TM:57-78;NC:79-98;TM:99-120;CY:121-139;TM:140-158;NC:159-195;TM:196-221;CY:222-240;TM:241-261;NC:262-274;TM:275-292;CY:293-313</t>
  </si>
  <si>
    <t>ENSG00000231192</t>
  </si>
  <si>
    <t>ENSP00000346575</t>
  </si>
  <si>
    <t>UniRef100_A6NKK0;UniRef90_A6NKK0;UniRef50_Q8NGV6</t>
  </si>
  <si>
    <t>O6C75_HUMAN</t>
  </si>
  <si>
    <t>Olfactory receptor 6C75</t>
  </si>
  <si>
    <t>OR6C75</t>
  </si>
  <si>
    <t>NC:1-21;TM:22-47;CY:48-59;TM:60-83;NC:84-95;TM:96-118;CY:119-137;TM:138-160;NC:161-194;TM:195-216;CY:217-235;TM:236-258;NC:259-270;TM:271-290;CY:291-312</t>
  </si>
  <si>
    <t>ENSG00000187857</t>
  </si>
  <si>
    <t>ENSP00000368987</t>
  </si>
  <si>
    <t>3;63;87;276</t>
  </si>
  <si>
    <t>UniRef100_A6NL08;UniRef90_A6NL08;UniRef50_Q9NZP2</t>
  </si>
  <si>
    <t>OR5BL_HUMAN</t>
  </si>
  <si>
    <t>Olfactory receptor 5B21</t>
  </si>
  <si>
    <t>OR5B21</t>
  </si>
  <si>
    <t>NC:1-22;TM:23-46;CY:47-57;TM:58-76;NC:77-95;TM:96-114;CY:115-134;TM:135-156;NC:157-195;TM:196-222;CY:223-233;TM:234-257;NC:258-269;TM:270-289;CY:290-309</t>
  </si>
  <si>
    <t>ENSG00000198283</t>
  </si>
  <si>
    <t>ENSP00000353537</t>
  </si>
  <si>
    <t>3;63;153;260</t>
  </si>
  <si>
    <t>UniRef100_A6NL26;UniRef90_A6NL26;UniRef50_Q15614</t>
  </si>
  <si>
    <t>SHSA7_HUMAN</t>
  </si>
  <si>
    <t>Protein shisa-7</t>
  </si>
  <si>
    <t>SHISA7</t>
  </si>
  <si>
    <t>SP:1-19;NC:20-184;TM:185-207;CY:208-538</t>
  </si>
  <si>
    <t>ENSG00000187902</t>
  </si>
  <si>
    <t>ENSP00000365503</t>
  </si>
  <si>
    <t>23;59;97;300</t>
  </si>
  <si>
    <t>UniRef100_A6NL88;UniRef90_Q8C3Q5-2;UniRef50_Q8C3Q5-2</t>
  </si>
  <si>
    <t>O2AG2_HUMAN</t>
  </si>
  <si>
    <t>Olfactory receptor 2AG2</t>
  </si>
  <si>
    <t>OR2AG2</t>
  </si>
  <si>
    <t>NC:1-25;TM:26-48;CY:49-58;TM:59-78;NC:79-97;TM:98-120;CY:121-139;TM:140-162;NC:163-202;TM:203-225;CY:226-241;TM:242-261;NC:262-272;TM:273-292;CY:293-316</t>
  </si>
  <si>
    <t>ENSG00000188124</t>
  </si>
  <si>
    <t>ENSP00000342697</t>
  </si>
  <si>
    <t>5;19</t>
  </si>
  <si>
    <t>UniRef100_A6NM03;UniRef90_A6NM03;UniRef50_Q9H205</t>
  </si>
  <si>
    <t>L37A2_HUMAN</t>
  </si>
  <si>
    <t>Leucine-rich repeat-containing protein 37A2</t>
  </si>
  <si>
    <t>LRRC37A2</t>
  </si>
  <si>
    <t>SP:1-39;NC:40-1581;TM:1582-1605;CY:1606-1700</t>
  </si>
  <si>
    <t>ENSG00000238083</t>
  </si>
  <si>
    <t>ENSP00000333071;ENSP00000459551</t>
  </si>
  <si>
    <t>Unknown_function;LRRC37</t>
  </si>
  <si>
    <t>296;314;864;900;943;1053;1079;1099;1386;1553</t>
  </si>
  <si>
    <t>Complete proteome;Glycoprotein;Leucine-rich repeat;Membrane;Polymorphism;Reference proteome;Repeat;Signal;Transmembrane;Transmembrane helix</t>
  </si>
  <si>
    <t>UniRef100_A6NM11;UniRef90_A6NM11;UniRef50_A6NM11</t>
  </si>
  <si>
    <t>CLD24_HUMAN</t>
  </si>
  <si>
    <t>Putative claudin-24</t>
  </si>
  <si>
    <t>CLDN24</t>
  </si>
  <si>
    <t>CY:1-11;TM:12-31;NC:32-81;TM:82-105;CY:106-117;TM:118-141;NC:142-164;TM:165-186;CY:187-220</t>
  </si>
  <si>
    <t>ENSG00000185758</t>
  </si>
  <si>
    <t>ENSP00000438400</t>
  </si>
  <si>
    <t>StructuralAndAdhesion;Claudin</t>
  </si>
  <si>
    <t>21;33;46;51;127;139;149;160;170</t>
  </si>
  <si>
    <t>Cell junction, tight junction;Cell membrane (Multi-pass membrane protein)</t>
  </si>
  <si>
    <t>Cell junction;Cell membrane;Complete proteome;Membrane;Polymorphism;Reference proteome;Tight junction;Transmembrane;Transmembrane helix</t>
  </si>
  <si>
    <t>UniRef100_A6NM45;UniRef90_A6NM45;UniRef50_Q8N7P3</t>
  </si>
  <si>
    <t>O6C76_HUMAN</t>
  </si>
  <si>
    <t>Olfactory receptor 6C76</t>
  </si>
  <si>
    <t>OR6C76</t>
  </si>
  <si>
    <t>NC:1-22;TM:23-48;CY:49-60;TM:61-83;NC:84-94;TM:95-117;CY:118-136;TM:137-158;NC:159-196;TM:197-218;CY:219-237;TM:238-257;NC:258-268;TM:269-289;CY:290-312</t>
  </si>
  <si>
    <t>ENSG00000185821</t>
  </si>
  <si>
    <t>ENSP00000328402</t>
  </si>
  <si>
    <t>3;40;63;275</t>
  </si>
  <si>
    <t>Cell membrane;Complete proteome;Disulfide bond;G-protein coupled receptor;Glycoprotein;Membrane;Olfaction;Receptor;Reference proteome;Sensory transduction;Transducer;Transmembrane;Transmembrane helix</t>
  </si>
  <si>
    <t>UniRef100_A6NM76;UniRef90_A6NM76;UniRef50_Q9NZP2</t>
  </si>
  <si>
    <t>SIG16_HUMAN</t>
  </si>
  <si>
    <t>Sialic acid-binding Ig-like lectin 16</t>
  </si>
  <si>
    <t>SIGLEC16</t>
  </si>
  <si>
    <t>SP:1-17;NC:18-433;TM:434-457;CY:458-481</t>
  </si>
  <si>
    <t>StructuralAndAdhesion;IG_AdhesionProteins</t>
  </si>
  <si>
    <t>43;78;338;347</t>
  </si>
  <si>
    <t>Cell adhesion;Complete proteome;Disulfide bond;Glycoprotein;Immunoglobulin domain;Lectin;Membrane;Reference proteome;Repeat;Signal;Transmembrane;Transmembrane helix</t>
  </si>
  <si>
    <t>UniRef100_A6NMB1;UniRef90_A6NMB1;UniRef50_A6NMB1</t>
  </si>
  <si>
    <t>OR5K4_HUMAN</t>
  </si>
  <si>
    <t>Olfactory receptor 5K4</t>
  </si>
  <si>
    <t>OR5K4</t>
  </si>
  <si>
    <t>NC:1-25;TM:26-48;CY:49-59;TM:60-79;NC:80-98;TM:99-120;CY:121-139;TM:140-162;NC:163-200;TM:201-225;CY:226-237;TM:238-259;NC:260-270;TM:271-289;CY:290-321</t>
  </si>
  <si>
    <t>ENSG00000196098</t>
  </si>
  <si>
    <t>ENSP00000347003</t>
  </si>
  <si>
    <t>UniRef100_A6NMS3;UniRef90_A6NMS3;UniRef50_Q8NHB7</t>
  </si>
  <si>
    <t>L37A1_HUMAN</t>
  </si>
  <si>
    <t>Leucine-rich repeat-containing protein 37A</t>
  </si>
  <si>
    <t>LRRC37A</t>
  </si>
  <si>
    <t>ENSG00000176681</t>
  </si>
  <si>
    <t>ENSP00000326324</t>
  </si>
  <si>
    <t>Complete proteome;Glycoprotein;Leucine-rich repeat;Membrane;Reference proteome;Repeat;Signal;Transmembrane;Transmembrane helix</t>
  </si>
  <si>
    <t>UniRef100_A6NMS7;UniRef90_A6NM11;UniRef50_A6NM11</t>
  </si>
  <si>
    <t>O52A4_HUMAN</t>
  </si>
  <si>
    <t>Putative olfactory receptor 52A4</t>
  </si>
  <si>
    <t>OR52A4</t>
  </si>
  <si>
    <t>NC:1-30;TM:31-52;CY:53-63;TM:64-83;NC:84-102;TM:103-124;CY:125-143;TM:144-167;NC:168-202;TM:203-230;CY:231-249;TM:250-273;NC:274-278;TM:279-299;CY:300-304</t>
  </si>
  <si>
    <t>UniRef100_A6NMU1;UniRef90_A6NMU1;UniRef50_Q9UKL2</t>
  </si>
  <si>
    <t>O4C45_HUMAN</t>
  </si>
  <si>
    <t>Olfactory receptor 4C45</t>
  </si>
  <si>
    <t>OR4C45</t>
  </si>
  <si>
    <t>NC:1-20;TM:21-45;CY:46-54;TM:55-73;NC:74-102;TM:103-121;CY:122-141;TM:142-165;NC:166-203;TM:204-226;CY:227-237;TM:238-258;NC:259-269;TM:270-289;CY:290-311</t>
  </si>
  <si>
    <t>Cell membrane;Complete proteome;G-protein coupled receptor;Membrane;Olfaction;Receptor;Reference proteome;Sensory transduction;Transducer;Transmembrane;Transmembrane helix</t>
  </si>
  <si>
    <t>UniRef100_A6NMZ5;UniRef90_A6NMZ5;UniRef50_Q8NGB6</t>
  </si>
  <si>
    <t>O2AT4_HUMAN</t>
  </si>
  <si>
    <t>Olfactory receptor 2AT4</t>
  </si>
  <si>
    <t>OR2AT4</t>
  </si>
  <si>
    <t>NC:1-27;TM:28-55;CY:56-64;TM:65-84;NC:85-105;TM:106-125;CY:126-145;TM:146-166;NC:167-201;TM:202-226;CY:227-246;TM:247-267;NC:268-274;TM:275-295;CY:296-320</t>
  </si>
  <si>
    <t>ENSG00000171561</t>
  </si>
  <si>
    <t>ENSP00000304846</t>
  </si>
  <si>
    <t>7;70;146</t>
  </si>
  <si>
    <t>UniRef100_A6NND4;UniRef90_A6NND4;UniRef50_A6NND4</t>
  </si>
  <si>
    <t>S38A8_HUMAN</t>
  </si>
  <si>
    <t>Putative sodium-coupled neutral amino acid transporter 8</t>
  </si>
  <si>
    <t>SLC38A8</t>
  </si>
  <si>
    <t>CY:1-19;TM:20-43;NC:44-58;TM:59-82;CY:83-102;TM:103-123;NC:124-148;TM:149-166;CY:167-177;TM:178-198;NC:199-217;TM:218-239;CY:240-249;TM:250-274;NC:275-293;TM:294-317;CY:318-343;TM:344-365;NC:366-370;TM:371-396;CY:397-407;TM:408-432;NC:433-435</t>
  </si>
  <si>
    <t>ENSG00000166558</t>
  </si>
  <si>
    <t>ENSP00000299709</t>
  </si>
  <si>
    <t>SLC;APC;SLC38</t>
  </si>
  <si>
    <t>Amino-acid transport;Complete proteome;Disease mutation;Ion transport;Membrane;Polymorphism;Reference proteome;Sodium;Sodium transport;Transmembrane;Transmembrane helix;Transport</t>
  </si>
  <si>
    <t>UniRef100_A6NNN8;UniRef90_A6NNN8;UniRef50_A6NNN8</t>
  </si>
  <si>
    <t>DISP2_HUMAN</t>
  </si>
  <si>
    <t>Protein dispatched homolog 2</t>
  </si>
  <si>
    <t>DISP2</t>
  </si>
  <si>
    <t>CY:1-166;TM:167-191;NC:192-488;TM:489-505;CY:506-510;TM:511-533;NC:534-540;TM:541-566;CY:567-588;TM:589-607;NC:608-617;TM:618-639;CY:640-702;TM:703-722;NC:723-963;TM:964-982;CY:983-989;TM:990-1010;NC:1011-1018;TM:1019-1041;CY:1042-1060;TM:1061-1084;NC:1085-1089;TM:1090-1113;CY:1114-1401</t>
  </si>
  <si>
    <t>ENSG00000140323</t>
  </si>
  <si>
    <t>ENSP00000267889</t>
  </si>
  <si>
    <t>239;349;390;465;557;792;821;918</t>
  </si>
  <si>
    <t>LLFLSPDLELN[115]SSSSHNTLRPAP;LLFLSPDLELN[115]SSSSHNTLRPAPR;LSPDLELN[115]SSSSHNTLRPAPR;YLAVLSN[115]R;LATPWGLADN[115]YTSVTGMDLGLK;SN[115]SSLVRDPAFSASGPEAQR</t>
  </si>
  <si>
    <t>239;349;465;792</t>
  </si>
  <si>
    <t>A7MBM2</t>
  </si>
  <si>
    <t>UniRef100_A7MBM2;UniRef90_A7MBM2;UniRef50_A7MBM2</t>
  </si>
  <si>
    <t>GBRR3_HUMAN</t>
  </si>
  <si>
    <t>Gamma-aminobutyric acid receptor subunit rho-3</t>
  </si>
  <si>
    <t>GABRR3</t>
  </si>
  <si>
    <t>SP:1-24;NC:25-266;TM:267-290;CY:291-299;TM:300-320;NC:321-332;TM:333-355;CY:356-447;TM:448-465;NC:466-467</t>
  </si>
  <si>
    <t>ENSG00000183185</t>
  </si>
  <si>
    <t>ENSP00000420790;ENSP00000481321</t>
  </si>
  <si>
    <t>126;197;220</t>
  </si>
  <si>
    <t>Cell junction, synapse, postsynaptic cell membrane (Multi-pass membrane protein);Cell membrane (Multi-pass membrane protein)</t>
  </si>
  <si>
    <t>Cell junction;Cell membrane;Chloride;Chloride channel;Complete proteome;Disulfide bond;Glycoprotein;Ion channel;Ion transport;Membrane;Postsynaptic cell membrane;Reference proteome;Signal;Synapse;Transmembrane;Transmembrane helix;Transport</t>
  </si>
  <si>
    <t>UniRef100_A8MPY1;UniRef90_A8MPY1;UniRef50_P28476</t>
  </si>
  <si>
    <t>DB00231;DB00546;DB00683;DB00690;DB00801;DB00829;DB00842;DB00897;DB01215;DB01558;DB01559;DB01567;DB01588;DB01589;DB01594;DB01595</t>
  </si>
  <si>
    <t>GSG1M_HUMAN</t>
  </si>
  <si>
    <t>Putative germ cell-specific gene 1-like protein 2</t>
  </si>
  <si>
    <t>SP:1-28;NC:29-120;TM:121-144;CY:145-158;TM:159-184;NC:185-203;TM:204-225;CY:226-235</t>
  </si>
  <si>
    <t>59;67</t>
  </si>
  <si>
    <t>UniRef100_A8MUP6;UniRef90_A8MUP6;UniRef50_A8MUP6</t>
  </si>
  <si>
    <t>HIDE1_HUMAN</t>
  </si>
  <si>
    <t>Protein HIDE1</t>
  </si>
  <si>
    <t>HIDE1</t>
  </si>
  <si>
    <t>SP:1-19;NC:20-116;TM:117-142;CY:143-230</t>
  </si>
  <si>
    <t>ENSG00000214212</t>
  </si>
  <si>
    <t>ENSP00000380920;ENSP00000468568</t>
  </si>
  <si>
    <t>48;73;97;109</t>
  </si>
  <si>
    <t>UniRef100_A8MVS5;UniRef90_A8MVS5;UniRef50_A8MVS5</t>
  </si>
  <si>
    <t>F1712_HUMAN</t>
  </si>
  <si>
    <t>Protein FAM171A2</t>
  </si>
  <si>
    <t>FAM171A2</t>
  </si>
  <si>
    <t>SP:1-26;NC:27-315;TM:316-339;CY:340-826</t>
  </si>
  <si>
    <t>ENSG00000161682</t>
  </si>
  <si>
    <t>ENSP00000293443</t>
  </si>
  <si>
    <t>66;201;221;265;623</t>
  </si>
  <si>
    <t>ASVDVFGN[115]R</t>
  </si>
  <si>
    <t>A8MVW0</t>
  </si>
  <si>
    <t>UniRef100_A8MVW0;UniRef90_A8MVW0;UniRef50_A8MVW0</t>
  </si>
  <si>
    <t>HECA2_HUMAN</t>
  </si>
  <si>
    <t>HEPACAM family member 2</t>
  </si>
  <si>
    <t>HEPACAM2</t>
  </si>
  <si>
    <t>SP:1-31;NC:32-350;TM:351-372;CY:373-462</t>
  </si>
  <si>
    <t>ENSG00000188175</t>
  </si>
  <si>
    <t>ENSP00000377980</t>
  </si>
  <si>
    <t>85;104;129;165;201;216;288;320</t>
  </si>
  <si>
    <t>VNIQGN[115]GTLSASQK</t>
  </si>
  <si>
    <t>A8MVW5</t>
  </si>
  <si>
    <t>Cytoplasm, cytoskeleton, microtubule organizing center, centrosome;Cytoplasm, cytoskeleton, spindle;Golgi apparatus membrane (Single-pass type I membrane protein);Midbody</t>
  </si>
  <si>
    <t>ADP-ribosylation;Alternative splicing;Cell cycle;Cell division;Complete proteome;Cytoplasm;Cytoskeleton;Disulfide bond;Glycoprotein;Golgi apparatus;Immunoglobulin domain;Membrane;Mitosis;Polymorphism;Reference proteome;Repeat;Signal;Transmembrane;Transmembrane helix</t>
  </si>
  <si>
    <t>UniRef100_A8MVW5;UniRef90_A8MVW5;UniRef50_A8MVW5</t>
  </si>
  <si>
    <t>Cytoskeleton;Golgi apparatus</t>
  </si>
  <si>
    <t>Cytosol;Endoplasmic Reticulum;Endosome;Extracellular space;Lysosome;Mitochondrion;Nucleus;Peroxisome</t>
  </si>
  <si>
    <t>BTNLA_HUMAN</t>
  </si>
  <si>
    <t>Butyrophilin-like protein 10</t>
  </si>
  <si>
    <t>BTNL10</t>
  </si>
  <si>
    <t>SP:1-26;NC:27-253;TM:254-275;CY:276-291</t>
  </si>
  <si>
    <t>59;123;193</t>
  </si>
  <si>
    <t>Complete proteome;Disulfide bond;Glycoprotein;Immunoglobulin domain;Membrane;Reference proteome;Signal;Transmembrane;Transmembrane helix</t>
  </si>
  <si>
    <t>UniRef100_A8MVZ5;UniRef90_A8MVZ5;UniRef50_A8MVZ5</t>
  </si>
  <si>
    <t>K132L_HUMAN</t>
  </si>
  <si>
    <t>UPF0577 protein KIAA1324-like</t>
  </si>
  <si>
    <t>KIAA1324L</t>
  </si>
  <si>
    <t>SP:1-47;NC:48-925;TM:926-950;CY:951-1029</t>
  </si>
  <si>
    <t>ENSG00000164659</t>
  </si>
  <si>
    <t>ENSP00000413445</t>
  </si>
  <si>
    <t>168;169;278;405;560;682;691;716;733</t>
  </si>
  <si>
    <t>MALCTNN[115]ITDFTVK</t>
  </si>
  <si>
    <t>A8MWY0</t>
  </si>
  <si>
    <t>Alternative splicing;Complete proteome;Disulfide bond;Glycoprotein;Membrane;Polymorphism;Reference proteome;Signal;Transmembrane;Transmembrane helix</t>
  </si>
  <si>
    <t>UniRef100_A8MWY0;UniRef90_A8MWY0;UniRef50_Q6UXG2-4</t>
  </si>
  <si>
    <t>VSTM5_HUMAN</t>
  </si>
  <si>
    <t>V-set and transmembrane domain-containing protein 5</t>
  </si>
  <si>
    <t>VSTM5</t>
  </si>
  <si>
    <t>SP:1-28;NC:29-146;TM:147-170;CY:171-200</t>
  </si>
  <si>
    <t>ENSG00000214376</t>
  </si>
  <si>
    <t>ENSP00000386607</t>
  </si>
  <si>
    <t>44;88;102</t>
  </si>
  <si>
    <t>UniRef100_A8MXK1;UniRef90_A8MXK1;UniRef50_A8MXK1</t>
  </si>
  <si>
    <t>UPK3L_HUMAN</t>
  </si>
  <si>
    <t>Uroplakin-3b-like protein</t>
  </si>
  <si>
    <t>UPK3BL</t>
  </si>
  <si>
    <t>SP:1-33;NC:34-202;TM:203-228;CY:229-263</t>
  </si>
  <si>
    <t>ENSG00000267368</t>
  </si>
  <si>
    <t>ENSP00000342938</t>
  </si>
  <si>
    <t>StructuralAndAdhesion;UPK3</t>
  </si>
  <si>
    <t>51;76;91;110;140</t>
  </si>
  <si>
    <t>UniRef100_B0FP48;UniRef90_B0FP48;UniRef50_B0FP48</t>
  </si>
  <si>
    <t>100134938;102724187</t>
  </si>
  <si>
    <t>O11HC_HUMAN</t>
  </si>
  <si>
    <t>Olfactory receptor 11H12</t>
  </si>
  <si>
    <t>OR11H12</t>
  </si>
  <si>
    <t>NC:1-39;TM:40-65;CY:66-73;TM:74-93;NC:94-113;TM:114-135;CY:136-154;TM:155-178;NC:179-215;TM:216-237;CY:238-256;TM:257-276;NC:277-289;TM:290-308;CY:309-326</t>
  </si>
  <si>
    <t>ENSG00000257115</t>
  </si>
  <si>
    <t>ENSP00000449002</t>
  </si>
  <si>
    <t>13;18;80;106</t>
  </si>
  <si>
    <t>UniRef100_B2RN74;UniRef90_Q8NG94;UniRef50_Q8NGC7</t>
  </si>
  <si>
    <t>TM114_HUMAN</t>
  </si>
  <si>
    <t>Transmembrane protein 114</t>
  </si>
  <si>
    <t>TMEM114</t>
  </si>
  <si>
    <t>SP:1-26;NC:27-103;TM:104-126;CY:127-132;TM:133-160;NC:161-184;TM:185-209;CY:210-223</t>
  </si>
  <si>
    <t>ENSG00000232258</t>
  </si>
  <si>
    <t>ENSP00000484263</t>
  </si>
  <si>
    <t>55;89</t>
  </si>
  <si>
    <t>Cell membrane;Chromosomal rearrangement;Complete proteome;Glycoprotein;Membrane;Polymorphism;Reference proteome;Transmembrane;Transmembrane helix</t>
  </si>
  <si>
    <t>UniRef100_B3SHH9;UniRef90_B3SHH9;UniRef50_B3SHH9</t>
  </si>
  <si>
    <t>SHSA9_HUMAN</t>
  </si>
  <si>
    <t>Protein shisa-9</t>
  </si>
  <si>
    <t>SHISA9</t>
  </si>
  <si>
    <t>SP:1-23;NC:24-151;TM:152-174;CY:175-424</t>
  </si>
  <si>
    <t>ENSG00000237515</t>
  </si>
  <si>
    <t>ENSP00000454014</t>
  </si>
  <si>
    <t>45;89;116</t>
  </si>
  <si>
    <t>Cell junction, synapse;Cell projection, dendritic spine membrane (Single-pass type I membrane protein)</t>
  </si>
  <si>
    <t>Alternative splicing;Cell junction;Cell membrane;Cell projection;Complete proteome;Glycoprotein;Membrane;Reference proteome;Signal;Synapse;Transmembrane;Transmembrane helix</t>
  </si>
  <si>
    <t>UniRef100_B4DS77;UniRef90_Q9CZN4;UniRef50_Q9CZN4</t>
  </si>
  <si>
    <t>TARM1_HUMAN</t>
  </si>
  <si>
    <t>T-cell-interacting, activating receptor on myeloid cells protein 1</t>
  </si>
  <si>
    <t>TARM1</t>
  </si>
  <si>
    <t>SP:1-18;NC:19-233;TM:234-256;CY:257-271</t>
  </si>
  <si>
    <t>ENSG00000248385;ENSG00000276145;ENSG00000275806;ENSG00000275123;ENSG00000276355;ENSG00000275384;ENSG00000276604;ENSG00000273875;ENSG00000277178;ENSG00000274889</t>
  </si>
  <si>
    <t>ENSP00000439454;ENSP00000479824;ENSP00000478234;ENSP00000482624;ENSP00000480049;ENSP00000479185;ENSP00000479062;ENSP00000479374;ENSP00000480377;ENSP00000478822</t>
  </si>
  <si>
    <t>44;193;228;259</t>
  </si>
  <si>
    <t>Alternative splicing;Complete proteome;Disulfide bond;Glycoprotein;Immunoglobulin domain;Membrane;Polymorphism;Reference proteome;Repeat;Signal;Transmembrane;Transmembrane helix</t>
  </si>
  <si>
    <t>UniRef100_B6A8C7;UniRef90_B6A8C7;UniRef50_B6A8C7</t>
  </si>
  <si>
    <t>ERVV1_HUMAN</t>
  </si>
  <si>
    <t>Endogenous retrovirus group V member 1 Env polyprotein</t>
  </si>
  <si>
    <t>ERVV-1</t>
  </si>
  <si>
    <t>SP:1-21;NC:22-320;TM:321-344;CY:345-477</t>
  </si>
  <si>
    <t>ENSG00000269526</t>
  </si>
  <si>
    <t>ENSP00000473153</t>
  </si>
  <si>
    <t>Other;HERV1</t>
  </si>
  <si>
    <t>64;68;106;117;122;137;161;225;312;351;411</t>
  </si>
  <si>
    <t>Complete proteome;ERV;Glycoprotein;Membrane;Reference proteome;Signal;Transmembrane;Transmembrane helix;Transposable element</t>
  </si>
  <si>
    <t>UniRef100_B6SEH8;UniRef90_B6SEH8;UniRef50_B6SEH8</t>
  </si>
  <si>
    <t>ERVV2_HUMAN</t>
  </si>
  <si>
    <t>Endogenous retrovirus group V member 2 Env polyprotein</t>
  </si>
  <si>
    <t>ERVV-2</t>
  </si>
  <si>
    <t>SP:1-21;NC:22-320;TM:321-344;CY:345-455;TM:456-481;NC:482-535</t>
  </si>
  <si>
    <t>ENSG00000268964</t>
  </si>
  <si>
    <t>ENSP00000472919</t>
  </si>
  <si>
    <t>64;68;106;117;122;137;161;225;312;351;403;411</t>
  </si>
  <si>
    <t>UniRef100_B6SEH9;UniRef90_B6SEH9;UniRef50_B6SEH8</t>
  </si>
  <si>
    <t>SHSA8_HUMAN</t>
  </si>
  <si>
    <t>Putative protein shisa-8</t>
  </si>
  <si>
    <t>SHISA8</t>
  </si>
  <si>
    <t>SP:1-38;NC:39-140;TM:141-163;CY:164-492</t>
  </si>
  <si>
    <t>ENSG00000234965</t>
  </si>
  <si>
    <t>ENSP00000389964</t>
  </si>
  <si>
    <t>UniRef100_B8ZZ34;UniRef90_B8ZZ34;UniRef50_B8ZZ34</t>
  </si>
  <si>
    <t>KLRF2_HUMAN</t>
  </si>
  <si>
    <t>Killer cell lectin-like receptor subfamily F member 2</t>
  </si>
  <si>
    <t>KLRF2</t>
  </si>
  <si>
    <t>CY:1-30;TM:31-51;NC:52-207</t>
  </si>
  <si>
    <t>ENSG00000256797</t>
  </si>
  <si>
    <t>ENSP00000438244</t>
  </si>
  <si>
    <t>67;202</t>
  </si>
  <si>
    <t>Cell membrane (Single-pass type II membrane protein)</t>
  </si>
  <si>
    <t>3D-structure;Cell membrane;Complete proteome;Disulfide bond;Glycoprotein;Lectin;Membrane;Receptor;Reference proteome;Signal-anchor;Transmembrane;Transmembrane helix</t>
  </si>
  <si>
    <t>UniRef100_D3W0D1;UniRef90_D3W0D1;UniRef50_D3W0D1</t>
  </si>
  <si>
    <t>MUC22_HUMAN</t>
  </si>
  <si>
    <t>Mucin-22</t>
  </si>
  <si>
    <t>MUC22</t>
  </si>
  <si>
    <t>SP:1-27;NC:28-1660;TM:1661-1684;CY:1685-1773</t>
  </si>
  <si>
    <t>ENSG00000261272</t>
  </si>
  <si>
    <t>ENSP00000455906</t>
  </si>
  <si>
    <t>5;27;266;327;379;785;855;1594</t>
  </si>
  <si>
    <t>Complete proteome;Membrane;Polymorphism;Reference proteome;Repeat;Signal;Transmembrane;Transmembrane helix</t>
  </si>
  <si>
    <t>UniRef100_E2RYF6;UniRef90_E2RYF6;UniRef50_E2RYF6</t>
  </si>
  <si>
    <t>CA233_HUMAN</t>
  </si>
  <si>
    <t>Fibronectin type-III domain-containing transmembrane protein C1orf233</t>
  </si>
  <si>
    <t>C1orf233</t>
  </si>
  <si>
    <t>SP:1-21;NC:22-182;TM:183-208;CY:209-226</t>
  </si>
  <si>
    <t>ENSG00000228594</t>
  </si>
  <si>
    <t>ENSP00000389111</t>
  </si>
  <si>
    <t>86;109</t>
  </si>
  <si>
    <t>UniRef100_F2Z333;UniRef90_F2Z333;UniRef50_A2A9Q0</t>
  </si>
  <si>
    <t>CC080_HUMAN</t>
  </si>
  <si>
    <t>Uncharacterized membrane protein C3orf80</t>
  </si>
  <si>
    <t>C3orf80</t>
  </si>
  <si>
    <t>SP:1-37;NC:38-77;TM:78-98;CY:99-247</t>
  </si>
  <si>
    <t>ENSG00000180044</t>
  </si>
  <si>
    <t>ENSP00000313324</t>
  </si>
  <si>
    <t>UniRef100_F5H4A9;UniRef90_F5H4A9;UniRef50_F5H4A9</t>
  </si>
  <si>
    <t>SO1B7_HUMAN</t>
  </si>
  <si>
    <t>Putative solute carrier organic anion transporter family member 1B7</t>
  </si>
  <si>
    <t>SLCO1B7</t>
  </si>
  <si>
    <t>NC:1-17;TM:18-40;CY:41-48;TM:49-71;NC:72-123;TM:124-148;CY:149-159;TM:160-183;NC:184-209;TM:210-234;CY:235-289;TM:290-313;NC:314-328;TM:329-350;CY:351-358;TM:359-381;NC:382-487;TM:488-513;CY:514-522;TM:523-546;NC:547-577;TM:578-600;CY:601-640</t>
  </si>
  <si>
    <t>ENSG00000205754</t>
  </si>
  <si>
    <t>ENSP00000394168</t>
  </si>
  <si>
    <t>SLC;MFS;SLCO</t>
  </si>
  <si>
    <t>87;104;263;274;456;469;570;628</t>
  </si>
  <si>
    <t>Cell membrane;Complete proteome;Disulfide bond;Membrane;Reference proteome;Transmembrane;Transmembrane helix</t>
  </si>
  <si>
    <t>UniRef100_G3V0H7;UniRef90_G3V0H7;UniRef50_Q9Y6L6</t>
  </si>
  <si>
    <t>T178B_HUMAN</t>
  </si>
  <si>
    <t>Transmembrane protein 178B</t>
  </si>
  <si>
    <t>TMEM178B</t>
  </si>
  <si>
    <t>SP:1-27;NC:28-171;TM:172-195;CY:196-202;TM:203-228;NC:229-247;TM:248-272;CY:273-294</t>
  </si>
  <si>
    <t>ENSG00000261115</t>
  </si>
  <si>
    <t>ENSP00000456594</t>
  </si>
  <si>
    <t>102;148;152;290</t>
  </si>
  <si>
    <t>UniRef100_H3BS89;UniRef90_H3BS89;UniRef50_H3BS89</t>
  </si>
  <si>
    <t>GFY_HUMAN</t>
  </si>
  <si>
    <t>Golgi-associated olfactory signaling regulator</t>
  </si>
  <si>
    <t>GFY</t>
  </si>
  <si>
    <t>SP:1-21;NC:22-405;TM:406-430;CY:431-518</t>
  </si>
  <si>
    <t>ENSG00000261949</t>
  </si>
  <si>
    <t>ENSP00000459439;ENSP00000478493</t>
  </si>
  <si>
    <t>124;156;188;220;268</t>
  </si>
  <si>
    <t>113;276</t>
  </si>
  <si>
    <t>Golgi apparatus membrane (Single-pass type I membrane protein)</t>
  </si>
  <si>
    <t>Complete proteome;Glycoprotein;Golgi apparatus;Membrane;Olfaction;Reference proteome;Sensory transduction;Signal;Transmembrane;Transmembrane helix</t>
  </si>
  <si>
    <t>UniRef100_I3L273;UniRef90_I3L273;UniRef50_I3L273</t>
  </si>
  <si>
    <t>FZD9_HUMAN</t>
  </si>
  <si>
    <t>Frizzled-9</t>
  </si>
  <si>
    <t>FZD9</t>
  </si>
  <si>
    <t>SP:1-22;NC:23-230;TM:231-255;CY:256-266;TM:267-287;NC:288-317;TM:318-341;CY:342-356;TM:357-376;NC:377-400;TM:401-427;CY:428-447;TM:448-469;NC:470-507;TM:508-529;CY:530-591</t>
  </si>
  <si>
    <t>ENSG00000188763</t>
  </si>
  <si>
    <t>ENSP00000345785</t>
  </si>
  <si>
    <t>CD349</t>
  </si>
  <si>
    <t>GPCR;Frizzled</t>
  </si>
  <si>
    <t>53;158</t>
  </si>
  <si>
    <t>53;158;587</t>
  </si>
  <si>
    <t>Cell membrane;Complete proteome;Developmental protein;Disulfide bond;G-protein coupled receptor;Glycoprotein;Membrane;Receptor;Reference proteome;Signal;Transducer;Transmembrane;Transmembrane helix;Ubl conjugation;Wnt signaling pathway</t>
  </si>
  <si>
    <t>UniRef100_O00144;UniRef90_O00144;UniRef50_O00144</t>
  </si>
  <si>
    <t>GPR25_HUMAN</t>
  </si>
  <si>
    <t>Probable G-protein coupled receptor 25</t>
  </si>
  <si>
    <t>GPR25</t>
  </si>
  <si>
    <t>NC:1-42;TM:43-65;CY:66-76;TM:77-99;NC:100-124;TM:125-145;CY:146-155;TM:156-177;NC:178-201;TM:202-223;CY:224-243;TM:244-267;NC:268-286;TM:287-310;CY:311-361</t>
  </si>
  <si>
    <t>ENSG00000170128</t>
  </si>
  <si>
    <t>ENSP00000301917</t>
  </si>
  <si>
    <t>GPCR;Rhodopsin</t>
  </si>
  <si>
    <t>Cell membrane;Complete proteome;G-protein coupled receptor;Membrane;Receptor;Reference proteome;Transducer;Transmembrane;Transmembrane helix</t>
  </si>
  <si>
    <t>UniRef100_O00155;UniRef90_O00155;UniRef50_O00155</t>
  </si>
  <si>
    <t>TLR4_HUMAN</t>
  </si>
  <si>
    <t>Toll-like receptor 4</t>
  </si>
  <si>
    <t>TLR4</t>
  </si>
  <si>
    <t>SP:1-23;NC:24-632;TM:633-654;CY:655-839</t>
  </si>
  <si>
    <t>ENSG00000136869</t>
  </si>
  <si>
    <t>ENSP00000363089</t>
  </si>
  <si>
    <t>CD284</t>
  </si>
  <si>
    <t>Other_receptors;TOLL</t>
  </si>
  <si>
    <t>35;173;205;282;309;497;526;575;624;630</t>
  </si>
  <si>
    <t>26;332;593;687;746;757;797;808;821;833</t>
  </si>
  <si>
    <t>LPEYFSN[115]LTNLEHLDLSSNK;SALEGLCN[115]LTIEEFR</t>
  </si>
  <si>
    <t>173;282</t>
  </si>
  <si>
    <t>O00206</t>
  </si>
  <si>
    <t>3D-structure;Age-related macular degeneration;Alternative splicing;Cell membrane;Complete proteome;Direct protein sequencing;Disulfide bond;Glycoprotein;Immunity;Inflammatory response;Innate immunity;Leucine-rich repeat;Membrane;Polymorphism;Receptor;Reference proteome;Repeat;Signal;Transmembrane;Transmembrane helix</t>
  </si>
  <si>
    <t>UniRef100_O00206;UniRef90_O00206;UniRef50_O00206</t>
  </si>
  <si>
    <t>DB01183</t>
  </si>
  <si>
    <t>TR10A_HUMAN</t>
  </si>
  <si>
    <t>Tumor necrosis factor receptor superfamily member 10A</t>
  </si>
  <si>
    <t>TNFRSF10A</t>
  </si>
  <si>
    <t>SP:1-23;NC:24-239;TM:240-266;CY:267-468</t>
  </si>
  <si>
    <t>ENSG00000104689</t>
  </si>
  <si>
    <t>ENSP00000221132</t>
  </si>
  <si>
    <t>CD261</t>
  </si>
  <si>
    <t>Other_receptors;TNFNGF</t>
  </si>
  <si>
    <t>156;417;422</t>
  </si>
  <si>
    <t>Apoptosis;Complete proteome;Disulfide bond;Glycoprotein;Membrane;Phosphoprotein;Polymorphism;Receptor;Reference proteome;Repeat;Signal;Transmembrane;Transmembrane helix</t>
  </si>
  <si>
    <t>UniRef100_O00220;UniRef90_O00220;UniRef50_O00220</t>
  </si>
  <si>
    <t>GRM8_HUMAN</t>
  </si>
  <si>
    <t>Metabotropic glutamate receptor 8</t>
  </si>
  <si>
    <t>GRM8</t>
  </si>
  <si>
    <t>SP:1-33;NC:34-583;TM:584-608;CY:609-620;TM:621-642;NC:643-649;TM:650-669;CY:670-694;TM:695-716;NC:717-746;TM:747-768;CY:769-781;TM:782-803;NC:804-821;TM:822-843;CY:844-908</t>
  </si>
  <si>
    <t>ENSG00000179603</t>
  </si>
  <si>
    <t>ENSP00000344173</t>
  </si>
  <si>
    <t>GPCR;Glutamate</t>
  </si>
  <si>
    <t>95;298;452;480;565;609;892;905</t>
  </si>
  <si>
    <t>95;565;609</t>
  </si>
  <si>
    <t>Alternative splicing;Cell membrane;Complete proteome;Disulfide bond;G-protein coupled receptor;Glycoprotein;Isopeptide bond;Membrane;Olfaction;Polymorphism;Receptor;Reference proteome;Sensory transduction;Signal;Transducer;Transmembrane;Transmembrane helix;Ubl conjugation</t>
  </si>
  <si>
    <t>UniRef100_O00222;UniRef90_P70579;UniRef50_P35400</t>
  </si>
  <si>
    <t>SIRB1_HUMAN</t>
  </si>
  <si>
    <t>Signal-regulatory protein beta-1</t>
  </si>
  <si>
    <t>SIRPB1</t>
  </si>
  <si>
    <t>SP:1-29;NC:30-370;TM:371-394;CY:395-398</t>
  </si>
  <si>
    <t>ENSG00000101307</t>
  </si>
  <si>
    <t>ENSP00000371018</t>
  </si>
  <si>
    <t>CD172b</t>
  </si>
  <si>
    <t>Other;SIRP</t>
  </si>
  <si>
    <t>109;244;269;291</t>
  </si>
  <si>
    <t>GLQLTWLENGN[115]VSR;GLQLTWLEN[115]GN[115]VSR</t>
  </si>
  <si>
    <t>O00241</t>
  </si>
  <si>
    <t>3D-structure;Alternative splicing;Complete proteome;Disulfide bond;Glycoprotein;Immunoglobulin domain;Membrane;Polymorphism;Reference proteome;Repeat;Signal;Transmembrane;Transmembrane helix</t>
  </si>
  <si>
    <t>UniRef100_O00241;UniRef90_O00241;UniRef50_O00241</t>
  </si>
  <si>
    <t>PAR3_HUMAN</t>
  </si>
  <si>
    <t>Proteinase-activated receptor 3</t>
  </si>
  <si>
    <t>F2RL2</t>
  </si>
  <si>
    <t>SP:1-19;NC:20-97;TM:98-120;CY:121-130;TM:131-151;NC:152-170;TM:171-189;CY:190-208;TM:209-230;NC:231-259;TM:260-284;CY:285-297;TM:298-324;NC:325-336;TM:337-360;CY:361-374</t>
  </si>
  <si>
    <t>ENSG00000164220</t>
  </si>
  <si>
    <t>ENSP00000296641</t>
  </si>
  <si>
    <t>25;82;331;366</t>
  </si>
  <si>
    <t>34;63;65</t>
  </si>
  <si>
    <t>Alternative splicing;Blood coagulation;Cell membrane;Complete proteome;Disulfide bond;G-protein coupled receptor;Glycoprotein;Hemostasis;Membrane;Polymorphism;Receptor;Reference proteome;Signal;Transducer;Transmembrane;Transmembrane helix</t>
  </si>
  <si>
    <t>UniRef100_O00254;UniRef90_O00254;UniRef50_O00254</t>
  </si>
  <si>
    <t>Cytoskeleton;Cytosol;Endoplasmic Reticulum;Endosome;Golgi apparatus;Lysosome;Mitochondrion;Nucleus;Peroxisome</t>
  </si>
  <si>
    <t>GPR31_HUMAN</t>
  </si>
  <si>
    <t>12-(S)-hydroxy-5,8,10,14-eicosatetraenoic acid receptor</t>
  </si>
  <si>
    <t>GPR31</t>
  </si>
  <si>
    <t>NC:1-11;TM:12-40;CY:41-51;TM:52-76;NC:77-87;TM:88-110;CY:111-129;TM:130-152;NC:153-175;TM:176-201;CY:202-221;TM:222-244;NC:245-269;TM:270-289;CY:290-319</t>
  </si>
  <si>
    <t>ENSG00000120436</t>
  </si>
  <si>
    <t>ENSP00000355799</t>
  </si>
  <si>
    <t>5;158</t>
  </si>
  <si>
    <t>Cell membrane;Complete proteome;G-protein coupled receptor;Glycoprotein;Membrane;Polymorphism;Receptor;Reference proteome;Transducer;Transmembrane;Transmembrane helix</t>
  </si>
  <si>
    <t>UniRef100_O00270;UniRef90_O00270;UniRef50_O00270</t>
  </si>
  <si>
    <t>UPK1A_HUMAN</t>
  </si>
  <si>
    <t>Uroplakin-1a</t>
  </si>
  <si>
    <t>UPK1A</t>
  </si>
  <si>
    <t>CY:1-14;TM:15-40;NC:41-60;TM:61-86;CY:87-92;TM:93-116;NC:117-232;TM:233-254;CY:255-258</t>
  </si>
  <si>
    <t>ENSG00000105668</t>
  </si>
  <si>
    <t>ENSP00000222275;ENSP00000483176</t>
  </si>
  <si>
    <t>Alternative splicing;Complete proteome;Disulfide bond;Glycoprotein;Membrane;Polymorphism;Reference proteome;Transmembrane;Transmembrane helix</t>
  </si>
  <si>
    <t>UniRef100_O00322;UniRef90_O00322;UniRef50_P38572</t>
  </si>
  <si>
    <t>S28A1_HUMAN</t>
  </si>
  <si>
    <t>Sodium/nucleoside cotransporter 1</t>
  </si>
  <si>
    <t>SLC28A1</t>
  </si>
  <si>
    <t>CY:1-80;TM:81-104;NC:105-109;TM:110-128;CY:129-147;TM:148-168;NC:169-178;TM:179-195;CY:196-202;TM:203-223;NC:224-261;TM:262-283;CY:284-293;TM:294-317;NC:318-337;TM:338-360;CY:361-366;TM:367-386;NC:387-425;TM:426-448;CY:449-457;TM:458-479;NC:480-532;TM:533-556;CY:557-568;TM:569-592;NC:593-649</t>
  </si>
  <si>
    <t>ENSG00000156222</t>
  </si>
  <si>
    <t>ENSP00000286749;ENSP00000378074</t>
  </si>
  <si>
    <t>SLC;Other;SLC28</t>
  </si>
  <si>
    <t>543;605;643</t>
  </si>
  <si>
    <t>605;643</t>
  </si>
  <si>
    <t>Alternative splicing;Cell membrane;Complete proteome;Glycoprotein;Membrane;Polymorphism;Reference proteome;Transmembrane;Transmembrane helix;Transport</t>
  </si>
  <si>
    <t>UniRef100_O00337;UniRef90_O00337;UniRef50_O00337</t>
  </si>
  <si>
    <t>EAA5_HUMAN</t>
  </si>
  <si>
    <t>Excitatory amino acid transporter 5</t>
  </si>
  <si>
    <t>SLC1A7</t>
  </si>
  <si>
    <t>CY:1-18;TM:19-37;NC:38-56;TM:57-80;CY:81-91;TM:92-114;NC:115-218;TM:219-237;CY:238-257;TM:258-278;NC:279-295;TM:296-319;CY:320-329;TM:330-350;NC:351-370;TM:371-393;CY:394-412;TM:413-437;NC:438-458;TM:459-477;CY:478-560</t>
  </si>
  <si>
    <t>ENSG00000162383</t>
  </si>
  <si>
    <t>ENSP00000360549</t>
  </si>
  <si>
    <t>SLC;Other;SLC1</t>
  </si>
  <si>
    <t>191;254</t>
  </si>
  <si>
    <t>Alternative splicing;Complete proteome;Glycoprotein;Membrane;Polymorphism;Reference proteome;Symport;Transmembrane;Transmembrane helix;Transport</t>
  </si>
  <si>
    <t>UniRef100_O00341;UniRef90_O00341;UniRef50_O00341</t>
  </si>
  <si>
    <t>QSOX1_HUMAN</t>
  </si>
  <si>
    <t>Sulfhydryl oxidase 1</t>
  </si>
  <si>
    <t>QSOX1</t>
  </si>
  <si>
    <t>SP:1-29;NC:30-705;TM:706-731;CY:732-747</t>
  </si>
  <si>
    <t>ENSG00000116260</t>
  </si>
  <si>
    <t>ENSP00000356574</t>
  </si>
  <si>
    <t>Enzymes</t>
  </si>
  <si>
    <t>1.8.3</t>
  </si>
  <si>
    <t>130;243;575;591</t>
  </si>
  <si>
    <t>N[115]STLDPGKPEMMK</t>
  </si>
  <si>
    <t>O00391</t>
  </si>
  <si>
    <t>Golgi apparatus membrane (Single- pass membrane protein);Secreted, extracellular space</t>
  </si>
  <si>
    <t>3D-structure;Alternative splicing;Complete proteome;Disulfide bond;FAD;Flavoprotein;Glycoprotein;Golgi apparatus;Membrane;Oxidoreductase;Polymorphism;Reference proteome;Secreted;Signal;Transmembrane;Transmembrane helix</t>
  </si>
  <si>
    <t>UniRef100_O00391;UniRef90_O00391;UniRef50_O00391</t>
  </si>
  <si>
    <t>Extracellular space;Golgi apparatus</t>
  </si>
  <si>
    <t>Cytoskeleton;Cytosol;Endoplasmic Reticulum;Endosome;Lysosome;Mitochondrion;Nucleus;Peroxisome;Plasma membrane</t>
  </si>
  <si>
    <t>P2Y10_HUMAN</t>
  </si>
  <si>
    <t>Putative P2Y purinoceptor 10</t>
  </si>
  <si>
    <t>P2RY10</t>
  </si>
  <si>
    <t>NC:1-37;TM:38-60;CY:61-69;TM:70-95;NC:96-100;TM:101-129;CY:130-149;TM:150-170;NC:171-191;TM:192-219;CY:220-241;TM:242-265;NC:266-284;TM:285-308;CY:309-339</t>
  </si>
  <si>
    <t>ENSG00000078589</t>
  </si>
  <si>
    <t>ENSP00000171757;ENSP00000443138</t>
  </si>
  <si>
    <t>16;26;75;178</t>
  </si>
  <si>
    <t>MGSN[115]STSTAEIYCN[115]VTNVK</t>
  </si>
  <si>
    <t>16;26</t>
  </si>
  <si>
    <t>O00398</t>
  </si>
  <si>
    <t>Cell membrane;Complete proteome;Disulfide bond;G-protein coupled receptor;Glycoprotein;Membrane;Polymorphism;Receptor;Reference proteome;Transducer;Transmembrane;Transmembrane helix</t>
  </si>
  <si>
    <t>UniRef100_O00398;UniRef90_O00398;UniRef50_O00398</t>
  </si>
  <si>
    <t>ACATN_HUMAN</t>
  </si>
  <si>
    <t>Acetyl-coenzyme A transporter 1</t>
  </si>
  <si>
    <t>SLC33A1</t>
  </si>
  <si>
    <t>CY:1-74;TM:75-99;NC:100-110;TM:111-133;CY:134-142;TM:143-160;NC:161-175;TM:176-197;CY:198-215;TM:216-235;NC:236-259;TM:260-278;CY:279-299;TM:300-324;NC:325-343;TM:344-364;CY:365-375;TM:376-396;NC:397-407;TM:408-429;CY:430-507;TM:508-527;NC:528-549</t>
  </si>
  <si>
    <t>ENSG00000169359</t>
  </si>
  <si>
    <t>ENSP00000352456;ENSP00000376587</t>
  </si>
  <si>
    <t>SLC;Other;SLC33</t>
  </si>
  <si>
    <t>18;103</t>
  </si>
  <si>
    <t>Endoplasmic reticulum membrane (Multi-pass membrane protein)</t>
  </si>
  <si>
    <t>Cataract;Complete proteome;Deafness;Disease mutation;Endoplasmic reticulum;Glycoprotein;Hereditary spastic paraplegia;Membrane;Neurodegeneration;Phosphoprotein;Polymorphism;Reference proteome;Transmembrane;Transmembrane helix;Transport</t>
  </si>
  <si>
    <t>UniRef100_O00400;UniRef90_O00400;UniRef50_O00400</t>
  </si>
  <si>
    <t>Endoplasmic Reticulum</t>
  </si>
  <si>
    <t>Cytoskeleton;Cytosol;Endosome;Extracellular space;Lysosome;Mitochondrion;Nucleus;Peroxisome</t>
  </si>
  <si>
    <t>CCRL2_HUMAN</t>
  </si>
  <si>
    <t>C-C chemokine receptor-like 2</t>
  </si>
  <si>
    <t>CCRL2</t>
  </si>
  <si>
    <t>NC:1-39;TM:40-64;CY:65-75;TM:76-95;NC:96-106;TM:107-126;CY:127-145;TM:146-165;NC:166-201;TM:202-222;CY:223-234;TM:235-260;NC:261-282;TM:283-303;CY:304-344</t>
  </si>
  <si>
    <t>ENSG00000121797</t>
  </si>
  <si>
    <t>ENSP00000381994;ENSP00000383677;ENSP00000383678</t>
  </si>
  <si>
    <t>3;205</t>
  </si>
  <si>
    <t>329;334</t>
  </si>
  <si>
    <t>Alternative splicing;Cell membrane;Complete proteome;Disulfide bond;G-protein coupled receptor;Glycoprotein;Membrane;Polymorphism;Receptor;Reference proteome;Transducer;Transmembrane;Transmembrane helix</t>
  </si>
  <si>
    <t>UniRef100_O00421;UniRef90_O00421;UniRef50_O00421</t>
  </si>
  <si>
    <t>GFRA2_HUMAN</t>
  </si>
  <si>
    <t>GDNF family receptor alpha-2</t>
  </si>
  <si>
    <t>GFRA2</t>
  </si>
  <si>
    <t>SP:1-21;NC:22-464</t>
  </si>
  <si>
    <t>uniprot - CSPA based sp-noncyt - CSPA confirmed</t>
  </si>
  <si>
    <t>1 (nonTM)</t>
  </si>
  <si>
    <t>ENSG00000168546</t>
  </si>
  <si>
    <t>ENSP00000429445;ENSP00000428518</t>
  </si>
  <si>
    <t>52;357;362;413</t>
  </si>
  <si>
    <t>ANELCAAESN[115]CSSR;AN[115]ELCAAESN[115]CSSR;NAIQAFGN[115]GTDVNVSPK;NAIQAFGN[115]GTDVN[115]VSPK;N[115]AIQAFGN[115]GTDVNVSPK;N[115]AIQAFGN[115]GTDVN[115]VSPK;AIQAFGN[115]GTDVNVSPK;AIQAFGN[115]GTDVN[115]VSPK</t>
  </si>
  <si>
    <t>52;357;362</t>
  </si>
  <si>
    <t>O00451</t>
  </si>
  <si>
    <t>Alternative splicing;Cell membrane;Complete proteome;Glycoprotein;GPI-anchor;Lipoprotein;Membrane;Polymorphism;Receptor;Reference proteome;Signal</t>
  </si>
  <si>
    <t>UniRef100_O00451;UniRef90_O00451;UniRef50_O00451</t>
  </si>
  <si>
    <t>BT3A3_HUMAN</t>
  </si>
  <si>
    <t>Butyrophilin subfamily 3 member A3</t>
  </si>
  <si>
    <t>BTN3A3</t>
  </si>
  <si>
    <t>SP:1-29;NC:30-247;TM:248-271;CY:272-584</t>
  </si>
  <si>
    <t>ENSG00000111801</t>
  </si>
  <si>
    <t>ENSP00000244519</t>
  </si>
  <si>
    <t>Other;Butyrophylin</t>
  </si>
  <si>
    <t>115;389;476;542</t>
  </si>
  <si>
    <t>3D-structure;Adaptive immunity;Alternative splicing;Cell membrane;Complete proteome;Direct protein sequencing;Disulfide bond;Glycoprotein;Immunity;Immunoglobulin domain;Membrane;Reference proteome;Repeat;Signal;Transmembrane;Transmembrane helix</t>
  </si>
  <si>
    <t>UniRef100_O00478;UniRef90_O00478;UniRef50_O00478</t>
  </si>
  <si>
    <t>BT3A1_HUMAN</t>
  </si>
  <si>
    <t>Butyrophilin subfamily 3 member A1</t>
  </si>
  <si>
    <t>BTN3A1</t>
  </si>
  <si>
    <t>SP:1-31;NC:32-248;TM:249-271;CY:272-513</t>
  </si>
  <si>
    <t>ENSG00000026950</t>
  </si>
  <si>
    <t>ENSP00000289361</t>
  </si>
  <si>
    <t>CD277</t>
  </si>
  <si>
    <t>Cell membrane (Single- pass type I membrane protein)</t>
  </si>
  <si>
    <t>3D-structure;Adaptive immunity;Alternative splicing;Cell membrane;Complete proteome;Disulfide bond;Glycoprotein;Immunity;Immunoglobulin domain;Membrane;Polymorphism;Reference proteome;Repeat;Signal;Transmembrane;Transmembrane helix</t>
  </si>
  <si>
    <t>UniRef100_O00481;UniRef90_O00481;UniRef50_O00481</t>
  </si>
  <si>
    <t>UPK2_HUMAN</t>
  </si>
  <si>
    <t>Uroplakin-2</t>
  </si>
  <si>
    <t>UPK2</t>
  </si>
  <si>
    <t>SP:1-25;NC:26-154;TM:155-179;CY:180-184</t>
  </si>
  <si>
    <t>ENSG00000110375</t>
  </si>
  <si>
    <t>ENSP00000264031</t>
  </si>
  <si>
    <t>28;57;66</t>
  </si>
  <si>
    <t>Cell membrane;Cleavage on pair of basic residues;Complete proteome;Glycoprotein;Membrane;Polymorphism;Reference proteome;Signal;Transmembrane;Transmembrane helix</t>
  </si>
  <si>
    <t>UniRef100_O00526;UniRef90_O00526;UniRef50_O00526</t>
  </si>
  <si>
    <t>NCHL1_HUMAN</t>
  </si>
  <si>
    <t>Neural cell adhesion molecule L1-like protein</t>
  </si>
  <si>
    <t>CHL1</t>
  </si>
  <si>
    <t>SP:1-24;NC:25-1081;TM:1082-1103;CY:1104-1208</t>
  </si>
  <si>
    <t>ENSG00000134121</t>
  </si>
  <si>
    <t>ENSP00000380628</t>
  </si>
  <si>
    <t>87;225;299;367;394;476;482;513;562;575;580;625;641;767;822;945;957;969;984;1026;1055;1197</t>
  </si>
  <si>
    <t>IIPSN[115]NSGTFR;PSN[115]NSGTFR;YHIYEN[115]GTLQIN[115]R;DGEAFEIN[115]GTEDGR;LTWEAGADHNSN[115]ISEYIVEFEGNKEEPGR;VTWKPQGAPVEWEEETVTN[115]HTLR;PQGAPVEWEEETVTN[115]HTLR;SGEDYPDTAPVIHGVDVIN[115]STLVK;PSWHLSNLN[115]ATTK;LSNLN[115]ATTK</t>
  </si>
  <si>
    <t>87;476;482;562;641;767;822;984</t>
  </si>
  <si>
    <t>O00533</t>
  </si>
  <si>
    <t>Cell membrane (Single-pass type I membrane protein);Secreted, extracellular space, extracellular matrix</t>
  </si>
  <si>
    <t>Alternative splicing;Cell adhesion;Cell membrane;Complete proteome;Developmental protein;Differentiation;Disulfide bond;Extracellular matrix;Glycoprotein;Immunoglobulin domain;Membrane;Neurogenesis;Polymorphism;Reference proteome;Repeat;Secreted;Signal;Transmembrane;Transmembrane helix</t>
  </si>
  <si>
    <t>UniRef100_O00533;UniRef90_O00533;UniRef50_P70232</t>
  </si>
  <si>
    <t>DLL1_HUMAN</t>
  </si>
  <si>
    <t>Delta-like protein 1</t>
  </si>
  <si>
    <t>DLL1</t>
  </si>
  <si>
    <t>SP:1-21;NC:22-543;TM:544-569;CY:570-723</t>
  </si>
  <si>
    <t>ENSG00000198719;ENSG00000275555</t>
  </si>
  <si>
    <t>ENSP00000355718;ENSP00000480905</t>
  </si>
  <si>
    <t>Ligand;Delta</t>
  </si>
  <si>
    <t>70;93;105;137;324;335;449;671;679;680;687;694;698;699</t>
  </si>
  <si>
    <t>Alternative splicing;Complete proteome;Developmental protein;Differentiation;Disulfide bond;EGF-like domain;Glycoprotein;Membrane;Notch signaling pathway;Polymorphism;Reference proteome;Repeat;Signal;Transmembrane;Transmembrane helix;Ubl conjugation</t>
  </si>
  <si>
    <t>UniRef100_O00548;UniRef90_O00548;UniRef50_O00548</t>
  </si>
  <si>
    <t>Extracellular space;Plasma membrane</t>
  </si>
  <si>
    <t>CXCR6_HUMAN</t>
  </si>
  <si>
    <t>C-X-C chemokine receptor type 6</t>
  </si>
  <si>
    <t>CXCR6</t>
  </si>
  <si>
    <t>NC:1-35;TM:36-59;CY:60-68;TM:69-90;NC:91-107;TM:108-129;CY:130-149;TM:150-169;NC:170-197;TM:198-219;CY:220-230;TM:231-250;NC:251-269;TM:270-292;CY:293-342</t>
  </si>
  <si>
    <t>ENSG00000172215</t>
  </si>
  <si>
    <t>ENSP00000304414;ENSP00000396218;ENSP00000396886;ENSP00000395704</t>
  </si>
  <si>
    <t>CD186</t>
  </si>
  <si>
    <t>UniRef100_O00574;UniRef90_O00574;UniRef50_O00574</t>
  </si>
  <si>
    <t>ACKR2_HUMAN</t>
  </si>
  <si>
    <t>Atypical chemokine receptor 2</t>
  </si>
  <si>
    <t>ACKR2</t>
  </si>
  <si>
    <t>NC:1-50;TM:51-72;CY:73-91;TM:92-111;NC:112-122;TM:123-140;CY:141-160;TM:161-183;NC:184-215;TM:216-239;CY:240-250;TM:251-272;NC:273-291;TM:292-314;CY:315-384</t>
  </si>
  <si>
    <t>ENSG00000144648</t>
  </si>
  <si>
    <t>ENSP00000273145;ENSP00000416996;ENSP00000396150</t>
  </si>
  <si>
    <t>19;267;381</t>
  </si>
  <si>
    <t>Cell membrane (Multi-pass membrane protein);Early endosome;Recycling endosome</t>
  </si>
  <si>
    <t>Cell membrane;Complete proteome;Disulfide bond;Endosome;G-protein coupled receptor;Glycoprotein;Inflammatory response;Membrane;Phosphoprotein;Polymorphism;Receptor;Reference proteome;Transducer;Transmembrane;Transmembrane helix</t>
  </si>
  <si>
    <t>UniRef100_O00590;UniRef90_O00590;UniRef50_O00590</t>
  </si>
  <si>
    <t>GBRP_HUMAN</t>
  </si>
  <si>
    <t>Gamma-aminobutyric acid receptor subunit pi</t>
  </si>
  <si>
    <t>GABRP</t>
  </si>
  <si>
    <t>SP:1-20;NC:21-241;TM:242-264;CY:265-274;TM:275-295;NC:296-307;TM:308-327;CY:328-419;TM:420-437;NC:438-440</t>
  </si>
  <si>
    <t>ENSG00000094755</t>
  </si>
  <si>
    <t>ENSP00000265294;ENSP00000430100</t>
  </si>
  <si>
    <t>2;43;102;145;196;228;356</t>
  </si>
  <si>
    <t>Cell junction;Cell membrane;Chloride;Chloride channel;Complete proteome;Disulfide bond;Glycoprotein;Ion channel;Ion transport;Membrane;Polymorphism;Postsynaptic cell membrane;Reference proteome;Signal;Synapse;Transmembrane;Transmembrane helix;Transport</t>
  </si>
  <si>
    <t>UniRef100_O00591;UniRef90_O00591;UniRef50_O00591</t>
  </si>
  <si>
    <t>DB00231;DB00546;DB00683;DB00690;DB00801;DB00829;DB00842;DB00897;DB01215;DB01558;DB01559;DB01567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</si>
  <si>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PODXL_HUMAN</t>
  </si>
  <si>
    <t>Podocalyxin</t>
  </si>
  <si>
    <t>PODXL</t>
  </si>
  <si>
    <t>SP:1-22;NC:23-459;TM:460-482;CY:483-558</t>
  </si>
  <si>
    <t>ENSG00000128567</t>
  </si>
  <si>
    <t>ENSP00000367817</t>
  </si>
  <si>
    <t>33;43;104;144;360;544</t>
  </si>
  <si>
    <t>33;43;104;115;144;360;510;544</t>
  </si>
  <si>
    <t>22;23;25;27;29;31;35;37;38;39;41;42;45;48;51;52;54;58;60;64;65;68;69;77;81;82;86;87;89;93;94;100;106;113;117;118;119;122;125;126;128;131;132;133;136;137;138;140;146;147;148;155;156;162;163;165;167;168;171;172;173;180;184;185;188;193;194;195;200;202;203;204;213;214;215;216;217;218;225;227;228;232;233;234;244;252;253;258;261;263;267;269;270;273;276;279;280;281;286;287;288;291;292;295;299;300;303;307;309;313;315;316;317;319;322;323;324;330;332;334;339;349;529</t>
  </si>
  <si>
    <t>QLVLN[115]LTGN;QLVLN[115]LTGNTLCAGGASDEK</t>
  </si>
  <si>
    <t>O00592</t>
  </si>
  <si>
    <t>Apical cell membrane;Cell projection, filopodium;Cell projection, lamellipodium;Cell projection, microvillus;Cell projection, ruffle;Membrane (Single-pass type I membrane protein);Membrane raft</t>
  </si>
  <si>
    <t>Alternative splicing;Cell adhesion;Cell membrane;Cell projection;Complete proteome;Direct protein sequencing;Glycoprotein;Membrane;Phosphoprotein;Polymorphism;Reference proteome;Signal;Transmembrane;Transmembrane helix</t>
  </si>
  <si>
    <t>UniRef100_O00592;UniRef90_O00592;UniRef50_O00592</t>
  </si>
  <si>
    <t>Cytosol;Endoplasmic Reticulum;Endosome;Extracellular space;Golgi apparatus;Lysosome;Mitochondrion;Peroxisome</t>
  </si>
  <si>
    <t>CLD4_HUMAN</t>
  </si>
  <si>
    <t>Claudin-4</t>
  </si>
  <si>
    <t>CLDN4</t>
  </si>
  <si>
    <t>CY:1-8;TM:9-30;NC:31-78;TM:79-100;CY:101-118;TM:119-140;NC:141-163;TM:164-183;CY:184-209</t>
  </si>
  <si>
    <t>ENSG00000189143</t>
  </si>
  <si>
    <t>ENSP00000342445;ENSP00000388639;ENSP00000409544</t>
  </si>
  <si>
    <t>18;30;47;51;138;168</t>
  </si>
  <si>
    <t>Cell junction;Cell membrane;Complete proteome;Membrane;Phosphoprotein;Reference proteome;Tight junction;Transmembrane;Transmembrane helix;Williams-Beuren syndrome</t>
  </si>
  <si>
    <t>UniRef100_O14493;UniRef90_O14493;UniRef50_O14493</t>
  </si>
  <si>
    <t>LPP1_HUMAN</t>
  </si>
  <si>
    <t>Lipid phosphate phosphohydrolase 1</t>
  </si>
  <si>
    <t>PPAP2A</t>
  </si>
  <si>
    <t>CY:1-6;TM:7-27;NC:28-53;TM:54-74;CY:75-93;TM:94-112;NC:113-166;TM:167-186;CY:187-196;TM:197-216;NC:217-228;TM:229-250;CY:251-284</t>
  </si>
  <si>
    <t>ENSG00000067113</t>
  </si>
  <si>
    <t>ENSP00000302229</t>
  </si>
  <si>
    <t>3.1.3</t>
  </si>
  <si>
    <t>IN[115]CSDGYIEYYICR</t>
  </si>
  <si>
    <t>O14494</t>
  </si>
  <si>
    <t>Alternative splicing;Cell membrane;Complete proteome;Glycoprotein;Hydrolase;Membrane;Reference proteome;Transmembrane;Transmembrane helix</t>
  </si>
  <si>
    <t>UniRef100_O14494;UniRef90_O14494;UniRef50_O14494</t>
  </si>
  <si>
    <t>LPP3_HUMAN</t>
  </si>
  <si>
    <t>Lipid phosphate phosphohydrolase 3</t>
  </si>
  <si>
    <t>PPAP2B</t>
  </si>
  <si>
    <t>CY:1-33;TM:34-54;NC:55-83;TM:84-106;CY:107-121;TM:122-143;NC:144-194;TM:195-214;CY:215-224;TM:225-244;NC:245-255;TM:256-277;CY:278-311</t>
  </si>
  <si>
    <t>ENSG00000162407</t>
  </si>
  <si>
    <t>ENSP00000360296</t>
  </si>
  <si>
    <t>FLSVCNPDFSQIN[115]CSEGYIQNYR</t>
  </si>
  <si>
    <t>O14495</t>
  </si>
  <si>
    <t>Cell membrane (Multi-pass membrane protein);Golgi apparatus, trans-Golgi network membrane (Multi-pass membrane protein)</t>
  </si>
  <si>
    <t>Cell membrane;Complete proteome;Glycoprotein;Golgi apparatus;Hydrolase;Membrane;Phosphoprotein;Reference proteome;Transmembrane;Transmembrane helix</t>
  </si>
  <si>
    <t>UniRef100_O14495;UniRef90_O14495;UniRef50_O14495</t>
  </si>
  <si>
    <t>NRG2_HUMAN</t>
  </si>
  <si>
    <t>Pro-neuregulin-2, membrane-bound isoform</t>
  </si>
  <si>
    <t>NRG2</t>
  </si>
  <si>
    <t>NC:1-405;TM:406-428;CY:429-850</t>
  </si>
  <si>
    <t>ENSG00000158458</t>
  </si>
  <si>
    <t>ENSP00000354910</t>
  </si>
  <si>
    <t>52;53;147;278;346;451</t>
  </si>
  <si>
    <t>Secreted;Cell membrane (Single-pass type I membrane protein)</t>
  </si>
  <si>
    <t>Alternative splicing;Cell membrane;Complete proteome;Disulfide bond;EGF-like domain;Glycoprotein;Growth factor;Immunoglobulin domain;Membrane;Reference proteome;Secreted;Transmembrane;Transmembrane helix</t>
  </si>
  <si>
    <t>UniRef100_O14511;UniRef90_O14511;UniRef50_O14511</t>
  </si>
  <si>
    <t>BAI1_HUMAN</t>
  </si>
  <si>
    <t>Brain-specific angiogenesis inhibitor 1</t>
  </si>
  <si>
    <t>BAI1</t>
  </si>
  <si>
    <t>SP:1-30;NC:31-948;TM:949-970;CY:971-981;TM:982-1001;NC:1002-1011;TM:1012-1031;CY:1032-1052;TM:1053-1071;NC:1072-1090;TM:1091-1114;CY:1115-1134;TM:1135-1157;NC:1158-1162;TM:1163-1187;CY:1188-1584</t>
  </si>
  <si>
    <t>ENSG00000181790</t>
  </si>
  <si>
    <t>ENSP00000313046;ENSP00000430945</t>
  </si>
  <si>
    <t>GPCR;Adhesion</t>
  </si>
  <si>
    <t>64;401;607;692;844;877;881;1282;1304</t>
  </si>
  <si>
    <t>607;692;844;877;881</t>
  </si>
  <si>
    <t>12;70;192;264;267;270;360;363;374;412;415;418;470;473;476;508;525;528;531;591;626;728;791;797;887;904;906;973;1028;1034;1058;1084;1137;1150;1531;1543;1563</t>
  </si>
  <si>
    <t>Autocatalytic cleavage;Cell adhesion;Cell membrane;Complete proteome;Disulfide bond;G-protein coupled receptor;Glycoprotein;Membrane;Receptor;Reference proteome;Repeat;Signal;Transducer;Transmembrane;Transmembrane helix</t>
  </si>
  <si>
    <t>UniRef100_O14514;UniRef90_O14514;UniRef50_O14514</t>
  </si>
  <si>
    <t>PTPRT_HUMAN</t>
  </si>
  <si>
    <t>Receptor-type tyrosine-protein phosphatase T</t>
  </si>
  <si>
    <t>PTPRT</t>
  </si>
  <si>
    <t>SP:1-25;NC:26-746;TM:747-768;CY:769-1441</t>
  </si>
  <si>
    <t>ENSG00000196090</t>
  </si>
  <si>
    <t>ENSP00000362289</t>
  </si>
  <si>
    <t>Other_receptors;ReceptorTypePhosphatases</t>
  </si>
  <si>
    <t>78;98;137;208;421;510;547;601;654;684;1162;1171;1206;1268;1416</t>
  </si>
  <si>
    <t>3D-structure;Alternative splicing;Complete proteome;Disulfide bond;Glycoprotein;Hydrolase;Immunoglobulin domain;Membrane;Polymorphism;Protein phosphatase;Receptor;Reference proteome;Repeat;Signal;Transmembrane;Transmembrane helix</t>
  </si>
  <si>
    <t>UniRef100_O14522;UniRef90_O14522;UniRef50_O14522</t>
  </si>
  <si>
    <t>T194A_HUMAN</t>
  </si>
  <si>
    <t>Transmembrane protein 194A</t>
  </si>
  <si>
    <t>TMEM194A</t>
  </si>
  <si>
    <t>CY:1-20;TM:21-43;NC:44-162;TM:163-180;CY:181-185;TM:186-209;NC:210-215;TM:216-236;CY:237-246;TM:247-269;NC:270-285;TM:286-311;CY:312-444</t>
  </si>
  <si>
    <t>ENSG00000166881</t>
  </si>
  <si>
    <t>ENSP00000300128</t>
  </si>
  <si>
    <t>88;125</t>
  </si>
  <si>
    <t>LN[115]DTYVNVGLYSTK</t>
  </si>
  <si>
    <t>O14524</t>
  </si>
  <si>
    <t>Alternative splicing;Complete proteome;Glycoprotein;Membrane;Phosphoprotein;Polymorphism;Reference proteome;Transmembrane;Transmembrane helix</t>
  </si>
  <si>
    <t>UniRef100_O14524;UniRef90_O14524;UniRef50_O14524</t>
  </si>
  <si>
    <t>ASTN1_HUMAN</t>
  </si>
  <si>
    <t>Astrotactin-1</t>
  </si>
  <si>
    <t>ASTN1</t>
  </si>
  <si>
    <t>SP:1-21;NC:22-150;TM:151-175;CY:176-384;TM:385-404;NC:405-1302</t>
  </si>
  <si>
    <t>ENSG00000152092</t>
  </si>
  <si>
    <t>115;226;382;453;729;742;804;984</t>
  </si>
  <si>
    <t>14;108;112;180;440;458;511;518;551;817;879;890;999;1010;1051;1133;1215;1239;1273</t>
  </si>
  <si>
    <t>Alternative splicing;Cell adhesion;Complete proteome;Disulfide bond;EGF-like domain;Glycoprotein;Membrane;Polymorphism;Reference proteome;Repeat;Signal;Transmembrane;Transmembrane helix</t>
  </si>
  <si>
    <t>UniRef100_O14525;UniRef90_Q61137;UniRef50_Q61137</t>
  </si>
  <si>
    <t>OR7AH_HUMAN</t>
  </si>
  <si>
    <t>Olfactory receptor 7A17</t>
  </si>
  <si>
    <t>OR7A17</t>
  </si>
  <si>
    <t>NC:1-25;TM:26-48;CY:49-58;TM:59-78;NC:79-97;TM:98-120;CY:121-139;TM:140-161;NC:162-198;TM:199-218;CY:219-237;TM:238-260;NC:261-271;TM:272-292;CY:293-309</t>
  </si>
  <si>
    <t>ENSG00000185385</t>
  </si>
  <si>
    <t>ENSP00000328144</t>
  </si>
  <si>
    <t>5;65</t>
  </si>
  <si>
    <t>UniRef100_O14581;UniRef90_O14581;UniRef50_Q8NG98</t>
  </si>
  <si>
    <t>GP171_HUMAN</t>
  </si>
  <si>
    <t>Probable G-protein coupled receptor 171</t>
  </si>
  <si>
    <t>GPR171</t>
  </si>
  <si>
    <t>NC:1-19;TM:20-40;CY:41-51;TM:52-73;NC:74-87;TM:88-110;CY:111-129;TM:130-151;NC:152-177;TM:178-201;CY:202-221;TM:222-241;NC:242-268;TM:269-288;CY:289-319</t>
  </si>
  <si>
    <t>ENSG00000174946</t>
  </si>
  <si>
    <t>ENSP00000308479;ENSP00000482588</t>
  </si>
  <si>
    <t>3;190</t>
  </si>
  <si>
    <t>UniRef100_O14626;UniRef90_O14626;UniRef50_O14626</t>
  </si>
  <si>
    <t>ADA10_HUMAN</t>
  </si>
  <si>
    <t>Disintegrin and metalloproteinase domain-containing protein 10</t>
  </si>
  <si>
    <t>ADAM10</t>
  </si>
  <si>
    <t>SP:1-18;NC:19-675;TM:676-696;CY:697-748</t>
  </si>
  <si>
    <t>ENSG00000137845</t>
  </si>
  <si>
    <t>ENSP00000260408</t>
  </si>
  <si>
    <t>CD156c</t>
  </si>
  <si>
    <t>3.4.24</t>
  </si>
  <si>
    <t>267;278;439;551</t>
  </si>
  <si>
    <t>IRIN[115]TTADEKDPTNPFR;IN[115]TTADEK;IN[115]TTADEKDPTN;IN[115]TTADEKDPTNPF;IN[115]TTADEKDPTNPFR;IN[115]TTADEKDPTNPFRFPNIGVEK;N[115]TTADEKDPTNPFR;N[115]ISQVLEK;EGICNGFTALCPASDPKPN[115]FTDCNR;EGICNGFTALCPASDPKPN[115]FTDCN[115]R;EGICN[115]GFTALCPASDPKPN[115]FTDCNR;TALCPASDPKPN[115]FTDCNR;PKPN[115]FTDCNR</t>
  </si>
  <si>
    <t>278;439;551</t>
  </si>
  <si>
    <t>O14672</t>
  </si>
  <si>
    <t>Cell membrane (Single-pass type I membrane protein);Endomembrane system (Single-pass type I membrane protein)</t>
  </si>
  <si>
    <t>3D-structure;Alternative splicing;Alzheimer disease;Amyloidosis;Cell membrane;Cleavage on pair of basic residues;Complete proteome;Direct protein sequencing;Disease mutation;Disulfide bond;Glycoprotein;Hydrolase;Membrane;Metal-binding;Metalloprotease;Neurodegeneration;Notch signaling pathway;Polymorphism;Protease;Reference proteome;SH3-binding;Signal;Transmembrane;Transmembrane helix;Zinc;Zymogen</t>
  </si>
  <si>
    <t>UniRef100_O14672;UniRef90_O14672;UniRef50_O14672</t>
  </si>
  <si>
    <t>Golgi apparatus;Plasma membrane</t>
  </si>
  <si>
    <t>Cytosol;Endoplasmic Reticulum;Endosome;Extracellular space;Lysosome;Mitochondrion;Peroxisome</t>
  </si>
  <si>
    <t>OPSX_HUMAN</t>
  </si>
  <si>
    <t>Visual pigment-like receptor peropsin</t>
  </si>
  <si>
    <t>RRH</t>
  </si>
  <si>
    <t>NC:1-27;TM:28-51;CY:52-62;TM:63-81;NC:82-100;TM:101-121;CY:122-140;TM:141-166;NC:167-185;TM:186-210;CY:211-242;TM:243-265;NC:266-276;TM:277-297;CY:298-337</t>
  </si>
  <si>
    <t>ENSG00000180245</t>
  </si>
  <si>
    <t>ENSP00000314992</t>
  </si>
  <si>
    <t>Chromophore;Complete proteome;Disulfide bond;G-protein coupled receptor;Glycoprotein;Membrane;Photoreceptor protein;Receptor;Reference proteome;Retinal protein;Sensory transduction;Transducer;Transmembrane;Transmembrane helix</t>
  </si>
  <si>
    <t>UniRef100_O14718;UniRef90_O14718;UniRef50_O14718</t>
  </si>
  <si>
    <t>GBRD_HUMAN</t>
  </si>
  <si>
    <t>Gamma-aminobutyric acid receptor subunit delta</t>
  </si>
  <si>
    <t>GABRD</t>
  </si>
  <si>
    <t>SP:1-21;NC:22-248;TM:249-271;CY:272-279;TM:280-300;NC:301-311;TM:312-333;CY:334-428;TM:429-449;NC:450-452</t>
  </si>
  <si>
    <t>ENSG00000187730</t>
  </si>
  <si>
    <t>ENSP00000367848</t>
  </si>
  <si>
    <t>103;106</t>
  </si>
  <si>
    <t>Cell junction;Cell membrane;Chloride;Chloride channel;Complete proteome;Disease mutation;Disulfide bond;Epilepsy;Glycoprotein;Ion channel;Ion transport;Membrane;Polymorphism;Postsynaptic cell membrane;Reference proteome;Signal;Synapse;Transmembrane;Transmembrane helix;Transport</t>
  </si>
  <si>
    <t>UniRef100_O14764;UniRef90_O14764;UniRef50_O14764</t>
  </si>
  <si>
    <t>DB00231;DB00546;DB00683;DB00690;DB00801;DB00829;DB00842;DB00897;DB01215;DB01558;DB01559;DB01567;DB01587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</si>
  <si>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NRP1_HUMAN</t>
  </si>
  <si>
    <t>Neuropilin-1</t>
  </si>
  <si>
    <t>NRP1</t>
  </si>
  <si>
    <t>SP:1-23;NC:24-856;TM:857-882;CY:883-923</t>
  </si>
  <si>
    <t>ENSG00000099250</t>
  </si>
  <si>
    <t>ENSP00000265371;ENSP00000364001</t>
  </si>
  <si>
    <t>CD304</t>
  </si>
  <si>
    <t>Other_receptors;Neuropilin</t>
  </si>
  <si>
    <t>150;261;300;522;842;892</t>
  </si>
  <si>
    <t>150;261;300;386;522;842;892</t>
  </si>
  <si>
    <t>449;450;830</t>
  </si>
  <si>
    <t>RGPECSQN[115]YTTPSGVIK;GPECSQN[115]YTTPSGVIK;PECSQN[115]YTTPSGVIK;ECSQN[115]YTTPSGVIK;SQN[115]YTTPSGVIK;EGFSAN[115]YSVLQSSVSEDFK;SAN[115]YSVLQSSVSEDFK;SQYSTN[115]WSAER;IGYSNN[115]GSDWK;IGYSN[115]N[115]GSDWK</t>
  </si>
  <si>
    <t>150;261;300;522</t>
  </si>
  <si>
    <t>O14786</t>
  </si>
  <si>
    <t>Cell membrane (Single-pass type I membrane protein);Secreted</t>
  </si>
  <si>
    <t>3D-structure;Alternative splicing;Angiogenesis;Calcium;Cell membrane;Complete proteome;Developmental protein;Differentiation;Direct protein sequencing;Disulfide bond;Glycoprotein;Heparan sulfate;Heparin-binding;Membrane;Metal-binding;Neurogenesis;Polymorphism;Proteoglycan;Receptor;Reference proteome;Repeat;Secreted;Signal;Transmembrane;Transmembrane helix</t>
  </si>
  <si>
    <t>UniRef100_O14786;UniRef90_P97333;UniRef50_P97333</t>
  </si>
  <si>
    <t>Cytoskeleton;Endoplasmic Reticulum;Endosome;Golgi apparatus;Lysosome;Mitochondrion;Nucleus;Peroxisome</t>
  </si>
  <si>
    <t>DB00039;DB04895</t>
  </si>
  <si>
    <t>TNF11_HUMAN</t>
  </si>
  <si>
    <t>Tumor necrosis factor ligand superfamily member 11</t>
  </si>
  <si>
    <t>TNFSF11</t>
  </si>
  <si>
    <t>CY:1-48;TM:49-70;NC:71-317</t>
  </si>
  <si>
    <t>ENSG00000120659</t>
  </si>
  <si>
    <t>ENSP00000381775</t>
  </si>
  <si>
    <t>CD254</t>
  </si>
  <si>
    <t>171;198</t>
  </si>
  <si>
    <t>171;198;295</t>
  </si>
  <si>
    <t>177;227;228</t>
  </si>
  <si>
    <t>Cell membrane (Single-pass type II membrane protein);Cytoplasm;Cell membrane (Single-pass type II membrane protein);Secreted</t>
  </si>
  <si>
    <t>3D-structure;Alternative splicing;Cell membrane;Complete proteome;Cytokine;Cytoplasm;Developmental protein;Differentiation;Disease mutation;Glycoprotein;Membrane;Osteopetrosis;Receptor;Reference proteome;Secreted;Signal-anchor;Transmembrane;Transmembrane helix</t>
  </si>
  <si>
    <t>UniRef100_O14788;UniRef90_O14788;UniRef50_O35235</t>
  </si>
  <si>
    <t>DB00480;DB06643</t>
  </si>
  <si>
    <t>TR10C_HUMAN</t>
  </si>
  <si>
    <t>Tumor necrosis factor receptor superfamily member 10C</t>
  </si>
  <si>
    <t>TNFRSF10C</t>
  </si>
  <si>
    <t>SP:1-25;NC:26-259</t>
  </si>
  <si>
    <t>ENSG00000173535</t>
  </si>
  <si>
    <t>ENSP00000349324</t>
  </si>
  <si>
    <t>CD263</t>
  </si>
  <si>
    <t>77;140;156;169;184</t>
  </si>
  <si>
    <t>Apoptosis;Cell membrane;Complete proteome;Direct protein sequencing;Disulfide bond;Glycoprotein;GPI-anchor;Lipoprotein;Membrane;Polymorphism;Receptor;Reference proteome;Repeat;Signal</t>
  </si>
  <si>
    <t>UniRef100_O14798;UniRef90_O14798;UniRef50_O14798</t>
  </si>
  <si>
    <t>TAAR5_HUMAN</t>
  </si>
  <si>
    <t>Trace amine-associated receptor 5</t>
  </si>
  <si>
    <t>TAAR5</t>
  </si>
  <si>
    <t>NC:1-34;TM:35-59;CY:60-70;TM:71-91;NC:92-110;TM:111-130;CY:131-150;TM:151-171;NC:172-202;TM:203-225;CY:226-251;TM:252-270;NC:271-288;TM:289-309;CY:310-337</t>
  </si>
  <si>
    <t>ENSG00000135569</t>
  </si>
  <si>
    <t>ENSP00000258034</t>
  </si>
  <si>
    <t>UniRef100_O14804;UniRef90_O14804;UniRef50_O14804</t>
  </si>
  <si>
    <t>TSN4_HUMAN</t>
  </si>
  <si>
    <t>Tetraspanin-4</t>
  </si>
  <si>
    <t>TSPAN4</t>
  </si>
  <si>
    <t>CY:1-11;TM:12-36;NC:37-55;TM:56-76;CY:77-82;TM:83-107;NC:108-201;TM:202-224;CY:225-238</t>
  </si>
  <si>
    <t>ENSG00000214063</t>
  </si>
  <si>
    <t>ENSP00000380552;ENSP00000380553;ENSP00000380554;ENSP00000380555;ENSP00000380558;ENSP00000386513</t>
  </si>
  <si>
    <t>152;161</t>
  </si>
  <si>
    <t>CCGVSN[115]YTDWFEVYN[115]ATR;GVSN[115]YTDWFEVYN[115]ATR;TDWFEVYN[115]ATR</t>
  </si>
  <si>
    <t>O14817</t>
  </si>
  <si>
    <t>UniRef100_O14817;UniRef90_O14817;UniRef50_O14817</t>
  </si>
  <si>
    <t>TR13B_HUMAN</t>
  </si>
  <si>
    <t>Tumor necrosis factor receptor superfamily member 13B</t>
  </si>
  <si>
    <t>TNFRSF13B</t>
  </si>
  <si>
    <t>NC:1-160;TM:161-186;CY:187-293</t>
  </si>
  <si>
    <t>ENSG00000240505</t>
  </si>
  <si>
    <t>ENSP00000261652</t>
  </si>
  <si>
    <t>CD267</t>
  </si>
  <si>
    <t>SGEVEN[115]NSDNSGR</t>
  </si>
  <si>
    <t>O14836</t>
  </si>
  <si>
    <t>Membrane (Single-pass type III membrane protein)</t>
  </si>
  <si>
    <t>3D-structure;Adaptive immunity;Alternative splicing;Complete proteome;Disease mutation;Disulfide bond;Glycoprotein;Immunity;Membrane;Polymorphism;Receptor;Reference proteome;Repeat;Signal-anchor;Transmembrane;Transmembrane helix</t>
  </si>
  <si>
    <t>UniRef100_O14836;UniRef90_O14836;UniRef50_O14836</t>
  </si>
  <si>
    <t>FFAR1_HUMAN</t>
  </si>
  <si>
    <t>Free fatty acid receptor 1</t>
  </si>
  <si>
    <t>FFAR1</t>
  </si>
  <si>
    <t>NC:1-5;TM:6-30;CY:31-41;TM:42-61;NC:62-80;TM:81-101;CY:102-120;TM:121-143;NC:144-183;TM:184-203;CY:204-221;TM:222-240;NC:241-259;TM:260-279;CY:280-300</t>
  </si>
  <si>
    <t>ENSG00000126266</t>
  </si>
  <si>
    <t>ENSP00000246553</t>
  </si>
  <si>
    <t>155;165;241</t>
  </si>
  <si>
    <t>3D-structure;Cell membrane;Complete proteome;Disulfide bond;G-protein coupled receptor;Glycoprotein;Lipid-binding;Membrane;Polymorphism;Receptor;Reference proteome;Transducer;Transmembrane;Transmembrane helix</t>
  </si>
  <si>
    <t>UniRef100_O14842;UniRef90_O14842;UniRef50_O14842</t>
  </si>
  <si>
    <t>DB00159</t>
  </si>
  <si>
    <t>FFAR3_HUMAN</t>
  </si>
  <si>
    <t>Free fatty acid receptor 3</t>
  </si>
  <si>
    <t>FFAR3</t>
  </si>
  <si>
    <t>NC:1-15;TM:16-40;CY:41-51;TM:52-71;NC:72-89;TM:90-111;CY:112-131;TM:132-153;NC:154-179;TM:180-203;CY:204-223;TM:224-243;NC:244-256;TM:257-278;CY:279-346</t>
  </si>
  <si>
    <t>ENSG00000185897</t>
  </si>
  <si>
    <t>ENSP00000328230;ENSP00000469522</t>
  </si>
  <si>
    <t>56;166;242</t>
  </si>
  <si>
    <t>56;166</t>
  </si>
  <si>
    <t>Cell membrane;Complete proteome;Disulfide bond;G-protein coupled receptor;Glycoprotein;Immunity;Inflammatory response;Lipid-binding;Membrane;Polymorphism;Receptor;Reference proteome;Transducer;Transmembrane;Transmembrane helix</t>
  </si>
  <si>
    <t>UniRef100_O14843;UniRef90_O14843;UniRef50_Q3UFD7</t>
  </si>
  <si>
    <t>T4S5_HUMAN</t>
  </si>
  <si>
    <t>Transmembrane 4 L6 family member 5</t>
  </si>
  <si>
    <t>TM4SF5</t>
  </si>
  <si>
    <t>CY:1-8;TM:9-30;NC:31-45;TM:46-68;CY:69-90;TM:91-112;NC:113-157;TM:158-182;CY:183-197</t>
  </si>
  <si>
    <t>ENSG00000142484</t>
  </si>
  <si>
    <t>ENSP00000270560</t>
  </si>
  <si>
    <t>Unknown_function;TetraspaninL6</t>
  </si>
  <si>
    <t>138;155;179</t>
  </si>
  <si>
    <t>UniRef100_O14894;UniRef90_O14894;UniRef50_O14894</t>
  </si>
  <si>
    <t>PCD17_HUMAN</t>
  </si>
  <si>
    <t>Protocadherin-17</t>
  </si>
  <si>
    <t>PCDH17</t>
  </si>
  <si>
    <t>SP:1-17;NC:18-705;TM:706-728;CY:729-1159</t>
  </si>
  <si>
    <t>ENSG00000118946</t>
  </si>
  <si>
    <t>ENSP00000367151</t>
  </si>
  <si>
    <t>22;266;439;453;504;566;590;822;842;939</t>
  </si>
  <si>
    <t>ETQDEYN[115]VTIVAR;DGGSPPLN[115]STK;DSGAPAHLESN[115]ATVR;VTVLDVNDNAPVIVLPTLQN[115]DTAELQVPR</t>
  </si>
  <si>
    <t>439;453;566;590</t>
  </si>
  <si>
    <t>O14917</t>
  </si>
  <si>
    <t>Alternative splicing;Calcium;Cell adhesion;Cell membrane;Complete proteome;Glycoprotein;Membrane;Reference proteome;Repeat;Signal;Transmembrane;Transmembrane helix</t>
  </si>
  <si>
    <t>UniRef100_O14917;UniRef90_O14917;UniRef50_O14917</t>
  </si>
  <si>
    <t>NCTR3_HUMAN</t>
  </si>
  <si>
    <t>Natural cytotoxicity triggering receptor 3</t>
  </si>
  <si>
    <t>NCR3</t>
  </si>
  <si>
    <t>SP:1-17;NC:18-139;TM:140-162;CY:163-201</t>
  </si>
  <si>
    <t>ENSG00000204475;ENSG00000206430;ENSG00000225211;ENSG00000237103;ENSG00000237808;ENSG00000223833;ENSG00000236315;ENSG00000236979</t>
  </si>
  <si>
    <t>ENSP00000342156;ENSP00000372969;ENSP00000416944;ENSP00000405306;ENSP00000416035;ENSP00000390131;ENSP00000398313;ENSP00000389071</t>
  </si>
  <si>
    <t>CD337</t>
  </si>
  <si>
    <t>IG;OtherNCR</t>
  </si>
  <si>
    <t>42;68;121</t>
  </si>
  <si>
    <t>68;121</t>
  </si>
  <si>
    <t>TLEGSSAFLPCSFN[115]ASQGR;VEVLGLGVGTGN[115]GTR</t>
  </si>
  <si>
    <t>42;121</t>
  </si>
  <si>
    <t>O14931</t>
  </si>
  <si>
    <t>3D-structure;Alternative splicing;Cell membrane;Complete proteome;Disulfide bond;Glycoprotein;Immunoglobulin domain;Membrane;Polymorphism;Receptor;Reference proteome;Signal;Transmembrane;Transmembrane helix</t>
  </si>
  <si>
    <t>UniRef100_O14931;UniRef90_O14931;UniRef50_O14931</t>
  </si>
  <si>
    <t>Plasma membrane;Plasma membrane</t>
  </si>
  <si>
    <t>Cytoskeleton;Cytoskeleton;Cytosol;Cytosol;Endoplasmic Reticulum;Endoplasmic Reticulum;Endosome;Endosome;Extracellular space;Extracellular space;Golgi apparatus;Golgi apparatus;Lysosome;Lysosome;Mitochondrion;Mitochondrion;Nucleus;Nucleus;Peroxisome;Peroxisome</t>
  </si>
  <si>
    <t>EREG_HUMAN</t>
  </si>
  <si>
    <t>Proepiregulin</t>
  </si>
  <si>
    <t>EREG</t>
  </si>
  <si>
    <t>SP:1-32;NC:33-117;TM:118-141;CY:142-169</t>
  </si>
  <si>
    <t>ENSG00000124882</t>
  </si>
  <si>
    <t>ENSP00000244869</t>
  </si>
  <si>
    <t>54;161</t>
  </si>
  <si>
    <t>Secreted, extracellular space;Cell membrane (Single-pass type I membrane protein)</t>
  </si>
  <si>
    <t>3D-structure;Angiogenesis;Cell membrane;Complete proteome;Developmental protein;Differentiation;Disulfide bond;EGF-like domain;Glycoprotein;Growth factor;Membrane;Mitogen;Polymorphism;Reference proteome;Secreted;Signal;Transmembrane;Transmembrane helix</t>
  </si>
  <si>
    <t>UniRef100_O14944;UniRef90_O14944;UniRef50_O14944</t>
  </si>
  <si>
    <t>PLXB2_HUMAN</t>
  </si>
  <si>
    <t>Plexin-B2</t>
  </si>
  <si>
    <t>PLXNB2</t>
  </si>
  <si>
    <t>SP:1-18;NC:19-1199;TM:1200-1221;CY:1222-1838</t>
  </si>
  <si>
    <t>ENSG00000196576</t>
  </si>
  <si>
    <t>ENSP00000352288;ENSP00000409171</t>
  </si>
  <si>
    <t>Other_receptors;Plexin</t>
  </si>
  <si>
    <t>127;242;391;402;528;733;759;795;844;1002;1049;1068;1099;1449</t>
  </si>
  <si>
    <t>242;391;402;733;795;1002;1049;1068;1099;1449</t>
  </si>
  <si>
    <t>ALSN[115]ISLR;GGLNLTAVTVAAEN[115]N[115]HTVAFLGTSDGR;GGLN[115]LTAVTVAAENN[115]HTVAF;GGLN[115]LTAVTVAAENN[115]HTVAFLGTSDGR;GGLN[115]LTAVTVAAEN[115]NHTVAF;GGLN[115]LTAVTVAAEN[115]NHTVAFLGTSDGR;GGLN[115]LTAVTVAAEN[115]N[115]HTVAF;GGLN[115]LTAVTVAAEN[115]N[115]HTVAFLGTSDGR;AAENN[115]HTVAFLGTSDGR;SKSCVAVTSAQPQN[115]MSR;SKSCVAVTSAQPQN[115]MSRR;SCVAVTSAQPQN[115]MSR;VAVTSAQPQN[115]MSR;TSAQPQN[115]MSR;TPKLSHDAN[115]ETLPLHLYVK;LSHDAN[115]ETLPLH;LSHDAN[115]ETLPLHL;LSHDAN[115]ETLPLHLY;LSHDAN[115]ETLPLHLYV;LSHDAN[115]ETLPLHLYVK;SHDAN[115]ETLPLHLYVK;HDAN[115]ETLPLHLYVK;DAN[115]ETLPLHLYVK;N[115]ETLPLHLYVK;LHVTLYN[115]CSFGR;HVTLYN[115]CSFGR;CVYEALCN[115]TTSECPPPVITR;ALCN[115]TTSECPPPVITR;LCN[115]TTSECPPPVITR;CN[115]TTSECPPPVITR;ISVAGRN[115]CSFQPER;N[115]CSFQPER;SIN[115]VTGQGF;SIN[115]VTGQGFSLIQR;EAESLQPMTVVGTDYVFHN[115]DTK;PMTVVGTDYVFHN[115]DTK;TVVGTDYVFHN[115]DTK;VGTDYVFHN[115]DTK;GTDYVFHN[115]DTK;VVFLSPAVPEEPEAYN[115]LTVLIEMDGHR;TEAGAFEYVPDPTFEN[115]FTGGVK;TEAGAFEYVPDPTFEN[115]FTGGVKK;EYVPDPTFEN[115]FTGGVK;VPDPTFEN[115]FTGGVK;PDPTFEN[115]FTGGVK;PTFEN[115]FTGGVK</t>
  </si>
  <si>
    <t>127;391;402;528;733;759;795;844;1002;1049;1068;1099</t>
  </si>
  <si>
    <t>O15031</t>
  </si>
  <si>
    <t>3D-structure;Cell membrane;Complete proteome;Developmental protein;Disulfide bond;Glycoprotein;Membrane;Phosphoprotein;Polymorphism;Receptor;Reference proteome;Repeat;Signal;Transmembrane;Transmembrane helix</t>
  </si>
  <si>
    <t>UniRef100_O15031;UniRef90_O15031;UniRef50_B2RXS4</t>
  </si>
  <si>
    <t>NPC1_HUMAN</t>
  </si>
  <si>
    <t>Niemann-Pick C1 protein</t>
  </si>
  <si>
    <t>NPC1</t>
  </si>
  <si>
    <t>SP:1-22;NC:23-268;TM:269-292;CY:293-350;TM:351-371;NC:372-620;TM:621-642;CY:643-653;TM:654-675;NC:676-680;TM:681-704;CY:705-734;TM:735-754;NC:755-759;TM:760-785;CY:786-833;TM:834-854;NC:855-1098;TM:1099-1117;CY:1118-1123;TM:1124-1145;NC:1146-1150;TM:1151-1170;CY:1171-1190;TM:1191-1216;NC:1217-1227;TM:1228-1250;CY:1251-1278</t>
  </si>
  <si>
    <t>ENSG00000141458</t>
  </si>
  <si>
    <t>ENSP00000269228</t>
  </si>
  <si>
    <t>70;122;135;185;222;314;452;459;478;524;557;572;598;916;931;961;968;1064;1072</t>
  </si>
  <si>
    <t>QSQFLN[115]VTATEDYVDPVTN[115]QTK;N[115]VTATEDYVDPVTN[115]QTK;YVDPVTN[115]QTK;PVTN[115]QTK;DADACN[115]ATNWIEYMFNK;NYKNPN[115]LTISFTAER;NPN[115]LTISFTAER;NAAQLDN[115]YTR;VDN[115]ITDQFCN[115]ASVVDPA;VDN[115]ITDQFCN[115]ASVVDPACVR;LIASN[115]VTETMGIN[115]GSAYR</t>
  </si>
  <si>
    <t>122;135;185;598;931;961;968;1064;1072</t>
  </si>
  <si>
    <t>O15118</t>
  </si>
  <si>
    <t>Late endosome membrane (Multi-pass membrane protein);Lysosome membrane (Multi-pass membrane protein)</t>
  </si>
  <si>
    <t>3D-structure;Alternative splicing;Cholesterol metabolism;Complete proteome;Disease mutation;Disulfide bond;Endosome;Glycoprotein;Lipid metabolism;Lysosome;Membrane;Niemann-Pick disease;Polymorphism;Reference proteome;Signal;Steroid metabolism;Sterol metabolism;Transmembrane;Transmembrane helix</t>
  </si>
  <si>
    <t>UniRef100_O15118;UniRef90_O15118;UniRef50_O15118</t>
  </si>
  <si>
    <t>Endoplasmic Reticulum;Endosome;Lysosome;Nucleus;Plasma membrane</t>
  </si>
  <si>
    <t>Cytoskeleton;Cytosol;Extracellular space;Mitochondrion;Peroxisome</t>
  </si>
  <si>
    <t>MUSK_HUMAN</t>
  </si>
  <si>
    <t>Muscle, skeletal receptor tyrosine-protein kinase</t>
  </si>
  <si>
    <t>MUSK</t>
  </si>
  <si>
    <t>SP:1-19;NC:20-492;TM:493-518;CY:519-869</t>
  </si>
  <si>
    <t>ENSG00000030304</t>
  </si>
  <si>
    <t>ENSP00000363571</t>
  </si>
  <si>
    <t>Kinase;Other</t>
  </si>
  <si>
    <t>222;338</t>
  </si>
  <si>
    <t>Cell junction, synapse, postsynaptic cell membrane (Single-pass type I membrane protein)</t>
  </si>
  <si>
    <t>Alternative splicing;ATP-binding;Cell junction;Cell membrane;Complete proteome;Congenital myasthenic syndrome;Developmental protein;Differentiation;Disease mutation;Disulfide bond;Glycoprotein;Immunoglobulin domain;Kinase;Membrane;Muscle protein;Nucleotide-binding;Phosphoprotein;Polymorphism;Postsynaptic cell membrane;Receptor;Reference proteome;Repeat;Signal;Synapse;Transferase;Transmembrane;Transmembrane helix;Tyrosine-protein kinase;Ubl conjugation</t>
  </si>
  <si>
    <t>UniRef100_O15146;UniRef90_O15146;UniRef50_Q62838</t>
  </si>
  <si>
    <t>LRAD4_HUMAN</t>
  </si>
  <si>
    <t>Low-density lipoprotein receptor class A domain-containing protein 4</t>
  </si>
  <si>
    <t>LDLRAD4</t>
  </si>
  <si>
    <t>NC:1-64;TM:65-87;CY:88-306</t>
  </si>
  <si>
    <t>ENSG00000168675</t>
  </si>
  <si>
    <t>ENSP00000352420</t>
  </si>
  <si>
    <t>101;210</t>
  </si>
  <si>
    <t>Early endosome membrane (Single-pass membrane protein)</t>
  </si>
  <si>
    <t>Alternative splicing;Complete proteome;Disulfide bond;Endosome;Membrane;Reference proteome;Signal transduction inhibitor;Transmembrane;Transmembrane helix</t>
  </si>
  <si>
    <t>UniRef100_O15165;UniRef90_O15165;UniRef50_O15165</t>
  </si>
  <si>
    <t>EPHB6_HUMAN</t>
  </si>
  <si>
    <t>Ephrin type-B receptor 6</t>
  </si>
  <si>
    <t>EPHB6</t>
  </si>
  <si>
    <t>SP:1-31;NC:32-594;TM:595-619;CY:620-1021</t>
  </si>
  <si>
    <t>ENSG00000106123</t>
  </si>
  <si>
    <t>ENSP00000376684;ENSP00000410789</t>
  </si>
  <si>
    <t>Kinase;Eph</t>
  </si>
  <si>
    <t>480;968</t>
  </si>
  <si>
    <t>Membrane (Single-pass type I membrane protein);Secreted</t>
  </si>
  <si>
    <t>Alternative splicing;ATP-binding;Complete proteome;Direct protein sequencing;Glycoprotein;Membrane;Nucleotide-binding;Polymorphism;Receptor;Reference proteome;Repeat;Secreted;Signal;Transmembrane;Transmembrane helix</t>
  </si>
  <si>
    <t>UniRef100_O15197;UniRef90_O15197;UniRef50_O15197</t>
  </si>
  <si>
    <t>GP182_HUMAN</t>
  </si>
  <si>
    <t>G-protein coupled receptor 182</t>
  </si>
  <si>
    <t>GPR182</t>
  </si>
  <si>
    <t>NC:1-54;TM:55-78;CY:79-89;TM:90-111;NC:112-130;TM:131-152;CY:153-172;TM:173-194;NC:195-213;TM:214-237;CY:238-256;TM:257-278;NC:279-296;TM:297-322;CY:323-404</t>
  </si>
  <si>
    <t>ENSG00000166856</t>
  </si>
  <si>
    <t>ENSP00000300098</t>
  </si>
  <si>
    <t>28;37;391</t>
  </si>
  <si>
    <t>UniRef100_O15218;UniRef90_O15218;UniRef50_O15218</t>
  </si>
  <si>
    <t>S22A2_HUMAN</t>
  </si>
  <si>
    <t>Solute carrier family 22 member 2</t>
  </si>
  <si>
    <t>SLC22A2</t>
  </si>
  <si>
    <t>CY:1-22;TM:23-45;NC:46-150;TM:151-171;CY:172-177;TM:178-198;NC:199-204;TM:205-225;CY:226-236;TM:237-258;NC:259-263;TM:264-283;CY:284-349;TM:350-370;NC:371-376;TM:377-398;CY:399-409;TM:410-431;NC:432-440;TM:441-458;CY:459-464;TM:465-485;NC:486-491;TM:492-514;CY:515-555</t>
  </si>
  <si>
    <t>ENSG00000112499</t>
  </si>
  <si>
    <t>ENSP00000355920</t>
  </si>
  <si>
    <t>72;97;113</t>
  </si>
  <si>
    <t>UniRef100_O15244;UniRef90_O15244;UniRef50_Q63089</t>
  </si>
  <si>
    <t>S22A1_HUMAN</t>
  </si>
  <si>
    <t>Solute carrier family 22 member 1</t>
  </si>
  <si>
    <t>SLC22A1</t>
  </si>
  <si>
    <t>CY:1-20;TM:21-44;NC:45-149;TM:150-170;CY:171-176;TM:177-197;NC:198-205;TM:206-224;CY:225-235;TM:236-257;NC:258-262;TM:263-282;CY:283-347;TM:348-369;NC:370-375;TM:376-396;CY:397-403;TM:404-423;NC:424-428;TM:429-452;CY:453-463;TM:464-485;NC:486-490;TM:491-513;CY:514-554</t>
  </si>
  <si>
    <t>ENSG00000175003</t>
  </si>
  <si>
    <t>ENSP00000355930</t>
  </si>
  <si>
    <t>71;96;112</t>
  </si>
  <si>
    <t>Basolateral cell membrane (Multi-pass membrane protein)</t>
  </si>
  <si>
    <t>Alternative splicing;Cell membrane;Complete proteome;Glycoprotein;Ion transport;Membrane;Phosphoprotein;Polymorphism;Reference proteome;Transmembrane;Transmembrane helix;Transport</t>
  </si>
  <si>
    <t>UniRef100_O15245;UniRef90_O15245;UniRef50_O15245</t>
  </si>
  <si>
    <t>GRM6_HUMAN</t>
  </si>
  <si>
    <t>Metabotropic glutamate receptor 6</t>
  </si>
  <si>
    <t>GRM6</t>
  </si>
  <si>
    <t>SP:1-29;NC:30-588;TM:589-611;CY:612-622;TM:623-643;NC:644-654;TM:655-675;CY:676-696;TM:697-717;NC:718-748;TM:749-770;CY:771-783;TM:784-805;NC:806-821;TM:822-845;CY:846-877</t>
  </si>
  <si>
    <t>ENSG00000113262</t>
  </si>
  <si>
    <t>ENSP00000231188;ENSP00000430767</t>
  </si>
  <si>
    <t>296;451;479;567;611</t>
  </si>
  <si>
    <t>296;567;611</t>
  </si>
  <si>
    <t>Cell membrane (Multi-pass membrane protein);Cell projection, dendrite;Endoplasmic reticulum membrane (Multi-pass membrane protein);Golgi apparatus membrane (Multi-pass membrane protein)</t>
  </si>
  <si>
    <t>Cell membrane;Cell projection;Complete proteome;Congenital stationary night blindness;Disease mutation;Disulfide bond;Endoplasmic reticulum;G-protein coupled receptor;Glycoprotein;Golgi apparatus;Membrane;Polymorphism;Receptor;Reference proteome;Sensory transduction;Signal;Transducer;Transmembrane;Transmembrane helix;Vision</t>
  </si>
  <si>
    <t>UniRef100_O15303;UniRef90_O15303;UniRef50_P35400</t>
  </si>
  <si>
    <t>TM9S1_HUMAN</t>
  </si>
  <si>
    <t>Transmembrane 9 superfamily member 1</t>
  </si>
  <si>
    <t>TM9SF1</t>
  </si>
  <si>
    <t>SP:1-32;NC:33-234;TM:235-258;CY:259-305;TM:306-333;NC:334-338;TM:339-360;CY:361-371;TM:372-394;NC:395-408;TM:409-433;CY:434-464;TM:465-486;NC:487-496;TM:497-522;CY:523-530;TM:531-555;NC:556-571;TM:572-595;CY:596-606</t>
  </si>
  <si>
    <t>ENSG00000100926</t>
  </si>
  <si>
    <t>ENSP00000261789</t>
  </si>
  <si>
    <t>Unknown_function;TM9SF</t>
  </si>
  <si>
    <t>178;401;437;559</t>
  </si>
  <si>
    <t>IIFAN[115]VSVR</t>
  </si>
  <si>
    <t>O15321</t>
  </si>
  <si>
    <t>Cytoplasmic vesicle, autophagosome membrane (Multi-pass membrane protein);Lysosome membrane (Multi-pass membrane protein)</t>
  </si>
  <si>
    <t>Alternative splicing;Autophagy;Complete proteome;Cytoplasmic vesicle;Glycoprotein;Lysosome;Membrane;Polymorphism;Reference proteome;Signal;Transmembrane;Transmembrane helix</t>
  </si>
  <si>
    <t>UniRef100_O15321;UniRef90_O15321;UniRef50_O15321</t>
  </si>
  <si>
    <t>Lysosome</t>
  </si>
  <si>
    <t>Cytoskeleton;Cytosol;Endoplasmic Reticulum;Endosome;Extracellular space;Golgi apparatus;Mitochondrion;Nucleus;Peroxisome;Plasma membrane</t>
  </si>
  <si>
    <t>GPR37_HUMAN</t>
  </si>
  <si>
    <t>Prosaposin receptor GPR37</t>
  </si>
  <si>
    <t>GPR37</t>
  </si>
  <si>
    <t>SP:1-29;NC:30-260;TM:261-287;CY:288-298;TM:299-320;NC:321-338;TM:339-358;CY:359-379;TM:380-400;NC:401-442;TM:443-465;CY:466-491;TM:492-518;NC:519-531;TM:532-552;CY:553-613</t>
  </si>
  <si>
    <t>ENSG00000170775</t>
  </si>
  <si>
    <t>ENSP00000306449</t>
  </si>
  <si>
    <t>36;222;239;375;491</t>
  </si>
  <si>
    <t>36;138;239;491</t>
  </si>
  <si>
    <t>Cell membrane (Multi-pass membrane protein);Endoplasmic reticulum membrane (Multi-pass membrane protein)</t>
  </si>
  <si>
    <t>Cell membrane;Complete proteome;Disulfide bond;Endoplasmic reticulum;G-protein coupled receptor;Glycoprotein;Membrane;Receptor;Reference proteome;Signal;Transducer;Transmembrane;Transmembrane helix;Ubl conjugation</t>
  </si>
  <si>
    <t>UniRef100_O15354;UniRef90_O15354;UniRef50_O15354</t>
  </si>
  <si>
    <t>Endoplasmic Reticulum;Plasma membrane</t>
  </si>
  <si>
    <t>MOT5_HUMAN</t>
  </si>
  <si>
    <t>Monocarboxylate transporter 5</t>
  </si>
  <si>
    <t>SLC16A4</t>
  </si>
  <si>
    <t>CY:1-20;TM:21-39;NC:40-58;TM:59-81;CY:82-87;TM:88-104;NC:105-109;TM:110-132;CY:133-143;TM:144-165;NC:166-173;TM:174-195;CY:196-299;TM:300-318;NC:319-336;TM:337-358;CY:359-370;TM:371-391;NC:392-396;TM:397-415;CY:416-425;TM:426-447;NC:448-458;TM:459-479;CY:480-487</t>
  </si>
  <si>
    <t>ENSG00000168679</t>
  </si>
  <si>
    <t>ENSP00000358794</t>
  </si>
  <si>
    <t>SLC;MFS;SLC16</t>
  </si>
  <si>
    <t>204;251;257;420;456</t>
  </si>
  <si>
    <t>251;420</t>
  </si>
  <si>
    <t>Alternative splicing;Cell membrane;Complete proteome;Membrane;Polymorphism;Reference proteome;Symport;Transmembrane;Transmembrane helix;Transport</t>
  </si>
  <si>
    <t>UniRef100_O15374;UniRef90_O15374;UniRef50_O15374</t>
  </si>
  <si>
    <t>DB00119</t>
  </si>
  <si>
    <t>MOT6_HUMAN</t>
  </si>
  <si>
    <t>Monocarboxylate transporter 6</t>
  </si>
  <si>
    <t>SLC16A5</t>
  </si>
  <si>
    <t>CY:1-11;TM:12-38;NC:39-53;TM:54-74;CY:75-80;TM:81-101;NC:102-107;TM:108-132;CY:133-137;TM:138-158;NC:159-169;TM:170-189;CY:190-237;TM:238-260;NC:261-272;TM:273-294;CY:295-305;TM:306-325;NC:326-330;TM:331-353;CY:354-364;TM:365-384;NC:385-395;TM:396-419;CY:420-505</t>
  </si>
  <si>
    <t>ENSG00000170190</t>
  </si>
  <si>
    <t>ENSP00000330141;ENSP00000390564;ENSP00000463434</t>
  </si>
  <si>
    <t>102;393</t>
  </si>
  <si>
    <t>Alternative splicing;Cell membrane;Complete proteome;Membrane;Reference proteome;Symport;Transmembrane;Transmembrane helix;Transport</t>
  </si>
  <si>
    <t>UniRef100_O15375;UniRef90_O15375;UniRef50_O15375</t>
  </si>
  <si>
    <t>SIGL5_HUMAN</t>
  </si>
  <si>
    <t>Sialic acid-binding Ig-like lectin 5</t>
  </si>
  <si>
    <t>SIGLEC5</t>
  </si>
  <si>
    <t>SP:1-16;NC:17-438;TM:439-462;CY:463-551</t>
  </si>
  <si>
    <t>ENSG00000268500;ENSG00000105501</t>
  </si>
  <si>
    <t>ENSP00000415200;ENSP00000473238;ENSP00000455510;ENSP00000470259</t>
  </si>
  <si>
    <t>CD170</t>
  </si>
  <si>
    <t>100;210;231;253;289;328;375;384;393</t>
  </si>
  <si>
    <t>PEDHGTN[115]LTCQMK;LEEKPLEGN[115]SSQGSFK</t>
  </si>
  <si>
    <t>210;375</t>
  </si>
  <si>
    <t>O15389</t>
  </si>
  <si>
    <t>3D-structure;Cell adhesion;Complete proteome;Disulfide bond;Glycoprotein;Immunoglobulin domain;Lectin;Membrane;Polymorphism;Reference proteome;Repeat;Signal;Transmembrane;Transmembrane helix</t>
  </si>
  <si>
    <t>UniRef100_O15389;UniRef90_O15389;UniRef50_O15389</t>
  </si>
  <si>
    <t>NCAM2_HUMAN</t>
  </si>
  <si>
    <t>Neural cell adhesion molecule 2</t>
  </si>
  <si>
    <t>NCAM2</t>
  </si>
  <si>
    <t>SP:1-21;NC:22-694;TM:695-718;CY:719-837</t>
  </si>
  <si>
    <t>ENSG00000154654</t>
  </si>
  <si>
    <t>ENSP00000383392</t>
  </si>
  <si>
    <t>177;219;309;406;419;445;474;562;792</t>
  </si>
  <si>
    <t>53;148;244;334;413;434;542;639;658</t>
  </si>
  <si>
    <t>FAMLANNNLQILNIN[115]K;FAMLANN[115]NLQILNIN[115]K;AMLANNNLQILNIN[115]K;ANNNLQILNIN[115]K;ANN[115]NLQILNIN[115]K;NNNLQILNIN[115]K;SFN[115]ATAER;DKLVLPAKN[115]TTNLK;LVLPAKN[115]TTNLK;YN[115]CTATNHIGTR;YN[115]CTATN[115]HIGTR;SHGVQTMVVLNNLEPN[115]TTYEIR</t>
  </si>
  <si>
    <t>177;219;445;474;562</t>
  </si>
  <si>
    <t>O15394</t>
  </si>
  <si>
    <t>3D-structure;Alternative splicing;Cell adhesion;Cell membrane;Complete proteome;Disulfide bond;Glycoprotein;Immunoglobulin domain;Membrane;Polymorphism;Reference proteome;Repeat;Signal;Transmembrane;Transmembrane helix</t>
  </si>
  <si>
    <t>UniRef100_O15394;UniRef90_O35136;UniRef50_O35136</t>
  </si>
  <si>
    <t>NMDE4_HUMAN</t>
  </si>
  <si>
    <t>Glutamate receptor ionotropic, NMDA 2D</t>
  </si>
  <si>
    <t>GRIN2D</t>
  </si>
  <si>
    <t>SP:1-29;NC:30-583;TM:584-606;CY:607-658;TM:659-682;NC:683-845;TM:846-865;CY:866-1336</t>
  </si>
  <si>
    <t>ENSG00000105464</t>
  </si>
  <si>
    <t>ENSP00000263269</t>
  </si>
  <si>
    <t>Channels;Ligand_gated_ion_channels;Glutamate</t>
  </si>
  <si>
    <t>92;352;366;467;569;613;642;715</t>
  </si>
  <si>
    <t>Calcium;Cell junction;Cell membrane;Complete proteome;Disulfide bond;Glycoprotein;Ion channel;Ion transport;Ligand-gated ion channel;Magnesium;Membrane;Polymorphism;Postsynaptic cell membrane;Receptor;Reference proteome;Signal;Synapse;Transmembrane;Transmembrane helix;Transport</t>
  </si>
  <si>
    <t>UniRef100_O15399;UniRef90_Q62645;UniRef50_Q62645</t>
  </si>
  <si>
    <t>DB00454;DB01173;DB06151;DB00659;DB00289;DB00312;DB00418;DB00996;DB01174;DB04896;DB06738</t>
  </si>
  <si>
    <t>MOT7_HUMAN</t>
  </si>
  <si>
    <t>Monocarboxylate transporter 7</t>
  </si>
  <si>
    <t>SLC16A6</t>
  </si>
  <si>
    <t>CY:1-20;TM:21-42;NC:43-61;TM:62-84;CY:85-91;TM:92-111;NC:112-116;TM:117-139;CY:140-149;TM:150-173;NC:174-178;TM:179-201;CY:202-293;TM:294-317;NC:318-328;TM:329-351;CY:352-358;TM:359-377;NC:378-382;TM:383-407;CY:408-419;TM:420-441;NC:442-451;TM:452-471;CY:472-523</t>
  </si>
  <si>
    <t>ENSG00000108932</t>
  </si>
  <si>
    <t>ENSP00000319991;ENSP00000462985</t>
  </si>
  <si>
    <t>Cell membrane;Complete proteome;Membrane;Phosphoprotein;Polymorphism;Reference proteome;Symport;Transmembrane;Transmembrane helix;Transport</t>
  </si>
  <si>
    <t>UniRef100_O15403;UniRef90_O15403;UniRef50_O15403</t>
  </si>
  <si>
    <t>COPT1_HUMAN</t>
  </si>
  <si>
    <t>High affinity copper uptake protein 1</t>
  </si>
  <si>
    <t>SLC31A1</t>
  </si>
  <si>
    <t>NC:1-57;TM:58-83;CY:84-129;TM:130-150;NC:151-155;TM:156-175;CY:176-190</t>
  </si>
  <si>
    <t>ENSG00000136868</t>
  </si>
  <si>
    <t>ENSP00000363329</t>
  </si>
  <si>
    <t>SLC;Other;SLC31</t>
  </si>
  <si>
    <t>15;112</t>
  </si>
  <si>
    <t>3D-structure;Cell membrane;Complete proteome;Copper;Copper transport;Glycoprotein;Ion transport;Membrane;Polymorphism;Reference proteome;Transmembrane;Transmembrane helix;Transport</t>
  </si>
  <si>
    <t>UniRef100_O15431;UniRef90_O15431;UniRef50_O15431</t>
  </si>
  <si>
    <t>MRP3_HUMAN</t>
  </si>
  <si>
    <t>Canalicular multispecific organic anion transporter 2</t>
  </si>
  <si>
    <t>ABCC3</t>
  </si>
  <si>
    <t>NC:1-35;TM:36-55;CY:56-74;TM:75-93;NC:94-101;TM:102-123;CY:124-134;TM:135-153;NC:154-171;TM:172-190;CY:191-299;TM:300-321;NC:322-346;TM:347-367;CY:368-424;TM:425-445;NC:446-450;TM:451-471;CY:472-534;TM:535-557;NC:558-576;TM:577-595;CY:596-964;TM:965-987;NC:988-1017;TM:1018-1042;CY:1043-1081;TM:1082-1104;NC:1105-1109;TM:1110-1130;CY:1131-1196;TM:1197-1217;NC:1218-1223;TM:1224-1244;CY:1245-1527</t>
  </si>
  <si>
    <t>ENSG00000108846</t>
  </si>
  <si>
    <t>ENSP00000285238</t>
  </si>
  <si>
    <t>Active_transporters;ABCC</t>
  </si>
  <si>
    <t>18;279;591;702;750;842;885;1006;1007;1165;1293;1425</t>
  </si>
  <si>
    <t>591;702;885;1006</t>
  </si>
  <si>
    <t>Alternative splicing;ATP-binding;Complete proteome;Glycoprotein;Membrane;Nucleotide-binding;Polymorphism;Reference proteome;Repeat;Transmembrane;Transmembrane helix;Transport</t>
  </si>
  <si>
    <t>UniRef100_O15438;UniRef90_O15438;UniRef50_P33527</t>
  </si>
  <si>
    <t>MRP4_HUMAN</t>
  </si>
  <si>
    <t>Multidrug resistance-associated protein 4</t>
  </si>
  <si>
    <t>ABCC4</t>
  </si>
  <si>
    <t>CY:1-91;TM:92-114;NC:115-133;TM:134-157;CY:158-207;TM:208-227;NC:228-232;TM:233-254;CY:255-319;TM:320-342;NC:343-347;TM:348-369;CY:370-708;TM:709-730;NC:731-764;TM:765-791;CY:792-834;TM:835-854;NC:855-859;TM:860-882;CY:883-948;TM:949-970;NC:971-976;TM:977-997;CY:998-1325</t>
  </si>
  <si>
    <t>phobius - prefered over uniprot based on cspa - CSPA confirmed</t>
  </si>
  <si>
    <t>ENSG00000125257</t>
  </si>
  <si>
    <t>ENSP00000366084</t>
  </si>
  <si>
    <t>651;690;746;754;792;1176;1309</t>
  </si>
  <si>
    <t>648;1311</t>
  </si>
  <si>
    <t>QSMLN[115]VTVNGGGN[115]VTEK;QSMLN[115]VTVN[115]GGGN[115]VTEK</t>
  </si>
  <si>
    <t>746;754</t>
  </si>
  <si>
    <t>O15439</t>
  </si>
  <si>
    <t>Alternative splicing;ATP-binding;Complete proteome;Glycoprotein;Membrane;Nucleotide-binding;Phosphoprotein;Polymorphism;Reference proteome;Repeat;Transmembrane;Transmembrane helix;Transport</t>
  </si>
  <si>
    <t>UniRef100_O15439;UniRef90_O15439;UniRef50_O15439</t>
  </si>
  <si>
    <t>MRP5_HUMAN</t>
  </si>
  <si>
    <t>Multidrug resistance-associated protein 5</t>
  </si>
  <si>
    <t>ABCC5</t>
  </si>
  <si>
    <t>CY:1-178;TM:179-199;NC:200-218;TM:219-242;CY:243-290;TM:291-313;NC:314-318;TM:319-336;CY:337-395;TM:396-418;NC:419-428;TM:429-447;CY:448-856;TM:857-880;NC:881-912;TM:913-936;CY:937-992;TM:993-1011;NC:1012-1016;TM:1017-1036;CY:1037-1101;TM:1102-1121;NC:1122-1126;TM:1127-1147;CY:1148-1437</t>
  </si>
  <si>
    <t>ENSG00000114770</t>
  </si>
  <si>
    <t>ENSP00000333926</t>
  </si>
  <si>
    <t>494;636;684;890;897;1044;1329;1417</t>
  </si>
  <si>
    <t>494;636;890;897;1044</t>
  </si>
  <si>
    <t>GN[115]ETSVSDSMK</t>
  </si>
  <si>
    <t>O15440</t>
  </si>
  <si>
    <t>Alternative splicing;ATP-binding;Complete proteome;Glycoprotein;Membrane;Nucleotide-binding;Phosphoprotein;Reference proteome;Repeat;Transmembrane;Transmembrane helix;Transport</t>
  </si>
  <si>
    <t>UniRef100_O15440;UniRef90_O15440;UniRef50_O15440</t>
  </si>
  <si>
    <t>TLR3_HUMAN</t>
  </si>
  <si>
    <t>Toll-like receptor 3</t>
  </si>
  <si>
    <t>TLR3</t>
  </si>
  <si>
    <t>SP:1-22;NC:23-703;TM:704-724;CY:725-904</t>
  </si>
  <si>
    <t>ENSG00000164342</t>
  </si>
  <si>
    <t>ENSP00000296795</t>
  </si>
  <si>
    <t>CD283</t>
  </si>
  <si>
    <t>52;57;70;124;196;247;252;265;275;291;398;413;507;636;662;709;735</t>
  </si>
  <si>
    <t>52;57;70;124;265;275;398;413;507;636;662</t>
  </si>
  <si>
    <t>LTQVPDDLPTN[115]ITVLN[115]LTHNQLR;RLPAAN[115]FTR;SEELDIFAN[115]SSLK</t>
  </si>
  <si>
    <t>52;57;70;196</t>
  </si>
  <si>
    <t>O15455</t>
  </si>
  <si>
    <t>Endoplasmic reticulum membrane (Single-pass type I membrane protein);Endosome membrane</t>
  </si>
  <si>
    <t>3D-structure;Alternative splicing;Complete proteome;Direct protein sequencing;Disease mutation;Disulfide bond;Endoplasmic reticulum;Endosome;Glycoprotein;Immunity;Inflammatory response;Innate immunity;Leucine-rich repeat;Membrane;Phosphoprotein;Polymorphism;Receptor;Reference proteome;Repeat;RNA-binding;Signal;Transmembrane;Transmembrane helix</t>
  </si>
  <si>
    <t>UniRef100_O15455;UniRef90_O15455;UniRef50_O15455</t>
  </si>
  <si>
    <t>Endoplasmic Reticulum;Endosome</t>
  </si>
  <si>
    <t>Cytoskeleton;Cytosol;Extracellular space;Mitochondrion;Nucleus;Peroxisome</t>
  </si>
  <si>
    <t>GPR42_HUMAN</t>
  </si>
  <si>
    <t>G-protein coupled receptor 42</t>
  </si>
  <si>
    <t>GPR42</t>
  </si>
  <si>
    <t>NC:1-15;TM:16-40;CY:41-51;TM:52-70;NC:71-89;TM:90-111;CY:112-131;TM:132-153;NC:154-179;TM:180-203;CY:204-222;TM:223-243;NC:244-256;TM:257-278;CY:279-346</t>
  </si>
  <si>
    <t>ENSG00000126251</t>
  </si>
  <si>
    <t>ENSP00000410925;ENSP00000473212</t>
  </si>
  <si>
    <t>UniRef100_O15529;UniRef90_O14843;UniRef50_Q3UFD7</t>
  </si>
  <si>
    <t>P2RX6_HUMAN</t>
  </si>
  <si>
    <t>P2X purinoceptor 6</t>
  </si>
  <si>
    <t>P2RX6</t>
  </si>
  <si>
    <t>CY:1-39;TM:40-59;NC:60-334;TM:335-359;CY:360-441</t>
  </si>
  <si>
    <t>ENSG00000099957</t>
  </si>
  <si>
    <t>ENSP00000416193</t>
  </si>
  <si>
    <t>Channels;Ligand_gated_ion_channels;ATP_gated_ion_channels</t>
  </si>
  <si>
    <t>165;195;210</t>
  </si>
  <si>
    <t>165;195</t>
  </si>
  <si>
    <t>Alternative splicing;Complete proteome;Disulfide bond;Glycoprotein;Ion channel;Ion transport;Ligand-gated ion channel;Membrane;Phosphoprotein;Polymorphism;Receptor;Reference proteome;Transmembrane;Transmembrane helix;Transport</t>
  </si>
  <si>
    <t>UniRef100_O15547;UniRef90_O15547;UniRef50_O15547</t>
  </si>
  <si>
    <t>Extracellular space;Nucleus</t>
  </si>
  <si>
    <t>CLD3_HUMAN</t>
  </si>
  <si>
    <t>Claudin-3</t>
  </si>
  <si>
    <t>CLDN3</t>
  </si>
  <si>
    <t>CY:1-8;TM:9-29;NC:30-78;TM:79-102;CY:103-115;TM:116-138;NC:139-160;TM:161-182;CY:183-220</t>
  </si>
  <si>
    <t>ENSG00000165215</t>
  </si>
  <si>
    <t>ENSP00000378577</t>
  </si>
  <si>
    <t>17;29;46;50;137;167</t>
  </si>
  <si>
    <t>UniRef100_O15551;UniRef90_O15551;UniRef50_O15551</t>
  </si>
  <si>
    <t>FFAR2_HUMAN</t>
  </si>
  <si>
    <t>Free fatty acid receptor 2</t>
  </si>
  <si>
    <t>FFAR2</t>
  </si>
  <si>
    <t>NC:1-11;TM:12-33;CY:34-44;TM:45-66;NC:67-85;TM:86-104;CY:105-123;TM:124-150;NC:151-177;TM:178-200;CY:201-219;TM:220-240;NC:241-252;TM:253-275;CY:276-330</t>
  </si>
  <si>
    <t>ENSG00000126262</t>
  </si>
  <si>
    <t>ENSP00000246549;ENSP00000473159</t>
  </si>
  <si>
    <t>151;167;239;265</t>
  </si>
  <si>
    <t>151;167</t>
  </si>
  <si>
    <t>Cell membrane;Complete proteome;G-protein coupled receptor;Glycoprotein;Immunity;Inflammatory response;Lipid-binding;Membrane;Polymorphism;Receptor;Reference proteome;Transducer;Transmembrane;Transmembrane helix</t>
  </si>
  <si>
    <t>UniRef100_O15552;UniRef90_O15552;UniRef50_O15552</t>
  </si>
  <si>
    <t>ENK18_HUMAN</t>
  </si>
  <si>
    <t>Endogenous retrovirus group K member 18 Env polyprotein</t>
  </si>
  <si>
    <t>ERVK-18</t>
  </si>
  <si>
    <t>CY:1-354;TM:355-380;NC:381-523;TM:524-544;CY:545-560</t>
  </si>
  <si>
    <t>Other;HERV2</t>
  </si>
  <si>
    <t>17;42;163;244;350;396;443;455;474</t>
  </si>
  <si>
    <t>Virion;Cell membrane (Peripheral membrane protein);Cell membrane (Single-pass type I membrane protein)</t>
  </si>
  <si>
    <t>Cell membrane;Cleavage on pair of basic residues;Complete proteome;Disulfide bond;ERV;Membrane;Polymorphism;Reference proteome;Transmembrane;Transmembrane helix;Transposable element;Viral envelope protein;Virion</t>
  </si>
  <si>
    <t>UniRef100_O42043;UniRef90_O42043;UniRef50_O42043</t>
  </si>
  <si>
    <t>FLRT2_HUMAN</t>
  </si>
  <si>
    <t>Leucine-rich repeat transmembrane protein FLRT2</t>
  </si>
  <si>
    <t>FLRT2</t>
  </si>
  <si>
    <t>SP:1-35;NC:36-540;TM:541-564;CY:565-660</t>
  </si>
  <si>
    <t>ENSG00000185070</t>
  </si>
  <si>
    <t>ENSP00000332879;ENSP00000451050</t>
  </si>
  <si>
    <t>202;298;433;521;635;649</t>
  </si>
  <si>
    <t>202;433;635</t>
  </si>
  <si>
    <t>IAVISDMAFQN[115]LTSLER</t>
  </si>
  <si>
    <t>O43155</t>
  </si>
  <si>
    <t>Cell adhesion;Complete proteome;Direct protein sequencing;Glycoprotein;Leucine-rich repeat;Membrane;Polymorphism;Reference proteome;Repeat;Signal;Transmembrane;Transmembrane helix</t>
  </si>
  <si>
    <t>UniRef100_O43155;UniRef90_O43155;UniRef50_O43155</t>
  </si>
  <si>
    <t>PLXB1_HUMAN</t>
  </si>
  <si>
    <t>Plexin-B1</t>
  </si>
  <si>
    <t>PLXNB1</t>
  </si>
  <si>
    <t>SP:1-19;NC:20-1487;TM:1488-1511;CY:1512-2135</t>
  </si>
  <si>
    <t>ENSG00000164050</t>
  </si>
  <si>
    <t>ENSP00000296440;ENSP00000351338</t>
  </si>
  <si>
    <t>31;334;543;1183;1253;1330;2077</t>
  </si>
  <si>
    <t>31;334;543;1183;1253;1330;1368;2077</t>
  </si>
  <si>
    <t>13;653;736</t>
  </si>
  <si>
    <t>YTLDPN[115]ITSAGPTK</t>
  </si>
  <si>
    <t>O43157</t>
  </si>
  <si>
    <t>Cell membrane (Single-pass type I membrane protein);Secreted;Secreted</t>
  </si>
  <si>
    <t>3D-structure;Alternative splicing;Cell membrane;Coiled coil;Complete proteome;Disulfide bond;Glycoprotein;Membrane;Phosphoprotein;Polymorphism;Receptor;Reference proteome;Repeat;Secreted;Signal;Transmembrane;Transmembrane helix</t>
  </si>
  <si>
    <t>UniRef100_O43157;UniRef90_O43157;UniRef50_O43157</t>
  </si>
  <si>
    <t>ADA12_HUMAN</t>
  </si>
  <si>
    <t>Disintegrin and metalloproteinase domain-containing protein 12</t>
  </si>
  <si>
    <t>ADAM12</t>
  </si>
  <si>
    <t>SP:1-28;NC:29-708;TM:709-729;CY:730-909</t>
  </si>
  <si>
    <t>ENSG00000148848</t>
  </si>
  <si>
    <t>ENSP00000357668</t>
  </si>
  <si>
    <t>111;149;381;452;651</t>
  </si>
  <si>
    <t>GLIVFEN[115]ESYVLEPMK</t>
  </si>
  <si>
    <t>O43184</t>
  </si>
  <si>
    <t>Cell membrane (Single-pass type I membrane protein);Secreted;Secreted;Secreted</t>
  </si>
  <si>
    <t>Alternative splicing;Cell adhesion;Cell membrane;Cleavage on pair of basic residues;Complete proteome;Disulfide bond;EGF-like domain;Glycoprotein;Hydrolase;Membrane;Metal-binding;Metalloprotease;Phosphoprotein;Polymorphism;Protease;Reference proteome;Secreted;SH3-binding;Signal;Transmembrane;Transmembrane helix;Zinc;Zymogen</t>
  </si>
  <si>
    <t>UniRef100_O43184;UniRef90_O43184;UniRef50_O43184</t>
  </si>
  <si>
    <t>Cytoskeleton;Cytosol;Endoplasmic Reticulum;Endosome;Golgi apparatus;Lysosome;Peroxisome</t>
  </si>
  <si>
    <t>MTLR_HUMAN</t>
  </si>
  <si>
    <t>Motilin receptor</t>
  </si>
  <si>
    <t>MLNR</t>
  </si>
  <si>
    <t>NC:1-36;TM:37-62;CY:63-73;TM:74-93;NC:94-112;TM:113-134;CY:135-154;TM:155-177;NC:178-246;TM:247-270;CY:271-297;TM:298-320;NC:321-333;TM:334-358;CY:359-412</t>
  </si>
  <si>
    <t>ENSG00000102539</t>
  </si>
  <si>
    <t>ENSP00000218721</t>
  </si>
  <si>
    <t>6;192</t>
  </si>
  <si>
    <t>Alternative splicing;Cell membrane;Complete proteome;Disulfide bond;G-protein coupled receptor;Glycoprotein;Membrane;Receptor;Reference proteome;Transducer;Transmembrane;Transmembrane helix</t>
  </si>
  <si>
    <t>UniRef100_O43193;UniRef90_O43193;UniRef50_O43193</t>
  </si>
  <si>
    <t>GPR39_HUMAN</t>
  </si>
  <si>
    <t>G-protein coupled receptor 39</t>
  </si>
  <si>
    <t>GPR39</t>
  </si>
  <si>
    <t>NC:1-27;TM:28-51;CY:52-71;TM:72-93;NC:94-111;TM:112-131;CY:132-151;TM:152-174;NC:175-222;TM:223-244;CY:245-282;TM:283-301;NC:302-320;TM:321-344;CY:345-453</t>
  </si>
  <si>
    <t>ENSG00000183840</t>
  </si>
  <si>
    <t>ENSP00000327417</t>
  </si>
  <si>
    <t>192;206;212</t>
  </si>
  <si>
    <t>HHEQPETSN[115]MSICTN;HHEQPETSN[115]MSICTNLSSR;HHEQPETSN[115]MSICTN[115]LSSR</t>
  </si>
  <si>
    <t>206;212</t>
  </si>
  <si>
    <t>O43194</t>
  </si>
  <si>
    <t>Cell membrane;Complete proteome;Disulfide bond;G-protein coupled receptor;Glycoprotein;Membrane;Metal-binding;Polymorphism;Receptor;Reference proteome;Transducer;Transmembrane;Transmembrane helix;Zinc</t>
  </si>
  <si>
    <t>UniRef100_O43194;UniRef90_O43194;UniRef50_Q5U431</t>
  </si>
  <si>
    <t>CTR4_HUMAN</t>
  </si>
  <si>
    <t>Cationic amino acid transporter 4</t>
  </si>
  <si>
    <t>SLC7A4</t>
  </si>
  <si>
    <t>CY:1-38;TM:39-59;NC:60-69;TM:70-92;CY:93-112;TM:113-137;NC:138-170;TM:171-190;CY:191-197;TM:198-217;NC:218-228;TM:229-250;CY:251-269;TM:270-296;NC:297-315;TM:316-339;CY:340-365;TM:366-385;NC:386-390;TM:391-412;CY:413-476;TM:477-499;NC:500-509;TM:510-530;CY:531-541;TM:542-562;NC:563-567;TM:568-587;CY:588-635</t>
  </si>
  <si>
    <t>ENSG00000099960</t>
  </si>
  <si>
    <t>ENSP00000372390;ENSP00000384278</t>
  </si>
  <si>
    <t>SLC;APC;SLC7</t>
  </si>
  <si>
    <t>151;195;221;500;601</t>
  </si>
  <si>
    <t>Amino-acid transport;Complete proteome;Glycoprotein;Membrane;Polymorphism;Reference proteome;Transmembrane;Transmembrane helix;Transport</t>
  </si>
  <si>
    <t>UniRef100_O43246;UniRef90_O43246;UniRef50_O43246</t>
  </si>
  <si>
    <t>DB00123;DB00125;DB00129</t>
  </si>
  <si>
    <t>TREA_HUMAN</t>
  </si>
  <si>
    <t>Trehalase</t>
  </si>
  <si>
    <t>TREH</t>
  </si>
  <si>
    <t>SP:1-23;NC:24-583</t>
  </si>
  <si>
    <t>3 (nonTM)</t>
  </si>
  <si>
    <t>ENSG00000118094</t>
  </si>
  <si>
    <t>ENSP00000264029</t>
  </si>
  <si>
    <t>78;239;261;369;417</t>
  </si>
  <si>
    <t>Alternative splicing;Cell membrane;Complete proteome;Direct protein sequencing;Disulfide bond;Glycoprotein;Glycosidase;GPI-anchor;Hydrolase;Lipoprotein;Membrane;Polymorphism;Reference proteome;Signal</t>
  </si>
  <si>
    <t>UniRef100_O43280;UniRef90_O43280;UniRef50_O43280</t>
  </si>
  <si>
    <t>SPIT2_HUMAN</t>
  </si>
  <si>
    <t>Kunitz-type protease inhibitor 2</t>
  </si>
  <si>
    <t>SPINT2</t>
  </si>
  <si>
    <t>SP:1-27;NC:28-197;TM:198-221;CY:222-252</t>
  </si>
  <si>
    <t>ENSG00000167642</t>
  </si>
  <si>
    <t>ENSP00000301244</t>
  </si>
  <si>
    <t>57;94</t>
  </si>
  <si>
    <t>3D-structure;Alternative splicing;Complete proteome;Direct protein sequencing;Disease mutation;Disulfide bond;Glycoprotein;Membrane;Polymorphism;Protease inhibitor;Reference proteome;Repeat;Serine protease inhibitor;Signal;Transmembrane;Transmembrane helix</t>
  </si>
  <si>
    <t>UniRef100_O43291;UniRef90_O43291;UniRef50_O43291</t>
  </si>
  <si>
    <t>Cytoskeleton;Nucleus</t>
  </si>
  <si>
    <t>LRRT2_HUMAN</t>
  </si>
  <si>
    <t>Leucine-rich repeat transmembrane neuronal protein 2</t>
  </si>
  <si>
    <t>LRRTM2</t>
  </si>
  <si>
    <t>SP:1-33;NC:34-422;TM:423-444;CY:445-516</t>
  </si>
  <si>
    <t>ENSG00000146006</t>
  </si>
  <si>
    <t>ENSP00000274711</t>
  </si>
  <si>
    <t>57;126;243;362;477</t>
  </si>
  <si>
    <t>Cell junction, synapse, postsynaptic cell membrane (Single-pass type I membrane protein);Cell membrane (Single-pass type I membrane protein)</t>
  </si>
  <si>
    <t>Cell junction;Cell membrane;Complete proteome;Glycoprotein;Leucine-rich repeat;Membrane;Postsynaptic cell membrane;Reference proteome;Repeat;Signal;Synapse;Transmembrane;Transmembrane helix</t>
  </si>
  <si>
    <t>UniRef100_O43300;UniRef90_D4A7P2;UniRef50_D4A7P2</t>
  </si>
  <si>
    <t>ADCY6_HUMAN</t>
  </si>
  <si>
    <t>Adenylate cyclase type 6</t>
  </si>
  <si>
    <t>ADCY6</t>
  </si>
  <si>
    <t>CY:1-151;TM:152-172;NC:173-177;TM:178-198;CY:199-209;TM:210-230;NC:231-235;TM:236-253;CY:254-259;TM:260-278;NC:279-288;TM:289-308;CY:309-668;TM:669-692;NC:693-697;TM:698-721;CY:722-741;TM:742-762;NC:763-814;TM:815-833;CY:834-839;TM:840-859;NC:860-892;TM:893-912;CY:913-1168</t>
  </si>
  <si>
    <t>ENSG00000174233</t>
  </si>
  <si>
    <t>ENSP00000311405</t>
  </si>
  <si>
    <t>4.6.1</t>
  </si>
  <si>
    <t>148;377;765;778;793;878;987;1044;1112</t>
  </si>
  <si>
    <t>LASSN[115]ETFDGLDCPAAGR</t>
  </si>
  <si>
    <t>O43306</t>
  </si>
  <si>
    <t>Cell projection, cilium;Membrane (Multi-pass membrane protein)</t>
  </si>
  <si>
    <t>Alternative splicing;ATP-binding;cAMP biosynthesis;Cell projection;Cilium;Complete proteome;Glycoprotein;Lyase;Magnesium;Membrane;Metal-binding;Nucleotide-binding;Phosphoprotein;Polymorphism;Reference proteome;Repeat;Transmembrane;Transmembrane helix</t>
  </si>
  <si>
    <t>UniRef100_O43306;UniRef90_O43306;UniRef50_O43306</t>
  </si>
  <si>
    <t>Cytoskeleton;Cytosol;Endoplasmic Reticulum;Extracellular space;Golgi apparatus;Lysosome;Mitochondrion;Nucleus;Peroxisome</t>
  </si>
  <si>
    <t>AQP9_HUMAN</t>
  </si>
  <si>
    <t>Aquaporin-9</t>
  </si>
  <si>
    <t>AQP9</t>
  </si>
  <si>
    <t>CY:1-28;TM:29-48;NC:49-53;TM:54-75;CY:76-104;TM:105-125;NC:126-159;TM:160-180;CY:181-191;TM:192-210;NC:211-242;TM:243-265;CY:266-295</t>
  </si>
  <si>
    <t>ENSG00000103569</t>
  </si>
  <si>
    <t>ENSP00000219919;ENSP00000441390</t>
  </si>
  <si>
    <t>Channels;Aquaporins</t>
  </si>
  <si>
    <t>Complete proteome;Membrane;Polymorphism;Reference proteome;Repeat;Transmembrane;Transmembrane helix;Transport</t>
  </si>
  <si>
    <t>UniRef100_O43315;UniRef90_O43315;UniRef50_O43315</t>
  </si>
  <si>
    <t>Cytoskeleton;Cytosol;Extracellular space</t>
  </si>
  <si>
    <t>GRID2_HUMAN</t>
  </si>
  <si>
    <t>Glutamate receptor ionotropic, delta-2</t>
  </si>
  <si>
    <t>GRID2</t>
  </si>
  <si>
    <t>SP:1-23;NC:24-566;TM:567-590;CY:591-635;TM:636-658;NC:659-830;TM:831-852;CY:853-1007</t>
  </si>
  <si>
    <t>ENSG00000152208</t>
  </si>
  <si>
    <t>ENSP00000282020</t>
  </si>
  <si>
    <t>293;426;713;716</t>
  </si>
  <si>
    <t>Alternative splicing;Cell junction;Cell membrane;Complete proteome;Glycoprotein;Ion channel;Ion transport;Ligand-gated ion channel;Membrane;Polymorphism;Postsynaptic cell membrane;Receptor;Reference proteome;Signal;Synapse;Transmembrane;Transmembrane helix;Transport</t>
  </si>
  <si>
    <t>UniRef100_O43424;UniRef90_Q61625;UniRef50_Q61625</t>
  </si>
  <si>
    <t>Cytosol;Endoplasmic Reticulum;Endosome;Extracellular space;Golgi apparatus;Lysosome;Mitochondrion;Nucleus;Peroxisome</t>
  </si>
  <si>
    <t>PROM1_HUMAN</t>
  </si>
  <si>
    <t>Prominin-1</t>
  </si>
  <si>
    <t>PROM1</t>
  </si>
  <si>
    <t>SP:1-19;NC:20-106;TM:107-132;CY:133-152;TM:153-178;NC:179-432;TM:433-460;CY:461-480;TM:481-507;NC:508-792;TM:793-813;CY:814-865</t>
  </si>
  <si>
    <t>ENSG00000007062</t>
  </si>
  <si>
    <t>ENSP00000415481;ENSP00000426809</t>
  </si>
  <si>
    <t>CD133</t>
  </si>
  <si>
    <t>206;220;274;395;414;548;580;729;730</t>
  </si>
  <si>
    <t>YILAQYN[115]TTK;EALENMN[115]STLK;VLNSIGSDIDN[115]VTQR;VLN[115]SIGSDIDN[115]VTQR</t>
  </si>
  <si>
    <t>220;274;395</t>
  </si>
  <si>
    <t>O43490</t>
  </si>
  <si>
    <t>Apical cell membrane (Multi- pass membrane protein);Cell projection, cilium, photoreceptor outer segment;Cell projection, microvillus membrane (Multi-pass membrane protein);Endoplasmic reticulum;Endoplasmic reticulum-Golgi intermediate compartment</t>
  </si>
  <si>
    <t>Acetylation;Alternative splicing;Cell membrane;Cell projection;Cilium;Complete proteome;Cone-rod dystrophy;Direct protein sequencing;Disease mutation;Endoplasmic reticulum;Glycoprotein;Membrane;Phosphoprotein;Polymorphism;Reference proteome;Retinitis pigmentosa;Signal;Stargardt disease;Transmembrane;Transmembrane helix</t>
  </si>
  <si>
    <t>UniRef100_O43490;UniRef90_O43490;UniRef50_O43490</t>
  </si>
  <si>
    <t>TGON2_HUMAN</t>
  </si>
  <si>
    <t>Trans-Golgi network integral membrane protein 2</t>
  </si>
  <si>
    <t>TGOLN2</t>
  </si>
  <si>
    <t>SP:1-22;NC:23-384;TM:385-402;CY:403-480</t>
  </si>
  <si>
    <t>ENSG00000152291</t>
  </si>
  <si>
    <t>39;82;96;152;180;208;222;373;377</t>
  </si>
  <si>
    <t>Cell membrane (Single-pass type I membrane protein);Golgi apparatus, trans-Golgi network membrane (Single- pass type I membrane protein)</t>
  </si>
  <si>
    <t>Alternative splicing;Cell membrane;Complete proteome;Glycoprotein;Golgi apparatus;Membrane;Phosphoprotein;Polymorphism;Reference proteome;Repeat;Signal;Transmembrane;Transmembrane helix</t>
  </si>
  <si>
    <t>UniRef100_O43493;UniRef90_O43493;UniRef50_O43493</t>
  </si>
  <si>
    <t>CAC1G_HUMAN</t>
  </si>
  <si>
    <t>Voltage-dependent T-type calcium channel subunit alpha-1G</t>
  </si>
  <si>
    <t>CACNA1G</t>
  </si>
  <si>
    <t>CY:1-84;TM:85-103;NC:104-122;TM:123-142;CY:143-151;TM:152-169;NC:170-174;TM:175-191;CY:192-211;TM:212-234;NC:235-371;TM:372-395;CY:396-743;TM:744-762;NC:763-776;TM:777-796;CY:797-806;TM:807-824;NC:825-834;TM:835-853;CY:854-864;TM:865-887;NC:888-939;TM:940-964;CY:965-1276;TM:1277-1295;NC:1296-1314;TM:1315-1336;CY:1337-1347;TM:1348-1367;NC:1368-1372;TM:1373-1392;CY:1393-1411;TM:1412-1433;NC:1434-1513;TM:1514-1537;CY:1538-1610;TM:1611-1630;NC:1631-1644;TM:1645-1666;CY:1667-1675;TM:1676-1694;NC:1695-1708;TM:1709-1731;CY:1732-1743;TM:1744-1764;NC:1765-1828;TM:1829-1850;CY:1851-2377</t>
  </si>
  <si>
    <t>ENSG00000006283</t>
  </si>
  <si>
    <t>ENSP00000352011</t>
  </si>
  <si>
    <t>Channels;Voltage_gated_ion_channels;CalciumChannels</t>
  </si>
  <si>
    <t>173;246;306;310;322;419;509;527;997;1229;1448;1451;1698;2049</t>
  </si>
  <si>
    <t>Alternative splicing;Calcium;Calcium channel;Calcium transport;Complete proteome;Glycoprotein;Ion channel;Ion transport;Membrane;Reference proteome;Repeat;Transmembrane;Transmembrane helix;Transport;Voltage-gated channel</t>
  </si>
  <si>
    <t>UniRef100_O43497;UniRef90_O43497;UniRef50_O43497</t>
  </si>
  <si>
    <t>DB00347;DB00568;DB00593;DB00661;DB00909;DB04841;DB05246;DB00421</t>
  </si>
  <si>
    <t>ADA20_HUMAN</t>
  </si>
  <si>
    <t>Disintegrin and metalloproteinase domain-containing protein 20</t>
  </si>
  <si>
    <t>ADAM20</t>
  </si>
  <si>
    <t>SP:1-31;NC:32-691;TM:692-714;CY:715-726</t>
  </si>
  <si>
    <t>ENSG00000134007</t>
  </si>
  <si>
    <t>ENSP00000256389</t>
  </si>
  <si>
    <t>191;226;378;438;479;587</t>
  </si>
  <si>
    <t>Complete proteome;Disulfide bond;EGF-like domain;Glycoprotein;Hydrolase;Membrane;Metal-binding;Metalloprotease;Protease;Reference proteome;Signal;Transmembrane;Transmembrane helix;Zinc;Zymogen</t>
  </si>
  <si>
    <t>UniRef100_O43506;UniRef90_O43506;UniRef50_O43506</t>
  </si>
  <si>
    <t>S26A4_HUMAN</t>
  </si>
  <si>
    <t>Pendrin</t>
  </si>
  <si>
    <t>SLC26A4</t>
  </si>
  <si>
    <t>CY:1-83;TM:84-107;NC:108-112;TM:113-130;CY:131-136;TM:137-156;NC:157-186;TM:187-212;CY:213-218;TM:219-240;NC:241-267;TM:268-286;CY:287-296;TM:297-317;NC:318-344;TM:345-365;CY:366-384;TM:385-408;NC:409-420;TM:421-442;CY:443-448;TM:449-466;NC:467-480;TM:481-510;CY:511-780</t>
  </si>
  <si>
    <t>ENSG00000091137</t>
  </si>
  <si>
    <t>ENSP00000265715</t>
  </si>
  <si>
    <t>SLC;APC;SLC26</t>
  </si>
  <si>
    <t>167;172;241</t>
  </si>
  <si>
    <t>Cell membrane (Multi-pass membrane protein);Membrane (Multi-pass membrane protein)</t>
  </si>
  <si>
    <t>Alternative splicing;Cell membrane;Chloride;Complete proteome;Deafness;Disease mutation;Membrane;Non-syndromic deafness;Polymorphism;Reference proteome;Transmembrane;Transmembrane helix;Transport</t>
  </si>
  <si>
    <t>UniRef100_O43511;UniRef90_O43511;UniRef50_O43511</t>
  </si>
  <si>
    <t>SGCE_HUMAN</t>
  </si>
  <si>
    <t>Epsilon-sarcoglycan</t>
  </si>
  <si>
    <t>SGCE</t>
  </si>
  <si>
    <t>NC:1-316;TM:317-340;CY:341-437</t>
  </si>
  <si>
    <t>ENSG00000127990</t>
  </si>
  <si>
    <t>ENSP00000265735</t>
  </si>
  <si>
    <t>StructuralAndAdhesion;Sarcoglycan</t>
  </si>
  <si>
    <t>LNAIN[115]ITSALDR;LN[115]AIN[115]ITSALDR</t>
  </si>
  <si>
    <t>O43556</t>
  </si>
  <si>
    <t>Cell membrane, sarcolemma (Single-pass membrane protein);Cell projection, dendrite;Cytoplasm, cytoskeleton;Golgi apparatus</t>
  </si>
  <si>
    <t>Alternative splicing;Cell membrane;Cell projection;Complete proteome;Cytoplasm;Cytoskeleton;Disease mutation;Dystonia;Glycoprotein;Golgi apparatus;Membrane;Reference proteome;Transmembrane;Transmembrane helix;Ubl conjugation</t>
  </si>
  <si>
    <t>UniRef100_O43556;UniRef90_O43556;UniRef50_O43556</t>
  </si>
  <si>
    <t>RNF13_HUMAN</t>
  </si>
  <si>
    <t>E3 ubiquitin-protein ligase RNF13</t>
  </si>
  <si>
    <t>RNF13</t>
  </si>
  <si>
    <t>SP:1-34;NC:35-182;TM:183-207;CY:208-381</t>
  </si>
  <si>
    <t>ENSG00000082996</t>
  </si>
  <si>
    <t>ENSP00000341361;ENSP00000376628</t>
  </si>
  <si>
    <t>43;88;334</t>
  </si>
  <si>
    <t>DILAYNFEN[115]ASQTFDDLPAR;NFEN[115]ASQTFDDLPAR;DN[115]SSGTFIVLIR</t>
  </si>
  <si>
    <t>43;88</t>
  </si>
  <si>
    <t>O43567</t>
  </si>
  <si>
    <t>Endoplasmic reticulum membrane;Golgi apparatus membrane;Late endosome membrane (Single- pass membrane protein);Lysosome membrane;Nucleus inner membrane</t>
  </si>
  <si>
    <t>Alternative splicing;Complete proteome;Endoplasmic reticulum;Endosome;Glycoprotein;Golgi apparatus;Ligase;Lysosome;Membrane;Metal-binding;Nucleus;Reference proteome;Signal;Transmembrane;Transmembrane helix;Ubl conjugation;Ubl conjugation pathway;Zinc;Zinc-finger</t>
  </si>
  <si>
    <t>UniRef100_O43567;UniRef90_O43567;UniRef50_O43567</t>
  </si>
  <si>
    <t>Endoplasmic Reticulum;Endosome;Golgi apparatus;Lysosome</t>
  </si>
  <si>
    <t>Cytoskeleton;Cytosol;Extracellular space;Mitochondrion;Peroxisome;Plasma membrane</t>
  </si>
  <si>
    <t>CAH12_HUMAN</t>
  </si>
  <si>
    <t>Carbonic anhydrase 12</t>
  </si>
  <si>
    <t>CA12</t>
  </si>
  <si>
    <t>SP:1-29;NC:30-300;TM:301-327;CY:328-354</t>
  </si>
  <si>
    <t>ENSG00000074410</t>
  </si>
  <si>
    <t>ENSP00000178638</t>
  </si>
  <si>
    <t>4.2.1</t>
  </si>
  <si>
    <t>28;80;162</t>
  </si>
  <si>
    <t>DASLTPLEFQGYN[115]LSANK;ASLTPLEFQGYN[115]LSANK;SLTPLEFQGYN[115]LSANK;TPLEFQGYN[115]LSANK</t>
  </si>
  <si>
    <t>O43570</t>
  </si>
  <si>
    <t>3D-structure;Alternative splicing;Complete proteome;Disease mutation;Disulfide bond;Glycoprotein;Lyase;Membrane;Metal-binding;Reference proteome;Signal;Transmembrane;Transmembrane helix;Zinc</t>
  </si>
  <si>
    <t>UniRef100_O43570;UniRef90_O43570;UniRef50_O43570</t>
  </si>
  <si>
    <t>DB00562;DB00774;DB00909;DB00999</t>
  </si>
  <si>
    <t>GALR2_HUMAN</t>
  </si>
  <si>
    <t>Galanin receptor type 2</t>
  </si>
  <si>
    <t>GALR2</t>
  </si>
  <si>
    <t>NC:1-26;TM:27-51;CY:52-62;TM:63-83;NC:84-101;TM:102-121;CY:122-141;TM:142-162;NC:163-185;TM:186-208;CY:209-236;TM:237-256;NC:257-267;TM:268-287;CY:288-387</t>
  </si>
  <si>
    <t>ENSG00000182687</t>
  </si>
  <si>
    <t>ENSP00000329684</t>
  </si>
  <si>
    <t>2;11;171</t>
  </si>
  <si>
    <t>Cell membrane;Complete proteome;Disulfide bond;G-protein coupled receptor;Glycoprotein;Membrane;Receptor;Reference proteome;Transducer;Transmembrane;Transmembrane helix</t>
  </si>
  <si>
    <t>UniRef100_O43603;UniRef90_O43603;UniRef50_O43603</t>
  </si>
  <si>
    <t>OX1R_HUMAN</t>
  </si>
  <si>
    <t>Orexin receptor type 1</t>
  </si>
  <si>
    <t>HCRTR1</t>
  </si>
  <si>
    <t>NC:1-46;TM:47-72;CY:73-83;TM:84-104;NC:105-123;TM:124-142;CY:143-162;TM:163-182;NC:183-213;TM:214-236;CY:237-298;TM:299-320;NC:321-334;TM:335-361;CY:362-425</t>
  </si>
  <si>
    <t>ENSG00000121764</t>
  </si>
  <si>
    <t>ENSP00000362810;ENSP00000384387</t>
  </si>
  <si>
    <t>87;194</t>
  </si>
  <si>
    <t>UniRef100_O43613;UniRef90_O43613;UniRef50_P56719</t>
  </si>
  <si>
    <t>OX2R_HUMAN</t>
  </si>
  <si>
    <t>Orexin receptor type 2</t>
  </si>
  <si>
    <t>HCRTR2</t>
  </si>
  <si>
    <t>NC:1-54;TM:55-80;CY:81-91;TM:92-112;NC:113-131;TM:132-151;CY:152-171;TM:172-191;NC:192-221;TM:222-244;CY:245-303;TM:304-323;NC:324-342;TM:343-367;CY:368-444</t>
  </si>
  <si>
    <t>ENSG00000137252</t>
  </si>
  <si>
    <t>ENSP00000359899;ENSP00000477548</t>
  </si>
  <si>
    <t>14;22;95;202;416</t>
  </si>
  <si>
    <t>22;30;202</t>
  </si>
  <si>
    <t>UniRef100_O43614;UniRef90_P56719;UniRef50_P56719</t>
  </si>
  <si>
    <t>PSCA_HUMAN</t>
  </si>
  <si>
    <t>Prostate stem cell antigen</t>
  </si>
  <si>
    <t>PSCA</t>
  </si>
  <si>
    <t>SP:1-22;NC:23-123</t>
  </si>
  <si>
    <t>ENSG00000167653</t>
  </si>
  <si>
    <t>ENSP00000301258</t>
  </si>
  <si>
    <t>40;83;93</t>
  </si>
  <si>
    <t>Cell membrane;Complete proteome;Direct protein sequencing;Disulfide bond;Glycoprotein;GPI-anchor;Lipoprotein;Membrane;Polymorphism;Reference proteome;Signal</t>
  </si>
  <si>
    <t>UniRef100_O43653;UniRef90_O43653;UniRef50_O43653</t>
  </si>
  <si>
    <t>TSN6_HUMAN</t>
  </si>
  <si>
    <t>Tetraspanin-6</t>
  </si>
  <si>
    <t>TSPAN6</t>
  </si>
  <si>
    <t>CY:1-20;TM:21-42;NC:43-61;TM:62-81;CY:82-91;TM:92-114;NC:115-210;TM:211-233;CY:234-245</t>
  </si>
  <si>
    <t>ENSG00000000003</t>
  </si>
  <si>
    <t>ENSP00000362111</t>
  </si>
  <si>
    <t>ALKQYN[115]STGDYR;QYN[115]STGDYR</t>
  </si>
  <si>
    <t>O43657</t>
  </si>
  <si>
    <t>UniRef100_O43657;UniRef90_O43657;UniRef50_O43657</t>
  </si>
  <si>
    <t>LPP2_HUMAN</t>
  </si>
  <si>
    <t>Lipid phosphate phosphohydrolase 2</t>
  </si>
  <si>
    <t>PPAP2C</t>
  </si>
  <si>
    <t>CY:1-6;TM:7-28;NC:29-54;TM:55-78;CY:79-89;TM:90-109;NC:110-163;TM:164-183;CY:184-193;TM:194-213;NC:214-224;TM:225-244;CY:245-288</t>
  </si>
  <si>
    <t>ENSG00000141934</t>
  </si>
  <si>
    <t>ENSP00000388565</t>
  </si>
  <si>
    <t>VN[115]CSVYVQLEK</t>
  </si>
  <si>
    <t>O43688</t>
  </si>
  <si>
    <t>Alternative splicing;Complete proteome;Glycoprotein;Hydrolase;Membrane;Polymorphism;Reference proteome;Transmembrane;Transmembrane helix</t>
  </si>
  <si>
    <t>UniRef100_O43688;UniRef90_O43688;UniRef50_Q61469-2</t>
  </si>
  <si>
    <t>SIGL6_HUMAN</t>
  </si>
  <si>
    <t>Sialic acid-binding Ig-like lectin 6</t>
  </si>
  <si>
    <t>SIGLEC6</t>
  </si>
  <si>
    <t>SP:1-26;NC:27-346;TM:347-368;CY:369-453</t>
  </si>
  <si>
    <t>ENSG00000105492</t>
  </si>
  <si>
    <t>ENSP00000401502</t>
  </si>
  <si>
    <t>CD327</t>
  </si>
  <si>
    <t>103;149;163;212;233;258;294</t>
  </si>
  <si>
    <t>ILQN[115]TSSLPVLEGQALR</t>
  </si>
  <si>
    <t>O43699</t>
  </si>
  <si>
    <t>Alternative splicing;Cell adhesion;Cell membrane;Complete proteome;Disulfide bond;Glycoprotein;Immunoglobulin domain;Lectin;Membrane;Polymorphism;Reference proteome;Repeat;Secreted;Signal;Transmembrane;Transmembrane helix</t>
  </si>
  <si>
    <t>UniRef100_O43699;UniRef90_O43699;UniRef50_O43699</t>
  </si>
  <si>
    <t>OR1F1_HUMAN</t>
  </si>
  <si>
    <t>Olfactory receptor 1F1</t>
  </si>
  <si>
    <t>OR1F1</t>
  </si>
  <si>
    <t>NC:1-25;TM:26-47;CY:48-58;TM:59-79;NC:80-100;TM:101-120;CY:121-139;TM:140-161;NC:162-197;TM:198-221;CY:222-237;TM:238-260;NC:261-271;TM:272-292;CY:293-312</t>
  </si>
  <si>
    <t>ENSG00000168124</t>
  </si>
  <si>
    <t>ENSP00000305424</t>
  </si>
  <si>
    <t>UniRef100_O43749;UniRef90_O43749;UniRef50_O43749</t>
  </si>
  <si>
    <t>G6PT1_HUMAN</t>
  </si>
  <si>
    <t>Glucose-6-phosphate translocase</t>
  </si>
  <si>
    <t>SLC37A4</t>
  </si>
  <si>
    <t>NC:1-5;TM:6-26;CY:27-82;TM:83-109;NC:110-135;TM:136-159;CY:160-167;TM:168-188;NC:189-223;TM:224-243;CY:244-259;TM:260-283;NC:284-302;TM:303-322;CY:323-328;TM:329-353;NC:354-364;TM:365-384;CY:385-395;TM:396-414;NC:415-429</t>
  </si>
  <si>
    <t>SLC;MFS;SLC37</t>
  </si>
  <si>
    <t>Alternative splicing;Complete proteome;Disease mutation;Endoplasmic reticulum;Glycogen storage disease;Membrane;Reference proteome;Sugar transport;Transmembrane;Transmembrane helix;Transport</t>
  </si>
  <si>
    <t>UniRef100_O43826;UniRef90_O43826;UniRef50_O43826</t>
  </si>
  <si>
    <t>S28A2_HUMAN</t>
  </si>
  <si>
    <t>Sodium/nucleoside cotransporter 2</t>
  </si>
  <si>
    <t>SLC28A2</t>
  </si>
  <si>
    <t>CY:1-79;TM:80-99;NC:100-104;TM:105-123;CY:124-144;TM:145-165;NC:166-172;TM:173-190;CY:191-197;TM:198-218;NC:219-256;TM:257-278;CY:279-289;TM:290-313;NC:314-332;TM:333-355;CY:356-361;TM:362-381;NC:382-422;TM:423-443;CY:444-452;TM:453-472;NC:473-526;TM:527-552;CY:553-563;TM:564-587;NC:588-658</t>
  </si>
  <si>
    <t>ENSG00000137860</t>
  </si>
  <si>
    <t>ENSP00000315006</t>
  </si>
  <si>
    <t>238;538;600;605;624;653</t>
  </si>
  <si>
    <t>238;605;624;653</t>
  </si>
  <si>
    <t>Complete proteome;Membrane;Polymorphism;Reference proteome;Transmembrane;Transmembrane helix;Transport</t>
  </si>
  <si>
    <t>UniRef100_O43868;UniRef90_O43868;UniRef50_O43868</t>
  </si>
  <si>
    <t>OR2T1_HUMAN</t>
  </si>
  <si>
    <t>Olfactory receptor 2T1</t>
  </si>
  <si>
    <t>OR2T1</t>
  </si>
  <si>
    <t>NC:1-74;TM:75-98;CY:99-109;TM:110-132;NC:133-151;TM:152-170;CY:171-189;TM:190-212;NC:213-246;TM:247-268;CY:269-287;TM:288-310;NC:311-322;TM:323-342;CY:343-369</t>
  </si>
  <si>
    <t>ENSG00000175143;ENSG00000273508;ENSG00000275244</t>
  </si>
  <si>
    <t>ENSP00000355430;ENSP00000479603;ENSP00000482752</t>
  </si>
  <si>
    <t>UniRef100_O43869;UniRef90_O43869;UniRef50_Q8NHC8</t>
  </si>
  <si>
    <t>XPP2_HUMAN</t>
  </si>
  <si>
    <t>Xaa-Pro aminopeptidase 2</t>
  </si>
  <si>
    <t>XPNPEP2</t>
  </si>
  <si>
    <t>SP:1-21;NC:22-674</t>
  </si>
  <si>
    <t>ENSG00000122121</t>
  </si>
  <si>
    <t>ENSP00000360147</t>
  </si>
  <si>
    <t>35;49;65;278;291</t>
  </si>
  <si>
    <t>Aminopeptidase;Cell membrane;Complete proteome;Glycoprotein;GPI-anchor;Hydrolase;Lipoprotein;Manganese;Membrane;Metal-binding;Metalloprotease;Polymorphism;Protease;Reference proteome;Signal</t>
  </si>
  <si>
    <t>UniRef100_O43895;UniRef90_O43895;UniRef50_O43895</t>
  </si>
  <si>
    <t>EFNA2_HUMAN</t>
  </si>
  <si>
    <t>Ephrin-A2</t>
  </si>
  <si>
    <t>EFNA2</t>
  </si>
  <si>
    <t>SP:1-26;NC:27-213</t>
  </si>
  <si>
    <t>ENSG00000099617</t>
  </si>
  <si>
    <t>ENSP00000215368</t>
  </si>
  <si>
    <t>42;174;188</t>
  </si>
  <si>
    <t>3D-structure;Cell membrane;Complete proteome;Disulfide bond;Glycoprotein;GPI-anchor;Lipoprotein;Membrane;Reference proteome;Signal</t>
  </si>
  <si>
    <t>UniRef100_O43921;UniRef90_O43921;UniRef50_O43921</t>
  </si>
  <si>
    <t>MFS11_HUMAN</t>
  </si>
  <si>
    <t>UNC93-like protein MFSD11</t>
  </si>
  <si>
    <t>MFSD11</t>
  </si>
  <si>
    <t>CY:1-6;TM:7-27;NC:28-46;TM:47-65;CY:66-76;TM:77-94;NC:95-99;TM:100-118;CY:119-137;TM:138-158;NC:159-169;TM:170-190;CY:191-238;TM:239-259;NC:260-276;TM:277-298;CY:299-309;TM:310-329;NC:330-352;TM:353-379;CY:380-386;TM:387-405;NC:406-410;TM:411-432;CY:433-449</t>
  </si>
  <si>
    <t>ENSG00000092931</t>
  </si>
  <si>
    <t>ENSP00000337240;ENSP00000466613;ENSP00000464932;ENSP00000468309;ENSP00000485005</t>
  </si>
  <si>
    <t>40;213;219</t>
  </si>
  <si>
    <t>UniRef100_O43934;UniRef90_Q8BJ51;UniRef50_Q8BJ51</t>
  </si>
  <si>
    <t>TM11D_HUMAN</t>
  </si>
  <si>
    <t>Transmembrane protease serine 11D</t>
  </si>
  <si>
    <t>TMPRSS11D</t>
  </si>
  <si>
    <t>CY:1-17;TM:18-42;NC:43-418</t>
  </si>
  <si>
    <t>ENSG00000153802</t>
  </si>
  <si>
    <t>ENSP00000283916</t>
  </si>
  <si>
    <t>144;152</t>
  </si>
  <si>
    <t>Cell membrane (Single-pass type II membrane protein);Secreted</t>
  </si>
  <si>
    <t>Cell membrane;Complete proteome;Direct protein sequencing;Disulfide bond;Glycoprotein;Hydrolase;Membrane;Protease;Reference proteome;Secreted;Serine protease;Signal-anchor;Transmembrane;Transmembrane helix;Zymogen</t>
  </si>
  <si>
    <t>UniRef100_O60235;UniRef90_O60235;UniRef50_O60235</t>
  </si>
  <si>
    <t>BAI2_HUMAN</t>
  </si>
  <si>
    <t>Brain-specific angiogenesis inhibitor 2</t>
  </si>
  <si>
    <t>BAI2</t>
  </si>
  <si>
    <t>SP:1-32;NC:33-933;TM:934-957;CY:958-966;TM:967-986;NC:987-997;TM:998-1016;CY:1017-1037;TM:1038-1056;NC:1057-1075;TM:1076-1102;CY:1103-1121;TM:1122-1142;NC:1143-1153;TM:1154-1174;CY:1175-1585</t>
  </si>
  <si>
    <t>ENSG00000121753</t>
  </si>
  <si>
    <t>ENSP00000362762</t>
  </si>
  <si>
    <t>106;191;192;356;437;560;645;867</t>
  </si>
  <si>
    <t>6;67;204;293;315;318;367;370;373;422;425;428;453;478;481;484;495;544;579;681;751;877;889;958;1013;1019;1043;1069;1124;1155;1168;1339;1510;1544;1571</t>
  </si>
  <si>
    <t>Alternative splicing;Cell membrane;Complete proteome;Disulfide bond;G-protein coupled receptor;Glycoprotein;Membrane;Phosphoprotein;Receptor;Reference proteome;Repeat;Signal;Transducer;Transmembrane;Transmembrane helix</t>
  </si>
  <si>
    <t>UniRef100_O60241;UniRef90_Q8CGM1;UniRef50_Q8CGM1</t>
  </si>
  <si>
    <t>BAI3_HUMAN</t>
  </si>
  <si>
    <t>Brain-specific angiogenesis inhibitor 3</t>
  </si>
  <si>
    <t>BAI3</t>
  </si>
  <si>
    <t>SP:1-24;NC:25-879;TM:880-902;CY:903-911;TM:912-931;NC:932-943;TM:944-962;CY:963-982;TM:983-1001;NC:1002-1020;TM:1021-1044;CY:1045-1097;TM:1098-1120;NC:1121-1125;TM:1126-1150;CY:1151-1522</t>
  </si>
  <si>
    <t>ENSG00000135298</t>
  </si>
  <si>
    <t>ENSP00000359630;ENSP00000441821</t>
  </si>
  <si>
    <t>51;54;82;105;241;337;418;540;625;779;812;828;937;1456</t>
  </si>
  <si>
    <t>29;57;174;205;297;300;348;351;354;403;406;409;441;458;461;464;475;524;559;661;731;822;834;903;958;964;988;1014;1100;1113;1470;1503</t>
  </si>
  <si>
    <t>3D-structure;Alternative splicing;Cell membrane;Complete proteome;Disulfide bond;G-protein coupled receptor;Glycoprotein;Membrane;Phosphoprotein;Polymorphism;Receptor;Reference proteome;Repeat;Signal;Transducer;Transmembrane;Transmembrane helix</t>
  </si>
  <si>
    <t>UniRef100_O60242;UniRef90_O60242;UniRef50_O60242</t>
  </si>
  <si>
    <t>PCDH7_HUMAN</t>
  </si>
  <si>
    <t>Protocadherin-7</t>
  </si>
  <si>
    <t>PCDH7</t>
  </si>
  <si>
    <t>SP:1-30;NC:31-877;TM:878-901;CY:902-1069</t>
  </si>
  <si>
    <t>ENSG00000169851</t>
  </si>
  <si>
    <t>ENSP00000355243</t>
  </si>
  <si>
    <t>79;518;689;747;780;822;840;845;1036</t>
  </si>
  <si>
    <t>79;689;845</t>
  </si>
  <si>
    <t>IDN[115]LTGELSTSER</t>
  </si>
  <si>
    <t>O60245</t>
  </si>
  <si>
    <t>3D-structure;Alternative splicing;Calcium;Cell adhesion;Cell membrane;Complete proteome;Glycoprotein;Membrane;Phosphoprotein;Reference proteome;Repeat;Signal;Transmembrane;Transmembrane helix</t>
  </si>
  <si>
    <t>UniRef100_O60245;UniRef90_O60245;UniRef50_O60245</t>
  </si>
  <si>
    <t>ADCY3_HUMAN</t>
  </si>
  <si>
    <t>Adenylate cyclase type 3</t>
  </si>
  <si>
    <t>ADCY3</t>
  </si>
  <si>
    <t>CY:1-77;TM:78-100;NC:101-105;TM:106-126;CY:127-137;TM:138-157;NC:158-168;TM:169-195;CY:196-225;TM:226-247;NC:248-383;TM:384-402;CY:403-632;TM:633-653;NC:654-663;TM:664-687;CY:688-707;TM:708-732;NC:733-752;TM:753-771;CY:772-776;TM:777-795;NC:796-838;TM:839-856;CY:857-1144</t>
  </si>
  <si>
    <t>ENSG00000138031</t>
  </si>
  <si>
    <t>ENSP00000260600</t>
  </si>
  <si>
    <t>317;509;535;736;828;1032</t>
  </si>
  <si>
    <t>736;828</t>
  </si>
  <si>
    <t>EHDLPMVALEQMQGFNPGLN[115]GTDR;PGLN[115]GTDR</t>
  </si>
  <si>
    <t>O60266</t>
  </si>
  <si>
    <t>Alternative splicing;ATP-binding;Calmodulin-binding;cAMP biosynthesis;Complete proteome;Glycoprotein;Lyase;Magnesium;Membrane;Metal-binding;Nucleotide-binding;Olfaction;Polymorphism;Reference proteome;Repeat;Sensory transduction;Transmembrane;Transmembrane helix</t>
  </si>
  <si>
    <t>UniRef100_O60266;UniRef90_O60266;UniRef50_O60266</t>
  </si>
  <si>
    <t>SUSD5_HUMAN</t>
  </si>
  <si>
    <t>Sushi domain-containing protein 5</t>
  </si>
  <si>
    <t>SUSD5</t>
  </si>
  <si>
    <t>SP:1-35;NC:36-574;TM:575-597;CY:598-629</t>
  </si>
  <si>
    <t>ENSG00000173705</t>
  </si>
  <si>
    <t>ENSP00000308727</t>
  </si>
  <si>
    <t>47;323;354;453</t>
  </si>
  <si>
    <t>VIYGNTDGPSGPFVGKN[115]DSK</t>
  </si>
  <si>
    <t>O60279</t>
  </si>
  <si>
    <t>Complete proteome;Disulfide bond;Membrane;Polymorphism;Reference proteome;Signal;Sushi;Transmembrane;Transmembrane helix</t>
  </si>
  <si>
    <t>UniRef100_O60279;UniRef90_O60279;UniRef50_O60279</t>
  </si>
  <si>
    <t>L37A3_HUMAN</t>
  </si>
  <si>
    <t>Leucine-rich repeat-containing protein 37A3</t>
  </si>
  <si>
    <t>LRRC37A3</t>
  </si>
  <si>
    <t>SP:1-37;NC:38-1581;TM:1582-1602;CY:1603-1634</t>
  </si>
  <si>
    <t>ENSG00000176809</t>
  </si>
  <si>
    <t>ENSP00000325713;ENSP00000464535</t>
  </si>
  <si>
    <t>310;732;740;795</t>
  </si>
  <si>
    <t>UniRef100_O60309;UniRef90_A6NM11;UniRef50_A6NM11</t>
  </si>
  <si>
    <t>PCDGC_HUMAN</t>
  </si>
  <si>
    <t>Protocadherin gamma-A12</t>
  </si>
  <si>
    <t>PCDHGA12</t>
  </si>
  <si>
    <t>SP:1-28;NC:29-689;TM:690-714;CY:715-932</t>
  </si>
  <si>
    <t>ENSG00000253159</t>
  </si>
  <si>
    <t>ENSP00000252085</t>
  </si>
  <si>
    <t>StructuralAndAdhesion;ProtocadherinsBeta</t>
  </si>
  <si>
    <t>265;419;545;901</t>
  </si>
  <si>
    <t>EQVPSYN[115]ITVTATDR</t>
  </si>
  <si>
    <t>O60330</t>
  </si>
  <si>
    <t>UniRef100_O60330;UniRef90_O60330;UniRef50_O60330</t>
  </si>
  <si>
    <t>FZD6_HUMAN</t>
  </si>
  <si>
    <t>Frizzled-6</t>
  </si>
  <si>
    <t>FZD6</t>
  </si>
  <si>
    <t>SP:1-20;NC:21-199;TM:200-222;CY:223-233;TM:234-254;NC:255-284;TM:285-310;CY:311-323;TM:324-345;NC:346-368;TM:369-393;CY:394-412;TM:413-437;NC:438-472;TM:473-494;CY:495-706</t>
  </si>
  <si>
    <t>ENSG00000164930</t>
  </si>
  <si>
    <t>ENSP00000351605;ENSP00000429055</t>
  </si>
  <si>
    <t>38;352</t>
  </si>
  <si>
    <t>136;547;548;555;561;562;666;673;674;675;678;679;684;685</t>
  </si>
  <si>
    <t>Apical cell membrane (Multi-pass membrane protein);Cell membrane (Multi-pass membrane protein);Cell surface;Cytoplasmic vesicle membrane (Multi-pass membrane protein);Membrane (Multi-pass membrane protein)</t>
  </si>
  <si>
    <t>Alternative splicing;Cell membrane;Complete proteome;Cytoplasmic vesicle;Developmental protein;Disease mutation;Disulfide bond;G-protein coupled receptor;Glycoprotein;Membrane;Polymorphism;Receptor;Reference proteome;Signal;Transducer;Transmembrane;Transmembrane helix;Ubl conjugation;Wnt signaling pathway</t>
  </si>
  <si>
    <t>UniRef100_O60353;UniRef90_O60353;UniRef50_O60353</t>
  </si>
  <si>
    <t>Cytoskeleton;Extracellular space;Nucleus</t>
  </si>
  <si>
    <t>CCG3_HUMAN</t>
  </si>
  <si>
    <t>Voltage-dependent calcium channel gamma-3 subunit</t>
  </si>
  <si>
    <t>CACNG3</t>
  </si>
  <si>
    <t>CY:1-8;TM:9-30;NC:31-104;TM:105-124;CY:125-133;TM:134-158;NC:159-177;TM:178-201;CY:202-315</t>
  </si>
  <si>
    <t>ENSG00000006116</t>
  </si>
  <si>
    <t>ENSP00000005284</t>
  </si>
  <si>
    <t>48;293</t>
  </si>
  <si>
    <t>33;64;177</t>
  </si>
  <si>
    <t>Calcium;Calcium channel;Calcium transport;Complete proteome;Ion channel;Ion transport;Membrane;Reference proteome;Transmembrane;Transmembrane helix;Transport;Voltage-gated channel</t>
  </si>
  <si>
    <t>UniRef100_O60359;UniRef90_O60359;UniRef50_Q9UBN1</t>
  </si>
  <si>
    <t>NMD3B_HUMAN</t>
  </si>
  <si>
    <t>Glutamate receptor ionotropic, NMDA 3B</t>
  </si>
  <si>
    <t>GRIN3B</t>
  </si>
  <si>
    <t>SP:1-22;NC:23-570;TM:571-591;CY:592-643;TM:644-668;NC:669-827;TM:828-850;CY:851-1043</t>
  </si>
  <si>
    <t>ENSG00000116032</t>
  </si>
  <si>
    <t>ENSP00000234389</t>
  </si>
  <si>
    <t>69;344;451;465;609;786</t>
  </si>
  <si>
    <t>Cell junction, synapse, postsynaptic cell membrane;Cell membrane (Multi-pass membrane protein)</t>
  </si>
  <si>
    <t>Calcium;Cell junction;Cell membrane;Complete proteome;Glycoprotein;Ion channel;Ion transport;Ligand-gated ion channel;Magnesium;Membrane;Polymorphism;Postsynaptic cell membrane;Receptor;Reference proteome;Signal;Synapse;Transmembrane;Transmembrane helix;Transport</t>
  </si>
  <si>
    <t>UniRef100_O60391;UniRef90_O60391;UniRef50_Q8VHN2</t>
  </si>
  <si>
    <t>DB00145;DB01159;DB01173;DB00659;DB00289;DB00312;DB00418;DB00996;DB01174;DB04896;DB06738</t>
  </si>
  <si>
    <t>O10H2_HUMAN</t>
  </si>
  <si>
    <t>Olfactory receptor 10H2</t>
  </si>
  <si>
    <t>OR10H2</t>
  </si>
  <si>
    <t>NC:1-24;TM:25-47;CY:48-58;TM:59-79;NC:80-99;TM:100-120;CY:121-140;TM:141-164;NC:165-194;TM:195-222;CY:223-241;TM:242-261;NC:262-272;TM:273-293;CY:294-315</t>
  </si>
  <si>
    <t>ENSG00000171942</t>
  </si>
  <si>
    <t>ENSP00000306095</t>
  </si>
  <si>
    <t>UniRef100_O60403;UniRef90_O60403;UniRef50_O60404</t>
  </si>
  <si>
    <t>O10H3_HUMAN</t>
  </si>
  <si>
    <t>Olfactory receptor 10H3</t>
  </si>
  <si>
    <t>OR10H3</t>
  </si>
  <si>
    <t>NC:1-24;TM:25-48;CY:49-59;TM:60-79;NC:80-98;TM:99-121;CY:122-141;TM:142-165;NC:166-196;TM:197-223;CY:224-242;TM:243-262;NC:263-273;TM:274-294;CY:295-316</t>
  </si>
  <si>
    <t>ENSG00000171936</t>
  </si>
  <si>
    <t>ENSP00000307130</t>
  </si>
  <si>
    <t>UniRef100_O60404;UniRef90_O60404;UniRef50_O60404</t>
  </si>
  <si>
    <t>OR7C2_HUMAN</t>
  </si>
  <si>
    <t>Olfactory receptor 7C2</t>
  </si>
  <si>
    <t>OR7C2</t>
  </si>
  <si>
    <t>NC:1-24;TM:25-47;CY:48-58;TM:59-78;NC:79-97;TM:98-120;CY:121-139;TM:140-158;NC:159-196;TM:197-218;CY:219-237;TM:238-259;NC:260-270;TM:271-290;CY:291-319</t>
  </si>
  <si>
    <t>ENSG00000127529</t>
  </si>
  <si>
    <t>ENSP00000248072</t>
  </si>
  <si>
    <t>UniRef100_O60412;UniRef90_O60412;UniRef50_O60412</t>
  </si>
  <si>
    <t>OR1I1_HUMAN</t>
  </si>
  <si>
    <t>Olfactory receptor 1I1</t>
  </si>
  <si>
    <t>OR1I1</t>
  </si>
  <si>
    <t>NC:1-25;TM:26-50;CY:51-59;TM:60-82;NC:83-101;TM:102-123;CY:124-133;TM:134-154;NC:155-196;TM:197-221;CY:222-239;TM:240-261;NC:262-272;TM:273-292;CY:293-355</t>
  </si>
  <si>
    <t>ENSG00000094661</t>
  </si>
  <si>
    <t>ENSP00000209540</t>
  </si>
  <si>
    <t>Cell membrane;Complete proteome;G-protein coupled receptor;Membrane;Olfaction;Polymorphism;Receptor;Reference proteome;Sensory transduction;Transducer;Transmembrane;Transmembrane helix</t>
  </si>
  <si>
    <t>UniRef100_O60431;UniRef90_O60431;UniRef50_O43749</t>
  </si>
  <si>
    <t>LY75_HUMAN</t>
  </si>
  <si>
    <t>Lymphocyte antigen 75</t>
  </si>
  <si>
    <t>LY75</t>
  </si>
  <si>
    <t>SP:1-31;NC:32-1668;TM:1669-1691;CY:1692-1722</t>
  </si>
  <si>
    <t>CD205</t>
  </si>
  <si>
    <t>SCAR;MacrophageMannoseR</t>
  </si>
  <si>
    <t>135;345;377;457;529;843;865;934;1076;1103;1158;1225;1320;1392;1535;1593;1626;1642</t>
  </si>
  <si>
    <t>DGHGTAISN[115]ASDVWK;GHGTAISN[115]ASDVWK;KPLN[115]NTVELTDVWTY;KPLN[115]NTVELTDVWTYSDTR;YLLVN[115]ESNSWDK;LLVN[115]ESNSWDK;LVN[115]ESNSWDK;TLTYWDENEPNVPYN[115]K;TYWDENEPNVPYN[115]K;WDENEPNVPYN[115]K;IYEDEVPFGTNCN[115]LTITSR;IYEDEVPFGTN[115]CN[115]LTITSR;GTNCN[115]LTITSR;NKIAN[115]ISGDGQK;IAN[115]ISGDGQK;LPFICEKYN[115]VSSLEK;YN[115]VSSLEK;SPFTGTWN[115]FTSCSER;FTGTWN[115]FTSCSER;TGTWN[115]FTSCSER;QTLQN[115]ASETVK;TVDCNDNQPGAICYYSGN[115]ETEK;TVDCN[115]DNQPGAICYYSGN[115]ETEK;EEYN[115]TTLPQF;EEYN[115]TTLPQFMPYEDGIYSVIQK;ENNN[115]ITMR;ENN[115]N[115]ITMR;CSMLIASN[115]ETWK;LIASN[115]ETWK</t>
  </si>
  <si>
    <t>135;345;377;457;529;865;934;1076;1103;1225;1392;1593;1642</t>
  </si>
  <si>
    <t>O60449</t>
  </si>
  <si>
    <t>Alternative splicing;Complete proteome;Direct protein sequencing;Disulfide bond;Endocytosis;Glycoprotein;Lectin;Membrane;Phosphoprotein;Polymorphism;Receptor;Reference proteome;Repeat;Signal;Transmembrane;Transmembrane helix</t>
  </si>
  <si>
    <t>UniRef100_O60449;UniRef90_O60449;UniRef50_O60449</t>
  </si>
  <si>
    <t>100526664;4065</t>
  </si>
  <si>
    <t>NRP2_HUMAN</t>
  </si>
  <si>
    <t>Neuropilin-2</t>
  </si>
  <si>
    <t>NRP2</t>
  </si>
  <si>
    <t>SP:1-22;NC:23-864;TM:865-890;CY:891-931</t>
  </si>
  <si>
    <t>ENSG00000118257</t>
  </si>
  <si>
    <t>ENSP00000272849;ENSP00000387519</t>
  </si>
  <si>
    <t>152;157;629;839</t>
  </si>
  <si>
    <t>TGSEDCSKN[115]FTSPN[115]GTIESPGFPEK;NFTSPN[115]GTIESPGFPEK;N[115]FTSPN[115]GTIESPGFPEK</t>
  </si>
  <si>
    <t>152;157</t>
  </si>
  <si>
    <t>O60462</t>
  </si>
  <si>
    <t>3D-structure;Alternative splicing;Calcium;Complete proteome;Developmental protein;Differentiation;Disulfide bond;Glycoprotein;Heparin-binding;Membrane;Metal-binding;Neurogenesis;Polymorphism;Receptor;Reference proteome;Repeat;Secreted;Signal;Transmembrane;Transmembrane helix</t>
  </si>
  <si>
    <t>UniRef100_O60462;UniRef90_O35375;UniRef50_O35375</t>
  </si>
  <si>
    <t>DSCAM_HUMAN</t>
  </si>
  <si>
    <t>Down syndrome cell adhesion molecule</t>
  </si>
  <si>
    <t>DSCAM</t>
  </si>
  <si>
    <t>SP:1-17;NC:18-1594;TM:1595-1616;CY:1617-2012</t>
  </si>
  <si>
    <t>ENSG00000171587</t>
  </si>
  <si>
    <t>ENSP00000383303</t>
  </si>
  <si>
    <t>28;78;470;487;512;556;658;666;710;748;795;924;1142;1160;1250;1271;1324;1341;1488</t>
  </si>
  <si>
    <t>28;78;106;470;487;512;556;658;666;710;748;795;924;1142;1160;1250;1271;1324;1341;1488;1729</t>
  </si>
  <si>
    <t>Alternative splicing;Cell adhesion;Cell membrane;Complete proteome;Disulfide bond;Glycoprotein;Immunoglobulin domain;Membrane;Neurogenesis;Phosphoprotein;Polymorphism;Reference proteome;Repeat;Secreted;Signal;Transmembrane;Transmembrane helix</t>
  </si>
  <si>
    <t>UniRef100_O60469;UniRef90_Q9ERC8;UniRef50_Q9ERC8</t>
  </si>
  <si>
    <t>G137B_HUMAN</t>
  </si>
  <si>
    <t>Integral membrane protein GPR137B</t>
  </si>
  <si>
    <t>GPR137B</t>
  </si>
  <si>
    <t>NC:1-46;TM:47-68;CY:69-79;TM:80-100;NC:101-111;TM:112-136;CY:137-155;TM:156-180;NC:181-192;TM:193-214;CY:215-233;TM:234-258;NC:259-290;TM:291-313;CY:314-399</t>
  </si>
  <si>
    <t>ENSG00000077585</t>
  </si>
  <si>
    <t>ENSP00000355551</t>
  </si>
  <si>
    <t>26;173;198;263;275</t>
  </si>
  <si>
    <t>26;173;198;263;275;317</t>
  </si>
  <si>
    <t>Lysosome membrane (Multi-pass membrane protein)</t>
  </si>
  <si>
    <t>Complete proteome;Glycoprotein;Lysosome;Membrane;Reference proteome;Transmembrane;Transmembrane helix</t>
  </si>
  <si>
    <t>UniRef100_O60478;UniRef90_O60478;UniRef50_Q96N19-5</t>
  </si>
  <si>
    <t>PLXC1_HUMAN</t>
  </si>
  <si>
    <t>Plexin-C1</t>
  </si>
  <si>
    <t>PLXNC1</t>
  </si>
  <si>
    <t>SP:1-34;NC:35-944;TM:945-966;CY:967-1568</t>
  </si>
  <si>
    <t>ENSG00000136040</t>
  </si>
  <si>
    <t>ENSP00000258526</t>
  </si>
  <si>
    <t>CD232</t>
  </si>
  <si>
    <t>86;141;149;241;252;386;407;548;553;582;588;591;653;686;692;715;741;771;796;821;871;890;895;920;1050;1062;1078;1211;1219;1245;1296;1308</t>
  </si>
  <si>
    <t>DQAGN[115]CTEPVSLAPPAR;DQAGN[115]CTEPVSLAPPARPR;GACEVRPLGN[115]LSR;CEVRPLGN[115]LSR;RPLGN[115]LSR;N[115]GTEVVSCHPQGSTAGVVYR;VQPIASSTLIHSDLTSVYGTVVMN[115]R;SVYGTVVMN[115]R;VILGEN[115]LTSNCPEVIYEIK;FN[115]FTNCSSLK;FN[115]FTN[115]CSSLK;SNVIVTGAN[115]FTR;SN[115]VIVTGAN[115]FTR;ASN[115]ITMILK;GTSTCDKDVIQVSHVLN[115]DTHMK;DVIQVSHVLN[115]DTHMK;ENDNFN[115]ISK</t>
  </si>
  <si>
    <t>86;141;149;386;407;588;591;686;692;715;871</t>
  </si>
  <si>
    <t>O60486</t>
  </si>
  <si>
    <t>3D-structure;Complete proteome;Disulfide bond;Glycoprotein;Membrane;Polymorphism;Reference proteome;Signal;Transmembrane;Transmembrane helix</t>
  </si>
  <si>
    <t>UniRef100_O60486;UniRef90_O60486;UniRef50_O60486</t>
  </si>
  <si>
    <t>MPZL2_HUMAN</t>
  </si>
  <si>
    <t>Myelin protein zero-like protein 2</t>
  </si>
  <si>
    <t>MPZL2</t>
  </si>
  <si>
    <t>SP:1-26;NC:27-151;TM:152-175;CY:176-215</t>
  </si>
  <si>
    <t>ENSG00000149573</t>
  </si>
  <si>
    <t>ENSP00000278937;ENSP00000408362</t>
  </si>
  <si>
    <t>StructuralAndAdhesion;IG_MPZ</t>
  </si>
  <si>
    <t>39;118</t>
  </si>
  <si>
    <t>VLEAVN[115]GTDAR;LQFDDN[115]GTYTCQVK</t>
  </si>
  <si>
    <t>O60487</t>
  </si>
  <si>
    <t>Cell adhesion;Complete proteome;Disulfide bond;Glycoprotein;Immunoglobulin domain;Membrane;Reference proteome;Signal;Transmembrane;Transmembrane helix</t>
  </si>
  <si>
    <t>UniRef100_O60487;UniRef90_O60487;UniRef50_O60487</t>
  </si>
  <si>
    <t>NPHN_HUMAN</t>
  </si>
  <si>
    <t>Nephrin</t>
  </si>
  <si>
    <t>NPHS1</t>
  </si>
  <si>
    <t>SP:1-27;NC:28-1060;TM:1061-1082;CY:1083-1241</t>
  </si>
  <si>
    <t>ENSG00000161270</t>
  </si>
  <si>
    <t>ENSP00000368190</t>
  </si>
  <si>
    <t>40;356;401;547;553;564;577;680;708;908;1077</t>
  </si>
  <si>
    <t>40;356;401;547;564;680;708</t>
  </si>
  <si>
    <t>Alternative splicing;Cell adhesion;Cell membrane;Complete proteome;Developmental protein;Disease mutation;Disulfide bond;Glycoprotein;Immunoglobulin domain;Membrane;Myogenesis;Phosphoprotein;Polymorphism;Reference proteome;Repeat;Signal;Transmembrane;Transmembrane helix</t>
  </si>
  <si>
    <t>UniRef100_O60500;UniRef90_O60500;UniRef50_O60500</t>
  </si>
  <si>
    <t>Cytoskeleton;Cytosol;Endoplasmic Reticulum;Endosome;Extracellular space;Golgi apparatus;Lysosome;Nucleus;Peroxisome</t>
  </si>
  <si>
    <t>ADCY9_HUMAN</t>
  </si>
  <si>
    <t>Adenylate cyclase type 9</t>
  </si>
  <si>
    <t>ADCY9</t>
  </si>
  <si>
    <t>CY:1-117;TM:118-136;NC:137-141;TM:142-164;CY:165-172;TM:173-195;NC:196-217;TM:218-235;CY:236-241;TM:242-261;NC:262-280;TM:281-301;CY:302-787;TM:788-809;NC:810-820;TM:821-843;CY:844-862;TM:863-884;NC:885-891;TM:892-911;CY:912-921;TM:922-939;NC:940-976;TM:977-996;CY:997-1353</t>
  </si>
  <si>
    <t>ENSG00000162104</t>
  </si>
  <si>
    <t>ENSP00000294016</t>
  </si>
  <si>
    <t>206;409;613;660;955;964;1066;1348</t>
  </si>
  <si>
    <t>206;660</t>
  </si>
  <si>
    <t>GDSSN[115]LTATAR;YVSLCPDSSVLTSPLDAVQN[115]FSSER;NPCN[115]SSVPR</t>
  </si>
  <si>
    <t>206;955;964</t>
  </si>
  <si>
    <t>O60503</t>
  </si>
  <si>
    <t>ATP-binding;cAMP biosynthesis;Complete proteome;Glycoprotein;Lyase;Magnesium;Membrane;Metal-binding;Nucleotide-binding;Phosphoprotein;Polymorphism;Reference proteome;Repeat;Transmembrane;Transmembrane helix</t>
  </si>
  <si>
    <t>UniRef100_O60503;UniRef90_O60503;UniRef50_O60503</t>
  </si>
  <si>
    <t>TLR5_HUMAN</t>
  </si>
  <si>
    <t>Toll-like receptor 5</t>
  </si>
  <si>
    <t>TLR5</t>
  </si>
  <si>
    <t>SP:1-20;NC:21-639;TM:640-660;CY:661-858</t>
  </si>
  <si>
    <t>ENSG00000187554</t>
  </si>
  <si>
    <t>ENSP00000355846;ENSP00000440643</t>
  </si>
  <si>
    <t>37;46;245;342;422;595;598</t>
  </si>
  <si>
    <t>3D-structure;Complete proteome;Direct protein sequencing;Disulfide bond;Glycoprotein;Immunity;Inflammatory response;Innate immunity;Leucine-rich repeat;Membrane;Phosphoprotein;Polymorphism;Receptor;Reference proteome;Repeat;Signal;Systemic lupus erythematosus;Transmembrane;Transmembrane helix</t>
  </si>
  <si>
    <t>UniRef100_O60602;UniRef90_O60602;UniRef50_O60602</t>
  </si>
  <si>
    <t>TLR2_HUMAN</t>
  </si>
  <si>
    <t>Toll-like receptor 2</t>
  </si>
  <si>
    <t>TLR2</t>
  </si>
  <si>
    <t>SP:1-18;NC:19-588;TM:589-610;CY:611-784</t>
  </si>
  <si>
    <t>ENSG00000137462</t>
  </si>
  <si>
    <t>ENSP00000260010</t>
  </si>
  <si>
    <t>CD282</t>
  </si>
  <si>
    <t>114;199;414;442</t>
  </si>
  <si>
    <t>6;9;119;386;434;558;616;622;624;654;684;712;764;775</t>
  </si>
  <si>
    <t>SIQN[115]VSHLILH;N[115]LTNIDISK;YLN[115]LSSTR</t>
  </si>
  <si>
    <t>199;414;442</t>
  </si>
  <si>
    <t>O60603</t>
  </si>
  <si>
    <t>3D-structure;Complete proteome;Disulfide bond;Glycoprotein;Immunity;Inflammatory response;Innate immunity;Leucine-rich repeat;Membrane;Polymorphism;Receptor;Reference proteome;Repeat;Signal;Transmembrane;Transmembrane helix</t>
  </si>
  <si>
    <t>UniRef100_O60603;UniRef90_O60603;UniRef50_O60603</t>
  </si>
  <si>
    <t>DB00045</t>
  </si>
  <si>
    <t>GFRA3_HUMAN</t>
  </si>
  <si>
    <t>GDNF family receptor alpha-3</t>
  </si>
  <si>
    <t>GFRA3</t>
  </si>
  <si>
    <t>SP:1-29;NC:30-400</t>
  </si>
  <si>
    <t>ENSG00000146013</t>
  </si>
  <si>
    <t>ENSP00000274721</t>
  </si>
  <si>
    <t>95;148;309</t>
  </si>
  <si>
    <t>3D-structure;Alternative splicing;Cell membrane;Complete proteome;Direct protein sequencing;Glycoprotein;GPI-anchor;Lipoprotein;Membrane;Receptor;Reference proteome;Signal</t>
  </si>
  <si>
    <t>UniRef100_O60609;UniRef90_O60609;UniRef50_O60609</t>
  </si>
  <si>
    <t>TSN1_HUMAN</t>
  </si>
  <si>
    <t>Tetraspanin-1</t>
  </si>
  <si>
    <t>TSPAN1</t>
  </si>
  <si>
    <t>CY:1-11;TM:12-34;NC:35-53;TM:54-76;CY:77-84;TM:85-110;NC:111-212;TM:213-236;CY:237-241</t>
  </si>
  <si>
    <t>ENSG00000117472</t>
  </si>
  <si>
    <t>ENSP00000361072</t>
  </si>
  <si>
    <t>141;154;178;184</t>
  </si>
  <si>
    <t>DYGSQEDFTQVWN[115]TTMK</t>
  </si>
  <si>
    <t>O60635</t>
  </si>
  <si>
    <t>Complete proteome;Glycoprotein;Lysosome;Membrane;Polymorphism;Reference proteome;Transmembrane;Transmembrane helix</t>
  </si>
  <si>
    <t>UniRef100_O60635;UniRef90_O60635;UniRef50_O60635</t>
  </si>
  <si>
    <t>TSN2_HUMAN</t>
  </si>
  <si>
    <t>Tetraspanin-2</t>
  </si>
  <si>
    <t>TSPAN2</t>
  </si>
  <si>
    <t>CY:1-11;TM:12-35;NC:36-54;TM:55-78;CY:79-86;TM:87-111;NC:112-187;TM:188-213;CY:214-221</t>
  </si>
  <si>
    <t>ENSG00000134198</t>
  </si>
  <si>
    <t>ENSP00000358529</t>
  </si>
  <si>
    <t>GKGN[115]GTLITFH;GKGN[115]GTLITFHSTFQCCGK</t>
  </si>
  <si>
    <t>O60636</t>
  </si>
  <si>
    <t>UniRef100_O60636;UniRef90_O60636;UniRef50_Q922J6</t>
  </si>
  <si>
    <t>TSN3_HUMAN</t>
  </si>
  <si>
    <t>Tetraspanin-3</t>
  </si>
  <si>
    <t>TSPAN3</t>
  </si>
  <si>
    <t>CY:1-11;TM:12-36;NC:37-47;TM:48-74;CY:75-82;TM:83-107;NC:108-211;TM:212-235;CY:236-253</t>
  </si>
  <si>
    <t>ENSG00000140391</t>
  </si>
  <si>
    <t>ENSP00000267970</t>
  </si>
  <si>
    <t>127;152;167;183</t>
  </si>
  <si>
    <t>SIQKVYKTYN[115]GTNPDAASR;VYKTYN[115]GTNPDAASR;TYN[115]GTNPDAASR;TYN[115]GTN[115]PDAASR;YN[115]GTNPDAASR;GIHN[115]YSDWENTDWFK;N[115]QSVPLSCCR;ETASNCN[115]GSLAHPSDLYAEGCEALVVK;ETASN[115]CN[115]GSLAHPSDLYAEGCEALVVK</t>
  </si>
  <si>
    <t>O60637</t>
  </si>
  <si>
    <t>Alternative splicing;Complete proteome;Glycoprotein;Membrane;Reference proteome;Transmembrane;Transmembrane helix</t>
  </si>
  <si>
    <t>UniRef100_O60637;UniRef90_O60637;UniRef50_O60637</t>
  </si>
  <si>
    <t>MOT2_HUMAN</t>
  </si>
  <si>
    <t>Monocarboxylate transporter 2</t>
  </si>
  <si>
    <t>SLC16A7</t>
  </si>
  <si>
    <t>CY:1-17;TM:18-36;NC:37-57;TM:58-80;CY:81-87;TM:88-109;NC:110-115;TM:116-138;CY:139-146;TM:147-166;NC:167-175;TM:176-198;CY:199-246;TM:247-269;NC:270-280;TM:281-303;CY:304-314;TM:315-335;NC:336-340;TM:341-359;CY:360-370;TM:371-393;NC:394-404;TM:405-427;CY:428-478</t>
  </si>
  <si>
    <t>ENSG00000118596</t>
  </si>
  <si>
    <t>ENSP00000261187;ENSP00000448071;ENSP00000448742;ENSP00000449547</t>
  </si>
  <si>
    <t>201;209</t>
  </si>
  <si>
    <t>Cell membrane;Complete proteome;Membrane;Polymorphism;Reference proteome;Symport;Transmembrane;Transmembrane helix;Transport</t>
  </si>
  <si>
    <t>UniRef100_O60669;UniRef90_O60669;UniRef50_O60669</t>
  </si>
  <si>
    <t>ABCC9_HUMAN</t>
  </si>
  <si>
    <t>ATP-binding cassette sub-family C member 9</t>
  </si>
  <si>
    <t>ABCC9</t>
  </si>
  <si>
    <t>NC:1-30;TM:31-50;CY:51-70;TM:71-92;NC:93-103;TM:104-122;CY:123-132;TM:133-151;NC:152-163;TM:164-187;CY:188-304;TM:305-323;NC:324-350;TM:351-369;CY:370-424;TM:425-449;NC:450-454;TM:455-474;CY:475-531;TM:532-556;NC:557-574;TM:575-596;CY:597-986;TM:987-1014;NC:1015-1033;TM:1034-1057;CY:1058-1124;TM:1125-1149;NC:1150-1246;TM:1247-1266;CY:1267-1549</t>
  </si>
  <si>
    <t>ENSG00000069431</t>
  </si>
  <si>
    <t>ENSP00000261201</t>
  </si>
  <si>
    <t>9;280;326;330;333;334;402;735;763;769;811;966;1025;1448</t>
  </si>
  <si>
    <t>Alternative splicing;ATP-binding;Atrial fibrillation;Cardiomyopathy;Complete proteome;Disease mutation;Glycoprotein;Membrane;Nucleotide-binding;Polymorphism;Receptor;Reference proteome;Repeat;Transmembrane;Transmembrane helix;Transport</t>
  </si>
  <si>
    <t>UniRef100_O60706;UniRef90_O60706;UniRef50_O60706</t>
  </si>
  <si>
    <t>DB00171;DB01016</t>
  </si>
  <si>
    <t>GALR3_HUMAN</t>
  </si>
  <si>
    <t>Galanin receptor type 3</t>
  </si>
  <si>
    <t>GALR3</t>
  </si>
  <si>
    <t>NC:1-17;TM:18-43;CY:44-58;TM:59-80;NC:81-99;TM:100-119;CY:120-139;TM:140-161;NC:162-183;TM:184-204;CY:205-235;TM:236-254;NC:255-261;TM:262-282;CY:283-368</t>
  </si>
  <si>
    <t>ENSG00000128310</t>
  </si>
  <si>
    <t>ENSP00000249041</t>
  </si>
  <si>
    <t>Cell membrane;Complete proteome;Disulfide bond;G-protein coupled receptor;Glycoprotein;Lipoprotein;Membrane;Palmitate;Polymorphism;Receptor;Reference proteome;Transducer;Transmembrane;Transmembrane helix</t>
  </si>
  <si>
    <t>UniRef100_O60755;UniRef90_O60755;UniRef50_O60755</t>
  </si>
  <si>
    <t>S19A2_HUMAN</t>
  </si>
  <si>
    <t>Thiamine transporter 1</t>
  </si>
  <si>
    <t>SLC19A2</t>
  </si>
  <si>
    <t>CY:1-28;TM:29-47;NC:48-72;TM:73-92;CY:93-99;TM:100-118;NC:119-128;TM:129-149;CY:150-163;TM:164-185;NC:186-190;TM:191-209;CY:210-294;TM:295-313;NC:314-333;TM:334-354;CY:355-360;TM:361-379;NC:380-385;TM:386-411;CY:412-419;TM:420-443;NC:444-455;TM:456-478;CY:479-497</t>
  </si>
  <si>
    <t>ENSG00000117479</t>
  </si>
  <si>
    <t>ENSP00000236137</t>
  </si>
  <si>
    <t>SLC;MFS;SLC19</t>
  </si>
  <si>
    <t>63;314;414</t>
  </si>
  <si>
    <t>298;358</t>
  </si>
  <si>
    <t>LLGPDKN[115]LTER;LGPDKN[115]LTER</t>
  </si>
  <si>
    <t>O60779</t>
  </si>
  <si>
    <t>Acetylation;Alternative splicing;Complete proteome;Deafness;Diabetes mellitus;Disease mutation;Glycoprotein;Membrane;Reference proteome;Transmembrane;Transmembrane helix;Transport</t>
  </si>
  <si>
    <t>UniRef100_O60779;UniRef90_O60779;UniRef50_O60779</t>
  </si>
  <si>
    <t>DB00152</t>
  </si>
  <si>
    <t>ETBR2_HUMAN</t>
  </si>
  <si>
    <t>Prosaposin receptor GPR37L1</t>
  </si>
  <si>
    <t>GPR37L1</t>
  </si>
  <si>
    <t>SP:1-24;NC:25-129;TM:130-156;CY:157-167;TM:168-188;NC:189-207;TM:208-227;CY:228-247;TM:248-271;NC:272-309;TM:310-333;CY:334-360;TM:361-385;NC:386-397;TM:398-419;CY:420-481</t>
  </si>
  <si>
    <t>ENSG00000170075</t>
  </si>
  <si>
    <t>ENSP00000356251</t>
  </si>
  <si>
    <t>105;148;358;449</t>
  </si>
  <si>
    <t>Cell membrane;Complete proteome;Disulfide bond;G-protein coupled receptor;Glycoprotein;Membrane;Polymorphism;Receptor;Reference proteome;Signal;Transducer;Transmembrane;Transmembrane helix</t>
  </si>
  <si>
    <t>UniRef100_O60883;UniRef90_O60883;UniRef50_O60883</t>
  </si>
  <si>
    <t>RAMP2_HUMAN</t>
  </si>
  <si>
    <t>Receptor activity-modifying protein 2</t>
  </si>
  <si>
    <t>RAMP2</t>
  </si>
  <si>
    <t>SP:1-42;NC:43-144;TM:145-166;CY:167-175</t>
  </si>
  <si>
    <t>ENSG00000131477</t>
  </si>
  <si>
    <t>ENSP00000253796</t>
  </si>
  <si>
    <t>Other_receptors;RAMP</t>
  </si>
  <si>
    <t>3D-structure;Alternative splicing;Complete proteome;Disulfide bond;Glycoprotein;Membrane;Receptor;Reference proteome;Signal;Transmembrane;Transmembrane helix;Transport</t>
  </si>
  <si>
    <t>UniRef100_O60895;UniRef90_O60895;UniRef50_O60895</t>
  </si>
  <si>
    <t>Cytoskeleton;Cytosol;Endoplasmic Reticulum;Endosome;Extracellular space;Golgi apparatus;Mitochondrion;Nucleus;Peroxisome</t>
  </si>
  <si>
    <t>DB01278</t>
  </si>
  <si>
    <t>RAMP3_HUMAN</t>
  </si>
  <si>
    <t>Receptor activity-modifying protein 3</t>
  </si>
  <si>
    <t>RAMP3</t>
  </si>
  <si>
    <t>SP:1-27;NC:28-117;TM:118-139;CY:140-148</t>
  </si>
  <si>
    <t>ENSG00000122679</t>
  </si>
  <si>
    <t>ENSP00000242249;ENSP00000419012</t>
  </si>
  <si>
    <t>29;58;71;103</t>
  </si>
  <si>
    <t>QFFSN[115]CTVDR</t>
  </si>
  <si>
    <t>O60896</t>
  </si>
  <si>
    <t>Cell membrane (Single-pass type I membrane protein);Membrane (Single-pass type I membrane protein)</t>
  </si>
  <si>
    <t>Cell membrane;Complete proteome;Disulfide bond;Glycoprotein;Membrane;Polymorphism;Receptor;Reference proteome;Signal;Transmembrane;Transmembrane helix;Transport</t>
  </si>
  <si>
    <t>UniRef100_O60896;UniRef90_O60896;UniRef50_O60896</t>
  </si>
  <si>
    <t>CTNS_HUMAN</t>
  </si>
  <si>
    <t>Cystinosin</t>
  </si>
  <si>
    <t>CTNS</t>
  </si>
  <si>
    <t>NC:1-120;TM:121-143;CY:144-162;TM:163-186;NC:187-205;TM:206-226;CY:227-236;TM:237-256;NC:257-261;TM:262-282;CY:283-299;TM:300-318;NC:319-336;TM:337-357;CY:358-367</t>
  </si>
  <si>
    <t>ENSG00000040531</t>
  </si>
  <si>
    <t>ENSP00000046640</t>
  </si>
  <si>
    <t>36;41;51;66;84;104;107;166</t>
  </si>
  <si>
    <t>LHGN[115]HSN[115]QTGPR</t>
  </si>
  <si>
    <t>104;107</t>
  </si>
  <si>
    <t>O60931</t>
  </si>
  <si>
    <t>Lysosome membrane (Multi-pass membrane protein);Melanosome;Cell membrane (Multi-pass membrane protein);Lysosome membrane (Multi-pass membrane protein)</t>
  </si>
  <si>
    <t>Alternative splicing;Cell membrane;Complete proteome;Disease mutation;Glycoprotein;Lysosome;Melanin biosynthesis;Membrane;Polymorphism;Reference proteome;Repeat;Transmembrane;Transmembrane helix;Transport</t>
  </si>
  <si>
    <t>UniRef100_O60931;UniRef90_O60931;UniRef50_O60931</t>
  </si>
  <si>
    <t>DB00138</t>
  </si>
  <si>
    <t>SCN2B_HUMAN</t>
  </si>
  <si>
    <t>Sodium channel subunit beta-2</t>
  </si>
  <si>
    <t>SCN2B</t>
  </si>
  <si>
    <t>SP:1-29;NC:30-157;TM:158-180;CY:181-215</t>
  </si>
  <si>
    <t>ENSG00000149575</t>
  </si>
  <si>
    <t>ENSP00000278947</t>
  </si>
  <si>
    <t>AuxillaryTransportUnit;SodiumChannelBeta</t>
  </si>
  <si>
    <t>42;66;74</t>
  </si>
  <si>
    <t>MEVTVPATLNVLN[115]GSDAR</t>
  </si>
  <si>
    <t>O60939</t>
  </si>
  <si>
    <t>Atrial fibrillation;Brugada syndrome;Complete proteome;Disease mutation;Disulfide bond;Glycoprotein;Immunoglobulin domain;Ion channel;Ion transport;Membrane;Polymorphism;Reference proteome;Signal;Sodium;Sodium channel;Sodium transport;Transmembrane;Transmembrane helix;Transport;Voltage-gated channel</t>
  </si>
  <si>
    <t>UniRef100_O60939;UniRef90_O60939;UniRef50_O60939</t>
  </si>
  <si>
    <t>DB00909;DB00313</t>
  </si>
  <si>
    <t>ENK19_HUMAN</t>
  </si>
  <si>
    <t>Endogenous retrovirus group K member 19 Env polyprotein</t>
  </si>
  <si>
    <t>ERVK-19</t>
  </si>
  <si>
    <t>SP:1-89;NC:90-632;TM:633-655;CY:656-699</t>
  </si>
  <si>
    <t>Other;HERV3</t>
  </si>
  <si>
    <t>100;128;153;274;355;372;461;507;554;566;585</t>
  </si>
  <si>
    <t>Cell membrane;Cleavage on pair of basic residues;Complete proteome;Disulfide bond;ERV;Glycoprotein;Membrane;Reference proteome;Signal;Transmembrane;Transmembrane helix;Transposable element;Viral envelope protein;Virion</t>
  </si>
  <si>
    <t>UniRef100_O71037;UniRef90_O42043;UniRef50_O42043</t>
  </si>
  <si>
    <t>FCG3B_HUMAN</t>
  </si>
  <si>
    <t>Low affinity immunoglobulin gamma Fc region receptor III-B</t>
  </si>
  <si>
    <t>FCGR3B</t>
  </si>
  <si>
    <t>SP:1-20;NC:21-233</t>
  </si>
  <si>
    <t>ENSG00000162747</t>
  </si>
  <si>
    <t>ENSP00000294800;ENSP00000356941</t>
  </si>
  <si>
    <t>CD16b</t>
  </si>
  <si>
    <t>56;63;82;92;180;187</t>
  </si>
  <si>
    <t>2;34;60;108;116;131</t>
  </si>
  <si>
    <t>FIDAATVN[115]DSGEYR;ATVN[115]DSGEYR;TVN[115]DSGEYR</t>
  </si>
  <si>
    <t>O75015</t>
  </si>
  <si>
    <t>Cell membrane (Lipid-anchor, GPI-anchor);Secreted</t>
  </si>
  <si>
    <t>3D-structure;Cell membrane;Complete proteome;Disulfide bond;Glycoprotein;GPI-anchor;IgG-binding protein;Immunoglobulin domain;Lipoprotein;Membrane;Polymorphism;Receptor;Reference proteome;Repeat;Secreted;Signal</t>
  </si>
  <si>
    <t>UniRef100_O75015;UniRef90_O75015;UniRef50_O75015</t>
  </si>
  <si>
    <t>DB00002;DB00005;DB00028;DB00051;DB00054;DB00056;DB00072;DB00073;DB00074;DB00075;DB00078;DB00081;DB00087;DB00092;DB00095;DB00108;DB00110;DB00111;DB00112</t>
  </si>
  <si>
    <t>LIRA1_HUMAN</t>
  </si>
  <si>
    <t>Leukocyte immunoglobulin-like receptor subfamily A member 1</t>
  </si>
  <si>
    <t>LILRA1</t>
  </si>
  <si>
    <t>SP:1-21;NC:22-461;TM:462-480;CY:481-489</t>
  </si>
  <si>
    <t>ENSG00000104974;ENSG00000275525</t>
  </si>
  <si>
    <t>ENSP00000251372;ENSP00000477637</t>
  </si>
  <si>
    <t>CD85i</t>
  </si>
  <si>
    <t>140;281;302;341;431;448</t>
  </si>
  <si>
    <t>Adaptive immunity;Alternative splicing;Complete proteome;Disulfide bond;Glycoprotein;Immunity;Immunoglobulin domain;Membrane;Polymorphism;Receptor;Reference proteome;Repeat;Signal;Transmembrane;Transmembrane helix</t>
  </si>
  <si>
    <t>UniRef100_O75019;UniRef90_O75019;UniRef50_Q8NHL6-5</t>
  </si>
  <si>
    <t>LIRB3_HUMAN</t>
  </si>
  <si>
    <t>Leukocyte immunoglobulin-like receptor subfamily B member 3</t>
  </si>
  <si>
    <t>LILRB3</t>
  </si>
  <si>
    <t>SP:1-23;NC:24-441;TM:442-464;CY:465-631</t>
  </si>
  <si>
    <t>ENSG00000204577;ENSG00000274587;ENSG00000275019</t>
  </si>
  <si>
    <t>ENSP00000245620;ENSP00000375630;ENSP00000483625;ENSP00000479234;ENSP00000484925</t>
  </si>
  <si>
    <t>CD85a</t>
  </si>
  <si>
    <t>139;280;301;340</t>
  </si>
  <si>
    <t>139;280;340</t>
  </si>
  <si>
    <t>Adaptive immunity;Alternative splicing;Cell membrane;Complete proteome;Disulfide bond;Glycoprotein;Immunity;Immunoglobulin domain;Membrane;Phosphoprotein;Polymorphism;Receptor;Reference proteome;Repeat;Signal;Transmembrane;Transmembrane helix</t>
  </si>
  <si>
    <t>UniRef100_O75022;UniRef90_O75022;UniRef50_Q8N423</t>
  </si>
  <si>
    <t>LIRB5_HUMAN</t>
  </si>
  <si>
    <t>Leukocyte immunoglobulin-like receptor subfamily B member 5</t>
  </si>
  <si>
    <t>LILRB5</t>
  </si>
  <si>
    <t>SP:1-23;NC:24-456;TM:457-479;CY:480-590</t>
  </si>
  <si>
    <t>ENSG00000105609;ENSG00000277414;ENSG00000278437;ENSG00000274311;ENSG00000273991</t>
  </si>
  <si>
    <t>ENSP00000320390;ENSP00000263430;ENSP00000406478;ENSP00000478835;ENSP00000483502;ENSP00000483481;ENSP00000482062</t>
  </si>
  <si>
    <t>CD85c</t>
  </si>
  <si>
    <t>139;279;300;339</t>
  </si>
  <si>
    <t>UniRef100_O75023;UniRef90_O75023;UniRef50_Q8N423</t>
  </si>
  <si>
    <t>PLXA2_HUMAN</t>
  </si>
  <si>
    <t>Plexin-A2</t>
  </si>
  <si>
    <t>PLXNA2</t>
  </si>
  <si>
    <t>SP:1-34;NC:35-1235;TM:1236-1260;CY:1261-1894</t>
  </si>
  <si>
    <t>ENSG00000076356</t>
  </si>
  <si>
    <t>ENSP00000356000</t>
  </si>
  <si>
    <t>76;91;163;327;598;655;696;756;764;991;1091;1133;1180;1205</t>
  </si>
  <si>
    <t>76;163;327;598;991;1091;1133;1142;1180;1205</t>
  </si>
  <si>
    <t>LTGN[115]LTIQVAHK</t>
  </si>
  <si>
    <t>O75051</t>
  </si>
  <si>
    <t>3D-structure;Alternative splicing;Cell membrane;Coiled coil;Complete proteome;Disulfide bond;Glycoprotein;Membrane;Polymorphism;Reference proteome;Repeat;Signal;Transmembrane;Transmembrane helix</t>
  </si>
  <si>
    <t>UniRef100_O75051;UniRef90_P70207;UniRef50_Q80UG2</t>
  </si>
  <si>
    <t>IGSF3_HUMAN</t>
  </si>
  <si>
    <t>Immunoglobulin superfamily member 3</t>
  </si>
  <si>
    <t>IGSF3</t>
  </si>
  <si>
    <t>SP:1-19;NC:20-1124;TM:1125-1147;CY:1148-1194</t>
  </si>
  <si>
    <t>ENSG00000143061</t>
  </si>
  <si>
    <t>ENSP00000358498</t>
  </si>
  <si>
    <t>IG;OtherOther</t>
  </si>
  <si>
    <t>43;101;321;418;655;700;825;842;961;1077;1153;1175</t>
  </si>
  <si>
    <t>VQGN[115]STLLH;VQGN[115]STLLHITDLQ;VQGN[115]STLLHITDLQA;VQGN[115]STLLHITDLQAR;GN[115]STLLHITDLQAR;SSISVEVASN[115]ASVILEGEDLR;KNYN[115]NTWTR;NYN[115]NTWTR;TLTLVENKPIQLN[115]CSVK;LSQAQGN[115]LSVLETR;SQAQGN[115]LSVLETR;QVQLECVVLN[115]R;RAEDTAGQTALTVMRPDASLQVDTVVPN[115]ATVSEK;AEDTAGQTALTVMRPDASLQVDTVVPN[115]ATVSEK;TVMRPDASLQVDTVVPN[115]ATVSEK;VMRPDASLQVDTVVPN[115]ATVSEK;PDASLQVDTVVPN[115]ATVSEK;ASLQVDTVVPN[115]ATVSEK;LTVLQASPQDTGN[115]YSCHVEEWLPSPQK;DTGN[115]YSCHVEEWLPSPQK</t>
  </si>
  <si>
    <t>101;418;655;700;825;842;961;1077</t>
  </si>
  <si>
    <t>O75054</t>
  </si>
  <si>
    <t>Alternative splicing;Chromosomal rearrangement;Complete proteome;Disulfide bond;Glycoprotein;Immunoglobulin domain;Membrane;Polymorphism;Reference proteome;Repeat;Signal;Transmembrane;Transmembrane helix</t>
  </si>
  <si>
    <t>UniRef100_O75054;UniRef90_O75054;UniRef50_O75054</t>
  </si>
  <si>
    <t>LRP3_HUMAN</t>
  </si>
  <si>
    <t>Low-density lipoprotein receptor-related protein 3</t>
  </si>
  <si>
    <t>LRP3</t>
  </si>
  <si>
    <t>SP:1-41;NC:42-497;TM:498-522;CY:523-770</t>
  </si>
  <si>
    <t>ENSG00000130881</t>
  </si>
  <si>
    <t>ENSP00000253193</t>
  </si>
  <si>
    <t>Other_receptors;LDLR</t>
  </si>
  <si>
    <t>71;199;359</t>
  </si>
  <si>
    <t>62;74;103;136;183;284;371;401;402;472;608</t>
  </si>
  <si>
    <t>Membrane (Single-pass type I membrane protein);Membrane, coated pit</t>
  </si>
  <si>
    <t>Coated pit;Complete proteome;Disulfide bond;Endocytosis;Glycoprotein;Membrane;Polymorphism;Receptor;Reference proteome;Repeat;Signal;Transmembrane;Transmembrane helix</t>
  </si>
  <si>
    <t>UniRef100_O75074;UniRef90_O75074;UniRef50_O75074</t>
  </si>
  <si>
    <t>ADA23_HUMAN</t>
  </si>
  <si>
    <t>Disintegrin and metalloproteinase domain-containing protein 23</t>
  </si>
  <si>
    <t>ADAM23</t>
  </si>
  <si>
    <t>SP:1-39;NC:40-792;TM:793-815;CY:816-832</t>
  </si>
  <si>
    <t>ENSG00000114948</t>
  </si>
  <si>
    <t>ENSP00000264377</t>
  </si>
  <si>
    <t>76;96;100;263;547;548;664;732</t>
  </si>
  <si>
    <t>76;96;100;263;289;547;548;664;732</t>
  </si>
  <si>
    <t>Alternative splicing;Cell adhesion;Cell membrane;Cleavage on pair of basic residues;Complete proteome;Disulfide bond;EGF-like domain;Glycoprotein;Membrane;Reference proteome;Secreted;Signal;Transmembrane;Transmembrane helix</t>
  </si>
  <si>
    <t>UniRef100_O75077;UniRef90_O75077;UniRef50_O75077</t>
  </si>
  <si>
    <t>ADA11_HUMAN</t>
  </si>
  <si>
    <t>Disintegrin and metalloproteinase domain-containing protein 11</t>
  </si>
  <si>
    <t>ADAM11</t>
  </si>
  <si>
    <t>SP:1-23;NC:24-734;TM:735-757;CY:758-769</t>
  </si>
  <si>
    <t>ENSG00000073670</t>
  </si>
  <si>
    <t>ENSP00000200557</t>
  </si>
  <si>
    <t>96;163;605;673</t>
  </si>
  <si>
    <t>Alternative splicing;Cleavage on pair of basic residues;Complete proteome;Disulfide bond;EGF-like domain;Glycoprotein;Membrane;Polymorphism;Reference proteome;Signal;Transmembrane;Transmembrane helix</t>
  </si>
  <si>
    <t>UniRef100_O75078;UniRef90_O75078;UniRef50_O75078</t>
  </si>
  <si>
    <t>FZD7_HUMAN</t>
  </si>
  <si>
    <t>Frizzled-7</t>
  </si>
  <si>
    <t>FZD7</t>
  </si>
  <si>
    <t>SP:1-32;NC:33-254;TM:255-277;CY:278-288;TM:289-309;NC:310-337;TM:338-362;CY:363-382;TM:383-400;NC:401-423;TM:424-448;CY:449-468;TM:469-492;NC:493-528;TM:529-549;CY:550-574</t>
  </si>
  <si>
    <t>ENSG00000155760</t>
  </si>
  <si>
    <t>ENSP00000286201</t>
  </si>
  <si>
    <t>63;164</t>
  </si>
  <si>
    <t>42;166;177;181;198</t>
  </si>
  <si>
    <t>Cell membrane;Complete proteome;Developmental protein;Disulfide bond;G-protein coupled receptor;Glycoprotein;Membrane;Polymorphism;Receptor;Reference proteome;Signal;Transducer;Transmembrane;Transmembrane helix;Ubl conjugation;Wnt signaling pathway</t>
  </si>
  <si>
    <t>UniRef100_O75084;UniRef90_O75084;UniRef50_Q9UP38</t>
  </si>
  <si>
    <t>LRP4_HUMAN</t>
  </si>
  <si>
    <t>Low-density lipoprotein receptor-related protein 4</t>
  </si>
  <si>
    <t>LRP4</t>
  </si>
  <si>
    <t>SP:1-21;NC:22-1723;TM:1724-1747;CY:1748-1905</t>
  </si>
  <si>
    <t>ENSG00000134569</t>
  </si>
  <si>
    <t>ENSP00000367888</t>
  </si>
  <si>
    <t>264;498;719;901;1077;1415;1467;1761;1801</t>
  </si>
  <si>
    <t>5;49;88;127;165;219;248;287;320;419;484;520;527;550;570;573;599;614;655;658;780;789;802;825;832;855;875;878;904;919;960;963;1097;1140;1163;1183;1186;1212;1227;1267;1270;1437;1444;1487;1490;1516;1531;1568;1571;1574;1823;1893</t>
  </si>
  <si>
    <t>ANLN[115]GSNVEEVVSTGLESPGGLAVDWVHDK;ADLN[115]GSNMETVIGR;VLIN[115]NSLDEPR</t>
  </si>
  <si>
    <t>498;1415;1467</t>
  </si>
  <si>
    <t>O75096</t>
  </si>
  <si>
    <t>Calcium;Complete proteome;Developmental protein;Differentiation;Disease mutation;Disulfide bond;EGF-like domain;Endocytosis;Glycoprotein;Membrane;Polymorphism;Receptor;Reference proteome;Repeat;Signal;Transmembrane;Transmembrane helix;Wnt signaling pathway</t>
  </si>
  <si>
    <t>UniRef100_O75096;UniRef90_Q8VI56;UniRef50_Q8VI56</t>
  </si>
  <si>
    <t>MFA3L_HUMAN</t>
  </si>
  <si>
    <t>Microfibrillar-associated protein 3-like</t>
  </si>
  <si>
    <t>MFAP3L</t>
  </si>
  <si>
    <t>SP:1-28;NC:29-150;TM:151-172;CY:173-409</t>
  </si>
  <si>
    <t>ENSG00000198948</t>
  </si>
  <si>
    <t>ENSP00000354583</t>
  </si>
  <si>
    <t>33;37;67;111;135;168</t>
  </si>
  <si>
    <t>WQMHDSGLLN[115]ITK</t>
  </si>
  <si>
    <t>O75121</t>
  </si>
  <si>
    <t>Alternative splicing;Cell membrane;Complete proteome;Disulfide bond;Glycoprotein;Immunoglobulin domain;Membrane;Reference proteome;Signal;Transmembrane;Transmembrane helix</t>
  </si>
  <si>
    <t>UniRef100_O75121;UniRef90_O75121;UniRef50_O75121</t>
  </si>
  <si>
    <t>ASTN2_HUMAN</t>
  </si>
  <si>
    <t>Astrotactin-2</t>
  </si>
  <si>
    <t>ASTN2</t>
  </si>
  <si>
    <t>SP:1-50;NC:51-203;TM:204-229;CY:230-431;TM:432-455;NC:456-1339</t>
  </si>
  <si>
    <t>ENSG00000148219</t>
  </si>
  <si>
    <t>ENSP00000314038</t>
  </si>
  <si>
    <t>168;433;504;770;783;1020;1061</t>
  </si>
  <si>
    <t>83;161;165;233;491;509;554;561;594;857;930;1035;1046;1087;1252;1310</t>
  </si>
  <si>
    <t>Alternative splicing;Complete proteome;Disulfide bond;EGF-like domain;Glycoprotein;Membrane;Polymorphism;Reference proteome;Repeat;Signal;Transmembrane;Transmembrane helix</t>
  </si>
  <si>
    <t>UniRef100_O75129;UniRef90_O75129;UniRef50_O75129</t>
  </si>
  <si>
    <t>ICOSL_HUMAN</t>
  </si>
  <si>
    <t>ICOS ligand</t>
  </si>
  <si>
    <t>ICOSLG</t>
  </si>
  <si>
    <t>SP:1-18;NC:19-254;TM:255-276;CY:277-302</t>
  </si>
  <si>
    <t>ENSG00000160223;ENSG00000277117</t>
  </si>
  <si>
    <t>ENSP00000384432;ENSP00000485129</t>
  </si>
  <si>
    <t>CD275</t>
  </si>
  <si>
    <t>70;102;137;173;186;225</t>
  </si>
  <si>
    <t>TVVTYHIPQN[115]SSLENVDSR;HIPQN[115]SSLENVDSR;HIPQN[115]SSLEN[115]VDSR;IPQN[115]SSLENVDSR;LFN[115]VTPQDEQK;PNVYWIN[115]K;TDNSLLDQALQN[115]DTVF;TDNSLLDQALQN[115]DTVFLNMR;TDNSLLDQALQN[115]DTVFLN[115]MR;LLQQN[115]LTVGSQTGNDIGER</t>
  </si>
  <si>
    <t>70;102;173;186;225</t>
  </si>
  <si>
    <t>O75144</t>
  </si>
  <si>
    <t>Adaptive immunity;Alternative splicing;B-cell activation;Complete proteome;Disulfide bond;Glycoprotein;Immunity;Immunoglobulin domain;Membrane;Polymorphism;Reference proteome;Signal;Transmembrane;Transmembrane helix</t>
  </si>
  <si>
    <t>UniRef100_O75144;UniRef90_O75144;UniRef50_O75144</t>
  </si>
  <si>
    <t>102723996;23308</t>
  </si>
  <si>
    <t>LRP5_HUMAN</t>
  </si>
  <si>
    <t>Low-density lipoprotein receptor-related protein 5</t>
  </si>
  <si>
    <t>LRP5</t>
  </si>
  <si>
    <t>SP:1-31;NC:32-1385;TM:1386-1407;CY:1408-1615</t>
  </si>
  <si>
    <t>ENSG00000162337</t>
  </si>
  <si>
    <t>ENSP00000294304</t>
  </si>
  <si>
    <t>93;138;446;499;705;878;940</t>
  </si>
  <si>
    <t>1519;1524</t>
  </si>
  <si>
    <t>10;79;117;124;147;167;170;196;211;252;255;389;425;432;475;478;504;519;560;563;691;727;734;757;777;780;820;860;863;993;1040;1128;1169;1278;1557</t>
  </si>
  <si>
    <t>IEVANLN[115]GTSR;IEVAN[115]LN[115]GTSR</t>
  </si>
  <si>
    <t>O75197</t>
  </si>
  <si>
    <t>Endoplasmic reticulum;Membrane (Single-pass type I membrane protein)</t>
  </si>
  <si>
    <t>Complete proteome;Developmental protein;Disease mutation;Disulfide bond;EGF-like domain;Endocytosis;Endoplasmic reticulum;Glycoprotein;Membrane;Osteogenesis imperfecta;Osteopetrosis;Phosphoprotein;Polymorphism;Receptor;Reference proteome;Repeat;Signal;Transmembrane;Transmembrane helix;Wnt signaling pathway</t>
  </si>
  <si>
    <t>UniRef100_O75197;UniRef90_O75197;UniRef50_O75197</t>
  </si>
  <si>
    <t>Cytoskeleton;Cytosol;Endosome;Extracellular space;Golgi apparatus;Lysosome;Nucleus;Peroxisome</t>
  </si>
  <si>
    <t>CAD16_HUMAN</t>
  </si>
  <si>
    <t>Cadherin-16</t>
  </si>
  <si>
    <t>CDH16</t>
  </si>
  <si>
    <t>SP:1-18;NC:19-784;TM:785-806;CY:807-829</t>
  </si>
  <si>
    <t>ENSG00000166589</t>
  </si>
  <si>
    <t>ENSP00000299752</t>
  </si>
  <si>
    <t>StructuralAndAdhesion;CadherinClassic</t>
  </si>
  <si>
    <t>517;602;722</t>
  </si>
  <si>
    <t>Alternative splicing;Calcium;Cell adhesion;Cell membrane;Complete proteome;Glycoprotein;Membrane;Metal-binding;Polymorphism;Reference proteome;Repeat;Signal;Transmembrane;Transmembrane helix</t>
  </si>
  <si>
    <t>UniRef100_O75309;UniRef90_O75309;UniRef50_O75309</t>
  </si>
  <si>
    <t>GLRA3_HUMAN</t>
  </si>
  <si>
    <t>Glycine receptor subunit alpha-3</t>
  </si>
  <si>
    <t>GLRA3</t>
  </si>
  <si>
    <t>SP:1-28;NC:29-254;TM:255-277;CY:278-285;TM:286-305;NC:306-317;TM:318-340;CY:341-433;TM:434-451;NC:452-464</t>
  </si>
  <si>
    <t>ENSG00000145451</t>
  </si>
  <si>
    <t>ENSP00000274093</t>
  </si>
  <si>
    <t>71;356</t>
  </si>
  <si>
    <t>Alternative splicing;Cell junction;Cell membrane;Chloride;Chloride channel;Complete proteome;Disulfide bond;Glycoprotein;Ion channel;Ion transport;Ligand-gated ion channel;Membrane;Postsynaptic cell membrane;Receptor;Reference proteome;Signal;Synapse;Transmembrane;Transmembrane helix;Transport</t>
  </si>
  <si>
    <t>UniRef100_O75311;UniRef90_O75311;UniRef50_P23415</t>
  </si>
  <si>
    <t>DB00145;DB00431;DB00602</t>
  </si>
  <si>
    <t>LRRN2_HUMAN</t>
  </si>
  <si>
    <t>Leucine-rich repeat neuronal protein 2</t>
  </si>
  <si>
    <t>LRRN2</t>
  </si>
  <si>
    <t>SP:1-18;NC:19-630;TM:631-651;CY:652-713</t>
  </si>
  <si>
    <t>ENSG00000170382</t>
  </si>
  <si>
    <t>ENSP00000356143;ENSP00000356144;ENSP00000356145</t>
  </si>
  <si>
    <t>94;381;555;583</t>
  </si>
  <si>
    <t>Complete proteome;Disulfide bond;Glycoprotein;Immunoglobulin domain;Leucine-rich repeat;Membrane;Polymorphism;Reference proteome;Repeat;Signal;Transmembrane;Transmembrane helix</t>
  </si>
  <si>
    <t>UniRef100_O75325;UniRef90_O75325;UniRef50_O75325</t>
  </si>
  <si>
    <t>SEM7A_HUMAN</t>
  </si>
  <si>
    <t>Semaphorin-7A</t>
  </si>
  <si>
    <t>SEMA7A</t>
  </si>
  <si>
    <t>SP:1-44;NC:45-666</t>
  </si>
  <si>
    <t>ENSG00000138623</t>
  </si>
  <si>
    <t>ENSP00000261918</t>
  </si>
  <si>
    <t>CD108</t>
  </si>
  <si>
    <t>105;157;258;330;602</t>
  </si>
  <si>
    <t>12;586</t>
  </si>
  <si>
    <t>HPSCWNLVN[115]GTVVPLGEMR;PSCWNLVN[115]GTVVPLGEMR;SCWNLVN[115]GTVVPLGEMR;LVN[115]GTVVPLGEMR;EDNPDKNPEAPLN[115]VSR;PEAPLN[115]VSR</t>
  </si>
  <si>
    <t>157;258</t>
  </si>
  <si>
    <t>O75326</t>
  </si>
  <si>
    <t>Cell membrane (Lipid- anchor, GPI-anchor|Extracellular side</t>
  </si>
  <si>
    <t>3D-structure;Alternative splicing;Cell membrane;Complete proteome;Developmental protein;Differentiation;Disulfide bond;Glycoprotein;GPI-anchor;Immunoglobulin domain;Inflammatory response;Lipoprotein;Membrane;Neurogenesis;Polymorphism;Reference proteome;Signal</t>
  </si>
  <si>
    <t>UniRef100_O75326;UniRef90_O75326;UniRef50_O75326</t>
  </si>
  <si>
    <t>ENTP3_HUMAN</t>
  </si>
  <si>
    <t>Ectonucleoside triphosphate diphosphohydrolase 3</t>
  </si>
  <si>
    <t>ENTPD3</t>
  </si>
  <si>
    <t>CY:1-23;TM:24-45;NC:46-485;TM:486-508;CY:509-529</t>
  </si>
  <si>
    <t>ENSG00000168032</t>
  </si>
  <si>
    <t>ENSP00000301825;ENSP00000401565</t>
  </si>
  <si>
    <t>3.6.1</t>
  </si>
  <si>
    <t>81;149;238;381;392;402;454</t>
  </si>
  <si>
    <t>Alternative splicing;ATP-binding;Calcium;Complete proteome;Disulfide bond;Glycoprotein;Hydrolase;Magnesium;Membrane;Nucleotide-binding;Polymorphism;Reference proteome;Transmembrane;Transmembrane helix</t>
  </si>
  <si>
    <t>UniRef100_O75355;UniRef90_O75355;UniRef50_O75355</t>
  </si>
  <si>
    <t>LAT3_HUMAN</t>
  </si>
  <si>
    <t>Large neutral amino acids transporter small subunit 3</t>
  </si>
  <si>
    <t>SLC43A1</t>
  </si>
  <si>
    <t>CY:1-19;TM:20-39;NC:40-75;TM:76-97;CY:98-105;TM:106-124;NC:125-130;TM:131-154;CY:155-165;TM:166-185;NC:186-190;TM:191-212;CY:213-303;TM:304-324;NC:325-353;TM:354-376;CY:377-415;TM:416-439;NC:440-446;TM:447-470;CY:471-481;TM:482-503;NC:504-509;TM:510-532;CY:533-559</t>
  </si>
  <si>
    <t>ENSG00000149150</t>
  </si>
  <si>
    <t>ENSP00000278426;ENSP00000435673</t>
  </si>
  <si>
    <t>SLC;MFS;SLC43</t>
  </si>
  <si>
    <t>57;212;229</t>
  </si>
  <si>
    <t>NEGFYSSTCPAESSTN[115]TTQDEQR;SSTCPAESSTN[115]TTQDEQR;STCPAESSTN[115]TTQDEQR</t>
  </si>
  <si>
    <t>O75387</t>
  </si>
  <si>
    <t>Alternative splicing;Amino-acid transport;Complete proteome;Glycoprotein;Membrane;Polymorphism;Reference proteome;Transmembrane;Transmembrane helix;Transport</t>
  </si>
  <si>
    <t>UniRef100_O75387;UniRef90_O75387;UniRef50_O75387</t>
  </si>
  <si>
    <t>GPR32_HUMAN</t>
  </si>
  <si>
    <t>Probable G-protein coupled receptor 32</t>
  </si>
  <si>
    <t>GPR32</t>
  </si>
  <si>
    <t>NC:1-44;TM:45-68;CY:69-79;TM:80-103;NC:104-115;TM:116-137;CY:138-157;TM:158-177;NC:178-217;TM:218-238;CY:239-257;TM:258-281;NC:282-295;TM:296-319;CY:320-356</t>
  </si>
  <si>
    <t>ENSG00000142511</t>
  </si>
  <si>
    <t>ENSP00000270590</t>
  </si>
  <si>
    <t>30;199;308</t>
  </si>
  <si>
    <t>UniRef100_O75388;UniRef90_O75388;UniRef50_O75388</t>
  </si>
  <si>
    <t>TECTA_HUMAN</t>
  </si>
  <si>
    <t>Alpha-tectorin</t>
  </si>
  <si>
    <t>TECTA</t>
  </si>
  <si>
    <t>SP:1-22;NC:23-2155</t>
  </si>
  <si>
    <t>ENSG00000109927</t>
  </si>
  <si>
    <t>ENSP00000264037;ENSP00000376543</t>
  </si>
  <si>
    <t>2;34;187;215;278;455;506;528;560;670;687;813;843;855;898;920;931;949;1048;1235;1364;1538;1565;1756;1772;1794;1851;1864;1880;1920;1939;2125</t>
  </si>
  <si>
    <t>2;34;187;215;278;455;506;528;560;670;687;813;843;855;898;920;931;949;1048;1235;1319;1364;1538;1565;1756;1772;1794;1851;1864;1880;1920;1939;2125</t>
  </si>
  <si>
    <t>10;32;100;143;149;188;245;274;377;490;497;535;585;666;765;878;974;1052;1157;1221;1270;1344;1362;1441;1534;1651;1751;1875;2087;2133;2145</t>
  </si>
  <si>
    <t>Cell membrane (Lipid-anchor, GPI-anchor|Extracellular side;Secreted, extracellular space, extracellular matrix</t>
  </si>
  <si>
    <t>Cell membrane;Complete proteome;Deafness;Disease mutation;Disulfide bond;Extracellular matrix;Glycoprotein;GPI-anchor;Hearing;Lipoprotein;Membrane;Non-syndromic deafness;Polymorphism;Reference proteome;Repeat;Secreted;Signal</t>
  </si>
  <si>
    <t>UniRef100_O75443;UniRef90_O75443;UniRef50_O75443</t>
  </si>
  <si>
    <t>USH2A_HUMAN</t>
  </si>
  <si>
    <t>Usherin</t>
  </si>
  <si>
    <t>USH2A</t>
  </si>
  <si>
    <t>SP:1-23;NC:24-5040;TM:5041-5063;CY:5064-5202</t>
  </si>
  <si>
    <t>ENSG00000042781</t>
  </si>
  <si>
    <t>ENSP00000305941;ENSP00000355910</t>
  </si>
  <si>
    <t>361;443;451;587;611;650;697;839;856;862;888;944;1011;1071;1151;1174;1379;1388;1479;1635;1779;1903;2011;2014;2048;2130;2182;2195;2258;2285;2322;2377;2382;2407;2413;2581;2584;2656;2710;2770;2788;2930;2937;2970;3032;3099;3217;3330;3419;3433;3653;3694;3733;3780;3833;3849;3984;4202;4226;4317;4418;4564;4583;4691;4754;4800;4943;4950;5118;5130</t>
  </si>
  <si>
    <t>409;3147</t>
  </si>
  <si>
    <t>Cell projection, stereocilium membrane (Single-pass type I membrane protein);Secreted</t>
  </si>
  <si>
    <t>Alternative splicing;Cell membrane;Cell projection;Complete proteome;Deafness;Disease mutation;Disulfide bond;Glycoprotein;Hearing;Laminin EGF-like domain;Membrane;Polymorphism;Reference proteome;Repeat;Retinitis pigmentosa;Secreted;Sensory transduction;Signal;Transmembrane;Transmembrane helix;Usher syndrome;Vision</t>
  </si>
  <si>
    <t>UniRef100_O75445;UniRef90_O75445;UniRef50_O75445</t>
  </si>
  <si>
    <t>LGR5_HUMAN</t>
  </si>
  <si>
    <t>Leucine-rich repeat-containing G-protein coupled receptor 5</t>
  </si>
  <si>
    <t>LGR5</t>
  </si>
  <si>
    <t>SP:1-21;NC:22-558;TM:559-582;CY:583-593;TM:594-616;NC:617-638;TM:639-660;CY:661-680;TM:681-702;NC:703-722;TM:723-747;CY:748-767;TM:768-791;NC:792-802;TM:803-823;CY:824-907</t>
  </si>
  <si>
    <t>ENSG00000139292</t>
  </si>
  <si>
    <t>ENSP00000266674</t>
  </si>
  <si>
    <t>63;77;208;500;792</t>
  </si>
  <si>
    <t>3D-structure;Alternative splicing;Cell membrane;Complete proteome;Disulfide bond;G-protein coupled receptor;Glycoprotein;Golgi apparatus;Leucine-rich repeat;Membrane;Polymorphism;Receptor;Reference proteome;Repeat;Signal;Transducer;Transmembrane;Transmembrane helix</t>
  </si>
  <si>
    <t>UniRef100_O75473;UniRef90_O75473;UniRef50_O75473</t>
  </si>
  <si>
    <t>GPC4_HUMAN</t>
  </si>
  <si>
    <t>Glypican-4</t>
  </si>
  <si>
    <t>GPC4</t>
  </si>
  <si>
    <t>SP:1-22;NC:23-556</t>
  </si>
  <si>
    <t>ENSG00000076716</t>
  </si>
  <si>
    <t>ENSP00000359864</t>
  </si>
  <si>
    <t>239;514</t>
  </si>
  <si>
    <t>EFDYN[115]ATDHAGK;FDYN[115]ATDHAGK</t>
  </si>
  <si>
    <t>O75487</t>
  </si>
  <si>
    <t>Cell membrane (Lipid-anchor, GPI-anchor|Extracellular side;Secreted, extracellular space</t>
  </si>
  <si>
    <t>Alternative splicing;Cell membrane;Complete proteome;Glycoprotein;GPI-anchor;Heparan sulfate;Lipoprotein;Membrane;Phosphoprotein;Polymorphism;Proteoglycan;Reference proteome;Secreted;Signal</t>
  </si>
  <si>
    <t>UniRef100_O75487;UniRef90_O75487;UniRef50_O75487</t>
  </si>
  <si>
    <t>CLD11_HUMAN</t>
  </si>
  <si>
    <t>Claudin-11</t>
  </si>
  <si>
    <t>CLDN11</t>
  </si>
  <si>
    <t>CY:1-4;TM:5-24;NC:25-82;TM:83-103;CY:104-121;TM:122-142;NC:143-157;TM:158-179;CY:180-207</t>
  </si>
  <si>
    <t>ENSG00000013297</t>
  </si>
  <si>
    <t>ENSP00000064724</t>
  </si>
  <si>
    <t>18;30;53;140;162</t>
  </si>
  <si>
    <t>Cell junction;Cell membrane;Complete proteome;Membrane;Reference proteome;Tight junction;Transmembrane;Transmembrane helix</t>
  </si>
  <si>
    <t>UniRef100_O75508;UniRef90_Q60771;UniRef50_Q60771</t>
  </si>
  <si>
    <t>TNR21_HUMAN</t>
  </si>
  <si>
    <t>Tumor necrosis factor receptor superfamily member 21</t>
  </si>
  <si>
    <t>TNFRSF21</t>
  </si>
  <si>
    <t>SP:1-41;NC:42-349;TM:350-370;CY:371-655</t>
  </si>
  <si>
    <t>ENSG00000146072</t>
  </si>
  <si>
    <t>ENSP00000296861</t>
  </si>
  <si>
    <t>CD358</t>
  </si>
  <si>
    <t>82;141;252;257;278;289;439;573</t>
  </si>
  <si>
    <t>48;77;216;218;219;220;222;224;243;254;256;259;261;268;269;280;281;324;325;326;514;516;521;525</t>
  </si>
  <si>
    <t>PAGTYVSEHCTN[115]TSLR;VLSSIQEGTVPDN[115]TSSAR;SIQEGTVPDN[115]TSSAR</t>
  </si>
  <si>
    <t>82;278</t>
  </si>
  <si>
    <t>O75509</t>
  </si>
  <si>
    <t>3D-structure;Adaptive immunity;Apoptosis;Cell membrane;Complete proteome;Disulfide bond;Glycoprotein;Immunity;Lipoprotein;Membrane;Palmitate;Receptor;Reference proteome;Repeat;Signal;Transmembrane;Transmembrane helix</t>
  </si>
  <si>
    <t>UniRef100_O75509;UniRef90_O75509;UniRef50_O75509</t>
  </si>
  <si>
    <t>ITA10_HUMAN</t>
  </si>
  <si>
    <t>Integrin alpha-10</t>
  </si>
  <si>
    <t>ITGA10</t>
  </si>
  <si>
    <t>SP:1-20;NC:21-1119;TM:1120-1145;CY:1146-1167</t>
  </si>
  <si>
    <t>ENSG00000143127</t>
  </si>
  <si>
    <t>ENSP00000358310</t>
  </si>
  <si>
    <t>Other_receptors;Integrin</t>
  </si>
  <si>
    <t>98;234;336;364;733;763;839;921;1011;1018;1039</t>
  </si>
  <si>
    <t>LN[115]GSNTQCQVVR</t>
  </si>
  <si>
    <t>O75578</t>
  </si>
  <si>
    <t>Alternative splicing;Calcium;Cell adhesion;Complete proteome;Disulfide bond;Glycoprotein;Integrin;Magnesium;Membrane;Metal-binding;Polymorphism;Receptor;Reference proteome;Repeat;Signal;Transmembrane;Transmembrane helix</t>
  </si>
  <si>
    <t>UniRef100_O75578;UniRef90_O75578;UniRef50_O75578</t>
  </si>
  <si>
    <t>LRP6_HUMAN</t>
  </si>
  <si>
    <t>Low-density lipoprotein receptor-related protein 6</t>
  </si>
  <si>
    <t>LRP6</t>
  </si>
  <si>
    <t>SP:1-19;NC:20-1373;TM:1374-1394;CY:1395-1613</t>
  </si>
  <si>
    <t>ENSG00000070018</t>
  </si>
  <si>
    <t>ENSP00000261349</t>
  </si>
  <si>
    <t>42;81;281;433;486;692;859;865;926;1039</t>
  </si>
  <si>
    <t>1506;1510;1514;1516</t>
  </si>
  <si>
    <t>67;104;111;134;154;157;183;198;239;242;376;412;419;462;465;491;506;547;550;678;714;721;744;764;767;807;847;850;890;981;1030;1118;1156;1159;1268</t>
  </si>
  <si>
    <t>3D-structure;Complete proteome;Developmental protein;Disease mutation;Disulfide bond;EGF-like domain;Endocytosis;Endoplasmic reticulum;Glycoprotein;Isopeptide bond;Lipoprotein;Membrane;Palmitate;Phosphoprotein;Polymorphism;Receptor;Reference proteome;Repeat;Signal;Transmembrane;Transmembrane helix;Ubl conjugation;Wnt signaling pathway</t>
  </si>
  <si>
    <t>UniRef100_O75581;UniRef90_O75581;UniRef50_O75581</t>
  </si>
  <si>
    <t>Cytoskeleton;Cytosol;Extracellular space;Golgi apparatus;Lysosome;Mitochondrion;Nucleus;Peroxisome</t>
  </si>
  <si>
    <t>UPK3A_HUMAN</t>
  </si>
  <si>
    <t>Uroplakin-3a</t>
  </si>
  <si>
    <t>UPK3A</t>
  </si>
  <si>
    <t>SP:1-18;NC:19-207;TM:208-233;CY:234-287</t>
  </si>
  <si>
    <t>ENSG00000100373</t>
  </si>
  <si>
    <t>ENSP00000216211</t>
  </si>
  <si>
    <t>74;139;170</t>
  </si>
  <si>
    <t>Endoplasmic reticulum membrane (Single-pass type I membrane protein)</t>
  </si>
  <si>
    <t>Alternative splicing;Complete proteome;Disease mutation;Endoplasmic reticulum;Glycoprotein;Membrane;Polymorphism;Reference proteome;Signal;Transmembrane;Transmembrane helix</t>
  </si>
  <si>
    <t>UniRef100_O75631;UniRef90_O75631;UniRef50_P38574</t>
  </si>
  <si>
    <t>CXB3_HUMAN</t>
  </si>
  <si>
    <t>Gap junction beta-3 protein</t>
  </si>
  <si>
    <t>GJB3</t>
  </si>
  <si>
    <t>CY:1-19;TM:20-39;NC:40-75;TM:76-97;CY:98-127;TM:128-149;NC:150-186;TM:187-211;CY:212-270</t>
  </si>
  <si>
    <t>ENSG00000188910</t>
  </si>
  <si>
    <t>ENSP00000362460;ENSP00000362464</t>
  </si>
  <si>
    <t>StructuralAndAdhesion;GapJunction</t>
  </si>
  <si>
    <t>Cell junction, gap junction;Cell membrane (Multi-pass membrane protein)</t>
  </si>
  <si>
    <t>Cell junction;Cell membrane;Complete proteome;Deafness;Disease mutation;Gap junction;Membrane;Non-syndromic deafness;Palmoplantar keratoderma;Polymorphism;Reference proteome;Transmembrane;Transmembrane helix</t>
  </si>
  <si>
    <t>UniRef100_O75712;UniRef90_O75712;UniRef50_O75712</t>
  </si>
  <si>
    <t>S22A3_HUMAN</t>
  </si>
  <si>
    <t>Solute carrier family 22 member 3</t>
  </si>
  <si>
    <t>SLC22A3</t>
  </si>
  <si>
    <t>CY:1-20;TM:21-43;NC:44-157;TM:158-176;CY:177-182;TM:183-202;NC:203-208;TM:209-230;CY:231-241;TM:242-264;NC:265-269;TM:270-288;CY:289-350;TM:351-373;NC:374-379;TM:380-401;CY:402-407;TM:408-427;NC:428-432;TM:433-456;CY:457-467;TM:468-492;NC:493-497;TM:498-517;CY:518-556</t>
  </si>
  <si>
    <t>ENSG00000146477</t>
  </si>
  <si>
    <t>ENSP00000275300</t>
  </si>
  <si>
    <t>72;99;119;322</t>
  </si>
  <si>
    <t>Complete proteome;Glycoprotein;Ion transport;Membrane;Polymorphism;Reference proteome;Transmembrane;Transmembrane helix;Transport</t>
  </si>
  <si>
    <t>UniRef100_O75751;UniRef90_O75751;UniRef50_O75751</t>
  </si>
  <si>
    <t>UPK1B_HUMAN</t>
  </si>
  <si>
    <t>Uroplakin-1b</t>
  </si>
  <si>
    <t>UPK1B</t>
  </si>
  <si>
    <t>CY:1-11;TM:12-37;NC:38-56;TM:57-80;CY:81-87;TM:88-111;NC:112-231;TM:232-254;CY:255-260</t>
  </si>
  <si>
    <t>ENSG00000114638</t>
  </si>
  <si>
    <t>ENSP00000264234</t>
  </si>
  <si>
    <t>5;131</t>
  </si>
  <si>
    <t>UniRef100_O75841;UniRef90_O75841;UniRef50_O75841</t>
  </si>
  <si>
    <t>CEAM4_HUMAN</t>
  </si>
  <si>
    <t>Carcinoembryonic antigen-related cell adhesion molecule 4</t>
  </si>
  <si>
    <t>CEACAM4</t>
  </si>
  <si>
    <t>SP:1-36;NC:37-151;TM:152-176;CY:177-244</t>
  </si>
  <si>
    <t>ENSG00000105352;ENSG00000274131</t>
  </si>
  <si>
    <t>ENSP00000221954;ENSP00000481247</t>
  </si>
  <si>
    <t>57;104;111;126</t>
  </si>
  <si>
    <t>Complete proteome;Glycoprotein;Immunoglobulin domain;Membrane;Polymorphism;Reference proteome;Signal;Transmembrane;Transmembrane helix</t>
  </si>
  <si>
    <t>UniRef100_O75871;UniRef90_O75871;UniRef50_O75871</t>
  </si>
  <si>
    <t>ATRN_HUMAN</t>
  </si>
  <si>
    <t>Attractin</t>
  </si>
  <si>
    <t>ATRN</t>
  </si>
  <si>
    <t>SP:1-20;NC:21-1279;TM:1280-1303;CY:1304-1429</t>
  </si>
  <si>
    <t>ENSG00000088812</t>
  </si>
  <si>
    <t>ENSP00000262919</t>
  </si>
  <si>
    <t>213;237;242;253;264;300;325;362;383;416;428;575;623;731;863;914;923;986;1043;1054;1073;1082;1198;1206;1250;1259</t>
  </si>
  <si>
    <t>335;967</t>
  </si>
  <si>
    <t>ISN[115]SSDTVECECSENWK;GICN[115]SSDVR;VPVPAN[115]QSFWTR;IDSTGN[115]VTNELR;VFHIHN[115]ESWVLLTPK;AATCINPLN[115]GSVCER;CIN[115]QSICEK;DLDMFIN[115]ASK</t>
  </si>
  <si>
    <t>264;300;325;416;428;914;1073;1198</t>
  </si>
  <si>
    <t>O75882</t>
  </si>
  <si>
    <t>Alternative splicing;Cell membrane;Complete proteome;Direct protein sequencing;Disulfide bond;EGF-like domain;Glycoprotein;Inflammatory response;Kelch repeat;Laminin EGF-like domain;Lectin;Membrane;Polymorphism;Receptor;Reference proteome;Repeat;Secreted;Signal;Transmembrane;Transmembrane helix</t>
  </si>
  <si>
    <t>UniRef100_O75882;UniRef90_O75882;UniRef50_O75882</t>
  </si>
  <si>
    <t>GABR2_HUMAN</t>
  </si>
  <si>
    <t>Gamma-aminobutyric acid type B receptor subunit 2</t>
  </si>
  <si>
    <t>GABBR2</t>
  </si>
  <si>
    <t>SP:1-45;NC:46-480;TM:481-502;CY:503-521;TM:522-541;NC:542-556;TM:557-576;CY:577-596;TM:597-618;NC:619-653;TM:654-676;CY:677-694;TM:695-712;NC:713-717;TM:718-741;CY:742-941</t>
  </si>
  <si>
    <t>ENSG00000136928</t>
  </si>
  <si>
    <t>ENSP00000259455</t>
  </si>
  <si>
    <t>90;298;389;404;453;680;687;842;867</t>
  </si>
  <si>
    <t>389;404;453;842;867</t>
  </si>
  <si>
    <t>3D-structure;Cell junction;Cell membrane;Coiled coil;Complete proteome;Direct protein sequencing;Disulfide bond;G-protein coupled receptor;Glycoprotein;Membrane;Phosphoprotein;Polymorphism;Postsynaptic cell membrane;Receptor;Reference proteome;Signal;Synapse;Transducer;Transmembrane;Transmembrane helix</t>
  </si>
  <si>
    <t>UniRef100_O75899;UniRef90_O75899;UniRef50_O75899</t>
  </si>
  <si>
    <t>DB00181</t>
  </si>
  <si>
    <t>TSN9_HUMAN</t>
  </si>
  <si>
    <t>Tetraspanin-9</t>
  </si>
  <si>
    <t>TSPAN9</t>
  </si>
  <si>
    <t>CY:1-11;TM:12-35;NC:36-53;TM:54-76;CY:77-82;TM:83-107;NC:108-203;TM:204-227;CY:228-239</t>
  </si>
  <si>
    <t>ENSG00000011105</t>
  </si>
  <si>
    <t>ENSP00000011898;ENSP00000444799</t>
  </si>
  <si>
    <t>N[115]ATTPLWR</t>
  </si>
  <si>
    <t>O75954</t>
  </si>
  <si>
    <t>UniRef100_O75954;UniRef90_O75954;UniRef50_Q8BJU2</t>
  </si>
  <si>
    <t>CBPD_HUMAN</t>
  </si>
  <si>
    <t>Carboxypeptidase D</t>
  </si>
  <si>
    <t>CPD</t>
  </si>
  <si>
    <t>SP:1-31;NC:32-1299;TM:1300-1323;CY:1324-1380</t>
  </si>
  <si>
    <t>ENSG00000108582</t>
  </si>
  <si>
    <t>ENSP00000225719</t>
  </si>
  <si>
    <t>3.4.17</t>
  </si>
  <si>
    <t>172;217;399;410;429;522;626;811;855;867;879;955;978;1070;1142</t>
  </si>
  <si>
    <t>LLN[115]TTDVYLLPSLNPDGFER;DSITGSGLENATISVAGIN[115]HN[115]ITTGR;DSITGSGLEN[115]ATISVAGINHN[115]ITTGR;GINHN[115]ITTGR;FANEYPN[115]ITR;FAN[115]EYPN[115]ITR;N[115]NSNNFDLNR;GILN[115]ATISVAEINHPVTTYK;SEGAIQVN[115]FTLVR;GLVMNYPHITN[115]LTNLGQSTEYR;ITN[115]LTNLGQSTEYR;HIWSLEISNKPN[115]VSEPEEPK;GKDLDTDFTNN[115]ASQPETK;DLDTDFTNN[115]ASQPETK;DLDTDFTN[115]N[115]ASQPETK</t>
  </si>
  <si>
    <t>172;399;410;522;626;811;867;955;978;1070</t>
  </si>
  <si>
    <t>O75976</t>
  </si>
  <si>
    <t>Alternative splicing;Carboxypeptidase;Complete proteome;Glycoprotein;Hydrolase;Lipoprotein;Membrane;Metal-binding;Metalloprotease;Palmitate;Phosphoprotein;Polymorphism;Protease;Reference proteome;Repeat;Signal;Transmembrane;Transmembrane helix;Zinc</t>
  </si>
  <si>
    <t>UniRef100_O75976;UniRef90_Q9JHW1;UniRef50_Q9JHW1</t>
  </si>
  <si>
    <t>Cytoskeleton;Cytosol;Endoplasmic Reticulum;Endosome;Extracellular space;Golgi apparatus;Lysosome;Mitochondrion;Peroxisome</t>
  </si>
  <si>
    <t>OR2B3_HUMAN</t>
  </si>
  <si>
    <t>Putative olfactory receptor 2B3</t>
  </si>
  <si>
    <t>OR2B3</t>
  </si>
  <si>
    <t>NC:1-24;TM:25-50;CY:51-59;TM:60-78;NC:79-97;TM:98-118;CY:119-137;TM:138-158;NC:159-199;TM:200-222;CY:223-236;TM:237-260;NC:261-272;TM:273-292;CY:293-313</t>
  </si>
  <si>
    <t>ENSG00000204703;ENSG00000206524;ENSG00000226832;ENSG00000231319;ENSG00000233054;ENSG00000233180;ENSG00000233687;ENSG00000225736</t>
  </si>
  <si>
    <t>ENSP00000366378;ENSP00000373149;ENSP00000394571;ENSP00000394593;ENSP00000388604;ENSP00000393235;ENSP00000399881;ENSP00000403571</t>
  </si>
  <si>
    <t>GPCR;PutativeOlfR</t>
  </si>
  <si>
    <t>5;42;65</t>
  </si>
  <si>
    <t>UniRef100_O76000;UniRef90_O76000;UniRef50_O95371</t>
  </si>
  <si>
    <t>Plasma membrane;Plasma membrane;Plasma membrane</t>
  </si>
  <si>
    <t>Cytoskeleton;Cytoskeleton;Cytoskeleton;Cytosol;Cytosol;Cytosol;Endoplasmic Reticulum;Endoplasmic Reticulum;Endoplasmic Reticulum;Endosome;Endosome;Endosome;Extracellular space;Extracellular space;Extracellular space;Golgi apparatus;Golgi apparatus;Golgi apparatus;Lysosome;Lysosome;Lysosome;Mitochondrion;Mitochondrion;Mitochondrion;Nucleus;Nucleus;Nucleus;Peroxisome;Peroxisome;Peroxisome</t>
  </si>
  <si>
    <t>OR2J3_HUMAN</t>
  </si>
  <si>
    <t>Olfactory receptor 2J3</t>
  </si>
  <si>
    <t>OR2J3</t>
  </si>
  <si>
    <t>NC:1-27;TM:28-51;CY:52-62;TM:63-82;NC:83-101;TM:102-123;CY:124-142;TM:143-161;NC:162-202;TM:203-228;CY:229-239;TM:240-264;NC:265-275;TM:276-295;CY:296-311</t>
  </si>
  <si>
    <t>ENSG00000204701;ENSG00000206522;ENSG00000232178;ENSG00000233618;ENSG00000229866;ENSG00000226271;ENSG00000233636</t>
  </si>
  <si>
    <t>ENSP00000366374;ENSP00000373147;ENSP00000390144;ENSP00000400546;ENSP00000408783;ENSP00000388392;ENSP00000388205</t>
  </si>
  <si>
    <t>8;68</t>
  </si>
  <si>
    <t>UniRef100_O76001;UniRef90_O76001;UniRef50_O76001</t>
  </si>
  <si>
    <t>OR2J2_HUMAN</t>
  </si>
  <si>
    <t>Olfactory receptor 2J2</t>
  </si>
  <si>
    <t>OR2J2</t>
  </si>
  <si>
    <t>NC:1-25;TM:26-49;CY:50-60;TM:61-81;NC:82-99;TM:100-121;CY:122-140;TM:141-160;NC:161-200;TM:201-222;CY:223-241;TM:242-262;NC:263-273;TM:274-293;CY:294-312</t>
  </si>
  <si>
    <t>ENSG00000196231;ENSG00000204700;ENSG00000231676;ENSG00000226000;ENSG00000232945;ENSG00000234746;ENSG00000225550;ENSG00000226347</t>
  </si>
  <si>
    <t>ENSP00000351519;ENSP00000366372;ENSP00000396524;ENSP00000392497;ENSP00000408988;ENSP00000403186;ENSP00000398238;ENSP00000416299</t>
  </si>
  <si>
    <t>6;66</t>
  </si>
  <si>
    <t>UniRef100_O76002;UniRef90_O76002;UniRef50_O76002</t>
  </si>
  <si>
    <t>NCTR1_HUMAN</t>
  </si>
  <si>
    <t>Natural cytotoxicity triggering receptor 1</t>
  </si>
  <si>
    <t>NCR1</t>
  </si>
  <si>
    <t>SP:1-21;NC:22-255;TM:256-274;CY:275-304</t>
  </si>
  <si>
    <t>ENSG00000189430;ENSG00000273535;ENSG00000275156;ENSG00000278362;ENSG00000274053;ENSG00000273506;ENSG00000277629;ENSG00000273916;ENSG00000277824;ENSG00000275822</t>
  </si>
  <si>
    <t>ENSP00000483452;ENSP00000478731;ENSP00000479525;ENSP00000484520;ENSP00000478507;ENSP00000480947;ENSP00000481747;ENSP00000481971;ENSP00000482423;ENSP00000484071;ENSP00000484221;ENSP00000480002</t>
  </si>
  <si>
    <t>CD335</t>
  </si>
  <si>
    <t>3D-structure;Alternative splicing;Cell membrane;Complete proteome;Disulfide bond;Glycoprotein;Immunoglobulin domain;Membrane;Polymorphism;Receptor;Reference proteome;Repeat;Signal;Transmembrane;Transmembrane helix</t>
  </si>
  <si>
    <t>UniRef100_O76036;UniRef90_O76036;UniRef50_O76036</t>
  </si>
  <si>
    <t>S22A5_HUMAN</t>
  </si>
  <si>
    <t>Solute carrier family 22 member 5</t>
  </si>
  <si>
    <t>SLC22A5</t>
  </si>
  <si>
    <t>CY:1-19;TM:20-44;NC:45-141;TM:142-160;CY:161-171;TM:172-190;NC:191-195;TM:196-217;CY:218-228;TM:229-252;NC:253-257;TM:258-277;CY:278-339;TM:340-360;NC:361-371;TM:372-394;CY:395-400;TM:401-420;NC:421-430;TM:431-450;CY:451-461;TM:462-483;NC:484-488;TM:489-509;CY:510-557</t>
  </si>
  <si>
    <t>ENSG00000197375</t>
  </si>
  <si>
    <t>ENSP00000245407</t>
  </si>
  <si>
    <t>57;64;91</t>
  </si>
  <si>
    <t>N[115]HTVPLR</t>
  </si>
  <si>
    <t>O76082</t>
  </si>
  <si>
    <t>Alternative splicing;ATP-binding;Complete proteome;Disease mutation;Glycoprotein;Ion transport;Membrane;Nucleotide-binding;Phosphoprotein;Polymorphism;Reference proteome;Sodium;Sodium transport;Symport;Transmembrane;Transmembrane helix;Transport</t>
  </si>
  <si>
    <t>UniRef100_O76082;UniRef90_O76082;UniRef50_O76082</t>
  </si>
  <si>
    <t>DB00583</t>
  </si>
  <si>
    <t>OR7C1_HUMAN</t>
  </si>
  <si>
    <t>Olfactory receptor 7C1</t>
  </si>
  <si>
    <t>OR7C1</t>
  </si>
  <si>
    <t>NC:1-23;TM:24-48;CY:49-58;TM:59-78;NC:79-97;TM:98-120;CY:121-139;TM:140-158;NC:159-196;TM:197-219;CY:220-238;TM:239-260;NC:261-271;TM:272-291;CY:292-320</t>
  </si>
  <si>
    <t>ENSG00000127530</t>
  </si>
  <si>
    <t>ENSP00000248073</t>
  </si>
  <si>
    <t>UniRef100_O76099;UniRef90_O76099;UniRef50_O76099</t>
  </si>
  <si>
    <t>OR7AA_HUMAN</t>
  </si>
  <si>
    <t>Olfactory receptor 7A10</t>
  </si>
  <si>
    <t>OR7A10</t>
  </si>
  <si>
    <t>NC:1-24;TM:25-47;CY:48-58;TM:59-78;NC:79-97;TM:98-120;CY:121-139;TM:140-159;NC:160-196;TM:197-217;CY:218-237;TM:238-260;NC:261-271;TM:272-292;CY:293-309</t>
  </si>
  <si>
    <t>ENSG00000127515</t>
  </si>
  <si>
    <t>ENSP00000248058</t>
  </si>
  <si>
    <t>UniRef100_O76100;UniRef90_O76100;UniRef50_Q8NG98</t>
  </si>
  <si>
    <t>LY6H_HUMAN</t>
  </si>
  <si>
    <t>Lymphocyte antigen 6H</t>
  </si>
  <si>
    <t>LY6H</t>
  </si>
  <si>
    <t>SP:1-25;NC:26-140</t>
  </si>
  <si>
    <t>ENSG00000176956;ENSG00000274488</t>
  </si>
  <si>
    <t>ENSP00000409899;ENSP00000478470;ENSP00000480084;ENSP00000482094</t>
  </si>
  <si>
    <t>Alternative splicing;Cell membrane;Complete proteome;Disulfide bond;Glycoprotein;GPI-anchor;Lipoprotein;Membrane;Reference proteome;Signal</t>
  </si>
  <si>
    <t>UniRef100_O94772;UniRef90_O94772;UniRef50_O94772</t>
  </si>
  <si>
    <t>AQP8_HUMAN</t>
  </si>
  <si>
    <t>Aquaporin-8</t>
  </si>
  <si>
    <t>AQP8</t>
  </si>
  <si>
    <t>CY:1-34;TM:35-57;NC:58-79;TM:80-102;CY:103-109;TM:110-131;NC:132-153;TM:154-177;CY:178-184;TM:185-205;NC:206-227;TM:228-249;CY:250-261</t>
  </si>
  <si>
    <t>ENSG00000103375</t>
  </si>
  <si>
    <t>ENSP00000219660;ENSP00000454457</t>
  </si>
  <si>
    <t>59;85;139</t>
  </si>
  <si>
    <t>Complete proteome;Glycoprotein;Membrane;Polymorphism;Reference proteome;Repeat;Transmembrane;Transmembrane helix;Transport</t>
  </si>
  <si>
    <t>UniRef100_O94778;UniRef90_O94778;UniRef50_O94778</t>
  </si>
  <si>
    <t>CNTN5_HUMAN</t>
  </si>
  <si>
    <t>Contactin-5</t>
  </si>
  <si>
    <t>CNTN5</t>
  </si>
  <si>
    <t>SP:1-21;NC:22-1100</t>
  </si>
  <si>
    <t>ENSG00000149972</t>
  </si>
  <si>
    <t>ENSP00000435637;ENSP00000436185</t>
  </si>
  <si>
    <t>138;196;397;449;540;697;779;816;931;1002</t>
  </si>
  <si>
    <t>138;161;196;397;449;540;697;779;816;931;1002</t>
  </si>
  <si>
    <t>3D-structure;Alternative splicing;Cell adhesion;Cell membrane;Complete proteome;Disulfide bond;Glycoprotein;GPI-anchor;Immunoglobulin domain;Lipoprotein;Membrane;Polymorphism;Reference proteome;Repeat;Signal</t>
  </si>
  <si>
    <t>UniRef100_O94779;UniRef90_O94779;UniRef50_O94779</t>
  </si>
  <si>
    <t>NFASC_HUMAN</t>
  </si>
  <si>
    <t>Neurofascin</t>
  </si>
  <si>
    <t>NFASC</t>
  </si>
  <si>
    <t>SP:1-24;NC:25-1216;TM:1217-1238;CY:1239-1347</t>
  </si>
  <si>
    <t>ENSG00000163531</t>
  </si>
  <si>
    <t>ENSP00000416891</t>
  </si>
  <si>
    <t>305;409;446;483;654;752;778;838;973;984;988;1122;1133;1154;1331</t>
  </si>
  <si>
    <t>NGQGSNLDGGNYHVYEN[115]GSLEIK;EAWNN[115]VTVWGSR;YVAFN[115]GTK;QIVENFSPN[115]QTK;QIVEN[115]FSPN[115]QTK</t>
  </si>
  <si>
    <t>483;778;973;984;988</t>
  </si>
  <si>
    <t>O94856</t>
  </si>
  <si>
    <t>3D-structure;Alternative splicing;Cell adhesion;Cell membrane;Complete proteome;Disulfide bond;Glycoprotein;Immunoglobulin domain;Membrane;Phosphoprotein;Polymorphism;Reference proteome;Repeat;Signal;Transmembrane;Transmembrane helix</t>
  </si>
  <si>
    <t>UniRef100_O94856;UniRef90_O94856;UniRef50_O94856</t>
  </si>
  <si>
    <t>CSCL1_HUMAN</t>
  </si>
  <si>
    <t>CSC1-like protein 1</t>
  </si>
  <si>
    <t>TMEM63A</t>
  </si>
  <si>
    <t>NC:1-47;TM:48-71;CY:72-145;TM:146-166;NC:167-192;TM:193-211;CY:212-418;TM:419-442;NC:443-462;TM:463-485;CY:486-505;TM:506-532;NC:533-552;TM:553-575;CY:576-614;TM:615-641;NC:642-662;TM:663-685;CY:686-696;TM:697-720;NC:721-807</t>
  </si>
  <si>
    <t>ENSG00000196187</t>
  </si>
  <si>
    <t>ENSP00000355800</t>
  </si>
  <si>
    <t>Unknown_function;TMEM63</t>
  </si>
  <si>
    <t>28;38;165;410;426;450;782</t>
  </si>
  <si>
    <t>LGLGDRPN[115]DSYCYNSAK;LGDRPN[115]DSYCYNSAK;DRPN[115]DSYCYNSAK</t>
  </si>
  <si>
    <t>O94886</t>
  </si>
  <si>
    <t>Calcium;Complete proteome;Ion channel;Ion transport;Lysosome;Membrane;Polymorphism;Reference proteome;Transmembrane;Transmembrane helix;Transport</t>
  </si>
  <si>
    <t>UniRef100_O94886;UniRef90_O94886;UniRef50_O94886</t>
  </si>
  <si>
    <t>LRIG2_HUMAN</t>
  </si>
  <si>
    <t>Leucine-rich repeats and immunoglobulin-like domains protein 2</t>
  </si>
  <si>
    <t>LRIG2</t>
  </si>
  <si>
    <t>SP:1-39;NC:40-804;TM:805-829;CY:830-1065</t>
  </si>
  <si>
    <t>ENSG00000198799</t>
  </si>
  <si>
    <t>ENSP00000355396</t>
  </si>
  <si>
    <t>91;121;173;189;274;441;468;514;571;589;687;728</t>
  </si>
  <si>
    <t>Cell membrane (Single-pass type I membrane protein);Cytoplasm</t>
  </si>
  <si>
    <t>Cell membrane;Complete proteome;Cytoplasm;Disulfide bond;Glycoprotein;Immunoglobulin domain;Leucine-rich repeat;Membrane;Phosphoprotein;Reference proteome;Repeat;Signal;Transmembrane;Transmembrane helix</t>
  </si>
  <si>
    <t>UniRef100_O94898;UniRef90_O94898;UniRef50_Q96JA1</t>
  </si>
  <si>
    <t>LPHN1_HUMAN</t>
  </si>
  <si>
    <t>Latrophilin-1</t>
  </si>
  <si>
    <t>LPHN1</t>
  </si>
  <si>
    <t>SP:1-24;NC:25-860;TM:861-885;CY:886-895;TM:896-914;NC:915-924;TM:925-943;CY:944-964;TM:965-984;NC:985-1003;TM:1004-1026;CY:1027-1047;TM:1048-1071;NC:1072-1076;TM:1077-1100;CY:1101-1474</t>
  </si>
  <si>
    <t>ENSG00000072071</t>
  </si>
  <si>
    <t>ENSP00000340688</t>
  </si>
  <si>
    <t>98;531;640;742;801;806;827;1154;1171;1249</t>
  </si>
  <si>
    <t>Cell junction, synapse;Cell junction, synapse, presynaptic cell membrane;Cell junction, synapse, synaptosome;Cell membrane (Multi-pass membrane protein);Cell projection, axon;Cell projection, growth cone</t>
  </si>
  <si>
    <t>Alternative splicing;Autocatalytic cleavage;Cell junction;Cell membrane;Cell projection;Complete proteome;Disulfide bond;G-protein coupled receptor;Glycoprotein;Lectin;Membrane;Polymorphism;Receptor;Reference proteome;Signal;Synapse;Synaptosome;Transducer;Transmembrane;Transmembrane helix</t>
  </si>
  <si>
    <t>UniRef100_O94910;UniRef90_O88917-4;UniRef50_O88917</t>
  </si>
  <si>
    <t>ABCA8_HUMAN</t>
  </si>
  <si>
    <t>ATP-binding cassette sub-family A member 8</t>
  </si>
  <si>
    <t>ABCA8</t>
  </si>
  <si>
    <t>CY:1-30;TM:31-48;NC:49-223;TM:224-244;CY:245-263;TM:264-288;NC:289-293;TM:294-319;CY:320-327;TM:328-350;NC:351-356;TM:357-377;CY:378-396;TM:397-419;NC:420-821;TM:822-841;CY:842-980;TM:981-1000;NC:1001-1024;TM:1025-1048;CY:1049-1061;TM:1062-1084;NC:1085-1094;TM:1095-1116;CY:1117-1122;TM:1123-1145;NC:1146-1158;TM:1159-1180;CY:1181-1581</t>
  </si>
  <si>
    <t>ENSG00000141338</t>
  </si>
  <si>
    <t>ENSP00000269080</t>
  </si>
  <si>
    <t>Active_transporters;ABCA</t>
  </si>
  <si>
    <t>71;84;194;243;484;555;684;757;879;908;927;1230;1268;1333</t>
  </si>
  <si>
    <t>VDTFN[115]ESR;FSVVYTPVTN[115]TTQQIMNK</t>
  </si>
  <si>
    <t>71;84</t>
  </si>
  <si>
    <t>O94911</t>
  </si>
  <si>
    <t>Alternative splicing;ATP-binding;Cell membrane;Complete proteome;Glycoprotein;Membrane;Nucleotide-binding;Polymorphism;Reference proteome;Repeat;Transmembrane;Transmembrane helix;Transport</t>
  </si>
  <si>
    <t>UniRef100_O94911;UniRef90_O94911;UniRef50_O94911</t>
  </si>
  <si>
    <t>SLIK3_HUMAN</t>
  </si>
  <si>
    <t>SLIT and NTRK-like protein 3</t>
  </si>
  <si>
    <t>SLITRK3</t>
  </si>
  <si>
    <t>SP:1-28;NC:29-537;TM:538-555;CY:556-654;TM:655-679;NC:680-977</t>
  </si>
  <si>
    <t>constrained phobius - prefered over uniprot based on cspa - CSPA confirmed</t>
  </si>
  <si>
    <t>ENSG00000121871</t>
  </si>
  <si>
    <t>ENSP00000241274;ENSP00000420091</t>
  </si>
  <si>
    <t>68;142;171;235;399;430;596;804</t>
  </si>
  <si>
    <t>EN[115]HSN[115]YR</t>
  </si>
  <si>
    <t>O94933</t>
  </si>
  <si>
    <t>UniRef100_O94933;UniRef90_O94933;UniRef50_O94933</t>
  </si>
  <si>
    <t>SO2B1_HUMAN</t>
  </si>
  <si>
    <t>Solute carrier organic anion transporter family member 2B1</t>
  </si>
  <si>
    <t>SLCO2B1</t>
  </si>
  <si>
    <t>CY:1-49;TM:50-69;NC:70-88;TM:89-108;CY:109-117;TM:118-138;NC:139-186;TM:187-209;CY:210-228;TM:229-253;NC:254-272;TM:273-297;CY:298-371;TM:372-394;NC:395-405;TM:406-432;CY:433-440;TM:441-463;NC:464-562;TM:563-586;CY:587-595;TM:596-614;NC:615-651;TM:652-673;CY:674-709</t>
  </si>
  <si>
    <t>ENSG00000137491</t>
  </si>
  <si>
    <t>ENSP00000388912;ENSP00000389653</t>
  </si>
  <si>
    <t>146;176;350;538</t>
  </si>
  <si>
    <t>Alternative promoter usage;Alternative splicing;Cell membrane;Complete proteome;Disulfide bond;Glycoprotein;Ion transport;Membrane;Phosphoprotein;Polymorphism;Reference proteome;Transmembrane;Transmembrane helix;Transport</t>
  </si>
  <si>
    <t>UniRef100_O94956;UniRef90_O94956;UniRef50_O94956</t>
  </si>
  <si>
    <t>DB01049</t>
  </si>
  <si>
    <t>CSTN1_HUMAN</t>
  </si>
  <si>
    <t>Calsyntenin-1</t>
  </si>
  <si>
    <t>CLSTN1</t>
  </si>
  <si>
    <t>SP:1-28;NC:29-858;TM:859-881;CY:882-981</t>
  </si>
  <si>
    <t>ENSG00000171603</t>
  </si>
  <si>
    <t>ENSP00000366513</t>
  </si>
  <si>
    <t>StructuralAndAdhesion;Calsyntenin</t>
  </si>
  <si>
    <t>346;366;515;965</t>
  </si>
  <si>
    <t>Cell junction, synapse, postsynaptic cell membrane (Single-pass type I membrane protein);Cell projection;Endoplasmic reticulum membrane (Single-pass type I membrane protein);Golgi apparatus membrane;Nucleus</t>
  </si>
  <si>
    <t>Alternative splicing;Calcium;Cell adhesion;Cell junction;Cell membrane;Cell projection;Complete proteome;Direct protein sequencing;Endoplasmic reticulum;Glycoprotein;Golgi apparatus;Membrane;Nucleus;Polymorphism;Postsynaptic cell membrane;Reference proteome;Repeat;Signal;Synapse;Transmembrane;Transmembrane helix</t>
  </si>
  <si>
    <t>UniRef100_O94985;UniRef90_Q9EPL2;UniRef50_Q9EPL2</t>
  </si>
  <si>
    <t>Endoplasmic Reticulum;Golgi apparatus;Nucleus</t>
  </si>
  <si>
    <t>Cytoskeleton;Cytosol;Endosome;Lysosome;Mitochondrion;Peroxisome</t>
  </si>
  <si>
    <t>SLIK5_HUMAN</t>
  </si>
  <si>
    <t>SLIT and NTRK-like protein 5</t>
  </si>
  <si>
    <t>SLITRK5</t>
  </si>
  <si>
    <t>SP:1-38;NC:39-664;TM:665-688;CY:689-958</t>
  </si>
  <si>
    <t>ENSG00000165300</t>
  </si>
  <si>
    <t>ENSP00000366283</t>
  </si>
  <si>
    <t>103;238;644;695;703</t>
  </si>
  <si>
    <t>Alternative splicing;Complete proteome;Glycoprotein;Leucine-rich repeat;Membrane;Reference proteome;Repeat;Signal;Transmembrane;Transmembrane helix</t>
  </si>
  <si>
    <t>UniRef100_O94991;UniRef90_Q810B7;UniRef50_Q810B7</t>
  </si>
  <si>
    <t>OR2F2_HUMAN</t>
  </si>
  <si>
    <t>Olfactory receptor 2F2</t>
  </si>
  <si>
    <t>OR2F2</t>
  </si>
  <si>
    <t>NC:1-24;TM:25-48;CY:49-59;TM:60-81;NC:82-98;TM:99-120;CY:121-139;TM:140-160;NC:161-196;TM:197-219;CY:220-239;TM:240-261;NC:262-272;TM:273-292;CY:293-317</t>
  </si>
  <si>
    <t>ENSG00000221910</t>
  </si>
  <si>
    <t>ENSP00000386222</t>
  </si>
  <si>
    <t>UniRef100_O95006;UniRef90_Q13607;UniRef50_Q13607</t>
  </si>
  <si>
    <t>OR6B1_HUMAN</t>
  </si>
  <si>
    <t>Olfactory receptor 6B1</t>
  </si>
  <si>
    <t>OR6B1</t>
  </si>
  <si>
    <t>NC:1-24;TM:25-48;CY:49-59;TM:60-79;NC:80-98;TM:99-120;CY:121-139;TM:140-162;NC:163-199;TM:200-223;CY:224-234;TM:235-258;NC:259-270;TM:271-290;CY:291-311</t>
  </si>
  <si>
    <t>ENSG00000221813</t>
  </si>
  <si>
    <t>ENSP00000386151</t>
  </si>
  <si>
    <t>5;65;89;186</t>
  </si>
  <si>
    <t>UniRef100_O95007;UniRef90_O95007;UniRef50_O95007</t>
  </si>
  <si>
    <t>O4F21_HUMAN</t>
  </si>
  <si>
    <t>Olfactory receptor 4F21</t>
  </si>
  <si>
    <t>OR4F21</t>
  </si>
  <si>
    <t>NC:1-22;TM:23-47;CY:48-58;TM:59-78;NC:79-97;TM:98-120;CY:121-140;TM:141-163;NC:164-201;TM:202-225;CY:226-236;TM:237-258;NC:259-269;TM:270-289;CY:290-312</t>
  </si>
  <si>
    <t>ENSG00000176269</t>
  </si>
  <si>
    <t>ENSP00000318878</t>
  </si>
  <si>
    <t>UniRef100_O95013;UniRef90_Q6IEY1;UniRef50_Q6IEY1</t>
  </si>
  <si>
    <t>OR2A4_HUMAN</t>
  </si>
  <si>
    <t>Olfactory receptor 2A4</t>
  </si>
  <si>
    <t>OR2A4</t>
  </si>
  <si>
    <t>NC:1-22;TM:23-48;CY:49-58;TM:59-81;NC:82-100;TM:101-123;CY:124-136;TM:137-161;NC:162-199;TM:200-224;CY:225-235;TM:236-260;NC:261-271;TM:272-291;CY:292-310</t>
  </si>
  <si>
    <t>ENSG00000180658</t>
  </si>
  <si>
    <t>ENSP00000319546</t>
  </si>
  <si>
    <t>Cell membrane;Complete proteome;G-protein coupled receptor;Glycoprotein;Membrane;Olfaction;Receptor;Reference proteome;Sensory transduction;Transducer;Transmembrane;Transmembrane helix</t>
  </si>
  <si>
    <t>UniRef100_O95047;UniRef90_O95047;UniRef50_O95047</t>
  </si>
  <si>
    <t>S1PR2_HUMAN</t>
  </si>
  <si>
    <t>Sphingosine 1-phosphate receptor 2</t>
  </si>
  <si>
    <t>S1PR2</t>
  </si>
  <si>
    <t>NC:1-34;TM:35-58;CY:59-68;TM:69-91;NC:92-110;TM:111-128;CY:129-148;TM:149-169;NC:170-188;TM:189-210;CY:211-229;TM:230-254;NC:255-269;TM:270-290;CY:291-353</t>
  </si>
  <si>
    <t>ENSG00000267534</t>
  </si>
  <si>
    <t>ENSP00000466933</t>
  </si>
  <si>
    <t>342;343;345</t>
  </si>
  <si>
    <t>VQEHYN[115]YTK;QEHYN[115]YTK</t>
  </si>
  <si>
    <t>O95136</t>
  </si>
  <si>
    <t>3D-structure;Cell membrane;Complete proteome;G-protein coupled receptor;Glycoprotein;Lipoprotein;Membrane;Palmitate;Receptor;Reference proteome;Transducer;Transmembrane;Transmembrane helix</t>
  </si>
  <si>
    <t>UniRef100_O95136;UniRef90_O95136;UniRef50_Q9I8K8</t>
  </si>
  <si>
    <t>TNF15_HUMAN</t>
  </si>
  <si>
    <t>Tumor necrosis factor ligand superfamily member 15</t>
  </si>
  <si>
    <t>TNFSF15</t>
  </si>
  <si>
    <t>CY:1-34;TM:35-55;NC:56-251</t>
  </si>
  <si>
    <t>ENSG00000181634</t>
  </si>
  <si>
    <t>ENSP00000363157</t>
  </si>
  <si>
    <t>133;229</t>
  </si>
  <si>
    <t>Membrane (Single-pass type II membrane protein);Secreted</t>
  </si>
  <si>
    <t>3D-structure;Alternative splicing;Complete proteome;Cytokine;Direct protein sequencing;Disulfide bond;Glycoprotein;Membrane;Polymorphism;Reference proteome;Secreted;Signal-anchor;Transmembrane;Transmembrane helix</t>
  </si>
  <si>
    <t>UniRef100_O95150;UniRef90_O95150;UniRef50_O95150</t>
  </si>
  <si>
    <t>UNC5C_HUMAN</t>
  </si>
  <si>
    <t>Netrin receptor UNC5C</t>
  </si>
  <si>
    <t>UNC5C</t>
  </si>
  <si>
    <t>SP:1-39;NC:40-377;TM:378-402;CY:403-931</t>
  </si>
  <si>
    <t>ENSG00000182168</t>
  </si>
  <si>
    <t>ENSP00000406022</t>
  </si>
  <si>
    <t>IG;NetrinR</t>
  </si>
  <si>
    <t>236;361;483;519;643;663;812;905</t>
  </si>
  <si>
    <t>99;141;147;201;263;266;269;319;322;325;335;620;633;753;770;866;896</t>
  </si>
  <si>
    <t>Alternative splicing;Apoptosis;Complete proteome;Developmental protein;Disulfide bond;Glycoprotein;Immunoglobulin domain;Membrane;Phosphoprotein;Polymorphism;Receptor;Reference proteome;Repeat;Signal;Transmembrane;Transmembrane helix</t>
  </si>
  <si>
    <t>UniRef100_O95185;UniRef90_O08747;UniRef50_Q8IZJ1</t>
  </si>
  <si>
    <t>CSPG5_HUMAN</t>
  </si>
  <si>
    <t>Chondroitin sulfate proteoglycan 5</t>
  </si>
  <si>
    <t>CSPG5</t>
  </si>
  <si>
    <t>SP:1-33;NC:34-418;TM:419-444;CY:445-566</t>
  </si>
  <si>
    <t>ENSG00000114646</t>
  </si>
  <si>
    <t>ENSP00000373244</t>
  </si>
  <si>
    <t>57;355;367;473;564</t>
  </si>
  <si>
    <t>GSPAWEPPAN[115]DTR;DLASSEN[115]GTECR</t>
  </si>
  <si>
    <t>57;355</t>
  </si>
  <si>
    <t>O95196</t>
  </si>
  <si>
    <t>Cell membrane (Single-pass type I membrane protein);Endoplasmic reticulum membrane (Single-pass type I membrane protein);Golgi apparatus membrane (Single-pass type I membrane protein)</t>
  </si>
  <si>
    <t>Alternative splicing;Cell membrane;Complete proteome;Developmental protein;Differentiation;Disulfide bond;EGF-like domain;Endoplasmic reticulum;Glycoprotein;Golgi apparatus;Growth regulation;Membrane;Neurogenesis;Phosphoprotein;Polymorphism;Proteoglycan;Reference proteome;Signal;Transmembrane;Transmembrane helix</t>
  </si>
  <si>
    <t>UniRef100_O95196;UniRef90_O95196;UniRef50_O95196</t>
  </si>
  <si>
    <t>PCDH8_HUMAN</t>
  </si>
  <si>
    <t>Protocadherin-8</t>
  </si>
  <si>
    <t>PCDH8</t>
  </si>
  <si>
    <t>SP:1-29;NC:30-749;TM:750-773;CY:774-1070</t>
  </si>
  <si>
    <t>ENSG00000136099</t>
  </si>
  <si>
    <t>ENSP00000367177</t>
  </si>
  <si>
    <t>70;464;616;925</t>
  </si>
  <si>
    <t>Cell junction, synapse, postsynaptic cell membrane;Cell junction, synapse, presynaptic cell membrane;Cell membrane (Single-pass type I membrane protein);Cell projection, dendrite</t>
  </si>
  <si>
    <t>Alternative splicing;Calcium;Cell adhesion;Cell junction;Cell membrane;Cell projection;Complete proteome;Glycoprotein;Membrane;Polymorphism;Postsynaptic cell membrane;Reference proteome;Repeat;Signal;Synapse;Transmembrane;Transmembrane helix</t>
  </si>
  <si>
    <t>UniRef100_O95206;UniRef90_O95206;UniRef50_O95206</t>
  </si>
  <si>
    <t>OR5F1_HUMAN</t>
  </si>
  <si>
    <t>Olfactory receptor 5F1</t>
  </si>
  <si>
    <t>OR5F1</t>
  </si>
  <si>
    <t>NC:1-24;TM:25-48;CY:49-59;TM:60-78;NC:79-98;TM:99-120;CY:121-139;TM:140-158;NC:159-199;TM:200-222;CY:223-240;TM:241-260;NC:261-271;TM:272-292;CY:293-314</t>
  </si>
  <si>
    <t>ENSG00000149133</t>
  </si>
  <si>
    <t>ENSP00000278409</t>
  </si>
  <si>
    <t>5;65;73;159</t>
  </si>
  <si>
    <t>UniRef100_O95221;UniRef90_O95221;UniRef50_Q8WZ84</t>
  </si>
  <si>
    <t>OR6A2_HUMAN</t>
  </si>
  <si>
    <t>Olfactory receptor 6A2</t>
  </si>
  <si>
    <t>OR6A2</t>
  </si>
  <si>
    <t>NC:1-23;TM:24-48;CY:49-59;TM:60-79;NC:80-105;TM:106-125;CY:126-144;TM:145-167;NC:168-204;TM:205-226;CY:227-245;TM:246-265;NC:266-277;TM:278-297;CY:298-327</t>
  </si>
  <si>
    <t>ENSG00000184933</t>
  </si>
  <si>
    <t>ENSP00000330384</t>
  </si>
  <si>
    <t>5;52;66;191</t>
  </si>
  <si>
    <t>UniRef100_O95222;UniRef90_O95222;UniRef50_O95222</t>
  </si>
  <si>
    <t>I18RA_HUMAN</t>
  </si>
  <si>
    <t>Interleukin-18 receptor accessory protein</t>
  </si>
  <si>
    <t>IL18RAP</t>
  </si>
  <si>
    <t>SP:1-14;NC:15-358;TM:359-382;CY:383-599</t>
  </si>
  <si>
    <t>ENSG00000115607</t>
  </si>
  <si>
    <t>ENSP00000264260</t>
  </si>
  <si>
    <t>CD218b</t>
  </si>
  <si>
    <t>IG;Type1;CytokineR</t>
  </si>
  <si>
    <t>21;119;152;345</t>
  </si>
  <si>
    <t>Alternative splicing;Complete proteome;Disulfide bond;Glycoprotein;Immunoglobulin domain;Membrane;Polymorphism;Receptor;Reference proteome;Repeat;Signal;Transmembrane;Transmembrane helix</t>
  </si>
  <si>
    <t>UniRef100_O95256;UniRef90_O95256;UniRef50_O95256</t>
  </si>
  <si>
    <t>5HT3B_HUMAN</t>
  </si>
  <si>
    <t>5-hydroxytryptamine receptor 3B</t>
  </si>
  <si>
    <t>HTR3B</t>
  </si>
  <si>
    <t>SP:1-21;NC:22-239;TM:240-259;CY:260-270;TM:271-288;NC:289-300;TM:301-324;CY:325-416;TM:417-437;NC:438-441</t>
  </si>
  <si>
    <t>ENSG00000149305</t>
  </si>
  <si>
    <t>ENSP00000260191</t>
  </si>
  <si>
    <t>52;96;138;168;203;287</t>
  </si>
  <si>
    <t>UniRef100_O95264;UniRef90_O95264;UniRef50_O95264</t>
  </si>
  <si>
    <t>LYPD3_HUMAN</t>
  </si>
  <si>
    <t>Ly6/PLAUR domain-containing protein 3</t>
  </si>
  <si>
    <t>LYPD3</t>
  </si>
  <si>
    <t>SP:1-30;NC:31-346</t>
  </si>
  <si>
    <t>ENSG00000124466</t>
  </si>
  <si>
    <t>ENSP00000244333</t>
  </si>
  <si>
    <t>118;129;163;176;183;227</t>
  </si>
  <si>
    <t>258;260;277</t>
  </si>
  <si>
    <t>ALDPAGN[115]ESAYPPNGVECYSCVGLSR;ALDPAGN[115]ESAYPPN[115]GVECY;EACQGTSPPVVSCYN[115]ASDHVYK;PPVVSCYN[115]ASDHVYK;GCFDGN[115]VTLTAAN[115]VTVSLPVR;AAN[115]VTVSLPVR</t>
  </si>
  <si>
    <t>129;163;176;183</t>
  </si>
  <si>
    <t>O95274</t>
  </si>
  <si>
    <t>Cell membrane;Complete proteome;Direct protein sequencing;Glycoprotein;GPI-anchor;Lipoprotein;Membrane;Reference proteome;Repeat;Signal</t>
  </si>
  <si>
    <t>UniRef100_O95274;UniRef90_O95274;UniRef50_O95274</t>
  </si>
  <si>
    <t>KCNK5_HUMAN</t>
  </si>
  <si>
    <t>Potassium channel subfamily K member 5</t>
  </si>
  <si>
    <t>KCNK5</t>
  </si>
  <si>
    <t>CY:1-7;TM:8-26;NC:27-84;IM:85-112;TM:113-133;CY:134-157;TM:158-180;NC:181-189;IM:190-215;NC:216-229;TM:230-250;CY:251-499</t>
  </si>
  <si>
    <t>ENSG00000164626</t>
  </si>
  <si>
    <t>ENSP00000352527</t>
  </si>
  <si>
    <t>Channels;Voltage_gated_ion_channels;Two-p_K_channels</t>
  </si>
  <si>
    <t>Complete proteome;Disulfide bond;Glycoprotein;Ion channel;Ion transport;Membrane;Phosphoprotein;Polymorphism;Potassium;Potassium channel;Potassium transport;Reference proteome;Transmembrane;Transmembrane helix;Transport;Voltage-gated channel</t>
  </si>
  <si>
    <t>UniRef100_O95279;UniRef90_O95279;UniRef50_O95279</t>
  </si>
  <si>
    <t>MPZL1_HUMAN</t>
  </si>
  <si>
    <t>Myelin protein zero-like protein 1</t>
  </si>
  <si>
    <t>MPZL1</t>
  </si>
  <si>
    <t>SP:1-37;NC:38-162;TM:163-189;CY:190-269</t>
  </si>
  <si>
    <t>ENSG00000197965</t>
  </si>
  <si>
    <t>ENSP00000352513</t>
  </si>
  <si>
    <t>50;130;256</t>
  </si>
  <si>
    <t>50;130</t>
  </si>
  <si>
    <t>LEVYTPKEIFVAN[115]GTQGK;EIFVAN[115]GTQGK;IFVAN[115]GTQGK;FVAN[115]GTQGK;DASINIENMQFIHN[115]GTYICDVK;DASINIEN[115]MQFIHN[115]GTYICDVK;FIHN[115]GTYICDVK;IHN[115]GTYICDVK</t>
  </si>
  <si>
    <t>O95297</t>
  </si>
  <si>
    <t>Alternative splicing;Complete proteome;Direct protein sequencing;Disulfide bond;Glycoprotein;Immunoglobulin domain;Membrane;Phosphoprotein;Reference proteome;Signal;Transmembrane;Transmembrane helix</t>
  </si>
  <si>
    <t>UniRef100_O95297;UniRef90_O95297;UniRef50_O95297</t>
  </si>
  <si>
    <t>ABCBB_HUMAN</t>
  </si>
  <si>
    <t>Bile salt export pump</t>
  </si>
  <si>
    <t>ABCB11</t>
  </si>
  <si>
    <t>CY:1-58;TM:59-83;NC:84-143;TM:144-167;CY:168-216;TM:217-236;NC:237-241;TM:242-263;CY:264-319;TM:320-343;NC:344-354;TM:355-374;CY:375-751;TM:752-775;NC:776-794;TM:795-820;CY:821-875;TM:876-894;NC:895-899;TM:900-917;CY:918-978;TM:979-998;NC:999-1014;TM:1015-1035;CY:1036-1321</t>
  </si>
  <si>
    <t>ENSG00000073734</t>
  </si>
  <si>
    <t>ENSP00000263817</t>
  </si>
  <si>
    <t>Active_transporters;ABCB</t>
  </si>
  <si>
    <t>109;116;122;125;375;424;591;765;885</t>
  </si>
  <si>
    <t>109;122;125;424;765;885</t>
  </si>
  <si>
    <t>ATP-binding;Complete proteome;Disease mutation;Glycoprotein;Intrahepatic cholestasis;Membrane;Nucleotide-binding;Phosphoprotein;Polymorphism;Reference proteome;Repeat;Transmembrane;Transmembrane helix;Transport</t>
  </si>
  <si>
    <t>UniRef100_O95342;UniRef90_O95342;UniRef50_O95342</t>
  </si>
  <si>
    <t>Cytoskeleton;Cytosol;Endoplasmic Reticulum;Endosome;Extracellular space;Lysosome;Mitochondrion;Nucleus;Peroxisome</t>
  </si>
  <si>
    <t>OR2C1_HUMAN</t>
  </si>
  <si>
    <t>Olfactory receptor 2C1</t>
  </si>
  <si>
    <t>OR2C1</t>
  </si>
  <si>
    <t>NC:1-24;TM:25-48;CY:49-59;TM:60-81;NC:82-100;TM:101-120;CY:121-139;TM:140-158;NC:159-197;TM:198-221;CY:222-240;TM:241-261;NC:262-272;TM:273-292;CY:293-312</t>
  </si>
  <si>
    <t>ENSG00000168158</t>
  </si>
  <si>
    <t>ENSP00000307726</t>
  </si>
  <si>
    <t>UniRef100_O95371;UniRef90_O95371;UniRef50_O95371</t>
  </si>
  <si>
    <t>CXB5_HUMAN</t>
  </si>
  <si>
    <t>Gap junction beta-5 protein</t>
  </si>
  <si>
    <t>GJB5</t>
  </si>
  <si>
    <t>CY:1-19;TM:20-39;NC:40-75;TM:76-97;CY:98-126;TM:127-149;NC:150-185;TM:186-209;CY:210-273</t>
  </si>
  <si>
    <t>ENSG00000189280</t>
  </si>
  <si>
    <t>ENSP00000340811</t>
  </si>
  <si>
    <t>Cell junction;Cell membrane;Complete proteome;Gap junction;Membrane;Reference proteome;Transmembrane;Transmembrane helix</t>
  </si>
  <si>
    <t>UniRef100_O95377;UniRef90_O95377;UniRef50_O75712</t>
  </si>
  <si>
    <t>NPT2B_HUMAN</t>
  </si>
  <si>
    <t>Sodium-dependent phosphate transport protein 2B</t>
  </si>
  <si>
    <t>SLC34A2</t>
  </si>
  <si>
    <t>CY:1-99;TM:100-122;NC:123-137;TM:138-157;CY:158-212;TM:213-232;NC:233-362;TM:363-387;CY:388-408;TM:409-430;NC:431-484;TM:485-505;CY:506-524;TM:525-546;NC:547-552;TM:553-575;CY:576-690</t>
  </si>
  <si>
    <t>ENSG00000157765</t>
  </si>
  <si>
    <t>ENSP00000371483</t>
  </si>
  <si>
    <t>SLC;Other;SLC34</t>
  </si>
  <si>
    <t>36;136;295;308;313;321;335;340;495;520;667</t>
  </si>
  <si>
    <t>36;308;313;321;335;340;667</t>
  </si>
  <si>
    <t>Alternative splicing;Complete proteome;Disease mutation;Disulfide bond;Glycoprotein;Ion transport;Membrane;Polymorphism;Reference proteome;Sodium;Sodium transport;Symport;Transmembrane;Transmembrane helix;Transport</t>
  </si>
  <si>
    <t>UniRef100_O95436;UniRef90_O95436;UniRef50_Q06496</t>
  </si>
  <si>
    <t>CXB6_HUMAN</t>
  </si>
  <si>
    <t>Gap junction beta-6 protein</t>
  </si>
  <si>
    <t>GJB6</t>
  </si>
  <si>
    <t>CY:1-21;TM:22-41;NC:42-76;TM:77-98;CY:99-131;TM:132-158;NC:159-190;TM:191-215;CY:216-261</t>
  </si>
  <si>
    <t>ENSG00000121742</t>
  </si>
  <si>
    <t>ENSP00000241124;ENSP00000348521;ENSP00000382938;ENSP00000382939</t>
  </si>
  <si>
    <t>Cell junction;Cell membrane;Complete proteome;Deafness;Disease mutation;Ectodermal dysplasia;Gap junction;Hearing;Membrane;Non-syndromic deafness;Palmoplantar keratoderma;Polymorphism;Reference proteome;Transmembrane;Transmembrane helix</t>
  </si>
  <si>
    <t>UniRef100_O95452;UniRef90_O95452;UniRef50_P29033</t>
  </si>
  <si>
    <t>CLD7_HUMAN</t>
  </si>
  <si>
    <t>Claudin-7</t>
  </si>
  <si>
    <t>CLDN7</t>
  </si>
  <si>
    <t>CY:1-7;TM:8-30;NC:31-78;TM:79-99;CY:100-118;TM:119-141;NC:142-160;TM:161-183;CY:184-211</t>
  </si>
  <si>
    <t>ENSG00000181885</t>
  </si>
  <si>
    <t>ENSP00000353475;ENSP00000396638</t>
  </si>
  <si>
    <t>189;205</t>
  </si>
  <si>
    <t>18;30;51;139;169</t>
  </si>
  <si>
    <t>Cell junction, tight junction;Cell membrane (Multi-pass membrane protein);Lateral cell membrane</t>
  </si>
  <si>
    <t>Alternative splicing;Cell junction;Cell membrane;Complete proteome;Membrane;Phosphoprotein;Polymorphism;Reference proteome;Tight junction;Transmembrane;Transmembrane helix</t>
  </si>
  <si>
    <t>UniRef100_O95471;UniRef90_O95471;UniRef50_O95471</t>
  </si>
  <si>
    <t>ABCA1_HUMAN</t>
  </si>
  <si>
    <t>ATP-binding cassette sub-family A member 1</t>
  </si>
  <si>
    <t>ABCA1</t>
  </si>
  <si>
    <t>CY:1-24;TM:25-44;NC:45-640;TM:641-660;CY:661-679;TM:680-704;NC:705-715;TM:716-736;CY:737-743;TM:744-763;NC:764-773;TM:774-796;CY:797-827;TM:828-848;NC:849-1040;TM:1041-1059;CY:1060-1346;TM:1347-1369;NC:1370-1654;TM:1655-1677;CY:1678-1696;TM:1697-1722;NC:1723-1734;TM:1735-1754;CY:1755-1765;TM:1766-1788;NC:1789-1801;TM:1802-1820;CY:1821-1852;TM:1853-1874;NC:1875-2261</t>
  </si>
  <si>
    <t>ENSG00000165029</t>
  </si>
  <si>
    <t>ENSP00000363868</t>
  </si>
  <si>
    <t>14;98;151;161;196;244;292;337;349;400;478;489;521;820;1144;1294;1453;1504;1637;1780;2044;2238</t>
  </si>
  <si>
    <t>14;98;151;161;196;244;292;337;349;400;478;489;521;820;1144;1294;1453;1458;1504;1623;1637;1780;2044;2238</t>
  </si>
  <si>
    <t>LQDFLVDN[115]ETFSGFLYHN[115]LSLPK;TLN[115]STSPFPSK;HPEDVQSSN[115]GSVY;HPEDVQSSN[115]GSVYTWR;PEDVQSSN[115]GSVYTWR;EAFN[115]ETNQAIR;LEPIATEVWLIN[115]K</t>
  </si>
  <si>
    <t>151;161;244;478;489;521</t>
  </si>
  <si>
    <t>O95477</t>
  </si>
  <si>
    <t>Atherosclerosis;ATP-binding;Cholesterol metabolism;Complete proteome;Disease mutation;Disulfide bond;Glycoprotein;Lipid metabolism;Lipoprotein;Membrane;Nucleotide-binding;Palmitate;Phosphoprotein;Polymorphism;Reference proteome;Repeat;Steroid metabolism;Sterol metabolism;Transmembrane;Transmembrane helix;Transport</t>
  </si>
  <si>
    <t>UniRef100_O95477;UniRef90_O95477;UniRef50_O95477</t>
  </si>
  <si>
    <t>DB00171;DB01016;DB01599</t>
  </si>
  <si>
    <t>CLD9_HUMAN</t>
  </si>
  <si>
    <t>Claudin-9</t>
  </si>
  <si>
    <t>CLDN9</t>
  </si>
  <si>
    <t>CY:1-8;TM:9-30;NC:31-78;TM:79-102;CY:103-116;TM:117-142;NC:143-162;TM:163-184;CY:185-217</t>
  </si>
  <si>
    <t>ENSG00000213937</t>
  </si>
  <si>
    <t>ENSP00000398017</t>
  </si>
  <si>
    <t>Cell junction;Cell membrane;Complete proteome;Host-virus interaction;Membrane;Reference proteome;Tight junction;Transmembrane;Transmembrane helix</t>
  </si>
  <si>
    <t>UniRef100_O95484;UniRef90_O95484;UniRef50_O15551</t>
  </si>
  <si>
    <t>LPHN2_HUMAN</t>
  </si>
  <si>
    <t>Latrophilin-2</t>
  </si>
  <si>
    <t>LPHN2</t>
  </si>
  <si>
    <t>SP:1-25;NC:26-848;TM:849-872;CY:873-881;TM:882-900;NC:901-905;TM:906-930;CY:931-951;TM:952-971;NC:972-990;TM:991-1014;CY:1015-1034;TM:1035-1058;NC:1059-1063;TM:1064-1087;CY:1088-1459</t>
  </si>
  <si>
    <t>ENSG00000117114</t>
  </si>
  <si>
    <t>ENSP00000359752;ENSP00000359763</t>
  </si>
  <si>
    <t>99;331;520;629;731;744;787;792;813;1141;1158;1231;1242;1255</t>
  </si>
  <si>
    <t>SVYQDN[115]ESETGK;GPDLSN[115]CTSH;GPDLSN[115]CTSHWVN;GPDLSN[115]CTSHWVNQLAQK;SLGQFLSTEN[115]ATIK;N[115]STIAVNSHVISVSINK</t>
  </si>
  <si>
    <t>331;520;731;744</t>
  </si>
  <si>
    <t>O95490</t>
  </si>
  <si>
    <t>Alternative splicing;Cell membrane;Complete proteome;Disulfide bond;G-protein coupled receptor;Glycoprotein;Lectin;Membrane;Phosphoprotein;Receptor;Reference proteome;Signal;Transducer;Transmembrane;Transmembrane helix</t>
  </si>
  <si>
    <t>UniRef100_O95490;UniRef90_O95490;UniRef50_O88923</t>
  </si>
  <si>
    <t>VNN1_HUMAN</t>
  </si>
  <si>
    <t>Pantetheinase</t>
  </si>
  <si>
    <t>VNN1</t>
  </si>
  <si>
    <t>SP:1-21;NC:22-513</t>
  </si>
  <si>
    <t>ENSG00000112299</t>
  </si>
  <si>
    <t>ENSP00000356905</t>
  </si>
  <si>
    <t>38;130;200;283;315;353;487</t>
  </si>
  <si>
    <t>318;321;322</t>
  </si>
  <si>
    <t>VYEHAAILPN[115]ATLTPVSR;AAILPN[115]ATLTPVSR;ILPN[115]ATLTPVSR;MTGSGIYAPN[115]SSR;TGSGIYAPN[115]SSR;LTGVAGN[115]YTVCQK</t>
  </si>
  <si>
    <t>38;283;353</t>
  </si>
  <si>
    <t>O95497</t>
  </si>
  <si>
    <t>Cell membrane;Complete proteome;Glycoprotein;GPI-anchor;Hydrolase;Lipoprotein;Membrane;Polymorphism;Reference proteome;Signal</t>
  </si>
  <si>
    <t>UniRef100_O95497;UniRef90_O95497;UniRef50_O95497</t>
  </si>
  <si>
    <t>VNN2_HUMAN</t>
  </si>
  <si>
    <t>Vascular non-inflammatory molecule 2</t>
  </si>
  <si>
    <t>VNN2</t>
  </si>
  <si>
    <t>SP:1-23;NC:24-520</t>
  </si>
  <si>
    <t>ENSG00000112303</t>
  </si>
  <si>
    <t>ENSP00000322276</t>
  </si>
  <si>
    <t>39;273;347;357;411;468</t>
  </si>
  <si>
    <t>TTN[115]LTTCGR;TTN[115]LTTCGRPVETASTR</t>
  </si>
  <si>
    <t>O95498</t>
  </si>
  <si>
    <t>Alternative splicing;Cell membrane;Complete proteome;Glycoprotein;GPI-anchor;Hydrolase;Lipoprotein;Membrane;Polymorphism;Reference proteome;Signal</t>
  </si>
  <si>
    <t>UniRef100_O95498;UniRef90_O95498;UniRef50_Q9Z0K8</t>
  </si>
  <si>
    <t>GTR10_HUMAN</t>
  </si>
  <si>
    <t>Solute carrier family 2, facilitated glucose transporter member 10</t>
  </si>
  <si>
    <t>SLC2A10</t>
  </si>
  <si>
    <t>CY:1-11;TM:12-36;NC:37-48;TM:49-70;CY:71-79;TM:80-100;NC:101-105;TM:106-126;CY:127-134;TM:135-156;NC:157-166;TM:167-187;CY:188-232;TM:233-257;NC:258-268;TM:269-291;CY:292-297;TM:298-321;NC:322-409;TM:410-435;CY:436-446;TM:447-467;NC:468-475;TM:476-497;CY:498-541</t>
  </si>
  <si>
    <t>ENSG00000197496</t>
  </si>
  <si>
    <t>ENSP00000352216</t>
  </si>
  <si>
    <t>SLC;MFS;SLC2</t>
  </si>
  <si>
    <t>334;526</t>
  </si>
  <si>
    <t>Cytoplasm, perinuclear region;Endomembrane system (Multi-pass membrane protein)</t>
  </si>
  <si>
    <t>Complete proteome;Cytoplasm;Disease mutation;Glycoprotein;Membrane;Polymorphism;Reference proteome;Sugar transport;Transmembrane;Transmembrane helix;Transport</t>
  </si>
  <si>
    <t>UniRef100_O95528;UniRef90_O95528;UniRef50_O95528</t>
  </si>
  <si>
    <t>ADCY5_HUMAN</t>
  </si>
  <si>
    <t>Adenylate cyclase type 5</t>
  </si>
  <si>
    <t>ADCY5</t>
  </si>
  <si>
    <t>CY:1-196;TM:197-216;NC:217-239;TM:240-259;CY:260-269;TM:270-292;NC:293-297;TM:298-319;CY:320-327;TM:328-347;NC:348-378;TM:379-399;CY:400-763;TM:764-786;NC:787-791;TM:792-813;CY:814-833;TM:834-854;NC:855-908;TM:909-927;CY:928-933;TM:934-955;NC:956-983;TM:984-1004;CY:1005-1261</t>
  </si>
  <si>
    <t>ENSG00000173175</t>
  </si>
  <si>
    <t>ENSP00000419361</t>
  </si>
  <si>
    <t>238;467;833;870;887;972;1079;1136</t>
  </si>
  <si>
    <t>8;54;128;145;190</t>
  </si>
  <si>
    <t>Alternative splicing;ATP-binding;cAMP biosynthesis;Cell projection;Cilium;Complete proteome;Disease mutation;Glycoprotein;Lyase;Magnesium;Membrane;Metal-binding;Nucleotide-binding;Phosphoprotein;Reference proteome;Repeat;Transmembrane;Transmembrane helix</t>
  </si>
  <si>
    <t>UniRef100_O95622;UniRef90_O95622;UniRef50_O43306</t>
  </si>
  <si>
    <t>NTR2_HUMAN</t>
  </si>
  <si>
    <t>Neurotensin receptor type 2</t>
  </si>
  <si>
    <t>NTSR2</t>
  </si>
  <si>
    <t>NC:1-31;TM:32-53;CY:54-70;TM:71-91;NC:92-110;TM:111-131;CY:132-151;TM:152-174;NC:175-213;TM:214-236;CY:237-296;TM:297-315;NC:316-334;TM:335-358;CY:359-410</t>
  </si>
  <si>
    <t>ENSG00000169006</t>
  </si>
  <si>
    <t>ENSP00000303686</t>
  </si>
  <si>
    <t>Cell membrane;Complete proteome;Disulfide bond;G-protein coupled receptor;Lipoprotein;Membrane;Palmitate;Polymorphism;Receptor;Reference proteome;Transducer;Transmembrane;Transmembrane helix</t>
  </si>
  <si>
    <t>UniRef100_O95665;UniRef90_O95665;UniRef50_O95665</t>
  </si>
  <si>
    <t>DB01106</t>
  </si>
  <si>
    <t>CRTAM_HUMAN</t>
  </si>
  <si>
    <t>Cytotoxic and regulatory T-cell molecule</t>
  </si>
  <si>
    <t>CRTAM</t>
  </si>
  <si>
    <t>SP:1-17;NC:18-287;TM:288-310;CY:311-393</t>
  </si>
  <si>
    <t>ENSG00000109943</t>
  </si>
  <si>
    <t>ENSP00000227348</t>
  </si>
  <si>
    <t>CD355</t>
  </si>
  <si>
    <t>Ligand;IG_Ligand</t>
  </si>
  <si>
    <t>21;45;87;178;191</t>
  </si>
  <si>
    <t>3D-structure;Adaptive immunity;Alternative splicing;Complete proteome;Disulfide bond;Glycoprotein;Immunity;Immunoglobulin domain;Membrane;Polymorphism;Reference proteome;Repeat;Signal;Transmembrane;Transmembrane helix</t>
  </si>
  <si>
    <t>UniRef100_O95727;UniRef90_O95727;UniRef50_O95727</t>
  </si>
  <si>
    <t>SEM4F_HUMAN</t>
  </si>
  <si>
    <t>Semaphorin-4F</t>
  </si>
  <si>
    <t>SEMA4F</t>
  </si>
  <si>
    <t>SP:1-34;NC:35-658;TM:659-680;CY:681-770</t>
  </si>
  <si>
    <t>ENSG00000135622</t>
  </si>
  <si>
    <t>ENSP00000350547</t>
  </si>
  <si>
    <t>Ligand;Semaphorins</t>
  </si>
  <si>
    <t>64;133;509</t>
  </si>
  <si>
    <t>TEVTQVN[115]TTNCGR</t>
  </si>
  <si>
    <t>O95754</t>
  </si>
  <si>
    <t>Alternative splicing;Complete proteome;Developmental protein;Differentiation;Disulfide bond;Glycoprotein;Immunoglobulin domain;Membrane;Neurogenesis;Reference proteome;Signal;Transmembrane;Transmembrane helix</t>
  </si>
  <si>
    <t>UniRef100_O95754;UniRef90_O95754;UniRef50_O95754</t>
  </si>
  <si>
    <t>GPR75_HUMAN</t>
  </si>
  <si>
    <t>Probable G-protein coupled receptor 75</t>
  </si>
  <si>
    <t>GPR75</t>
  </si>
  <si>
    <t>NC:1-45;TM:46-68;CY:69-85;TM:86-107;NC:108-118;TM:119-141;CY:142-160;TM:161-181;NC:182-201;TM:202-225;CY:226-318;TM:319-341;NC:342-352;TM:353-376;CY:377-540</t>
  </si>
  <si>
    <t>ENSG00000119737</t>
  </si>
  <si>
    <t>ENSP00000378195</t>
  </si>
  <si>
    <t>2;12;25;85;153;310;349;420;487</t>
  </si>
  <si>
    <t>2;12;25;153</t>
  </si>
  <si>
    <t>UniRef100_O95800;UniRef90_O95800;UniRef50_Q6X632</t>
  </si>
  <si>
    <t>CLD1_HUMAN</t>
  </si>
  <si>
    <t>Claudin-1</t>
  </si>
  <si>
    <t>CLDN1</t>
  </si>
  <si>
    <t>CY:1-6;TM:7-27;NC:28-79;TM:80-100;CY:101-118;TM:119-141;NC:142-160;TM:161-184;CY:185-211</t>
  </si>
  <si>
    <t>ENSG00000163347</t>
  </si>
  <si>
    <t>ENSP00000295522</t>
  </si>
  <si>
    <t>192;195</t>
  </si>
  <si>
    <t>Cell junction;Cell membrane;Complete proteome;Disulfide bond;Host-virus interaction;Ichthyosis;Membrane;Reference proteome;Tight junction;Transmembrane;Transmembrane helix</t>
  </si>
  <si>
    <t>UniRef100_O95832;UniRef90_O88551;UniRef50_O88551</t>
  </si>
  <si>
    <t>GLP2R_HUMAN</t>
  </si>
  <si>
    <t>Glucagon-like peptide 2 receptor</t>
  </si>
  <si>
    <t>GLP2R</t>
  </si>
  <si>
    <t>NC:1-179;TM:180-203;CY:204-214;TM:215-236;NC:237-265;TM:266-287;CY:288-300;TM:301-321;NC:322-340;TM:341-362;CY:363-382;TM:383-404;NC:405-415;TM:416-439;CY:440-553</t>
  </si>
  <si>
    <t>ENSG00000065325</t>
  </si>
  <si>
    <t>ENSP00000262441</t>
  </si>
  <si>
    <t>GPCR;Secretin</t>
  </si>
  <si>
    <t>97;113;148;162</t>
  </si>
  <si>
    <t>UniRef100_O95838;UniRef90_O95838;UniRef50_O95838</t>
  </si>
  <si>
    <t>DB00040;DB08900</t>
  </si>
  <si>
    <t>TSN13_HUMAN</t>
  </si>
  <si>
    <t>Tetraspanin-13</t>
  </si>
  <si>
    <t>TSPAN13</t>
  </si>
  <si>
    <t>CY:1-17;TM:18-40;NC:41-45;TM:46-67;CY:68-73;TM:74-98;NC:99-166;TM:167-188;CY:189-204</t>
  </si>
  <si>
    <t>ENSG00000106537</t>
  </si>
  <si>
    <t>ENSP00000262067</t>
  </si>
  <si>
    <t>113;137</t>
  </si>
  <si>
    <t>113;137;199</t>
  </si>
  <si>
    <t>SVNPN[115]DTCLASCVK;SVN[115]PN[115]DTCLASCVK;NPN[115]DTCLASCVK;PN[115]DTCLASCVK</t>
  </si>
  <si>
    <t>O95857</t>
  </si>
  <si>
    <t>UniRef100_O95857;UniRef90_O95857;UniRef50_O95857</t>
  </si>
  <si>
    <t>TSN15_HUMAN</t>
  </si>
  <si>
    <t>Tetraspanin-15</t>
  </si>
  <si>
    <t>TSPAN15</t>
  </si>
  <si>
    <t>CY:1-22;TM:23-45;NC:46-58;TM:59-83;CY:84-93;TM:94-116;NC:117-232;TM:233-256;CY:257-294</t>
  </si>
  <si>
    <t>ENSG00000099282</t>
  </si>
  <si>
    <t>ENSP00000362387</t>
  </si>
  <si>
    <t>118;189;230</t>
  </si>
  <si>
    <t>N[115]TTEVVNTMCGYK;N[115]TTEVVN[115]TMCGYK</t>
  </si>
  <si>
    <t>O95858</t>
  </si>
  <si>
    <t>UniRef100_O95858;UniRef90_O95858;UniRef50_O95858</t>
  </si>
  <si>
    <t>G6B_HUMAN</t>
  </si>
  <si>
    <t>Protein G6b</t>
  </si>
  <si>
    <t>G6B</t>
  </si>
  <si>
    <t>SP:1-17;NC:18-142;TM:143-165;CY:166-241</t>
  </si>
  <si>
    <t>ENSG00000204420;ENSG00000206396;ENSG00000228090;ENSG00000224393;ENSG00000237459;ENSG00000230060;ENSG00000231003</t>
  </si>
  <si>
    <t>ENSP00000364964;ENSP00000382944;ENSP00000408430;ENSP00000406706;ENSP00000416447;ENSP00000391097</t>
  </si>
  <si>
    <t>VN[115]LSCGGVSHPI;VN[115]LSCGGVSHPIR;N[115]LSCGGVSHPIR</t>
  </si>
  <si>
    <t>O95866</t>
  </si>
  <si>
    <t>Cell membrane (Single-pass type I membrane protein);Cell membrane (Single-pass type I membrane protein);Endoplasmic reticulum;Golgi apparatus;Endoplasmic reticulum;Golgi apparatus</t>
  </si>
  <si>
    <t>Alternative splicing;Cell membrane;Complete proteome;Direct protein sequencing;Endoplasmic reticulum;Glycoprotein;Golgi apparatus;Heparin-binding;Membrane;Phosphoprotein;Polymorphism;Receptor;Reference proteome;Signal;Transmembrane;Transmembrane helix</t>
  </si>
  <si>
    <t>UniRef100_O95866;UniRef90_O95866;UniRef50_O95866</t>
  </si>
  <si>
    <t>Endoplasmic Reticulum;Golgi apparatus;Plasma membrane</t>
  </si>
  <si>
    <t>LY66C_HUMAN</t>
  </si>
  <si>
    <t>Lymphocyte antigen 6 complex locus protein G6c</t>
  </si>
  <si>
    <t>LY6G6C</t>
  </si>
  <si>
    <t>SP:1-18;NC:19-125</t>
  </si>
  <si>
    <t>ENSG00000204421;ENSG00000206398;ENSG00000235452;ENSG00000228250;ENSG00000228859;ENSG00000236183;ENSG00000235925</t>
  </si>
  <si>
    <t>ENSP00000364978;ENSP00000372905;ENSP00000388591;ENSP00000411365;ENSP00000410398;ENSP00000415732;ENSP00000409428</t>
  </si>
  <si>
    <t>77;88</t>
  </si>
  <si>
    <t>Cell membrane;Complete proteome;Disulfide bond;Glycoprotein;GPI-anchor;Lipoprotein;Membrane;Polymorphism;Reference proteome;Signal</t>
  </si>
  <si>
    <t>UniRef100_O95867;UniRef90_O95867;UniRef50_O95867</t>
  </si>
  <si>
    <t>LY66D_HUMAN</t>
  </si>
  <si>
    <t>Lymphocyte antigen 6 complex locus protein G6d</t>
  </si>
  <si>
    <t>LY6G6D</t>
  </si>
  <si>
    <t>SP:1-19;NC:20-133</t>
  </si>
  <si>
    <t>ENSG00000244355;ENSG00000206402;ENSG00000226603;ENSG00000234443;ENSG00000235302;ENSG00000225993;ENSG00000236902</t>
  </si>
  <si>
    <t>ENSP00000364985;ENSP00000382952;ENSP00000389619;ENSP00000397576;ENSP00000392651;ENSP00000390777;ENSP00000395722</t>
  </si>
  <si>
    <t>Cell membrane (Lipid-anchor, GPI-anchor);Cell projection, filopodium</t>
  </si>
  <si>
    <t>Cell membrane;Cell projection;Complete proteome;Disulfide bond;Glycoprotein;GPI-anchor;Lipoprotein;Membrane;Polymorphism;Reference proteome;Signal</t>
  </si>
  <si>
    <t>UniRef100_O95868;UniRef90_O95868;UniRef50_O95868</t>
  </si>
  <si>
    <t>MOT3_HUMAN</t>
  </si>
  <si>
    <t>Monocarboxylate transporter 3</t>
  </si>
  <si>
    <t>SLC16A8</t>
  </si>
  <si>
    <t>CY:1-15;TM:16-36;NC:37-57;TM:58-79;CY:80-86;TM:87-106;NC:107-112;TM:113-137;CY:138-143;TM:144-164;NC:165-174;TM:175-194;CY:195-252;TM:253-277;NC:278-288;TM:289-312;CY:313-318;TM:319-337;NC:338-342;TM:343-365;CY:366-376;TM:377-399;NC:400-410;TM:411-431;CY:432-504</t>
  </si>
  <si>
    <t>ENSG00000100156</t>
  </si>
  <si>
    <t>ENSP00000321735</t>
  </si>
  <si>
    <t>UniRef100_O95907;UniRef90_O95907;UniRef50_O95907</t>
  </si>
  <si>
    <t>OR2H2_HUMAN</t>
  </si>
  <si>
    <t>Olfactory receptor 2H2</t>
  </si>
  <si>
    <t>OR2H2</t>
  </si>
  <si>
    <t>NC:1-24;TM:25-46;CY:47-57;TM:58-79;NC:80-98;TM:99-118;CY:119-137;TM:138-156;NC:157-197;TM:198-223;CY:224-234;TM:235-259;NC:260-270;TM:271-290;CY:291-312</t>
  </si>
  <si>
    <t>ENSG00000206512;ENSG00000206467;ENSG00000204657;ENSG00000229680;ENSG00000229185;ENSG00000224319;ENSG00000227044</t>
  </si>
  <si>
    <t>ENSP00000366146;ENSP00000373038;ENSP00000373136;ENSP00000410227;ENSP00000403604;ENSP00000414688;ENSP00000409339</t>
  </si>
  <si>
    <t>UniRef100_O95918;UniRef90_O95918;UniRef50_O95918</t>
  </si>
  <si>
    <t>NCTR2_HUMAN</t>
  </si>
  <si>
    <t>Natural cytotoxicity triggering receptor 2</t>
  </si>
  <si>
    <t>NCR2</t>
  </si>
  <si>
    <t>SP:1-21;NC:22-190;TM:191-215;CY:216-276</t>
  </si>
  <si>
    <t>ENSG00000096264</t>
  </si>
  <si>
    <t>ENSP00000362181</t>
  </si>
  <si>
    <t>CD336</t>
  </si>
  <si>
    <t>UniRef100_O95944;UniRef90_O95944;UniRef50_O95944</t>
  </si>
  <si>
    <t>BY55_HUMAN</t>
  </si>
  <si>
    <t>CD160 antigen</t>
  </si>
  <si>
    <t>CD160</t>
  </si>
  <si>
    <t>SP:1-23;NC:24-181</t>
  </si>
  <si>
    <t>ENSG00000117281</t>
  </si>
  <si>
    <t>ENSP00000235933;ENSP00000358294</t>
  </si>
  <si>
    <t>28;137</t>
  </si>
  <si>
    <t>IN[115]ITSSASQEGTR;SILFTETGN[115]YTVTGLK;FTETGN[115]YTVTGLK;TETGN[115]YTVTGLK;GN[115]YTVTGLK</t>
  </si>
  <si>
    <t>O95971</t>
  </si>
  <si>
    <t>Cell membrane;Complete proteome;Disulfide bond;Glycoprotein;GPI-anchor;Immunoglobulin domain;Lipoprotein;Membrane;Polymorphism;Receptor;Reference proteome;Signal</t>
  </si>
  <si>
    <t>UniRef100_O95971;UniRef90_O95971;UniRef50_O95971</t>
  </si>
  <si>
    <t>IGSF6_HUMAN</t>
  </si>
  <si>
    <t>Immunoglobulin superfamily member 6</t>
  </si>
  <si>
    <t>IGSF6</t>
  </si>
  <si>
    <t>SP:1-31;NC:32-153;TM:154-176;CY:177-241</t>
  </si>
  <si>
    <t>ENSG00000140749</t>
  </si>
  <si>
    <t>ENSP00000268389</t>
  </si>
  <si>
    <t>111;226</t>
  </si>
  <si>
    <t>Complete proteome;Disulfide bond;Immunoglobulin domain;Membrane;Polymorphism;Reference proteome;Signal;Transmembrane;Transmembrane helix</t>
  </si>
  <si>
    <t>UniRef100_O95976;UniRef90_O95976;UniRef50_O95976</t>
  </si>
  <si>
    <t>S1PR4_HUMAN</t>
  </si>
  <si>
    <t>Sphingosine 1-phosphate receptor 4</t>
  </si>
  <si>
    <t>S1PR4</t>
  </si>
  <si>
    <t>NC:1-48;TM:49-71;CY:72-79;TM:80-103;NC:104-122;TM:123-141;CY:142-161;TM:162-184;NC:185-203;TM:204-229;CY:230-249;TM:250-272;NC:273-290;TM:291-309;CY:310-384</t>
  </si>
  <si>
    <t>ENSG00000125910</t>
  </si>
  <si>
    <t>ENSP00000246115</t>
  </si>
  <si>
    <t>2;30;87</t>
  </si>
  <si>
    <t>2;87</t>
  </si>
  <si>
    <t>LIVLHYN[115]HSGR;IVLHYN[115]HSGR;VLHYN[115]HSGR;LHYN[115]HSGR</t>
  </si>
  <si>
    <t>O95977</t>
  </si>
  <si>
    <t>3D-structure;Cell membrane;Complete proteome;G-protein coupled receptor;Glycoprotein;Lipoprotein;Membrane;Palmitate;Polymorphism;Receptor;Reference proteome;Transducer;Transmembrane;Transmembrane helix</t>
  </si>
  <si>
    <t>UniRef100_O95977;UniRef90_O95977;UniRef50_O95977</t>
  </si>
  <si>
    <t>RECK_HUMAN</t>
  </si>
  <si>
    <t>Reversion-inducing cysteine-rich protein with Kazal motifs</t>
  </si>
  <si>
    <t>RECK</t>
  </si>
  <si>
    <t>SP:1-26;NC:27-971</t>
  </si>
  <si>
    <t>ENSG00000122707</t>
  </si>
  <si>
    <t>ENSP00000367202</t>
  </si>
  <si>
    <t>39;86;200;297;352</t>
  </si>
  <si>
    <t>39;86;200;209;297;352</t>
  </si>
  <si>
    <t>GGLAPGSAGALCCN[115]HSK;N[115]LTYCTNFNNRPTELFR</t>
  </si>
  <si>
    <t>39;352</t>
  </si>
  <si>
    <t>O95980</t>
  </si>
  <si>
    <t>Cell membrane;Complete proteome;Disulfide bond;Glycoprotein;GPI-anchor;Lipoprotein;Membrane;Polymorphism;Protease inhibitor;Reference proteome;Repeat;Serine protease inhibitor;Signal;Tumor suppressor</t>
  </si>
  <si>
    <t>UniRef100_O95980;UniRef90_O95980;UniRef50_O95980</t>
  </si>
  <si>
    <t>EGFR_HUMAN</t>
  </si>
  <si>
    <t>Epidermal growth factor receptor</t>
  </si>
  <si>
    <t>EGFR</t>
  </si>
  <si>
    <t>SP:1-24;NC:25-645;TM:646-668;CY:669-1210</t>
  </si>
  <si>
    <t>ENSG00000146648</t>
  </si>
  <si>
    <t>ENSP00000275493</t>
  </si>
  <si>
    <t>Kinase;EGFR</t>
  </si>
  <si>
    <t>128;175;196;352;361;413;444;528;568;603;623;1043;1044;1094;1148</t>
  </si>
  <si>
    <t>128;175;196;271;352;361;413;444;528;568;603;623;1043;1044;1094;1148</t>
  </si>
  <si>
    <t>1025;1026;1028;1029;1030;1032;1036;1037;1039;1042;1057;1070;1071;1074;1096;1104;1120;1131;1145;1150;1166</t>
  </si>
  <si>
    <t>GNMYYENSYALAVLSNYDAN[115]K;GNMYYENSYALAVLSNYDAN[115]KTGLK;GNMYYENSYALAVLSNYDAN[115]KTGLKELPMR;GNMYYEN[115]SYALAVLSNYDAN[115]KTGLK;ALAVLSNYDAN[115]K;SNYDAN[115]KTGLK;DIVSSDFLSN[115]MSMDFQNH;DIVSSDFLSN[115]MSMDFQNHLGSCQK;DIVSSDFLSN[115]MSMDFQN[115]HLGSCQK;CDPSCPN[115]GSCWGAGEENCQK;DSLSIN[115]ATNIK;SLSIN[115]ATNIK;LSIN[115]ATNIK;N[115]CTSISGDLHIL;N[115]CTSISGDLHILPVAF;N[115]CTSISGDLHILPVAFR;TVKEITGFLLIQAWPEN[115]R;EITGFLLIQAWPEN[115]R;ITGFLLIQAWPEN[115]R;TGFLLIQAWPEN[115]R;LLIQAWPEN[115]R;LIQAWPEN[115]R;IQAWPEN[115]R;TKQHGQFSLAVVSLN[115]ITSLGLR;QHGQFSLAVVSLN[115]ITSLGLR;SLAVVSLN[115]ITSLGLR;AVVSLN[115]ITSLGLR;VVSLN[115]ITSLGLR;VSLN[115]ITSLGLR;SLN[115]ITSLGLR;LN[115]ITSLGLR;EFVENSECIQCHPECLPQAMN[115]ITCTGR;EFVEN[115]SECIQCHPECLPQAMN[115]ITCTGR;FVENSECIQCHPECLPQAMN[115]ITCTGR;SECIQCHPECLPQAMN[115]ITCTGR;IQCHPECLPQAMN[115]ITCTGR;LPQAMN[115]ITCTGR;AMN[115]ITCTGR;TCPAGVMGEN[115]NTLVWK;TCPAGVMGEN[115]NTLVWKY;TCPAGVMGEN[115]N[115]TLVWK;PAGVMGEN[115]NTLVWK;YADAGHVCHLCHPN[115]CTYGC;YADAGHVCHLCHPN[115]CTYGCTGPGLEGCPTNGPK;YADAGHVCHLCHPN[115]CTYGCTGPGLEGCPTN[115]GPK;LCHPN[115]CTYGCTGPGLEGCPTNGPK;LCHPN[115]CTYGCTGPGLEGCPTN[115]GPK</t>
  </si>
  <si>
    <t>128;175;196;352;361;413;444;568;603;623</t>
  </si>
  <si>
    <t>P00533</t>
  </si>
  <si>
    <t>Cell membrane (Single-pass type I membrane protein);Endoplasmic reticulum membrane (Single-pass type I membrane protein);Endosome;Endosome membrane;Golgi apparatus membrane (Single-pass type I membrane protein);Nucleus;Nucleus membrane (Single-pass type I membrane protein);Secreted</t>
  </si>
  <si>
    <t>3D-structure;Alternative splicing;ATP-binding;Cell membrane;Complete proteome;Developmental protein;Direct protein sequencing;Disease mutation;Disulfide bond;Endoplasmic reticulum;Endosome;Glycoprotein;Golgi apparatus;Isopeptide bond;Kinase;Membrane;Methylation;Nucleotide-binding;Nucleus;Phosphoprotein;Polymorphism;Receptor;Reference proteome;Repeat;Secreted;Signal;Transferase;Transmembrane;Transmembrane helix;Tumor suppressor;Tyrosine-protein kinase;Ubl conjugation</t>
  </si>
  <si>
    <t>UniRef100_P00533;UniRef90_P00533;UniRef50_P00533</t>
  </si>
  <si>
    <t>Endoplasmic Reticulum;Endosome;Extracellular space;Golgi apparatus;Nucleus;Plasma membrane</t>
  </si>
  <si>
    <t>Cytoskeleton;Cytosol;Lysosome;Mitochondrion;Peroxisome</t>
  </si>
  <si>
    <t>DB00002;DB00072;DB00281;DB00317;DB00530;DB01259;DB01269;DB05294;DB08916</t>
  </si>
  <si>
    <t>LDLR_HUMAN</t>
  </si>
  <si>
    <t>Low-density lipoprotein receptor</t>
  </si>
  <si>
    <t>LDLR</t>
  </si>
  <si>
    <t>SP:1-24;NC:25-788;TM:789-810;CY:811-860</t>
  </si>
  <si>
    <t>ENSG00000130164</t>
  </si>
  <si>
    <t>ENSP00000454071</t>
  </si>
  <si>
    <t>97;156;272;515;657</t>
  </si>
  <si>
    <t>4;6;10;44;87;165;180;214;305;443;483;490;533;536;562;577;620;666;810;813</t>
  </si>
  <si>
    <t>DMSDEVGCVN[115]VTLCEGPNK;LTGSDVNLLAENLLSPEDMVLFHN[115]LTQPR</t>
  </si>
  <si>
    <t>272;657</t>
  </si>
  <si>
    <t>P01130</t>
  </si>
  <si>
    <t>Cell membrane (Single-pass type I membrane protein);Cell surface;Early endosome;Endomembrane system (Single-pass type I membrane protein);Golgi apparatus;Late endosome;Lysosome;Membrane, clathrin-coated pit (Single-pass type I membrane protein)</t>
  </si>
  <si>
    <t>3D-structure;Alternative splicing;Cell membrane;Cholesterol metabolism;Coated pit;Complete proteome;Direct protein sequencing;Disease mutation;Disulfide bond;EGF-like domain;Endocytosis;Endosome;Glycoprotein;Golgi apparatus;Host-virus interaction;LDL;Lipid metabolism;Lipid transport;Lysosome;Membrane;Phosphoprotein;Polymorphism;Receptor;Reference proteome;Repeat;Signal;Steroid metabolism;Sterol metabolism;Transmembrane;Transmembrane helix;Transport;Ubl conjugation</t>
  </si>
  <si>
    <t>UniRef100_P01130;UniRef90_P01130;UniRef50_P01130</t>
  </si>
  <si>
    <t>DB00707</t>
  </si>
  <si>
    <t>EGF_HUMAN</t>
  </si>
  <si>
    <t>Pro-epidermal growth factor</t>
  </si>
  <si>
    <t>EGF</t>
  </si>
  <si>
    <t>SP:1-21;NC:22-1032;TM:1033-1055;CY:1056-1207</t>
  </si>
  <si>
    <t>ENSG00000138798</t>
  </si>
  <si>
    <t>ENSP00000265171</t>
  </si>
  <si>
    <t>38;104;117;148;324;404;596;815;926</t>
  </si>
  <si>
    <t>16;19;21;40;237;287;288;327;328;336;348;374;377;400;406;416;427;435;441;455;458;475;505;645;706;724;729;730;762;775;801;807;809;812;817;830;848;854;885;886;922;928;937;945;954;955;968;972;974;979;1064;1075;1080;1086;1091;1092;1125;1129;1130;1142;1151;1152;1156;1164;1169;1172;1174;1184</t>
  </si>
  <si>
    <t>3D-structure;Alternative splicing;Complete proteome;Direct protein sequencing;Disease mutation;Disulfide bond;EGF-like domain;Glycoprotein;Growth factor;Membrane;Polymorphism;Primary hypomagnesemia;Reference proteome;Repeat;Signal;Transmembrane;Transmembrane helix</t>
  </si>
  <si>
    <t>UniRef100_P01133;UniRef90_P01133;UniRef50_P01133</t>
  </si>
  <si>
    <t>DB00364</t>
  </si>
  <si>
    <t>TGFA_HUMAN</t>
  </si>
  <si>
    <t>Protransforming growth factor alpha</t>
  </si>
  <si>
    <t>TGFA</t>
  </si>
  <si>
    <t>SP:1-22;NC:23-99;TM:100-122;CY:123-160</t>
  </si>
  <si>
    <t>ENSG00000163235</t>
  </si>
  <si>
    <t>ENSP00000295400</t>
  </si>
  <si>
    <t>27;28</t>
  </si>
  <si>
    <t>Cell membrane (Single-pass type I membrane protein);Secreted, extracellular space</t>
  </si>
  <si>
    <t>3D-structure;Alternative splicing;Cell membrane;Complete proteome;Disulfide bond;EGF-like domain;Glycoprotein;Growth factor;Lipoprotein;Membrane;Mitogen;Palmitate;Polymorphism;Reference proteome;Secreted;Signal;Transmembrane;Transmembrane helix</t>
  </si>
  <si>
    <t>UniRef100_P01135;UniRef90_P01135;UniRef50_P01135</t>
  </si>
  <si>
    <t>Cytoskeleton;Cytosol;Endoplasmic Reticulum;Endosome;Golgi apparatus;Lysosome;Mitochondrion;Peroxisome</t>
  </si>
  <si>
    <t>IL2RA_HUMAN</t>
  </si>
  <si>
    <t>Interleukin-2 receptor subunit alpha</t>
  </si>
  <si>
    <t>IL2RA</t>
  </si>
  <si>
    <t>SP:1-21;NC:22-238;TM:239-261;CY:262-272</t>
  </si>
  <si>
    <t>ENSG00000134460</t>
  </si>
  <si>
    <t>ENSP00000369293</t>
  </si>
  <si>
    <t>CD25</t>
  </si>
  <si>
    <t>70;89</t>
  </si>
  <si>
    <t>84;85;87;91;107;111;120;190;191;202;209;212</t>
  </si>
  <si>
    <t>SGSLYMLCTGN[115]SSH;SGSLYMLCTGN[115]SSHSSWDNQCQCTSSATR;MLCTGN[115]SSHSSWDNQCQCTSSATR</t>
  </si>
  <si>
    <t>P01589</t>
  </si>
  <si>
    <t>3D-structure;Complete proteome;Diabetes mellitus;Disulfide bond;Glycoprotein;Membrane;Polymorphism;Receptor;Reference proteome;Repeat;Signal;Sushi;Transmembrane;Transmembrane helix</t>
  </si>
  <si>
    <t>UniRef100_P01589;UniRef90_P01589;UniRef50_P01589</t>
  </si>
  <si>
    <t>DB00004;DB00041;DB00074;DB00111</t>
  </si>
  <si>
    <t>CD4_HUMAN</t>
  </si>
  <si>
    <t>T-cell surface glycoprotein CD4</t>
  </si>
  <si>
    <t>CD4</t>
  </si>
  <si>
    <t>SP:1-25;NC:26-396;TM:397-420;CY:421-458</t>
  </si>
  <si>
    <t>ENSG00000010610</t>
  </si>
  <si>
    <t>ENSP00000011653</t>
  </si>
  <si>
    <t>296;325</t>
  </si>
  <si>
    <t>ALPQYAGSGN[115]LTLALEAK;YAGSGN[115]LTLALEAK;AGSGN[115]LTLALEAK;GSGN[115]LTLALEAK;SGN[115]LTLALEAK;N[115]LTCEVWGPTSPK</t>
  </si>
  <si>
    <t>P01730</t>
  </si>
  <si>
    <t>3D-structure;Adaptive immunity;Cell membrane;Complete proteome;Direct protein sequencing;Disulfide bond;Glycoprotein;Host-virus interaction;Immunity;Immunoglobulin domain;Lipoprotein;Membrane;Palmitate;Polymorphism;Reference proteome;Repeat;Signal;Transmembrane;Transmembrane helix</t>
  </si>
  <si>
    <t>UniRef100_P01730;UniRef90_P01730;UniRef50_P01730</t>
  </si>
  <si>
    <t>DB00098</t>
  </si>
  <si>
    <t>CD8A_HUMAN</t>
  </si>
  <si>
    <t>T-cell surface glycoprotein CD8 alpha chain</t>
  </si>
  <si>
    <t>CD8A</t>
  </si>
  <si>
    <t>SP:1-21;NC:22-182;TM:183-206;CY:207-235</t>
  </si>
  <si>
    <t>ENSG00000153563</t>
  </si>
  <si>
    <t>ENSP00000283635;ENSP00000386559</t>
  </si>
  <si>
    <t>CD8a</t>
  </si>
  <si>
    <t>138;139;140;147;151;154;158</t>
  </si>
  <si>
    <t>3D-structure;Adaptive immunity;Alternative splicing;Cell membrane;Complete proteome;Disease mutation;Disulfide bond;Immunity;Immunoglobulin domain;Membrane;Reference proteome;Secreted;Signal;Transmembrane;Transmembrane helix</t>
  </si>
  <si>
    <t>UniRef100_P01732;UniRef90_P01732;UniRef50_P01732</t>
  </si>
  <si>
    <t>PIGR_HUMAN</t>
  </si>
  <si>
    <t>Polymeric immunoglobulin receptor</t>
  </si>
  <si>
    <t>PIGR</t>
  </si>
  <si>
    <t>SP:1-17;NC:18-638;TM:639-661;CY:662-764</t>
  </si>
  <si>
    <t>ENSG00000162896</t>
  </si>
  <si>
    <t>ENSP00000348888</t>
  </si>
  <si>
    <t>IG;OtherMisc</t>
  </si>
  <si>
    <t>83;90;135;186;421;469;499</t>
  </si>
  <si>
    <t>384;495</t>
  </si>
  <si>
    <t>3D-structure;Cell membrane;Complete proteome;Direct protein sequencing;Disulfide bond;Glycoprotein;Immunoglobulin domain;Membrane;Phosphoprotein;Polymorphism;Reference proteome;Repeat;Secreted;Signal;Transmembrane;Transmembrane helix</t>
  </si>
  <si>
    <t>UniRef100_P01833;UniRef90_P01833;UniRef50_P01833</t>
  </si>
  <si>
    <t>Cytoskeleton;Cytosol;Endoplasmic Reticulum;Golgi apparatus;Lysosome;Mitochondrion;Nucleus;Peroxisome</t>
  </si>
  <si>
    <t>1B07_HUMAN</t>
  </si>
  <si>
    <t>HLA class I histocompatibility antigen, B-7 alpha chain</t>
  </si>
  <si>
    <t>HLA-B</t>
  </si>
  <si>
    <t>SP:1-24;NC:25-306;TM:307-331;CY:332-362</t>
  </si>
  <si>
    <t>ENSG00000234745</t>
  </si>
  <si>
    <t>ENSP00000399168</t>
  </si>
  <si>
    <t>Ligand;MHC</t>
  </si>
  <si>
    <t>3D-structure;Complete proteome;Direct protein sequencing;Disulfide bond;Glycoprotein;Host-virus interaction;Immunity;Membrane;MHC I;Polymorphism;Reference proteome;Signal;Transmembrane;Transmembrane helix;Ubl conjugation</t>
  </si>
  <si>
    <t>UniRef100_P01889;UniRef90_P01889;UniRef50_P01892</t>
  </si>
  <si>
    <t>Cytoskeleton;Cytosol;Extracellular space;Lysosome;Mitochondrion;Nucleus;Peroxisome</t>
  </si>
  <si>
    <t>1A68_HUMAN</t>
  </si>
  <si>
    <t>HLA class I histocompatibility antigen, A-68 alpha chain</t>
  </si>
  <si>
    <t>HLA-A</t>
  </si>
  <si>
    <t>SP:1-24;NC:25-305;TM:306-331;CY:332-365</t>
  </si>
  <si>
    <t>ENSG00000235657</t>
  </si>
  <si>
    <t>ENSP00000403575</t>
  </si>
  <si>
    <t>66;337;349;350</t>
  </si>
  <si>
    <t>3D-structure;Complete proteome;Direct protein sequencing;Disulfide bond;Glycoprotein;Host-virus interaction;Immunity;Membrane;MHC I;Phosphoprotein;Polymorphism;Reference proteome;Signal;Transmembrane;Transmembrane helix;Ubl conjugation</t>
  </si>
  <si>
    <t>UniRef100_P01891;UniRef90_P01892;UniRef50_P01892</t>
  </si>
  <si>
    <t>1A02_HUMAN</t>
  </si>
  <si>
    <t>HLA class I histocompatibility antigen, A-2 alpha chain</t>
  </si>
  <si>
    <t>ENSG00000235657;ENSG00000227715</t>
  </si>
  <si>
    <t>ENSP00000403575;ENSP00000447962;ENSP00000448077</t>
  </si>
  <si>
    <t>337;349;350</t>
  </si>
  <si>
    <t>VKAHSQTHRVDLGTLRGYYN[115]QSEAGSHTVQR;AHSQTHRVDLGTLRGYYN[115]QSEAGSHTVQR</t>
  </si>
  <si>
    <t>P01892</t>
  </si>
  <si>
    <t>UniRef100_P01892;UniRef90_P01892;UniRef50_P01892</t>
  </si>
  <si>
    <t>HLAH_HUMAN</t>
  </si>
  <si>
    <t>Putative HLA class I histocompatibility antigen, alpha chain H</t>
  </si>
  <si>
    <t>HLA-H</t>
  </si>
  <si>
    <t>Cell membrane (Single-pass membrane protein)</t>
  </si>
  <si>
    <t>Cell membrane;Complete proteome;Disulfide bond;Glycoprotein;Immunity;Membrane;MHC I;Reference proteome;Signal;Transmembrane;Transmembrane helix</t>
  </si>
  <si>
    <t>UniRef100_P01893;UniRef90_P01893;UniRef50_P01893</t>
  </si>
  <si>
    <t>DRA_HUMAN</t>
  </si>
  <si>
    <t>HLA class II histocompatibility antigen, DR alpha chain</t>
  </si>
  <si>
    <t>HLA-DRA</t>
  </si>
  <si>
    <t>SP:1-25;NC:26-218;TM:219-241;CY:242-254</t>
  </si>
  <si>
    <t>ENSG00000227993;ENSG00000206308;ENSG00000204287;ENSG00000234794;ENSG00000230726;ENSG00000228987;ENSG00000226260</t>
  </si>
  <si>
    <t>ENSP00000372608;ENSP00000372746;ENSP00000378786;ENSP00000405295;ENSP00000402951;ENSP00000410443;ENSP00000404533</t>
  </si>
  <si>
    <t>103;143</t>
  </si>
  <si>
    <t>24;68;146;193;203</t>
  </si>
  <si>
    <t>RSN[115]YTPITN;RSN[115]YTPITNVPPEVT;RSN[115]YTPITNVPPEVTVL;RSN[115]YTPITNVPPEVTVLT;RSN[115]YTPITNVPPEVTVLTN;RSN[115]YTPITNVPPEVTVLTNSPVELR;RSN[115]YTPITNVPPEVTVLTN[115]SPVELR;RSN[115]YTPITN[115]VPPEVTVLTN[115];SN[115]YTPITNVPPEVTVL;SN[115]YTPITNVPPEVTVLTN;SN[115]YTPITNVPPEVTVLTNSPVELR;SN[115]YTPITNVPPEVTVLTN[115]SPVELR;FTPPVVN[115]VTWL;FTPPVVN[115]VTWLR;TPPVVN[115]VTWLR;PPVVN[115]VTWLR;PVVN[115]VTWLR;VVN[115]VTWLR;VN[115]VTWLR</t>
  </si>
  <si>
    <t>P01903</t>
  </si>
  <si>
    <t>Cell membrane (Single-pass type I membrane protein);Endoplasmic reticulum membrane (Single-pass type I membrane protein);Endosome membrane (Single- pass type I membrane protein);Golgi apparatus, trans-Golgi network membrane (Single-pass type I membrane protein);Late endosome membrane (Single-pass type I membrane protein);Lysosome membrane (Single-pass type I membrane protein)</t>
  </si>
  <si>
    <t>3D-structure;Cell membrane;Complete proteome;Direct protein sequencing;Disulfide bond;Endoplasmic reticulum;Endosome;Glycoprotein;Golgi apparatus;Immunity;Isopeptide bond;Lysosome;Membrane;MHC II;Polymorphism;Reference proteome;Signal;Transmembrane;Transmembrane helix;Ubl conjugation</t>
  </si>
  <si>
    <t>UniRef100_P01903;UniRef90_P01903;UniRef50_P01909</t>
  </si>
  <si>
    <t>Endoplasmic Reticulum;Endoplasmic Reticulum;Endoplasmic Reticulum;Endoplasmic Reticulum;Endosome;Endosome;Endosome;Endosome;Lysosome;Lysosome;Lysosome;Lysosome;Plasma membrane;Plasma membrane;Plasma membrane;Plasma membrane</t>
  </si>
  <si>
    <t>Cytoskeleton;Cytoskeleton;Cytoskeleton;Cytoskeleton;Cytosol;Cytosol;Cytosol;Cytosol;Extracellular space;Extracellular space;Extracellular space;Extracellular space;Mitochondrion;Mitochondrion;Mitochondrion;Mitochondrion;Nucleus;Nucleus;Nucleus;Nucleus;Peroxisome;Peroxisome;Peroxisome;Peroxisome</t>
  </si>
  <si>
    <t>DQA2_HUMAN</t>
  </si>
  <si>
    <t>HLA class II histocompatibility antigen, DQ alpha 2 chain</t>
  </si>
  <si>
    <t>HLA-DQA2</t>
  </si>
  <si>
    <t>SP:1-23;NC:24-218;TM:219-240;CY:241-255</t>
  </si>
  <si>
    <t>ENSG00000206301;ENSG00000237541;ENSG00000231526;ENSG00000257473;ENSG00000225103;ENSG00000223793;ENSG00000233192;ENSG00000231823</t>
  </si>
  <si>
    <t>ENSP00000241802;ENSP00000364076;ENSP00000400695;ENSP00000405833;ENSP00000390725;ENSP00000393431;ENSP00000401098;ENSP00000387768;ENSP00000447668;ENSP00000448003</t>
  </si>
  <si>
    <t>104;144</t>
  </si>
  <si>
    <t>69;147;194;204</t>
  </si>
  <si>
    <t>Cell membrane (Single-pass type I membrane protein);Endoplasmic reticulum membrane (Single-pass type I membrane protein);Endosome membrane (Single-pass type I membrane protein);Golgi apparatus, trans-Golgi network membrane (Single-pass type I membrane protein);Lysosome membrane (Single-pass type I membrane protein)</t>
  </si>
  <si>
    <t>Cell membrane;Complete proteome;Disulfide bond;Endoplasmic reticulum;Endosome;Glycoprotein;Golgi apparatus;Immunity;Lysosome;Membrane;MHC II;Polymorphism;Reference proteome;Signal;Transmembrane;Transmembrane helix</t>
  </si>
  <si>
    <t>UniRef100_P01906;UniRef90_P01906;UniRef50_P01909</t>
  </si>
  <si>
    <t>Endoplasmic Reticulum;Endosome;Lysosome;Plasma membrane</t>
  </si>
  <si>
    <t>DB00071</t>
  </si>
  <si>
    <t>DQA1_HUMAN</t>
  </si>
  <si>
    <t>HLA class II histocompatibility antigen, DQ alpha 1 chain</t>
  </si>
  <si>
    <t>HLA-DQA1</t>
  </si>
  <si>
    <t>SP:1-23;NC:24-217;TM:218-239;CY:240-254</t>
  </si>
  <si>
    <t>ENSG00000196735;ENSG00000206305;ENSG00000232062</t>
  </si>
  <si>
    <t>ENSP00000339398;ENSP00000364087;ENSP00000372738;ENSP00000378767;ENSP00000382583;ENSP00000382586;ENSP00000387892;ENSP00000413237;ENSP00000447970</t>
  </si>
  <si>
    <t>69;146;193;203</t>
  </si>
  <si>
    <t>2 - putative;1 - high confidence</t>
  </si>
  <si>
    <t>RSN[115]STAATNEVPEVTVF;RSN[115]STAATNEVPEVTVFSK;RSN[115]STAATN[115]EVPEVTVF;RSN[115]STAATN[115]EVPEVTVFSK</t>
  </si>
  <si>
    <t>P01908;P01909</t>
  </si>
  <si>
    <t>Cell membrane (Single-pass type I membrane protein);Endoplasmic reticulum membrane (Single-pass type I membrane protein);Endosome membrane (Single- pass type I membrane protein);Golgi apparatus, trans-Golgi network membrane (Single-pass type I membrane protein);Lysosome membrane (Single-pass type I membrane protein)</t>
  </si>
  <si>
    <t>3D-structure;Cell membrane;Complete proteome;Direct protein sequencing;Disulfide bond;Endoplasmic reticulum;Endosome;Glycoprotein;Golgi apparatus;Immunity;Lysosome;Membrane;MHC II;Polymorphism;Reference proteome;Signal;Transmembrane;Transmembrane helix</t>
  </si>
  <si>
    <t>UniRef100_P01909;UniRef90_P01909;UniRef50_P01909</t>
  </si>
  <si>
    <t>100509457;3117</t>
  </si>
  <si>
    <t>2B1F_HUMAN</t>
  </si>
  <si>
    <t>HLA class II histocompatibility antigen, DRB1-15 beta chain</t>
  </si>
  <si>
    <t>HLA-DRB1</t>
  </si>
  <si>
    <t>SP:1-29;NC:30-228;TM:229-250;CY:251-266</t>
  </si>
  <si>
    <t>ENSG00000196126</t>
  </si>
  <si>
    <t>ENSP00000353099</t>
  </si>
  <si>
    <t>38;90;160;182;217</t>
  </si>
  <si>
    <t>Cell membrane (Single-pass type I membrane protein);Endoplasmic reticulum membrane (Single-pass type I membrane protein);Endosome membrane (Single-pass type I membrane protein);Golgi apparatus, trans-Golgi network membrane (Single-pass type I membrane protein);Late endosome membrane (Single-pass type I membrane protein);Lysosome membrane (Single-pass type I membrane protein)</t>
  </si>
  <si>
    <t>UniRef100_P01911;UniRef90_P04229;UniRef50_P04229</t>
  </si>
  <si>
    <t>2B13_HUMAN</t>
  </si>
  <si>
    <t>HLA class II histocompatibility antigen, DRB1-3 chain</t>
  </si>
  <si>
    <t>ENSG00000206306;ENSG00000206240</t>
  </si>
  <si>
    <t>ENSP00000331343;ENSP00000382378;ENSP00000479406;ENSP00000484489</t>
  </si>
  <si>
    <t>90;160;182;217</t>
  </si>
  <si>
    <t>3D-structure;Cell membrane;Complete proteome;Disulfide bond;Endoplasmic reticulum;Endosome;Glycoprotein;Golgi apparatus;Immunity;Isopeptide bond;Lysosome;Membrane;MHC II;Polymorphism;Reference proteome;Signal;Transmembrane;Transmembrane helix;Ubl conjugation</t>
  </si>
  <si>
    <t>UniRef100_P01912;UniRef90_P04229;UniRef50_P04229</t>
  </si>
  <si>
    <t>DQB1_HUMAN</t>
  </si>
  <si>
    <t>HLA class II histocompatibility antigen, DQ beta 1 chain</t>
  </si>
  <si>
    <t>HLA-DQB1</t>
  </si>
  <si>
    <t>SP:1-32;NC:33-230;TM:231-251;CY:252-261</t>
  </si>
  <si>
    <t>ENSG00000231286;ENSG00000233209;ENSG00000225824</t>
  </si>
  <si>
    <t>ENSP00000382038;ENSP00000396539;ENSP00000410107;ENSP00000402865;ENSP00000414079;ENSP00000410330</t>
  </si>
  <si>
    <t>3;93;163;185;220</t>
  </si>
  <si>
    <t>AMCYFTN[115]GTER;AMCYFTN[115]GTERVR</t>
  </si>
  <si>
    <t>P01920</t>
  </si>
  <si>
    <t>UniRef100_P01920;UniRef90_P01920;UniRef50_P01920</t>
  </si>
  <si>
    <t>ACHA_HUMAN</t>
  </si>
  <si>
    <t>Acetylcholine receptor subunit alpha</t>
  </si>
  <si>
    <t>CHRNA1</t>
  </si>
  <si>
    <t>SP:1-20;NC:21-256;TM:257-280;CY:281-289;TM:290-310;NC:311-321;TM:322-342;CY:343-453;TM:454-476;NC:477-482</t>
  </si>
  <si>
    <t>ENSG00000138435</t>
  </si>
  <si>
    <t>ENSP00000261007</t>
  </si>
  <si>
    <t>3D-structure;Alternative splicing;Cell junction;Cell membrane;Complete proteome;Congenital myasthenic syndrome;Direct protein sequencing;Disease mutation;Disulfide bond;Glycoprotein;Ion channel;Ion transport;Ligand-gated ion channel;Membrane;Postsynaptic cell membrane;Receptor;Reference proteome;Signal;Synapse;Transmembrane;Transmembrane helix;Transport</t>
  </si>
  <si>
    <t>UniRef100_P02708;UniRef90_P02708;UniRef50_P02708</t>
  </si>
  <si>
    <t>DB00674</t>
  </si>
  <si>
    <t>GLPA_HUMAN</t>
  </si>
  <si>
    <t>Glycophorin-A</t>
  </si>
  <si>
    <t>GYPA</t>
  </si>
  <si>
    <t>SP:1-19;NC:20-91;TM:92-113;CY:114-150</t>
  </si>
  <si>
    <t>ENSG00000170180</t>
  </si>
  <si>
    <t>ENSP00000354003</t>
  </si>
  <si>
    <t>CD235a</t>
  </si>
  <si>
    <t>29;30;31;32;33;34;36;38;41;42;44;47;52;56;63;66;69;130;139</t>
  </si>
  <si>
    <t>3D-structure;Alternative splicing;Blood group antigen;Cell membrane;Complete proteome;Direct protein sequencing;Glycoprotein;Host cell receptor for virus entry;Host-virus interaction;Membrane;Polymorphism;Receptor;Reference proteome;Sialic acid;Signal;Transmembrane;Transmembrane helix</t>
  </si>
  <si>
    <t>UniRef100_P02724;UniRef90_P02724;UniRef50_P02724</t>
  </si>
  <si>
    <t>B3AT_HUMAN</t>
  </si>
  <si>
    <t>Band 3 anion transport protein</t>
  </si>
  <si>
    <t>SLC4A1</t>
  </si>
  <si>
    <t>CY:1-404;TM:405-427;NC:428-433;TM:434-454;CY:455-458;TM:459-478;NC:479-490;TM:491-512;CY:513-522;TM:523-544;NC:545-566;TM:567-588;CY:589-604;TM:605-624;NC:625-660;TM:661-680;CY:681-700;TM:701-723;NC:724-760;TM:761-780;CY:781-784;TM:785-806;NC:807-838;TM:839-866;CY:867-911</t>
  </si>
  <si>
    <t>ENSG00000004939</t>
  </si>
  <si>
    <t>ENSP00000262418</t>
  </si>
  <si>
    <t>CD233</t>
  </si>
  <si>
    <t>SLC;APC;SLC4</t>
  </si>
  <si>
    <t>593;642</t>
  </si>
  <si>
    <t>181;185;349;350;356;357</t>
  </si>
  <si>
    <t>Basolateral cell membrane (Multi-pass membrane protein);Cell membrane (Multi-pass membrane protein)</t>
  </si>
  <si>
    <t>3D-structure;Acetylation;Anion exchange;Blood group antigen;Cell membrane;Complete proteome;Direct protein sequencing;Disease mutation;Elliptocytosis;Glycoprotein;Hereditary hemolytic anemia;Ion transport;Lipoprotein;Membrane;Palmitate;Phosphoprotein;Polymorphism;Reference proteome;Transmembrane;Transmembrane helix;Transport</t>
  </si>
  <si>
    <t>UniRef100_P02730;UniRef90_P02730;UniRef50_P02730</t>
  </si>
  <si>
    <t>Cytoskeleton;Plasma membrane</t>
  </si>
  <si>
    <t>TRGC2_HUMAN</t>
  </si>
  <si>
    <t>T-cell receptor gamma-2 chain C region</t>
  </si>
  <si>
    <t>TRGC2</t>
  </si>
  <si>
    <t>NC:1-154;TM:155-178;CY:179-189</t>
  </si>
  <si>
    <t>IG;TCR</t>
  </si>
  <si>
    <t>66;136;142;151</t>
  </si>
  <si>
    <t>3D-structure;Complete proteome;Disulfide bond;Glycoprotein;Immunoglobulin domain;Membrane;Receptor;Reference proteome;Transmembrane;Transmembrane helix</t>
  </si>
  <si>
    <t>UniRef100_P03986;UniRef90_P03986;UniRef50_P03986</t>
  </si>
  <si>
    <t>1B27_HUMAN</t>
  </si>
  <si>
    <t>HLA class I histocompatibility antigen, B-27 alpha chain</t>
  </si>
  <si>
    <t>ENSG00000224608</t>
  </si>
  <si>
    <t>ENSP00000405178</t>
  </si>
  <si>
    <t>RYYN[115]QSEAGSHTLQNMYGCDVGPDGR;YYN[115]QSEAGSHTLQN;YYN[115]QSEAGSHTLQNM;YYN[115]QSEAGSHTLQNMYGCDVGPDGR;YYN[115]QSEAGSHTLQN[115]M</t>
  </si>
  <si>
    <t>P03989</t>
  </si>
  <si>
    <t>UniRef100_P03989;UniRef90_P01889;UniRef50_P01892</t>
  </si>
  <si>
    <t>OPSB_HUMAN</t>
  </si>
  <si>
    <t>Short-wave-sensitive opsin 1</t>
  </si>
  <si>
    <t>OPN1SW</t>
  </si>
  <si>
    <t>NC:1-32;TM:33-59;CY:60-70;TM:71-93;NC:94-111;TM:112-130;CY:131-149;TM:150-170;NC:171-199;TM:200-220;CY:221-250;TM:251-273;NC:274-284;TM:285-306;CY:307-348</t>
  </si>
  <si>
    <t>ENSG00000128617</t>
  </si>
  <si>
    <t>ENSP00000249389</t>
  </si>
  <si>
    <t>14;75</t>
  </si>
  <si>
    <t>3D-structure;Chromophore;Complete proteome;Disease mutation;Disulfide bond;G-protein coupled receptor;Glycoprotein;Membrane;Phosphoprotein;Photoreceptor protein;Receptor;Reference proteome;Retinal protein;Sensory transduction;Transducer;Transmembrane;Transmembrane helix;Vision</t>
  </si>
  <si>
    <t>UniRef100_P03999;UniRef90_P03999;UniRef50_P03999</t>
  </si>
  <si>
    <t>OPSR_HUMAN</t>
  </si>
  <si>
    <t>Long-wave-sensitive opsin 1</t>
  </si>
  <si>
    <t>OPN1LW</t>
  </si>
  <si>
    <t>NC:1-55;TM:56-78;CY:79-89;TM:90-111;NC:112-130;TM:131-149;CY:150-167;TM:168-189;NC:190-218;TM:219-246;CY:247-268;TM:269-293;NC:294-302;TM:303-324;CY:325-364</t>
  </si>
  <si>
    <t>ENSG00000102076</t>
  </si>
  <si>
    <t>ENSP00000358967</t>
  </si>
  <si>
    <t>3D-structure;Chromophore;Complete proteome;Disease mutation;Disulfide bond;G-protein coupled receptor;Glycoprotein;Membrane;Phosphoprotein;Photoreceptor protein;Polymorphism;Receptor;Reference proteome;Retinal protein;Sensory transduction;Transducer;Transmembrane;Transmembrane helix;Vision</t>
  </si>
  <si>
    <t>UniRef100_P04000;UniRef90_P04001;UniRef50_P04001</t>
  </si>
  <si>
    <t>OPSG_HUMAN</t>
  </si>
  <si>
    <t>Medium-wave-sensitive opsin 1</t>
  </si>
  <si>
    <t>OPN1MW</t>
  </si>
  <si>
    <t>NC:1-55;TM:56-78;CY:79-89;TM:90-112;NC:113-129;TM:130-148;CY:149-167;TM:168-189;NC:190-218;TM:219-246;CY:247-268;TM:269-293;NC:294-299;TM:300-324;CY:325-364</t>
  </si>
  <si>
    <t>ENSG00000166160;ENSG00000268221;ENSG00000269433</t>
  </si>
  <si>
    <t>ENSP00000358945;ENSP00000472316;ENSP00000469970</t>
  </si>
  <si>
    <t>UniRef100_P04001;UniRef90_P04001;UniRef50_P04001</t>
  </si>
  <si>
    <t>101060233;2652;728458</t>
  </si>
  <si>
    <t>PRIO_HUMAN</t>
  </si>
  <si>
    <t>Major prion protein</t>
  </si>
  <si>
    <t>PRNP</t>
  </si>
  <si>
    <t>SP:1-22;NC:23-253</t>
  </si>
  <si>
    <t>ENSG00000171867</t>
  </si>
  <si>
    <t>ENSP00000368752;ENSP00000399376</t>
  </si>
  <si>
    <t>CD230</t>
  </si>
  <si>
    <t>181;197</t>
  </si>
  <si>
    <t>7;16;31;57;65;73;81;89;99</t>
  </si>
  <si>
    <t>YPNQVYYRPMDEYSNQNNFVHDCVN[115]ITIK;PMDEYSNQNNFVHDCVN[115]ITIK;QHTVTTTTKGEN[115]FTETDVK;TKGEN[115]FTETDVK;GEN[115]FTETDVK;N[115]FTETDVK</t>
  </si>
  <si>
    <t>P04156</t>
  </si>
  <si>
    <t>Cell membrane (Lipid-anchor, GPI-anchor);Golgi apparatus;Cytoplasm;Nucleus</t>
  </si>
  <si>
    <t>3D-structure;Alternative initiation;Amyloid;Amyloidosis;Cell cycle;Cell membrane;Complete proteome;Copper;Cytoplasm;Direct protein sequencing;Disease mutation;Disulfide bond;Glycoprotein;Golgi apparatus;GPI-anchor;Growth arrest;Lipoprotein;Membrane;Metal-binding;Nucleus;Polymorphism;Prion;Reference proteome;Repeat;Signal;Ubl conjugation;Zinc</t>
  </si>
  <si>
    <t>UniRef100_P04156;UniRef90_P04156;UniRef50_P04156</t>
  </si>
  <si>
    <t>DB00759</t>
  </si>
  <si>
    <t>MAS_HUMAN</t>
  </si>
  <si>
    <t>Proto-oncogene Mas</t>
  </si>
  <si>
    <t>MAS1</t>
  </si>
  <si>
    <t>NC:1-33;TM:34-58;CY:59-66;TM:67-89;NC:90-100;TM:101-126;CY:127-147;TM:148-166;NC:167-185;TM:186-211;CY:212-225;TM:226-248;NC:249-262;TM:263-283;CY:284-325</t>
  </si>
  <si>
    <t>ENSG00000130368</t>
  </si>
  <si>
    <t>ENSP00000252660</t>
  </si>
  <si>
    <t>5;16;22;272</t>
  </si>
  <si>
    <t>Cell membrane;Complete proteome;G-protein coupled receptor;Glycoprotein;Membrane;Proto-oncogene;Receptor;Reference proteome;Transducer;Transmembrane;Transmembrane helix</t>
  </si>
  <si>
    <t>UniRef100_P04201;UniRef90_P04201;UniRef50_P04201</t>
  </si>
  <si>
    <t>THY1_HUMAN</t>
  </si>
  <si>
    <t>Thy-1 membrane glycoprotein</t>
  </si>
  <si>
    <t>THY1</t>
  </si>
  <si>
    <t>SP:1-19;NC:20-161</t>
  </si>
  <si>
    <t>ENSG00000154096</t>
  </si>
  <si>
    <t>ENSP00000284240;ENSP00000431301</t>
  </si>
  <si>
    <t>CD90</t>
  </si>
  <si>
    <t>42;79;119;139</t>
  </si>
  <si>
    <t>LDCRHEN[115]TSSSPIQYEFSLTR;HEN[115]TSSSPIQ;HEN[115]TSSSPIQY;HEN[115]TSSSPIQYE;HEN[115]TSSSPIQYEF;HEN[115]TSSSPIQYEFS;HEN[115]TSSSPIQYEFSL;HEN[115]TSSSPIQYEFSLT;HEN[115]TSSSPIQYEFSLTR;EN[115]TSSSPIQYEFSLTR;SRTN[115]FTSK;SRTN[115]FTSKYNMK;SRTN[115]FTSKYN[115]MK;TN[115]FTSKYNMK;DEGTYTCALHHSGHSPPISSQN[115]VTVLR;GTYTCALHHSGHSPPISSQN[115]VTVLR;TYTCALHHSGHSPPISSQN[115]VTVLR;ALHHSGHSPPISSQN[115]VTVLR;LHHSGHSPPISSQN[115]VTVLR;HHSGHSPPISSQN[115]VTVLR;HSGHSPPISSQN[115]VTVLR;SGHSPPISSQN[115]VTVLR;GHSPPISSQN[115]VTVLR;HSPPISSQN[115]VTVLR;SPPISSQN[115]VTVLR;PPISSQN[115]VTVLR;PISSQN[115]VTVLR;ISSQN[115]VTVLR;SQN[115]VTVLR</t>
  </si>
  <si>
    <t>42;79;119</t>
  </si>
  <si>
    <t>P04216</t>
  </si>
  <si>
    <t>Cell membrane;Complete proteome;Disulfide bond;Glycoprotein;GPI-anchor;Immunoglobulin domain;Lipoprotein;Membrane;Pyrrolidone carboxylic acid;Reference proteome;Signal</t>
  </si>
  <si>
    <t>UniRef100_P04216;UniRef90_P04216;UniRef50_P01831</t>
  </si>
  <si>
    <t>Cytoskeleton;Endosome;Extracellular space;Golgi apparatus;Lysosome;Mitochondrion;Nucleus;Peroxisome</t>
  </si>
  <si>
    <t>1C03_HUMAN</t>
  </si>
  <si>
    <t>HLA class I histocompatibility antigen, Cw-3 alpha chain</t>
  </si>
  <si>
    <t>HLA-C</t>
  </si>
  <si>
    <t>SP:1-24;NC:25-305;TM:306-332;CY:333-366</t>
  </si>
  <si>
    <t>ENSG00000225691</t>
  </si>
  <si>
    <t>ENSP00000390851</t>
  </si>
  <si>
    <t>GYYN[115]QSEAGSHIIQRMYGCDVGPDGR</t>
  </si>
  <si>
    <t>P04222</t>
  </si>
  <si>
    <t>3D-structure;Complete proteome;Disulfide bond;Glycoprotein;Host-virus interaction;Immunity;Membrane;MHC I;Polymorphism;Reference proteome;Signal;Transmembrane;Transmembrane helix;Ubl conjugation</t>
  </si>
  <si>
    <t>UniRef100_P04222;UniRef90_P30499;UniRef50_P01892</t>
  </si>
  <si>
    <t>2B11_HUMAN</t>
  </si>
  <si>
    <t>HLA class II histocompatibility antigen, DRB1-1 beta chain</t>
  </si>
  <si>
    <t>UniRef100_P04229;UniRef90_P04229;UniRef50_P04229</t>
  </si>
  <si>
    <t>DB05259</t>
  </si>
  <si>
    <t>HG2A_HUMAN</t>
  </si>
  <si>
    <t>HLA class II histocompatibility antigen gamma chain</t>
  </si>
  <si>
    <t>CD74</t>
  </si>
  <si>
    <t>CY:1-48;TM:49-72;NC:73-296</t>
  </si>
  <si>
    <t>ENSG00000019582</t>
  </si>
  <si>
    <t>ENSP00000009530</t>
  </si>
  <si>
    <t>130;136;256;270</t>
  </si>
  <si>
    <t>25;265;274;281;282</t>
  </si>
  <si>
    <t>MATPLLMQALPMGALPQGPMQN[115]ATK;ATPLLMQALPMGALPQGPMQN[115]ATK;LMQALPMGALPQGPMQN[115]ATK;MQALPMGALPQGPMQN[115]ATK;QALPMGALPQGPMQN[115]ATK;ALPMGALPQGPMQN[115]ATK;LPMGALPQGPMQN[115]ATK;PMGALPQGPMQN[115]ATK;MGALPQGPMQN[115]ATK;GALPQGPMQN[115]ATK;ALPQGPMQN[115]ATK;LPQGPMQN[115]ATK;PQGPMQN[115]ATK;YGN[115]MTEDH;YGN[115]MTEDHV;YGN[115]MTEDHVM;YGN[115]MTEDHVMH;YGN[115]MTEDHVMHL;YGN[115]MTEDHVMHLL;YGN[115]MTEDHVMHLLQ;YGN[115]MTEDHVMHLLQN;YGN[115]MTEDHVMHLLQNADPLK;YGN[115]MTEDHVMHLLQNADPLKVYPPLK;YGN[115]MTEDHVMHLLQN[115]ADPLK;GHHN[115]CSESLELEDPSSGLGVTK</t>
  </si>
  <si>
    <t>130;136;270</t>
  </si>
  <si>
    <t>P04233</t>
  </si>
  <si>
    <t>Cell membrane (Single-pass type II membrane protein);Endoplasmic reticulum membrane;Endosome;Golgi apparatus, trans-Golgi network;Lysosome</t>
  </si>
  <si>
    <t>3D-structure;Adaptive immunity;Alternative splicing;Cell membrane;Chaperone;Complete proteome;Direct protein sequencing;Disulfide bond;Endoplasmic reticulum;Endosome;Glycoprotein;Golgi apparatus;Immunity;Lysosome;Membrane;Phosphoprotein;Proteoglycan;Reference proteome;Signal-anchor;Transmembrane;Transmembrane helix</t>
  </si>
  <si>
    <t>UniRef100_P04233;UniRef90_P04233;UniRef50_P04233</t>
  </si>
  <si>
    <t>CD3D_HUMAN</t>
  </si>
  <si>
    <t>T-cell surface glycoprotein CD3 delta chain</t>
  </si>
  <si>
    <t>CD3D</t>
  </si>
  <si>
    <t>SP:1-21;NC:22-103;TM:104-126;CY:127-171</t>
  </si>
  <si>
    <t>ENSG00000167286</t>
  </si>
  <si>
    <t>ENSP00000300692</t>
  </si>
  <si>
    <t>CD3d</t>
  </si>
  <si>
    <t>38;74</t>
  </si>
  <si>
    <t>CN[115]GTDIYK</t>
  </si>
  <si>
    <t>P04234</t>
  </si>
  <si>
    <t>3D-structure;Alternative splicing;Complete proteome;Direct protein sequencing;Disulfide bond;Glycoprotein;Membrane;Phosphoprotein;Polymorphism;Receptor;Reference proteome;SCID;Signal;Transmembrane;Transmembrane helix</t>
  </si>
  <si>
    <t>UniRef100_P04234;UniRef90_P04234;UniRef50_P04234</t>
  </si>
  <si>
    <t>DB00075</t>
  </si>
  <si>
    <t>1A03_HUMAN</t>
  </si>
  <si>
    <t>HLA class I histocompatibility antigen, A-3 alpha chain</t>
  </si>
  <si>
    <t>ENSG00000206503</t>
  </si>
  <si>
    <t>ENSP00000366005;ENSP00000379873</t>
  </si>
  <si>
    <t>3D-structure;Complete proteome;Disulfide bond;Glycoprotein;Host-virus interaction;Immunity;Membrane;MHC I;Phosphoprotein;Polymorphism;Reference proteome;Signal;Transmembrane;Transmembrane helix;Ubl conjugation</t>
  </si>
  <si>
    <t>UniRef100_P04439;UniRef90_P01892;UniRef50_P01892</t>
  </si>
  <si>
    <t>DPB1_HUMAN</t>
  </si>
  <si>
    <t>HLA class II histocompatibility antigen, DP beta 1 chain</t>
  </si>
  <si>
    <t>HLA-DPB1</t>
  </si>
  <si>
    <t>SP:1-29;NC:30-226;TM:227-246;CY:247-258</t>
  </si>
  <si>
    <t>ENSG00000215048;ENSG00000236693;ENSG00000223865;ENSG00000230763;ENSG00000226826;ENSG00000237710</t>
  </si>
  <si>
    <t>ENSP00000382422;ENSP00000414196;ENSP00000408146;ENSP00000396095;ENSP00000407674;ENSP00000389288</t>
  </si>
  <si>
    <t>48;127</t>
  </si>
  <si>
    <t>88;158;180;215</t>
  </si>
  <si>
    <t>RATPENYLFQGRQECYAFN[115]GTQR;RATPENYLFQGRQECYAFN[115]GTQRFLER;ATPENYLFQGRQECYAFN[115]GTQR;ATPENYLFQGRQECYAFN[115]GTQRFLER;QECYAFN[115]GTQR;QECYAFN[115]GTQRFLER;YAFN[115]GTQR;AFN[115]GTQR;VN[115]VSPSK</t>
  </si>
  <si>
    <t>P04440</t>
  </si>
  <si>
    <t>3D-structure;Cell membrane;Complete proteome;Disulfide bond;Endoplasmic reticulum;Endosome;Glycoprotein;Golgi apparatus;Immunity;Lysosome;Membrane;MHC II;Polymorphism;Reference proteome;Signal;Transmembrane;Transmembrane helix</t>
  </si>
  <si>
    <t>UniRef100_P04440;UniRef90_P04440;UniRef50_P04440</t>
  </si>
  <si>
    <t>Endoplasmic Reticulum;Endoplasmic Reticulum;Endosome;Endosome;Lysosome;Lysosome;Plasma membrane;Plasma membrane</t>
  </si>
  <si>
    <t>Cytoskeleton;Cytoskeleton;Cytosol;Cytosol;Extracellular space;Extracellular space;Mitochondrion;Mitochondrion;Nucleus;Nucleus;Peroxisome;Peroxisome</t>
  </si>
  <si>
    <t>ERBB2_HUMAN</t>
  </si>
  <si>
    <t>Receptor tyrosine-protein kinase erbB-2</t>
  </si>
  <si>
    <t>ERBB2</t>
  </si>
  <si>
    <t>SP:1-22;NC:23-652;TM:653-675;CY:676-1255</t>
  </si>
  <si>
    <t>ENSG00000141736</t>
  </si>
  <si>
    <t>ENSP00000269571</t>
  </si>
  <si>
    <t>CD340</t>
  </si>
  <si>
    <t>68;124;125;187;259;530;571;629;758</t>
  </si>
  <si>
    <t>GTQLFEDNYALAVLDNGDPLNN[115]TTPVTGASPGGLR;GTQLFEDNYALAVLDNGDPLN[115]NTTPVTGASPGGLR;GTQLFEDNYALAVLDNGDPLN[115]N[115]TTPVTGASPGGLR;GTQLFEDNYALAVLDN[115]GDPLN[115]NTTPVTGASPGGLR;GDPLN[115]NTTPVTGASPGGLR;GDPLN[115]N[115]TTPVTGASPGGLR;PLN[115]NTTPVTGASPGGLR;PLN[115]N[115]TTPVTGASPGGLR;DIFHKNNQLALTLIDTN[115]RSR;NNQLALTLIDTN[115]R;NNQLALTLIDTN[115]RSR;N[115]NQLALTLIDTN[115]R;NQLALTLIDTN[115]R;GHCWGPGPTQCVN[115]CSQFLR;HCLPCHPECQPQN[115]GSVTCFGPEADQCVACAH;FPDEEGACQPCPIN[115]CTHSCVDLDDK;PDEEGACQPCPIN[115]CTHSCVDLDDK;DEEGACQPCPIN[115]CTHSCVDLDDK</t>
  </si>
  <si>
    <t>124;125;187;530;571;629</t>
  </si>
  <si>
    <t>P04626</t>
  </si>
  <si>
    <t>Cell membrane (Single-pass type I membrane protein);Cytoplasm, perinuclear region;Nucleus;Cytoplasm;Nucleus;Cytoplasm;Nucleus</t>
  </si>
  <si>
    <t>3D-structure;Activator;Alternative initiation;Alternative splicing;ATP-binding;Cell membrane;Chromosomal rearrangement;Complete proteome;Cytoplasm;Disulfide bond;Glycoprotein;Kinase;Membrane;Nucleotide-binding;Nucleus;Phosphoprotein;Polymorphism;Receptor;Reference proteome;Signal;Transcription;Transcription regulation;Transferase;Transmembrane;Transmembrane helix;Tyrosine-protein kinase</t>
  </si>
  <si>
    <t>UniRef100_P04626;UniRef90_P04626;UniRef50_P04626</t>
  </si>
  <si>
    <t>Endosome;Nucleus;Plasma membrane</t>
  </si>
  <si>
    <t>DB00072;DB01259;DB05773;DB06366;DB08916</t>
  </si>
  <si>
    <t>NTRK1_HUMAN</t>
  </si>
  <si>
    <t>High affinity nerve growth factor receptor</t>
  </si>
  <si>
    <t>NTRK1</t>
  </si>
  <si>
    <t>SP:1-33;NC:34-418;TM:419-439;CY:440-796</t>
  </si>
  <si>
    <t>ENSG00000198400</t>
  </si>
  <si>
    <t>ENSP00000431418</t>
  </si>
  <si>
    <t>Kinase;neutrophin</t>
  </si>
  <si>
    <t>67;95;121;188;202;253;262;281;318;323;338;358;401</t>
  </si>
  <si>
    <t>235;475;479</t>
  </si>
  <si>
    <t>DGALDSLHHLPGAEN[115]LTELYIENQQHLQHLELR;VQVPN[115]ASVDVGDDVLLR;SGGLPSLGLTLAN[115]VTSDLNR</t>
  </si>
  <si>
    <t>67;202;253</t>
  </si>
  <si>
    <t>P04629</t>
  </si>
  <si>
    <t>Cell membrane (Single-pass type I membrane protein);Early endosome membrane (Single-pass type I membrane protein);Late endosome membrane (Single-pass type I membrane protein)</t>
  </si>
  <si>
    <t>3D-structure;Alternative splicing;ATP-binding;Cell membrane;Chromosomal rearrangement;Complete proteome;Developmental protein;Differentiation;Disease mutation;Disulfide bond;Endosome;Glycoprotein;Immunoglobulin domain;Kinase;Leucine-rich repeat;Membrane;Neurogenesis;Nucleotide-binding;Phosphoprotein;Polymorphism;Proto-oncogene;Receptor;Reference proteome;Repeat;Signal;Transferase;Transmembrane;Transmembrane helix;Tyrosine-protein kinase;Ubl conjugation</t>
  </si>
  <si>
    <t>UniRef100_P04629;UniRef90_P04629;UniRef50_P04629</t>
  </si>
  <si>
    <t>DB00321;DB00619;DB08896</t>
  </si>
  <si>
    <t>CY24B_HUMAN</t>
  </si>
  <si>
    <t>Cytochrome b-245 heavy chain</t>
  </si>
  <si>
    <t>CYBB</t>
  </si>
  <si>
    <t>CY:1-11;TM:12-30;NC:31-49;TM:50-71;CY:72-99;TM:100-121;NC:122-166;TM:167-191;CY:192-202;TM:203-222;NC:223-268;TM:269-286;CY:287-570</t>
  </si>
  <si>
    <t>ENSG00000165168</t>
  </si>
  <si>
    <t>ENSP00000367851</t>
  </si>
  <si>
    <t>97;132;149;240;430</t>
  </si>
  <si>
    <t>VNNSDPYSVALSELGDRQN[115]ESYLN[115]FAR;VNN[115]SDPYSVALSELGDRQN[115]ESYLNFAR;VN[115]NSDPYSVALSELGDR;VN[115]NSDPYSVALSELGDRQN[115]ESYLNFAR;VN[115]N[115]SDPYSVALSELGDR;N[115]NSDPYSVALSELGDR;SVALSELGDRQN[115]ESYLNFAR;ALSELGDRQN[115]ESYLNFAR;QN[115]ESYLNFAR;QN[115]ESYLN[115]FAR;N[115]ESYLNFAR;GQTAESLAVHN[115]I;GQTAESLAVHN[115]ITVCEQK;TAESLAVHN[115]ITVCEQK;AESLAVHN[115]ITVCEQK;AVHN[115]ITVCEQK;N[115]ITVCEQK</t>
  </si>
  <si>
    <t>132;149;240</t>
  </si>
  <si>
    <t>P04839</t>
  </si>
  <si>
    <t>3D-structure;Cell membrane;Chronic granulomatous disease;Complete proteome;Direct protein sequencing;Disease mutation;Electron transport;FAD;Flavoprotein;Glycoprotein;Heme;Ion channel;Ion transport;Iron;Membrane;Metal-binding;NADP;Oxidoreductase;Phosphoprotein;Polymorphism;Reference proteome;Transmembrane;Transmembrane helix;Transport;Voltage-gated channel</t>
  </si>
  <si>
    <t>UniRef100_P04839;UniRef90_P04839;UniRef50_P04839</t>
  </si>
  <si>
    <t>RPN1_HUMAN</t>
  </si>
  <si>
    <t>Dolichyl-diphosphooligosaccharide--protein glycosyltransferase subunit 1</t>
  </si>
  <si>
    <t>RPN1</t>
  </si>
  <si>
    <t>SP:1-26;NC:27-439;TM:440-458;CY:459-607</t>
  </si>
  <si>
    <t>ENSG00000163902</t>
  </si>
  <si>
    <t>ENSP00000296255</t>
  </si>
  <si>
    <t>2.4.1</t>
  </si>
  <si>
    <t>220;299</t>
  </si>
  <si>
    <t>DEIGN[115]VSTSH;DEIGN[115]VSTSHLL;DEIGN[115]VSTSHLLILDDSVEMEIR;DEIGN[115]VSTSHLLILDDSVEMEIRPR</t>
  </si>
  <si>
    <t>P04843</t>
  </si>
  <si>
    <t>Endoplasmic reticulum membrane (Single-pass type I membrane protein);Melanosome</t>
  </si>
  <si>
    <t>Acetylation;Complete proteome;Endoplasmic reticulum;Glycoprotein;Glycosyltransferase;Membrane;Reference proteome;Signal;Transferase;Transmembrane;Transmembrane helix</t>
  </si>
  <si>
    <t>UniRef100_P04843;UniRef90_P04843;UniRef50_P04843</t>
  </si>
  <si>
    <t>Cytoskeleton;Cytosol;Endosome;Extracellular space;Golgi apparatus;Lysosome;Mitochondrion;Nucleus;Peroxisome;Plasma membrane</t>
  </si>
  <si>
    <t>GLPC_HUMAN</t>
  </si>
  <si>
    <t>Glycophorin-C</t>
  </si>
  <si>
    <t>GYPC</t>
  </si>
  <si>
    <t>NC:1-58;TM:59-81;CY:82-128</t>
  </si>
  <si>
    <t>ENSG00000136732</t>
  </si>
  <si>
    <t>ENSP00000259254</t>
  </si>
  <si>
    <t>CD236</t>
  </si>
  <si>
    <t>Cell membrane (Single-pass type III membrane protein)</t>
  </si>
  <si>
    <t>3D-structure;Alternative splicing;Blood group antigen;Cell membrane;Complete proteome;Direct protein sequencing;Glycoprotein;Membrane;Phosphoprotein;Polymorphism;Reference proteome;Sialic acid;Transmembrane;Transmembrane helix</t>
  </si>
  <si>
    <t>UniRef100_P04921;UniRef90_P04921;UniRef50_P04921</t>
  </si>
  <si>
    <t>AT1A1_HUMAN</t>
  </si>
  <si>
    <t>Sodium/potassium-transporting ATPase subunit alpha-1</t>
  </si>
  <si>
    <t>ATP1A1</t>
  </si>
  <si>
    <t>CY:1-95;TM:96-114;NC:115-129;TM:130-149;CY:150-290;TM:291-312;NC:313-318;TM:319-344;CY:345-775;TM:776-796;NC:797-801;TM:802-824;CY:825-848;TM:849-872;NC:873-912;TM:913-932;CY:933-952;TM:953-970;NC:971-984;TM:985-1002;CY:1003-1023</t>
  </si>
  <si>
    <t>ENSG00000163399</t>
  </si>
  <si>
    <t>ENSP00000295598</t>
  </si>
  <si>
    <t>Active_transporters;P-ATPase</t>
  </si>
  <si>
    <t>215;405;483;497;638;720</t>
  </si>
  <si>
    <t>483;638</t>
  </si>
  <si>
    <t>Cell membrane (Multi-pass membrane protein);Melanosome</t>
  </si>
  <si>
    <t>Acetylation;Alternative splicing;ATP-binding;Cell membrane;Complete proteome;Direct protein sequencing;Hydrolase;Ion transport;Magnesium;Membrane;Metal-binding;Nucleotide-binding;Phosphoprotein;Polymorphism;Potassium;Potassium transport;Reference proteome;Sodium;Sodium transport;Sodium/potassium transport;Transmembrane;Transmembrane helix;Transport</t>
  </si>
  <si>
    <t>UniRef100_P05023;UniRef90_P06685;UniRef50_P06685</t>
  </si>
  <si>
    <t>DB00390;DB00511;DB00774;DB00903;DB01021;DB01078;DB01092;DB01119;DB01158;DB01188;DB01244;DB01370;DB01396;DB01430</t>
  </si>
  <si>
    <t>AT1B1_HUMAN</t>
  </si>
  <si>
    <t>Sodium/potassium-transporting ATPase subunit beta-1</t>
  </si>
  <si>
    <t>ATP1B1</t>
  </si>
  <si>
    <t>CY:1-35;TM:36-59;NC:60-303</t>
  </si>
  <si>
    <t>ENSG00000143153</t>
  </si>
  <si>
    <t>ENSP00000356789;ENSP00000356790</t>
  </si>
  <si>
    <t>AuxillaryTransportUnit;ATP1B</t>
  </si>
  <si>
    <t>158;193;265</t>
  </si>
  <si>
    <t>FKLEWLGN[115]CSGLNDETYGYK;LEWLGN[115]CSGLNDETY;LEWLGN[115]CSGLNDETYGYK;LEWLGN[115]CSGLN[115]DETYGYK;LGN[115]CSGLNDETYGYK;GN[115]CSGLNDETYGYK;GN[115]CSGLN[115]DETYGYK;LNRVLGFKPKPPKN[115]ESLETYPVMK;VLGFKPKPPKN[115]ESLETYPVMK;LGFKPKPPKN[115]ESLETYPVMK;GFKPKPPKN[115]ESLETYPVMK;FKPKPPKN[115]ESLETYPVMK;PKPPKN[115]ESLETYPVMK;PPKN[115]ESLETYPVMK;YLQPLLAVQFTN[115]LTMDTEIR;LAVQFTN[115]LTMDTEIR;AVQFTN[115]LTMDTEIR;VQFTN[115]LTMDTEIR;FTN[115]LTMDTEIR;TN[115]LTMDTEIR</t>
  </si>
  <si>
    <t>P05026</t>
  </si>
  <si>
    <t>Alternative splicing;Cell adhesion;Cell membrane;Complete proteome;Disulfide bond;Glycoprotein;Ion transport;Membrane;Phosphoprotein;Potassium;Potassium transport;Reference proteome;Signal-anchor;Sodium;Sodium transport;Sodium/potassium transport;Transmembrane;Transmembrane helix;Transport</t>
  </si>
  <si>
    <t>UniRef100_P05026;UniRef90_P05026;UniRef50_P05026</t>
  </si>
  <si>
    <t>A4_HUMAN</t>
  </si>
  <si>
    <t>Amyloid beta A4 protein</t>
  </si>
  <si>
    <t>APP</t>
  </si>
  <si>
    <t>SP:1-17;NC:18-700;TM:701-723;CY:724-770</t>
  </si>
  <si>
    <t>ENSG00000142192</t>
  </si>
  <si>
    <t>ENSP00000284981</t>
  </si>
  <si>
    <t>542;571</t>
  </si>
  <si>
    <t>542;571;759</t>
  </si>
  <si>
    <t>22;587;596;600;603;628;652</t>
  </si>
  <si>
    <t>Membrane (Single-pass type I membrane protein);Membrane, clathrin-coated pit</t>
  </si>
  <si>
    <t>3D-structure;Alternative splicing;Alzheimer disease;Amyloid;Amyloidosis;Apoptosis;Cell adhesion;Coated pit;Complete proteome;Copper;Direct protein sequencing;Disease mutation;Disulfide bond;Endocytosis;Glycoprotein;Heparin-binding;Iron;Membrane;Metal-binding;Neurodegeneration;Notch signaling pathway;Oxidation;Phosphoprotein;Polymorphism;Protease inhibitor;Proteoglycan;Reference proteome;Serine protease inhibitor;Signal;Transmembrane;Transmembrane helix;Zinc</t>
  </si>
  <si>
    <t>UniRef100_P05067;UniRef90_P05067;UniRef50_P05067</t>
  </si>
  <si>
    <t>Endoplasmic Reticulum;Endosome;Lysosome;Mitochondrion;Nucleus;Peroxisome</t>
  </si>
  <si>
    <t>ITB3_HUMAN</t>
  </si>
  <si>
    <t>Integrin beta-3</t>
  </si>
  <si>
    <t>ITGB3</t>
  </si>
  <si>
    <t>SP:1-26;NC:27-718;TM:719-743;CY:744-788</t>
  </si>
  <si>
    <t>ENSG00000259207</t>
  </si>
  <si>
    <t>ENSP00000452786</t>
  </si>
  <si>
    <t>CD61</t>
  </si>
  <si>
    <t>125;346;397;478;585;680;782</t>
  </si>
  <si>
    <t>104;507</t>
  </si>
  <si>
    <t>LRPDDSKN[115]FSIQVR;CNNGN[115]GTFECGVCR;CNN[115]GN[115]GTFECGVCR;SDWTGYYCN[115]CTTR;DTGKDAVN[115]CTYK;DAVN[115]CTYK</t>
  </si>
  <si>
    <t>125;478;585;680</t>
  </si>
  <si>
    <t>P05106</t>
  </si>
  <si>
    <t>Cell junction, focal adhesion;Cell membrane (Single- pass type I membrane protein);Cell projection, lamellipodium membrane</t>
  </si>
  <si>
    <t>3D-structure;Alternative splicing;Cell adhesion;Cell junction;Cell membrane;Cell projection;Complete proteome;Direct protein sequencing;Disease mutation;Disulfide bond;Glycoprotein;Host-virus interaction;Integrin;Membrane;Phosphoprotein;Polymorphism;Receptor;Reference proteome;Repeat;Signal;Transmembrane;Transmembrane helix</t>
  </si>
  <si>
    <t>UniRef100_P05106;UniRef90_P05106;UniRef50_P05106</t>
  </si>
  <si>
    <t>DB00054;DB00063;DB00098;DB00775</t>
  </si>
  <si>
    <t>ITB2_HUMAN</t>
  </si>
  <si>
    <t>Integrin beta-2</t>
  </si>
  <si>
    <t>ITGB2</t>
  </si>
  <si>
    <t>SP:1-22;NC:23-700;TM:701-727;CY:728-769</t>
  </si>
  <si>
    <t>ENSG00000160255</t>
  </si>
  <si>
    <t>ENSP00000303242;ENSP00000347279;ENSP00000380948;ENSP00000380950;ENSP00000380955</t>
  </si>
  <si>
    <t>CD18</t>
  </si>
  <si>
    <t>50;116;212;254;501;642</t>
  </si>
  <si>
    <t>45;252;671;723;747</t>
  </si>
  <si>
    <t>LN[115]FTGPGDPDSIR;N[115]FTGPGDPDSIR;YLRPGQAAAFN[115]VTFR;LRPGQAAAFN[115]VTFR;RPGQAAAFN[115]VTFR;PGQAAAFN[115]VTFR;GQAAAFN[115]VTFR;QAAAFN[115]VTFR;AAFN[115]VTFR;AFN[115]VTFR;HVLKLTN[115]NSNQFQTEVGK;KLTN[115]NSNQFQTEVGK;LTN[115]NSNQFQTEVGK;LTN[115]NSN[115]QFQTEVGK;LTN[115]N[115]SNQFQTEVGK;LTN[115]N[115]SN[115]QFQTEVGK;TN[115]NSNQFQTEVGK;N[115]NSNQFQTEVGK;KDN[115]NSIICSGLGDCV;KDN[115]NSIICSGLGDCVCG;KDN[115]NSIICSGLGDCVCGQ;KDN[115]NSIICSGLGDCVCGQCLCH;KDN[115]NSIICSGLGDCVCGQCLCHTSDVPGK;KDN[115]N[115]SIICSGLGDCVCGQCLCHTSDVPGK;DN[115]NSIICSGLGDCVCGQCLCHTSDVPGK;N[115]CSAACPGLQLSNNPVK</t>
  </si>
  <si>
    <t>50;116;212;501;642</t>
  </si>
  <si>
    <t>P05107</t>
  </si>
  <si>
    <t>3D-structure;Cell adhesion;Complete proteome;Direct protein sequencing;Disease mutation;Disulfide bond;Glycoprotein;Integrin;Membrane;Metal-binding;Phosphoprotein;Pyrrolidone carboxylic acid;Receptor;Reference proteome;Repeat;Signal;Transmembrane;Transmembrane helix</t>
  </si>
  <si>
    <t>UniRef100_P05107;UniRef90_P05107;UniRef50_P05107</t>
  </si>
  <si>
    <t>DB00641</t>
  </si>
  <si>
    <t>PPBT_HUMAN</t>
  </si>
  <si>
    <t>Alkaline phosphatase, tissue-nonspecific isozyme</t>
  </si>
  <si>
    <t>ALPL</t>
  </si>
  <si>
    <t>SP:1-17;NC:18-524</t>
  </si>
  <si>
    <t>ENSG00000162551</t>
  </si>
  <si>
    <t>ENSP00000363965;ENSP00000363973</t>
  </si>
  <si>
    <t>140;230;271;303;430</t>
  </si>
  <si>
    <t>SRCN[115]TTQGNEVTSILR;SRCN[115]TTQGN[115]EVTSILR;CN[115]TTQGNEVTSILR;CN[115]TTQGN[115]EVTSILR;KYMYPKN[115]KTDVEYESDEKAR;YMYPKN[115]KTDVEYESDEKAR;N[115]KTDVEYESDEK;N[115]KTDVEYESDEKAR;VVGGEREN[115]VSMVDYAHNNYQAQSAVPLR;EN[115]VSMVDYAHNNYQAQSAVPLR;EN[115]VSMVDYAHNN[115]YQAQSAVPLR;EN[115]VSMVDYAHN[115]NYQAQSAVPLR</t>
  </si>
  <si>
    <t>140;230;430</t>
  </si>
  <si>
    <t>P05186</t>
  </si>
  <si>
    <t>Alternative splicing;Biomineralization;Cell membrane;Complete proteome;Direct protein sequencing;Disease mutation;Disulfide bond;Glycoprotein;GPI-anchor;Hydrolase;Lipoprotein;Magnesium;Membrane;Metal-binding;Phosphoprotein;Polymorphism;Reference proteome;Signal;Transmembrane;Zinc</t>
  </si>
  <si>
    <t>UniRef100_P05186;UniRef90_P05186;UniRef50_P05186</t>
  </si>
  <si>
    <t>PPB1_HUMAN</t>
  </si>
  <si>
    <t>Alkaline phosphatase, placental type</t>
  </si>
  <si>
    <t>ALPP</t>
  </si>
  <si>
    <t>SP:1-22;NC:23-535</t>
  </si>
  <si>
    <t>ENSG00000163283</t>
  </si>
  <si>
    <t>ENSP00000375881</t>
  </si>
  <si>
    <t>144;271</t>
  </si>
  <si>
    <t>3D-structure;Cell membrane;Complete proteome;Direct protein sequencing;Disulfide bond;Glycoprotein;GPI-anchor;Hydrolase;Lipoprotein;Magnesium;Membrane;Metal-binding;Phosphoprotein;Polymorphism;Reference proteome;Signal;Transmembrane;Transmembrane helix;Zinc</t>
  </si>
  <si>
    <t>UniRef100_P05187;UniRef90_P05187;UniRef50_P05186</t>
  </si>
  <si>
    <t>ICAM1_HUMAN</t>
  </si>
  <si>
    <t>Intercellular adhesion molecule 1</t>
  </si>
  <si>
    <t>ICAM1</t>
  </si>
  <si>
    <t>SP:1-27;NC:28-480;TM:481-503;CY:504-532</t>
  </si>
  <si>
    <t>ENSG00000090339</t>
  </si>
  <si>
    <t>ENSP00000264832</t>
  </si>
  <si>
    <t>CD54</t>
  </si>
  <si>
    <t>130;145;183;202;267;296;385;406</t>
  </si>
  <si>
    <t>130;145;183;202;260;267;296;385;406</t>
  </si>
  <si>
    <t>AN[115]LTVVLLR;AN[115]LTVVLLRG;AN[115]LTVVLLRGEK;N[115]LTVVLLR;RDHHGAN[115]FSCR;DHHGAN[115]FSC;DHHGAN[115]FSCR;HHGAN[115]FSCR;TELDLRPQGLELFEN[115];TELDLRPQGLELFEN[115]T;TELDLRPQGLELFEN[115]TSAPY;TELDLRPQGLELFEN[115]TSAPYQ;TELDLRPQGLELFEN[115]TSAPYQL;TELDLRPQGLELFEN[115]TSAPYQLQ;TELDLRPQGLELFEN[115]TSAPYQLQT;TELDLRPQGLELFEN[115]TSAPYQLQTF;LNPTVTYGN[115]DSFSAK;LN[115]PTVTYGN[115]DSFSAK;NPTVTYGN[115]DSFSAK;N[115]PTVTYGN[115]DSFSAK;PTVTYGN[115]DSFSAK;VTYGN[115]DSFSAK;YGN[115]DSFSAK;LTCAVILGN[115]QSQE;LTCAVILGN[115]QSQETLQTV;DCPGN[115]WTWPENSQQTPM;DCPGN[115]WTWPENSQQTPMCQAWGNPLPELK;CPGN[115]WTWPENSQQTPMCQAWGNPLPELK</t>
  </si>
  <si>
    <t>145;183;202;267;296;406</t>
  </si>
  <si>
    <t>P05362</t>
  </si>
  <si>
    <t>3D-structure;Cell adhesion;Complete proteome;Direct protein sequencing;Disulfide bond;Glycoprotein;Host cell receptor for virus entry;Host-virus interaction;Immunoglobulin domain;Membrane;Phosphoprotein;Polymorphism;Receptor;Reference proteome;Repeat;Signal;Transmembrane;Transmembrane helix;Ubl conjugation</t>
  </si>
  <si>
    <t>UniRef100_P05362;UniRef90_P05362;UniRef50_P05362</t>
  </si>
  <si>
    <t>DB00108;DB08818</t>
  </si>
  <si>
    <t>1A24_HUMAN</t>
  </si>
  <si>
    <t>HLA class I histocompatibility antigen, A-24 alpha chain</t>
  </si>
  <si>
    <t>SP:1-24;NC:25-306;TM:307-331;CY:332-365</t>
  </si>
  <si>
    <t>ENSG00000229215;ENSG00000224320</t>
  </si>
  <si>
    <t>ENSP00000406366;ENSP00000404678</t>
  </si>
  <si>
    <t>110;335</t>
  </si>
  <si>
    <t>UniRef100_P05534;UniRef90_P01892;UniRef50_P01892</t>
  </si>
  <si>
    <t>DQB2_HUMAN</t>
  </si>
  <si>
    <t>HLA class II histocompatibility antigen, DQ beta 2 chain</t>
  </si>
  <si>
    <t>HLA-DQB2</t>
  </si>
  <si>
    <t>SP:1-32;NC:33-229;TM:230-250;CY:251-268</t>
  </si>
  <si>
    <t>ENSG00000196610;ENSG00000232629;ENSG00000226165;ENSG00000228813;ENSG00000228254;ENSG00000224305;ENSG00000230675;ENSG00000229493</t>
  </si>
  <si>
    <t>ENSP00000382569;ENSP00000389067;ENSP00000410132;ENSP00000396502</t>
  </si>
  <si>
    <t>GMCYFTN[115]GTER;GMCYFTN[115]GTERVR</t>
  </si>
  <si>
    <t>P05538</t>
  </si>
  <si>
    <t>Alternative splicing;Cell membrane;Complete proteome;Disulfide bond;Endoplasmic reticulum;Endosome;Glycoprotein;Golgi apparatus;Immunity;Lysosome;Membrane;MHC II;Polymorphism;Reference proteome;Signal;Transmembrane;Transmembrane helix</t>
  </si>
  <si>
    <t>UniRef100_P05538;UniRef90_P05538;UniRef50_P01920</t>
  </si>
  <si>
    <t>ITB1_HUMAN</t>
  </si>
  <si>
    <t>Integrin beta-1</t>
  </si>
  <si>
    <t>ITGB1</t>
  </si>
  <si>
    <t>SP:1-20;NC:21-728;TM:729-751;CY:752-798</t>
  </si>
  <si>
    <t>ENSG00000150093</t>
  </si>
  <si>
    <t>ENSP00000303351;ENSP00000379350</t>
  </si>
  <si>
    <t>CD29</t>
  </si>
  <si>
    <t>50;94;97;212;269;363;406;417;481;520;584;669</t>
  </si>
  <si>
    <t>96;99</t>
  </si>
  <si>
    <t>SCGECIQAGPNCGWCTN[115]STFLQEGMPTSAR;SCGECIQAGPN[115]CGWCTN[115]STFLQEGMPTSAR;CGWCTN[115]STFLQEGMPTSAR;CTN[115]STFLQEGMPTSAR;TN[115]STFLQEGMPTSAR;LRNPCTSEQN[115]CTSPF;LRNPCTSEQN[115]CTSPFS;LRNPCTSEQN[115]CTSPFSY;LRNPCTSEQN[115]CTSPFSYK;NPCTSEQN[115]CTSPF;NPCTSEQN[115]CTSPFS;NPCTSEQN[115]CTSPFSY;NPCTSEQN[115]CTSPFSYK;NPCTSEQN[115]CTSPFSYKN;NPCTSEQN[115]CTSPFSYKNVLSLTNK;NPCTSEQN[115]CTSPFSYKNVLSLTNKG;NPCTSEQN[115]CTSPFSYKNVLSLTNKGEVFNELVGK;N[115]PCTSEQN[115]CTSPF;N[115]PCTSEQN[115]CTSPFSYK;PCTSEQN[115]CTSPFSYK;CTSEQN[115]CTSPFSYK;TSEQN[115]CTSPFSYK;SEQN[115]CTSPFSYK;SAVGTLSAN[115]SSN;SAVGTLSAN[115]SSNV;SAVGTLSAN[115]SSNVI;SAVGTLSAN[115]SSNVIQ;SAVGTLSAN[115]SSNVIQL;SAVGTLSAN[115]SSNVIQLI;SYCKNGVN[115]GTGENGR;SYCKNGVN[115]GTGENGRK;SYCKNGVN[115]GTGEN[115]GRK;SYCKN[115]GVN[115]GTGENGRK;SYCKN[115]GVN[115]GTGEN[115]GR;SYCKN[115]GVN[115]GTGEN[115]GRK;NGVN[115]GTGENGR;NGVN[115]GTGENGRK;NGVN[115]GTGEN[115]GR;NGVN[115]GTGEN[115]GRK;N[115]GVN[115]GTGENGR;N[115]GVN[115]GTGEN[115]GR;N[115]GVN[115]GTGEN[115]GRK;GVN[115]GTGENGR;CHEGN[115]GTFECGA;CHEGN[115]GTFECGACR;HEGN[115]GTFECGACR;EGN[115]GTFECGACR;KEN[115]SSEICSN;KEN[115]SSEICSNN;KEN[115]SSEICSNNG;KEN[115]SSEICSNNGE;KEN[115]SSEICSNNGEC;KEN[115]SSEICSNNGECV;KEN[115]SSEICSNNGECVCGQ;KEN[115]SSEICSNNGECVCGQC;KEN[115]SSEICSNNGECVCGQCVC;KEN[115]SSEICSNNGECVCGQCVCR;KEN[115]SSEICSNN[115];KEN[115]SSEICSNN[115]G;KEN[115]SSEICSNN[115]GEC;KEN[115]SSEICSNN[115]GECVCGQ;KEN[115]SSEICSNN[115]GECVCGQC;KEN[115]SSEICSNN[115]GECVCGQCVCR;KEN[115]SSEICSN[115]N;KEN[115]SSEICSN[115]NGECVCGQ;KEN[115]SSEICSN[115]NGECVCGQCVCR;KEN[115]SSEICSN[115]N[115]GECVCGQ;KEN[115]SSEICSN[115]N[115]GECVCGQCVCR;EN[115]SSEICSNNGECVCGQ;EN[115]SSEICSNNGECVCGQCVCR;EN[115]SSEICSNN[115]GECVCGQ;EN[115]SSEICSNN[115]GECVCGQCVCR;EN[115]SSEICSN[115]NGECVCGQCVCR;VCECNPN[115]YTGSACDCSLDTSTCEASN[115]GQICN[115]GR;KDTCTQECSYFN[115]ITK;KDTCTQECSYFN[115]ITKVESR;DTCTQECSYFN[115]ITK;DTCTQECSYFN[115]ITKVESR;TCTQECSYFN[115]ITK;TQECSYFN[115]ITK;CSYFN[115]ITK;SYFN[115]ITK;SYFN[115]ITKVESR</t>
  </si>
  <si>
    <t>50;212;363;406;481;520;584;669</t>
  </si>
  <si>
    <t>P05556</t>
  </si>
  <si>
    <t>Cell membrane (Single-pass type I membrane protein);Cell projection, invadopodium membrane (Single-pass type I membrane protein);Cell projection, lamellipodium;Cell projection, ruffle;Cell projection, ruffle membrane (Single- pass type I membrane protein);Cleavage furrow;Melanosome;Recycling endosome;Cell junction;Cell membrane, sarcolemma</t>
  </si>
  <si>
    <t>3D-structure;Acetylation;Alternative splicing;Calcium;Cell adhesion;Cell junction;Cell membrane;Cell projection;Complete proteome;Direct protein sequencing;Disulfide bond;Endosome;Glycoprotein;Host cell receptor for virus entry;Host-virus interaction;Integrin;Magnesium;Membrane;Metal-binding;Phosphoprotein;Receptor;Reference proteome;Repeat;Signal;Transmembrane;Transmembrane helix</t>
  </si>
  <si>
    <t>UniRef100_P05556;UniRef90_P05556;UniRef50_P05556</t>
  </si>
  <si>
    <t>CD1A_HUMAN</t>
  </si>
  <si>
    <t>T-cell surface glycoprotein CD1a</t>
  </si>
  <si>
    <t>CD1A</t>
  </si>
  <si>
    <t>SP:1-18;NC:19-299;TM:300-321;CY:322-327</t>
  </si>
  <si>
    <t>ENSG00000158477</t>
  </si>
  <si>
    <t>ENSP00000289429</t>
  </si>
  <si>
    <t>CD1a</t>
  </si>
  <si>
    <t>IG;OtherCD1</t>
  </si>
  <si>
    <t>37;60;74;145</t>
  </si>
  <si>
    <t>Cell membrane (Single-pass type I membrane protein);Endosome membrane</t>
  </si>
  <si>
    <t>3D-structure;Adaptive immunity;Cell membrane;Complete proteome;Disulfide bond;Endosome;Glycoprotein;Immunity;Immunoglobulin domain;Membrane;Polymorphism;Reference proteome;Signal;Transmembrane;Transmembrane helix</t>
  </si>
  <si>
    <t>UniRef100_P06126;UniRef90_P06126;UniRef50_P29016</t>
  </si>
  <si>
    <t>Endosome;Plasma membrane</t>
  </si>
  <si>
    <t>CD5_HUMAN</t>
  </si>
  <si>
    <t>T-cell surface glycoprotein CD5</t>
  </si>
  <si>
    <t>CD5</t>
  </si>
  <si>
    <t>SP:1-24;NC:25-378;TM:379-402;CY:403-495</t>
  </si>
  <si>
    <t>ENSG00000110448</t>
  </si>
  <si>
    <t>ENSP00000342681</t>
  </si>
  <si>
    <t>116;241;426;432;481</t>
  </si>
  <si>
    <t>116;241;426;432;443;481</t>
  </si>
  <si>
    <t>LVTYTPQSSIICYGQLGSFSN[115]CSHSR;CYGQLGSFSN[115]CSHSR;GQLGSFSN[115]CSHSR;LGSFSN[115]CSHSR;GSFSN[115]CSHSR;SFSN[115]CSHSR;SN[115]CSHSR;IQN[115]SSCTSLEH;IQN[115]SSCTSLEHC;IQN[115]SSCTSLEHCFR;QN[115]SSCTSLEHCFR;N[115]SSCTSLEHCFR</t>
  </si>
  <si>
    <t>116;241</t>
  </si>
  <si>
    <t>P06127</t>
  </si>
  <si>
    <t>3D-structure;Cell membrane;Complete proteome;Disulfide bond;Glycoprotein;Membrane;Phosphoprotein;Polymorphism;Reference proteome;Repeat;Signal;Transmembrane;Transmembrane helix</t>
  </si>
  <si>
    <t>UniRef100_P06127;UniRef90_P06127;UniRef50_P06127</t>
  </si>
  <si>
    <t>INSR_HUMAN</t>
  </si>
  <si>
    <t>Insulin receptor</t>
  </si>
  <si>
    <t>INSR</t>
  </si>
  <si>
    <t>SP:1-31;NC:32-956;TM:957-979;CY:980-1382</t>
  </si>
  <si>
    <t>ENSG00000171105</t>
  </si>
  <si>
    <t>ENSP00000303830</t>
  </si>
  <si>
    <t>CD220</t>
  </si>
  <si>
    <t>Kinase;InsR</t>
  </si>
  <si>
    <t>43;52;105;138;242;282;322;364;424;445;541;633;651;698;769;782;920;933;1060</t>
  </si>
  <si>
    <t>567;682;684;694;700;705;747;748;758;994;1348</t>
  </si>
  <si>
    <t>LHELEN[115]CSVIEGH;ELGLYNLMN[115]ITR;SHGCTAEGLCCHSECLGN[115]CSQPDDPTK;CVN[115]FSFCQDLHHK;GETLEIGN[115]YSFYALDNQNLR;HN[115]LTITQGK;PSVPLDPISVSN[115]SSSQIILK;SN[115]SSSQIILK;TWSPPFESEDSQKHN[115]QSEYEDSAGECCSCPK;HN[115]QSEYEDSAGECCSCPK;GLSPGN[115]YSVR;SPGN[115]YSVR;PGN[115]YSVR</t>
  </si>
  <si>
    <t>52;138;242;282;424;445;633;698;920</t>
  </si>
  <si>
    <t>P06213</t>
  </si>
  <si>
    <t>3D-structure;Alternative splicing;ATP-binding;Carbohydrate metabolism;Cell membrane;Cleavage on pair of basic residues;Complete proteome;Diabetes mellitus;Direct protein sequencing;Disease mutation;Disulfide bond;Glycoprotein;Kinase;Membrane;Nucleotide-binding;Phosphoprotein;Polymorphism;Receptor;Reference proteome;Repeat;Signal;Transferase;Transmembrane;Transmembrane helix;Tyrosine-protein kinase</t>
  </si>
  <si>
    <t>UniRef100_P06213;UniRef90_P06213;UniRef50_P06213</t>
  </si>
  <si>
    <t>Cytoskeleton;Endoplasmic Reticulum;Extracellular space;Golgi apparatus;Lysosome;Mitochondrion;Peroxisome</t>
  </si>
  <si>
    <t>DB00030;DB00046;DB00047;DB00071;DB01277;DB01306;DB01307;DB01309;DB08914</t>
  </si>
  <si>
    <t>DOA_HUMAN</t>
  </si>
  <si>
    <t>HLA class II histocompatibility antigen, DO alpha chain</t>
  </si>
  <si>
    <t>HLA-DOA</t>
  </si>
  <si>
    <t>SP:1-25;NC:26-218;TM:219-242;CY:243-250</t>
  </si>
  <si>
    <t>ENSG00000204252;ENSG00000206292;ENSG00000231558;ENSG00000232957;ENSG00000232962;ENSG00000230141;ENSG00000235744</t>
  </si>
  <si>
    <t>ENSP00000229829;ENSP00000372713;ENSP00000401504;ENSP00000397945;ENSP00000416448;ENSP00000395737;ENSP00000398819</t>
  </si>
  <si>
    <t>Endosome membrane (Single-pass type I membrane protein);Lysosome membrane (Single-pass type I membrane protein)</t>
  </si>
  <si>
    <t>3D-structure;Complete proteome;Disulfide bond;Endosome;Glycoprotein;Immunity;Lysosome;Membrane;MHC II;Polymorphism;Reference proteome;Signal;Transmembrane;Transmembrane helix</t>
  </si>
  <si>
    <t>UniRef100_P06340;UniRef90_P06340;UniRef50_P06340</t>
  </si>
  <si>
    <t>Endosome;Endosome;Lysosome;Lysosome</t>
  </si>
  <si>
    <t>Cytoskeleton;Cytoskeleton;Cytosol;Cytosol;Endoplasmic Reticulum;Endoplasmic Reticulum;Extracellular space;Extracellular space;Golgi apparatus;Golgi apparatus;Mitochondrion;Mitochondrion;Nucleus;Nucleus;Peroxisome;Peroxisome</t>
  </si>
  <si>
    <t>CD2_HUMAN</t>
  </si>
  <si>
    <t>T-cell surface antigen CD2</t>
  </si>
  <si>
    <t>CD2</t>
  </si>
  <si>
    <t>SP:1-24;NC:25-209;TM:210-234;CY:235-351</t>
  </si>
  <si>
    <t>ENSG00000116824</t>
  </si>
  <si>
    <t>ENSP00000358490</t>
  </si>
  <si>
    <t>16;89;141;150</t>
  </si>
  <si>
    <t>279;290;294;316</t>
  </si>
  <si>
    <t>ISWTCIN[115]TTLTCEVMN[115]GTDPELNLYQDGK;EVMN[115]GTDPELNLYQDGK;MN[115]GTDPELNLYQDGK;N[115]GTDPELNLYQDGK</t>
  </si>
  <si>
    <t>141;150</t>
  </si>
  <si>
    <t>P06729</t>
  </si>
  <si>
    <t>3D-structure;Cell adhesion;Complete proteome;Disulfide bond;Glycoprotein;Immunoglobulin domain;Membrane;Polymorphism;Reference proteome;Repeat;Signal;Transmembrane;Transmembrane helix</t>
  </si>
  <si>
    <t>UniRef100_P06729;UniRef90_P06729;UniRef50_P06729</t>
  </si>
  <si>
    <t>DB00092</t>
  </si>
  <si>
    <t>CEAM5_HUMAN</t>
  </si>
  <si>
    <t>Carcinoembryonic antigen-related cell adhesion molecule 5</t>
  </si>
  <si>
    <t>CEACAM5</t>
  </si>
  <si>
    <t>SP:1-34;NC:35-702</t>
  </si>
  <si>
    <t>ENSG00000105388</t>
  </si>
  <si>
    <t>ENSP00000221992;ENSP00000381600;ENSP00000385072</t>
  </si>
  <si>
    <t>CD66e</t>
  </si>
  <si>
    <t>104;115;152;182;197;204;208;246;256;274;288;292;309;330;351;360;375;432;466;480;508;529;553;560;580;612;650;665</t>
  </si>
  <si>
    <t>104;115;152;182;197;204;208;246;256;274;288;292;309;330;351;360;375;432;466;480;508;529;553;560;580;612;620;650;665</t>
  </si>
  <si>
    <t>3D-structure;Alternative splicing;Cell membrane;Complete proteome;Glycoprotein;GPI-anchor;Immunoglobulin domain;Lipoprotein;Membrane;Polymorphism;Reference proteome;Repeat;Signal</t>
  </si>
  <si>
    <t>UniRef100_P06731;UniRef90_P06731;UniRef50_P06731</t>
  </si>
  <si>
    <t>ITAV_HUMAN</t>
  </si>
  <si>
    <t>Integrin alpha-V</t>
  </si>
  <si>
    <t>ITGAV</t>
  </si>
  <si>
    <t>SP:1-30;NC:31-992;TM:993-1016;CY:1017-1048</t>
  </si>
  <si>
    <t>ENSG00000138448</t>
  </si>
  <si>
    <t>ENSP00000261023</t>
  </si>
  <si>
    <t>CD51</t>
  </si>
  <si>
    <t>74;290;296;488;554;615;704;835;851;874;945;973;980</t>
  </si>
  <si>
    <t>74;290;296;488;554;615;704;815;834;835;851;874;943;945;965;973;980</t>
  </si>
  <si>
    <t>601;602;866;867;870;871;876</t>
  </si>
  <si>
    <t>AN[115]TTQPGIVEGGQVLK;N[115]MSSLYN[115]FTGEQM;N[115]MSSLYN[115]FTGEQMAAY;ARPVITVNAGLEVYPSILNQDN[115]K;AGLEVYPSILNQDN[115]K;SPSHSKN[115]MTISR;TAADTTGLQPILNQFTPAN[115]ISR;TAADTTGLQPILN[115]QFTPAN[115]ISR;NQFTPAN[115]ISR;QFTPAN[115]ISR;YNN[115]NTLLY;YNN[115]NTLLYILH;YNN[115]NTLLYILHY;YNN[115]N[115]TLLYILH;YN[115]N[115]NTLLYILH;ILHYDIDGPMN[115]CTSDMEINPLR;IKISSLQTTEKN[115]DTVAGQGER;ISSLQTTEKN[115]D;ISSLQTTEKN[115]DT;ISSLQTTEKN[115]DTVAGQ;ISSLQTTEKN[115]DTVAGQG;ISSLQTTEKN[115]DTVAGQGE;ISSLQTTEKN[115]DTVAGQGER;ISSLQTTEKN[115]DTVAGQGERD;ISSLQTTEKN[115]DTVAGQGERDH;ISSLQTTEKN[115]DTVAGQGERDHL;ISSLQTTEKN[115]DTVAGQGERDHLIT;SSLQTTEKN[115]DTVAGQGER;SLQTTEKN[115]DTVAGQGER;LQTTEKN[115]DTVAGQGER;QTTEKN[115]DTVAGQGER;TTEKN[115]DTVAGQGER;ENQN[115]HSYSLK;NQN[115]HSYSLK;NLPIEDITN[115]STLVTTN</t>
  </si>
  <si>
    <t>74;290;296;488;554;615;835;851;874;945;973</t>
  </si>
  <si>
    <t>P06756</t>
  </si>
  <si>
    <t>3D-structure;Alternative splicing;Calcium;Cell adhesion;Cleavage on pair of basic residues;Complete proteome;Direct protein sequencing;Disulfide bond;Glycoprotein;Host cell receptor for virus entry;Host-virus interaction;Integrin;Membrane;Metal-binding;Polymorphism;Receptor;Reference proteome;Repeat;Signal;Transmembrane;Transmembrane helix</t>
  </si>
  <si>
    <t>UniRef100_P06756;UniRef90_P06756;UniRef50_P06756</t>
  </si>
  <si>
    <t>LIPL_HUMAN</t>
  </si>
  <si>
    <t>Lipoprotein lipase</t>
  </si>
  <si>
    <t>LPL</t>
  </si>
  <si>
    <t>SP:1-27;NC:28-475</t>
  </si>
  <si>
    <t>ENSG00000175445</t>
  </si>
  <si>
    <t>ENSP00000309757</t>
  </si>
  <si>
    <t>70;386</t>
  </si>
  <si>
    <t>70;284;386</t>
  </si>
  <si>
    <t>Cell membrane;Chylomicron;Complete proteome;Direct protein sequencing;Disease mutation;Disulfide bond;Glycoprotein;GPI-anchor;Heparin-binding;Hydrolase;Hyperlipidemia;Lipid degradation;Lipid metabolism;Lipoprotein;Membrane;Nitration;Polymorphism;Reference proteome;Secreted;Signal;VLDL</t>
  </si>
  <si>
    <t>UniRef100_P06858;UniRef90_P06858;UniRef50_P06858</t>
  </si>
  <si>
    <t>DB05269;DB06439</t>
  </si>
  <si>
    <t>PERT_HUMAN</t>
  </si>
  <si>
    <t>Thyroid peroxidase</t>
  </si>
  <si>
    <t>TPO</t>
  </si>
  <si>
    <t>SP:1-18;NC:19-848;TM:849-871;CY:872-933</t>
  </si>
  <si>
    <t>ENSG00000115705</t>
  </si>
  <si>
    <t>ENSP00000329869;ENSP00000318820</t>
  </si>
  <si>
    <t>129;307;342;569</t>
  </si>
  <si>
    <t>129;307;342;478;569</t>
  </si>
  <si>
    <t>Membrane (Single-pass type I membrane protein);Cell surface</t>
  </si>
  <si>
    <t>Alternative splicing;Calcium;Complete proteome;Congenital hypothyroidism;Disease mutation;Disulfide bond;EGF-like domain;Glycoprotein;Heme;Hydrogen peroxide;Iron;Membrane;Metal-binding;Oxidoreductase;Peroxidase;Polymorphism;Reference proteome;Signal;Sushi;Thyroid hormones biosynthesis;Transmembrane;Transmembrane helix</t>
  </si>
  <si>
    <t>UniRef100_P07202;UniRef90_P07202;UniRef50_P07202</t>
  </si>
  <si>
    <t>DB00389;DB00509;DB00550;DB00763</t>
  </si>
  <si>
    <t>TRBM_HUMAN</t>
  </si>
  <si>
    <t>Thrombomodulin</t>
  </si>
  <si>
    <t>THBD</t>
  </si>
  <si>
    <t>SP:1-23;NC:24-514;TM:515-538;CY:539-575</t>
  </si>
  <si>
    <t>ENSG00000178726</t>
  </si>
  <si>
    <t>ENSP00000366307</t>
  </si>
  <si>
    <t>CD141</t>
  </si>
  <si>
    <t>47;115;116;382;409</t>
  </si>
  <si>
    <t>87;110;122;153;235;243</t>
  </si>
  <si>
    <t>GFQWVTGDNN[115]TSYSR;GFQWVTGDN[115]NTSYSR;GFQWVTGDN[115]N[115]TSYSR</t>
  </si>
  <si>
    <t>115;116</t>
  </si>
  <si>
    <t>P07204</t>
  </si>
  <si>
    <t>3D-structure;Blood coagulation;Complete proteome;Direct protein sequencing;Disease mutation;Disulfide bond;EGF-like domain;Glycoprotein;Hemolytic uremic syndrome;Hemostasis;Hydroxylation;Membrane;Polymorphism;Receptor;Reference proteome;Repeat;Signal;Thrombophilia;Transmembrane;Transmembrane helix</t>
  </si>
  <si>
    <t>UniRef100_P07204;UniRef90_P07204;UniRef50_P07204</t>
  </si>
  <si>
    <t>DB00055;DB01050</t>
  </si>
  <si>
    <t>ASGR1_HUMAN</t>
  </si>
  <si>
    <t>Asialoglycoprotein receptor 1</t>
  </si>
  <si>
    <t>ASGR1</t>
  </si>
  <si>
    <t>CY:1-40;TM:41-61;NC:62-291</t>
  </si>
  <si>
    <t>ENSG00000141505</t>
  </si>
  <si>
    <t>ENSP00000269299</t>
  </si>
  <si>
    <t>SCAR;Class_E</t>
  </si>
  <si>
    <t>79;147</t>
  </si>
  <si>
    <t>3D-structure;Alternative splicing;Calcium;Coiled coil;Complete proteome;Disulfide bond;Endocytosis;Glycoprotein;Lectin;Lipoprotein;Membrane;Metal-binding;Palmitate;Phosphoprotein;Receptor;Reference proteome;Secreted;Signal-anchor;Transmembrane;Transmembrane helix</t>
  </si>
  <si>
    <t>UniRef100_P07306;UniRef90_P07306;UniRef50_P07306</t>
  </si>
  <si>
    <t>ASGR2_HUMAN</t>
  </si>
  <si>
    <t>Asialoglycoprotein receptor 2</t>
  </si>
  <si>
    <t>ASGR2</t>
  </si>
  <si>
    <t>CY:1-55;TM:56-79;NC:80-311</t>
  </si>
  <si>
    <t>ENSG00000161944</t>
  </si>
  <si>
    <t>ENSP00000347140</t>
  </si>
  <si>
    <t>102;170;305</t>
  </si>
  <si>
    <t>Alternative splicing;Calcium;Complete proteome;Disulfide bond;Endocytosis;Glycoprotein;Lectin;Lipoprotein;Membrane;Palmitate;Polymorphism;Receptor;Reference proteome;Signal-anchor;Transmembrane;Transmembrane helix</t>
  </si>
  <si>
    <t>UniRef100_P07307;UniRef90_P07307;UniRef50_P07307</t>
  </si>
  <si>
    <t>DB00025</t>
  </si>
  <si>
    <t>CSF1R_HUMAN</t>
  </si>
  <si>
    <t>Macrophage colony-stimulating factor 1 receptor</t>
  </si>
  <si>
    <t>CSF1R</t>
  </si>
  <si>
    <t>SP:1-19;NC:20-513;TM:514-538;CY:539-972</t>
  </si>
  <si>
    <t>ENSG00000182578</t>
  </si>
  <si>
    <t>ENSP00000286301</t>
  </si>
  <si>
    <t>CD115</t>
  </si>
  <si>
    <t>KInase;PDGFR</t>
  </si>
  <si>
    <t>45;73;153;240;275;302;335;353;412;428;480;734;805</t>
  </si>
  <si>
    <t>713;716;717;730;731;732;733;928;929;930;932;937;938;939;940;946;947;948</t>
  </si>
  <si>
    <t>3D-structure;Alternative splicing;ATP-binding;Cell membrane;Complete proteome;Disease mutation;Disulfide bond;Glycoprotein;Immunity;Immunoglobulin domain;Inflammatory response;Innate immunity;Kinase;Membrane;Nucleotide-binding;Phosphoprotein;Polymorphism;Proto-oncogene;Receptor;Reference proteome;Repeat;Signal;Transferase;Transmembrane;Transmembrane helix;Tyrosine-protein kinase;Ubl conjugation</t>
  </si>
  <si>
    <t>UniRef100_P07333;UniRef90_P07333;UniRef50_P07333</t>
  </si>
  <si>
    <t>DB00619;DB01268</t>
  </si>
  <si>
    <t>GP1BA_HUMAN</t>
  </si>
  <si>
    <t>Platelet glycoprotein Ib alpha chain</t>
  </si>
  <si>
    <t>GP1BA</t>
  </si>
  <si>
    <t>SP:1-16;NC:17-530;TM:531-555;CY:556-652</t>
  </si>
  <si>
    <t>ENSG00000185245</t>
  </si>
  <si>
    <t>ENSP00000329380;ENSP00000484439</t>
  </si>
  <si>
    <t>CD42b</t>
  </si>
  <si>
    <t>37;175;362;398</t>
  </si>
  <si>
    <t>308;316;320;321;328;331;333;336;340;341;345;348;349;353;354;378;379;380;383;385;387;388;389;401;405;407;409;410;414;415;420</t>
  </si>
  <si>
    <t>3D-structure;Bernard Soulier syndrome;Blood coagulation;Cell adhesion;Complete proteome;Direct protein sequencing;Disease mutation;Disulfide bond;Glycoprotein;Hemostasis;Leucine-rich repeat;Membrane;Phosphoprotein;Polymorphism;Reference proteome;Repeat;Signal;Sulfation;Transmembrane;Transmembrane helix;von Willebrand disease</t>
  </si>
  <si>
    <t>UniRef100_P07359;UniRef90_P07359;UniRef50_P07359</t>
  </si>
  <si>
    <t>ACHG_HUMAN</t>
  </si>
  <si>
    <t>Acetylcholine receptor subunit gamma</t>
  </si>
  <si>
    <t>CHRNG</t>
  </si>
  <si>
    <t>SP:1-22;NC:23-241;TM:242-264;CY:265-273;TM:274-292;NC:293-307;TM:308-331;CY:332-474;TM:475-497;NC:498-517</t>
  </si>
  <si>
    <t>ENSG00000196811</t>
  </si>
  <si>
    <t>ENSP00000374145</t>
  </si>
  <si>
    <t>52;163;328;376</t>
  </si>
  <si>
    <t>Alternative splicing;Cell junction;Cell membrane;Complete proteome;Disease mutation;Disulfide bond;Glycoprotein;Ion channel;Ion transport;Ligand-gated ion channel;Membrane;Polymorphism;Postsynaptic cell membrane;Receptor;Reference proteome;Signal;Synapse;Transmembrane;Transmembrane helix;Transport</t>
  </si>
  <si>
    <t>UniRef100_P07510;UniRef90_P07510;UniRef50_Q07001-2</t>
  </si>
  <si>
    <t>ADRB2_HUMAN</t>
  </si>
  <si>
    <t>Beta-2 adrenergic receptor</t>
  </si>
  <si>
    <t>ADRB2</t>
  </si>
  <si>
    <t>NC:1-31;TM:32-58;CY:59-69;TM:70-96;NC:97-107;TM:108-129;CY:130-149;TM:150-170;NC:171-197;TM:198-220;CY:221-273;TM:274-295;NC:296-306;TM:307-327;CY:328-413</t>
  </si>
  <si>
    <t>ENSG00000169252</t>
  </si>
  <si>
    <t>ENSP00000305372</t>
  </si>
  <si>
    <t>6;15;187;244;405;409</t>
  </si>
  <si>
    <t>3D-structure;Cell membrane;Complete proteome;Disulfide bond;G-protein coupled receptor;Glycoprotein;Hydroxylation;Lipoprotein;Membrane;Palmitate;Phosphoprotein;Polymorphism;Receptor;Reference proteome;Transducer;Transmembrane;Transmembrane helix;Ubl conjugation</t>
  </si>
  <si>
    <t>UniRef100_P07550;UniRef90_P07550;UniRef50_P07550</t>
  </si>
  <si>
    <t>Cytoskeleton;Cytosol;Endoplasmic Reticulum;Extracellular space;Golgi apparatus;Mitochondrion;Peroxisome</t>
  </si>
  <si>
    <t>DB00195;DB00221;DB00248;DB00264;DB00335;DB00368;DB00370;DB00373;DB00397;DB00449;DB00489;DB00521;DB00571;DB00598;DB00612;DB00668;DB00816;DB00841;DB00852;DB00866;DB00867;DB00871;DB00925;DB00938;DB00960;DB00983;DB01001;DB01064;DB01102;DB01136;DB01151;DB01193;DB01203;DB01210;DB01214;DB01274;DB01288;DB01291;DB01295;DB01359;DB01363;DB01366;DB01407;DB01408;DB01580;DB04861;DB05039;DB06216;DB06262;DB08807;DB08808;DB00182;DB00217;DB00321;DB00334;DB00540;DB00726;DB01365</t>
  </si>
  <si>
    <t>UROM_HUMAN</t>
  </si>
  <si>
    <t>Uromodulin</t>
  </si>
  <si>
    <t>UMOD</t>
  </si>
  <si>
    <t>SP:1-24;NC:25-640</t>
  </si>
  <si>
    <t>ENSG00000169344</t>
  </si>
  <si>
    <t>ENSP00000306279;ENSP00000460548</t>
  </si>
  <si>
    <t>38;76;80;232;275;322;396;513</t>
  </si>
  <si>
    <t>Apical cell membrane (Lipid- anchor, GPI-anchor);Basolateral cell membrane (Lipid-anchor, GPI- anchor);Cell projection, cilium membrane;Secreted</t>
  </si>
  <si>
    <t>Alternative splicing;Cell membrane;Cell projection;Ciliopathy;Cilium;Complete proteome;Direct protein sequencing;Disease mutation;Disulfide bond;EGF-like domain;Glycoprotein;GPI-anchor;Lipoprotein;Membrane;Nephronophthisis;Polymorphism;Reference proteome;Repeat;Secreted;Signal</t>
  </si>
  <si>
    <t>UniRef100_P07911;UniRef90_P07911;UniRef50_P07911</t>
  </si>
  <si>
    <t>Cytoskeleton;Extracellular space;Plasma membrane</t>
  </si>
  <si>
    <t>Cytosol;Endoplasmic Reticulum;Endosome;Golgi apparatus;Lysosome;Mitochondrion;Nucleus;Peroxisome</t>
  </si>
  <si>
    <t>RET_HUMAN</t>
  </si>
  <si>
    <t>Proto-oncogene tyrosine-protein kinase receptor Ret</t>
  </si>
  <si>
    <t>RET</t>
  </si>
  <si>
    <t>SP:1-28;NC:29-636;TM:637-660;CY:661-1114</t>
  </si>
  <si>
    <t>ENSG00000165731</t>
  </si>
  <si>
    <t>ENSP00000347942</t>
  </si>
  <si>
    <t>98;151;199;336;343;361;367;377;394;448;468;554;763;834;975;1092</t>
  </si>
  <si>
    <t>670;671;686;689;696;699;836;837;1024;1073</t>
  </si>
  <si>
    <t>VEHWPN[115]ETSVQAN[115]GSFVR</t>
  </si>
  <si>
    <t>336;343</t>
  </si>
  <si>
    <t>P07949</t>
  </si>
  <si>
    <t>Cell membrane (Single-pass type I membrane protein);Endosome membrane (Single-pass type I membrane protein)</t>
  </si>
  <si>
    <t>3D-structure;Alternative splicing;ATP-binding;Cell adhesion;Cell membrane;Chromosomal rearrangement;Complete proteome;Disease mutation;Disulfide bond;Endosome;Glycoprotein;Hirschsprung disease;Kinase;Membrane;Nucleotide-binding;Phosphoprotein;Polymorphism;Proto-oncogene;Reference proteome;Signal;Transferase;Transmembrane;Transmembrane helix;Tyrosine-protein kinase</t>
  </si>
  <si>
    <t>UniRef100_P07949;UniRef90_P07949;UniRef50_P07949</t>
  </si>
  <si>
    <t>DB00398;DB08875;DB08896;DB08901</t>
  </si>
  <si>
    <t>CXB1_HUMAN</t>
  </si>
  <si>
    <t>Gap junction beta-1 protein</t>
  </si>
  <si>
    <t>GJB1</t>
  </si>
  <si>
    <t>CY:1-20;TM:21-40;NC:41-75;TM:76-96;CY:97-130;TM:131-156;NC:157-189;TM:190-214;CY:215-283</t>
  </si>
  <si>
    <t>ENSG00000169562</t>
  </si>
  <si>
    <t>ENSP00000354900;ENSP00000363134;ENSP00000363141</t>
  </si>
  <si>
    <t>3D-structure;Cell junction;Cell membrane;Charcot-Marie-Tooth disease;Complete proteome;Dejerine-Sottas syndrome;Disease mutation;Gap junction;Membrane;Neurodegeneration;Neuropathy;Phosphoprotein;Reference proteome;Transmembrane;Transmembrane helix</t>
  </si>
  <si>
    <t>UniRef100_P08034;UniRef90_P08034;UniRef50_P08034</t>
  </si>
  <si>
    <t>IGF1R_HUMAN</t>
  </si>
  <si>
    <t>Insulin-like growth factor 1 receptor</t>
  </si>
  <si>
    <t>IGF1R</t>
  </si>
  <si>
    <t>SP:1-30;NC:31-932;TM:933-958;CY:959-1367</t>
  </si>
  <si>
    <t>ENSG00000140443</t>
  </si>
  <si>
    <t>ENSP00000268035</t>
  </si>
  <si>
    <t>CD221</t>
  </si>
  <si>
    <t>51;102;135;244;314;417;438;534;607;622;640;747;756;764;900;913;963</t>
  </si>
  <si>
    <t>51;102;135;244;438;534;747;756;764;900</t>
  </si>
  <si>
    <t>684;752;754;758;1310;1311;1312;1313</t>
  </si>
  <si>
    <t>LEN[115]CTVIEGYLH;ACTENNECCHPECLGSCSAPDN[115]DTACVACR;ACTENN[115]ECCHPECLGSCSAPDN[115]DTACVACR;SAPDN[115]DTACVACR;LILGEEQLEGN[115]YSFY;TN[115]ASVPSIPLDVLSASN[115]SSSQLIVK;WNPPSLPNGN[115]LSYYIVR;WNPPSLPN[115]GN[115]LSYYIVR;DVMQVAN[115]TTMSSR;VMQVAN[115]TTMSSR;MQVAN[115]TTMSSR;SRN[115]TTAADTYN[115]ITDPEELETEYPFFESR;N[115]TTAADTYN[115]ITDPEELETEYPFFESR;LNPGN[115]YTAR;PGN[115]YTAR;IQATSLSGN[115]GSWTDPVFFYVQAK</t>
  </si>
  <si>
    <t>51;244;417;607;622;640;747;756;764;900;913</t>
  </si>
  <si>
    <t>P08069</t>
  </si>
  <si>
    <t>3D-structure;ATP-binding;Cell membrane;Cleavage on pair of basic residues;Complete proteome;Direct protein sequencing;Disease mutation;Disulfide bond;Glycoprotein;Isopeptide bond;Kinase;Membrane;Nucleotide-binding;Phosphoprotein;Polymorphism;Receptor;Reference proteome;Repeat;Signal;Transferase;Transmembrane;Transmembrane helix;Tyrosine-protein kinase;Ubl conjugation</t>
  </si>
  <si>
    <t>UniRef100_P08069;UniRef90_P08069;UniRef50_P08069</t>
  </si>
  <si>
    <t>DB00030;DB00046;DB00047;DB00071;DB01277</t>
  </si>
  <si>
    <t>OPSD_HUMAN</t>
  </si>
  <si>
    <t>Rhodopsin</t>
  </si>
  <si>
    <t>RHO</t>
  </si>
  <si>
    <t>NC:1-39;TM:40-62;CY:63-73;TM:74-95;NC:96-114;TM:115-133;CY:134-152;TM:153-173;NC:174-202;TM:203-227;CY:228-252;TM:253-276;NC:277-282;TM:283-308;CY:309-348</t>
  </si>
  <si>
    <t>ENSG00000163914</t>
  </si>
  <si>
    <t>ENSP00000296271</t>
  </si>
  <si>
    <t>2;15;200</t>
  </si>
  <si>
    <t>2;15</t>
  </si>
  <si>
    <t>Acetylation;Chromophore;Complete proteome;Congenital stationary night blindness;Disease mutation;Disulfide bond;G-protein coupled receptor;Glycoprotein;Lipoprotein;Membrane;Metal-binding;Palmitate;Phosphoprotein;Photoreceptor protein;Polymorphism;Receptor;Reference proteome;Retinal protein;Retinitis pigmentosa;Sensory transduction;Transducer;Transmembrane;Transmembrane helix;Vision;Zinc</t>
  </si>
  <si>
    <t>UniRef100_P08100;UniRef90_P08100;UniRef50_P08100</t>
  </si>
  <si>
    <t>Golgi apparatus</t>
  </si>
  <si>
    <t>DB01159</t>
  </si>
  <si>
    <t>TNR16_HUMAN</t>
  </si>
  <si>
    <t>Tumor necrosis factor receptor superfamily member 16</t>
  </si>
  <si>
    <t>NGFR</t>
  </si>
  <si>
    <t>SP:1-28;NC:29-251;TM:252-272;CY:273-427</t>
  </si>
  <si>
    <t>ENSG00000064300</t>
  </si>
  <si>
    <t>ENSP00000172229</t>
  </si>
  <si>
    <t>CD271</t>
  </si>
  <si>
    <t>60;291;352</t>
  </si>
  <si>
    <t>3D-structure;Alternative splicing;Apoptosis;Biological rhythms;Complete proteome;Developmental protein;Differentiation;Disulfide bond;Glycoprotein;Membrane;Neurogenesis;Phosphoprotein;Polymorphism;Receptor;Reference proteome;Repeat;Signal;Transmembrane;Transmembrane helix</t>
  </si>
  <si>
    <t>UniRef100_P08138;UniRef90_P07174;UniRef50_P07174</t>
  </si>
  <si>
    <t>Cytoskeleton;Endoplasmic Reticulum;Golgi apparatus;Lysosome;Mitochondrion;Peroxisome</t>
  </si>
  <si>
    <t>ACM2_HUMAN</t>
  </si>
  <si>
    <t>Muscarinic acetylcholine receptor M2</t>
  </si>
  <si>
    <t>CHRM2</t>
  </si>
  <si>
    <t>NC:1-22;TM:23-48;CY:49-59;TM:60-83;NC:84-97;TM:98-119;CY:120-139;TM:140-165;NC:166-184;TM:185-209;CY:210-387;TM:388-409;NC:410-423;TM:424-443;CY:444-466</t>
  </si>
  <si>
    <t>ENSG00000181072</t>
  </si>
  <si>
    <t>ENSP00000319984;ENSP00000384401;ENSP00000399745;ENSP00000415386</t>
  </si>
  <si>
    <t>2;3;6;9;108;284;341;432;444</t>
  </si>
  <si>
    <t>3;341;432;444</t>
  </si>
  <si>
    <t>3D-structure;Cell junction;Cell membrane;Complete proteome;Disulfide bond;G-protein coupled receptor;Glycoprotein;Membrane;Phosphoprotein;Postsynaptic cell membrane;Receptor;Reference proteome;Synapse;Transducer;Transmembrane;Transmembrane helix</t>
  </si>
  <si>
    <t>UniRef100_P08172;UniRef90_P08172;UniRef50_P08172</t>
  </si>
  <si>
    <t>DB00202;DB00246;DB00280;DB00321;DB00332;DB00334;DB00340;DB00363;DB00376;DB00383;DB00387;DB00392;DB00408;DB00411;DB00420;DB00424;DB00434;DB00458;DB00462;DB00483;DB00496;DB00508;DB00517;DB00540;DB00572;DB00622;DB00715;DB00725;DB00728;DB00747;DB00777;DB00785;DB00804;DB00809;DB00835;DB00907;DB00934;DB00986;DB01019;DB01036;DB01062;DB01069;DB01085;DB01135;DB01142;DB01148;DB01151;DB01224;DB01226;DB01231;DB01238;DB01239;DB01336;DB01337;DB01338;DB01403;DB01409;DB01591;DB06702;DB08801;DB08897;DB00454;DB00543;DB00568;DB00726;DB01221</t>
  </si>
  <si>
    <t>ACM4_HUMAN</t>
  </si>
  <si>
    <t>Muscarinic acetylcholine receptor M4</t>
  </si>
  <si>
    <t>CHRM4</t>
  </si>
  <si>
    <t>NC:1-31;TM:32-57;CY:58-68;TM:69-93;NC:94-106;TM:107-128;CY:129-148;TM:149-174;NC:175-193;TM:194-218;CY:219-397;TM:398-417;NC:418-436;TM:437-456;CY:457-479</t>
  </si>
  <si>
    <t>ENSG00000180720</t>
  </si>
  <si>
    <t>ENSP00000409378</t>
  </si>
  <si>
    <t>3;8;13;117;294;445;457</t>
  </si>
  <si>
    <t>3;445;457</t>
  </si>
  <si>
    <t>Cell junction;Cell membrane;Complete proteome;Disulfide bond;G-protein coupled receptor;Glycoprotein;Membrane;Phosphoprotein;Postsynaptic cell membrane;Receptor;Reference proteome;Synapse;Transducer;Transmembrane;Transmembrane helix</t>
  </si>
  <si>
    <t>UniRef100_P08173;UniRef90_P08485;UniRef50_P08172</t>
  </si>
  <si>
    <t>DB00246;DB00321;DB00334;DB00340;DB00363;DB00376;DB00387;DB00408;DB00420;DB00424;DB00458;DB00496;DB00540;DB00572;DB00622;DB00715;DB00725;DB00747;DB00777;DB00785;DB00809;DB00835;DB00934;DB01036;DB01069;DB01142;DB01151;DB01224;DB01238;DB01239;DB01403;DB01591;DB01625;DB06702;DB08897;DB00454;DB00543;DB00568;DB00726;DB01221</t>
  </si>
  <si>
    <t>DAF_HUMAN</t>
  </si>
  <si>
    <t>Complement decay-accelerating factor</t>
  </si>
  <si>
    <t>CD55</t>
  </si>
  <si>
    <t>SP:1-34;NC:35-381</t>
  </si>
  <si>
    <t>ENSG00000196352</t>
  </si>
  <si>
    <t>ENSP00000356031</t>
  </si>
  <si>
    <t>33;87;151;213;276</t>
  </si>
  <si>
    <t>GSQWSDIEEFCN[115]R;GSQWSDIEEFCN[115]RSCEVPTR;SDIEEFCN[115]R</t>
  </si>
  <si>
    <t>P08174</t>
  </si>
  <si>
    <t>Cell membrane (Single-pass type I membrane protein);Cell membrane (Lipid-anchor, GPI- anchor);Secreted;Secreted;Secreted;Cell membrane (Lipid-anchor, GPI-anchor);Cell membrane (Lipid-anchor, GPI-anchor)</t>
  </si>
  <si>
    <t>3D-structure;Alternative splicing;Blood group antigen;Cell membrane;Complement pathway;Complete proteome;Direct protein sequencing;Disulfide bond;Glycoprotein;GPI-anchor;Host cell receptor for virus entry;Immunity;Innate immunity;Lipoprotein;Membrane;Polymorphism;Receptor;Reference proteome;Repeat;Secreted;Signal;Sushi</t>
  </si>
  <si>
    <t>UniRef100_P08174;UniRef90_P08174;UniRef50_P08174</t>
  </si>
  <si>
    <t>DB00446</t>
  </si>
  <si>
    <t>MDR1_HUMAN</t>
  </si>
  <si>
    <t>Multidrug resistance protein 1</t>
  </si>
  <si>
    <t>ABCB1</t>
  </si>
  <si>
    <t>CY:1-48;TM:49-72;NC:73-114;TM:115-139;CY:140-189;TM:190-208;NC:209-213;TM:214-235;CY:236-292;TM:293-316;NC:317-327;TM:328-346;CY:347-707;TM:708-733;NC:734-753;TM:754-777;CY:778-832;TM:833-853;NC:854-858;TM:859-879;CY:880-936;TM:937-955;NC:956-973;TM:974-995;CY:996-1280</t>
  </si>
  <si>
    <t>ENSG00000085563</t>
  </si>
  <si>
    <t>ENSP00000265724;ENSP00000478255</t>
  </si>
  <si>
    <t>CD243</t>
  </si>
  <si>
    <t>21;91;94;99;296;494;656;704;809;1034</t>
  </si>
  <si>
    <t>AGNLEDLMSN[115]ITN[115]R;GNLEDLMSN[115]ITN[115]R;SDIN[115]DTGFFMNL;SDIN[115]DTGFFMNLEEDMTR</t>
  </si>
  <si>
    <t>91;94;99</t>
  </si>
  <si>
    <t>P08183</t>
  </si>
  <si>
    <t>Alternative splicing;ATP-binding;Cell membrane;Complete proteome;Glycoprotein;Hydrolase;Membrane;Nucleotide-binding;Phosphoprotein;Polymorphism;Reference proteome;Repeat;Transmembrane;Transmembrane helix;Transport</t>
  </si>
  <si>
    <t>UniRef100_P08183;UniRef90_P08183;UniRef50_P08183</t>
  </si>
  <si>
    <t>DB00171;DB00778;DB04877</t>
  </si>
  <si>
    <t>4F2_HUMAN</t>
  </si>
  <si>
    <t>4F2 cell-surface antigen heavy chain</t>
  </si>
  <si>
    <t>SLC3A2</t>
  </si>
  <si>
    <t>CY:1-183;TM:184-205;NC:206-630</t>
  </si>
  <si>
    <t>ENSG00000168003</t>
  </si>
  <si>
    <t>ENSP00000367122</t>
  </si>
  <si>
    <t>CD98</t>
  </si>
  <si>
    <t>SLC;Other;SLC3</t>
  </si>
  <si>
    <t>365;381;424;506</t>
  </si>
  <si>
    <t>190;430</t>
  </si>
  <si>
    <t>RDIENLKDASSFLAEWQN[115]ITK;DIENLKDASSFLAEWQN[115]ITK;DIENLKDASSFLAEWQN[115]ITKGFSEDR;DIEN[115]LKDASSFLAEWQN[115]ITK;LKDASSFLAEWQN[115]ITK;KDASSFLAEWQN[115]ITK;DASSFLAEWQN[115]IT;DASSFLAEWQN[115]ITK;DASSFLAEWQN[115]ITKG;DASSFLAEWQN[115]ITKGFSEDR;ASSFLAEWQN[115]ITK;SSFLAEWQN[115]ITK;SFLAEWQN[115]ITK;FLAEWQN[115]ITK;LAEWQN[115]ITK;AEWQN[115]ITK;LLIAGTN[115]SSDLQ;LLIAGTN[115]SSDLQQ;LLIAGTN[115]SSDLQQI;LLIAGTN[115]SSDLQQIL;LLIAGTN[115]SSDLQQILS;LLIAGTN[115]SSDLQQILSLLESN;LLIAGTN[115]SSDLQQILSLLESNK;LIAGTN[115]SSDLQQILSLLESNK;IAGTN[115]SSDLQQILSLLESNK;AGTN[115]SSDLQQILSLLESNK;GTN[115]SSDLQQILSLLESNK;TN[115]SSDLQQILSLLESNK;SLVTQYLN[115];SLVTQYLN[115]AT;SLVTQYLN[115]ATGN;SLVTQYLN[115]ATGNR;SLVTQYLN[115]ATGNRW;SLVTQYLN[115]ATGNRWCSWSLSQAR;SLVTQYLN[115]ATGN[115]R;LVTQYLN[115]ATGNR;VTQYLN[115]ATGNR;VTQYLN[115]ATGN[115]R;TQYLN[115]ATGNR;QYLN[115]ATGNR;YLN[115]ATGNR;LN[115]ATGNRWCSWSLSQAR;ALPGQPMEAPVMLWDESSFPDIPGAVSAN[115]MTVK;EAPVMLWDESSFPDIPGAVSAN[115]MTVK;APVMLWDESSFPDIPGAVSAN[115]MTVK;PVMLWDESSFPDIPGAVSAN[115]MTVK;VMLWDESSFPDIPGAVSAN[115]MTVK;MLWDESSFPDIPGAVSAN[115]MTVK;LWDESSFPDIPGAVSAN[115]MTVK;WDESSFPDIPGAVSAN[115]MTVK;DESSFPDIPGAVSAN[115]MTVK;ESSFPDIPGAVSAN[115]MTVK;SSFPDIPGAVSAN[115]MTVK;SFPDIPGAVSAN[115]MTVK;IPGAVSAN[115]MTVK;PGAVSAN[115]MTVK;GAVSAN[115]MTVK;VSAN[115]MTVK;AN[115]MTVKGQSEDPGSLLSLFR</t>
  </si>
  <si>
    <t>P08195</t>
  </si>
  <si>
    <t>Apical cell membrane (Single-pass type II membrane protein);Melanosome</t>
  </si>
  <si>
    <t>3D-structure;Acetylation;Alternative splicing;Amino-acid transport;Cell membrane;Complete proteome;Direct protein sequencing;Disulfide bond;Glycoprotein;Isopeptide bond;Membrane;Phosphoprotein;Reference proteome;Signal-anchor;Transmembrane;Transmembrane helix;Transport;Ubl conjugation</t>
  </si>
  <si>
    <t>UniRef100_P08195;UniRef90_P08195;UniRef50_P08195</t>
  </si>
  <si>
    <t>SYPH_HUMAN</t>
  </si>
  <si>
    <t>Synaptophysin</t>
  </si>
  <si>
    <t>SYP</t>
  </si>
  <si>
    <t>CY:1-27;TM:28-48;NC:49-105;TM:106-128;CY:129-139;TM:140-161;NC:162-202;TM:203-223;CY:224-313</t>
  </si>
  <si>
    <t>ENSG00000102003</t>
  </si>
  <si>
    <t>ENSP00000263233;ENSP00000418169</t>
  </si>
  <si>
    <t>Other;Synaptophysin</t>
  </si>
  <si>
    <t>59;202</t>
  </si>
  <si>
    <t>Cell junction, synapse, synaptosome;Cytoplasmic vesicle, secretory vesicle, synaptic vesicle membrane (Multi-pass membrane protein)</t>
  </si>
  <si>
    <t>Alternative splicing;Calcium;Cell junction;Complete proteome;Cytoplasmic vesicle;Disease mutation;Glycoprotein;Membrane;Mental retardation;Phosphoprotein;Polymorphism;Reference proteome;Repeat;Synapse;Synaptosome;Transmembrane;Transmembrane helix;Ubl conjugation</t>
  </si>
  <si>
    <t>UniRef100_P08247;UniRef90_P07825;UniRef50_P07825</t>
  </si>
  <si>
    <t>Cytoskeleton;Cytosol;Endoplasmic Reticulum;Endosome;Extracellular space;Golgi apparatus;Lysosome;Mitochondrion;Nucleus;Peroxisome;Plasma membrane</t>
  </si>
  <si>
    <t>NEP_HUMAN</t>
  </si>
  <si>
    <t>Neprilysin</t>
  </si>
  <si>
    <t>MME</t>
  </si>
  <si>
    <t>CY:1-28;TM:29-50;NC:51-750</t>
  </si>
  <si>
    <t>ENSG00000196549</t>
  </si>
  <si>
    <t>ENSP00000353679;ENSP00000418525;ENSP00000419653;ENSP00000420389;ENSP00000417079;ENSP00000478173</t>
  </si>
  <si>
    <t>CD10</t>
  </si>
  <si>
    <t>145;285;311;325;335;628</t>
  </si>
  <si>
    <t>285;325</t>
  </si>
  <si>
    <t>SCIN[115]ESAIDSR;SCIN[115]ESAIDSRGGEPLLK;IN[115]ESAIDSR;VMELEKEIAN[115]ATAKPEDR;VMELEKEIAN[115]ATAKPEDRNDPMLLYNK;EIAN[115]ATAKPEDR;EIAN[115]ATAKPEDRNDPMLLYNK;IAN[115]ATAKPEDR;AN[115]ATAKPEDR;N[115]ATAKPEDR</t>
  </si>
  <si>
    <t>145;285</t>
  </si>
  <si>
    <t>P08473</t>
  </si>
  <si>
    <t>3D-structure;Cell membrane;Complete proteome;Disulfide bond;Glycoprotein;Hydrolase;Lipoprotein;Membrane;Metal-binding;Metalloprotease;Myristate;Protease;Reference proteome;Signal-anchor;Transmembrane;Transmembrane helix;Zinc</t>
  </si>
  <si>
    <t>UniRef100_P08473;UniRef90_P08473;UniRef50_P08473</t>
  </si>
  <si>
    <t>DB00616</t>
  </si>
  <si>
    <t>ITA2B_HUMAN</t>
  </si>
  <si>
    <t>Integrin alpha-IIb</t>
  </si>
  <si>
    <t>ITGA2B</t>
  </si>
  <si>
    <t>SP:1-31;NC:32-996;TM:997-1019;CY:1020-1039</t>
  </si>
  <si>
    <t>ENSG00000005961</t>
  </si>
  <si>
    <t>ENSP00000262407</t>
  </si>
  <si>
    <t>CD41</t>
  </si>
  <si>
    <t>46;280;601;711;962</t>
  </si>
  <si>
    <t>46;109;145;180;189;280;474;498;528;601;660;670;711;722;761;784;802;819;820;826;864;962;1027</t>
  </si>
  <si>
    <t>248;249;251;253;876;878;901</t>
  </si>
  <si>
    <t>LICNQKKEN[115]ETRVVLCELGNPMK</t>
  </si>
  <si>
    <t>P08514</t>
  </si>
  <si>
    <t>3D-structure;Alternative splicing;Calcium;Cell adhesion;Cleavage on pair of basic residues;Complete proteome;Direct protein sequencing;Disease mutation;Disulfide bond;Glycoprotein;Integrin;Membrane;Metal-binding;Polymorphism;Pyrrolidone carboxylic acid;Receptor;Reference proteome;Repeat;Signal;Transmembrane;Transmembrane helix</t>
  </si>
  <si>
    <t>UniRef100_P08514;UniRef90_P08514;UniRef50_P08514</t>
  </si>
  <si>
    <t>DB00054;DB00775</t>
  </si>
  <si>
    <t>CD14_HUMAN</t>
  </si>
  <si>
    <t>Monocyte differentiation antigen CD14</t>
  </si>
  <si>
    <t>CD14</t>
  </si>
  <si>
    <t>SP:1-19;NC:20-375</t>
  </si>
  <si>
    <t>ENSG00000170458</t>
  </si>
  <si>
    <t>ENSP00000304236;ENSP00000385519</t>
  </si>
  <si>
    <t>37;151;282;323</t>
  </si>
  <si>
    <t>37;151;266;282;323</t>
  </si>
  <si>
    <t>45;154;160;167;274</t>
  </si>
  <si>
    <t>ALNSLN[115]LSFAGLEQVPK;SLN[115]LSFAGLEQVPK;APQPDELPEVDN[115]LTLDGNPF</t>
  </si>
  <si>
    <t>282;323</t>
  </si>
  <si>
    <t>P08571</t>
  </si>
  <si>
    <t>3D-structure;Cell membrane;Complete proteome;Direct protein sequencing;Disulfide bond;Glycoprotein;GPI-anchor;Immunity;Inflammatory response;Innate immunity;Leucine-rich repeat;Lipoprotein;Membrane;Polymorphism;Reference proteome;Repeat;Signal</t>
  </si>
  <si>
    <t>UniRef100_P08571;UniRef90_P08571;UniRef50_P08571</t>
  </si>
  <si>
    <t>PTPRC_HUMAN</t>
  </si>
  <si>
    <t>Receptor-type tyrosine-protein phosphatase C</t>
  </si>
  <si>
    <t>PTPRC</t>
  </si>
  <si>
    <t>SP:1-23;NC:24-575;TM:576-597;CY:598-1304</t>
  </si>
  <si>
    <t>ENSG00000081237;ENSG00000262418</t>
  </si>
  <si>
    <t>ENSP00000356346;ENSP00000461074;ENSP00000458322;ENSP00000471843</t>
  </si>
  <si>
    <t>CD45</t>
  </si>
  <si>
    <t>78;90;95;184;190;197;232;260;270;276;335;378;419;468;488;529;707;919;966;1017;1122;1150</t>
  </si>
  <si>
    <t>78;90;95;135;184;190;197;232;260;270;276;335;378;419;468;488;529;707;919;966;1017;1122;1150</t>
  </si>
  <si>
    <t>Membrane (Single-pass type I membrane protein);Membrane raft</t>
  </si>
  <si>
    <t>3D-structure;Alternative splicing;Complete proteome;Disease mutation;Glycoprotein;Hydrolase;Membrane;Phosphoprotein;Polymorphism;Protein phosphatase;Reference proteome;Repeat;SCID;Signal;Transmembrane;Transmembrane helix</t>
  </si>
  <si>
    <t>UniRef100_P08575;UniRef90_P08575;UniRef50_P06800</t>
  </si>
  <si>
    <t>MET_HUMAN</t>
  </si>
  <si>
    <t>Hepatocyte growth factor receptor</t>
  </si>
  <si>
    <t>MET</t>
  </si>
  <si>
    <t>SP:1-24;NC:25-932;TM:933-955;CY:956-1390</t>
  </si>
  <si>
    <t>ENSG00000105976</t>
  </si>
  <si>
    <t>ENSP00000380860</t>
  </si>
  <si>
    <t>45;106;149;202;399;405;607;635;785;879;930;998;1014;1018;1171;1239;1353</t>
  </si>
  <si>
    <t>45;106;149;202;399;405;607;635;785;879;930;998;1014;1018;1171;1175;1239;1353</t>
  </si>
  <si>
    <t>103;851;988;990;992;993;997;1016;1029;1032;1036;1037;1040;1043;1044;1367;1370;1371;1381</t>
  </si>
  <si>
    <t>YQLPN[115]FTAETPIQNVILH;YQLPN[115]FTAETPIQNVILHEH;YQLPN[115]FTAETPIQNVILHEHH;YQLPN[115]FTAETPIQNVILHEHHIF;AN[115]LSGGVWK;HVFPHN[115]HTADIQSEVH;FVGNTIN[115]SSYFPDHPLHSISVR;VGNTIN[115]SSYFPDHPLHSISVR;TIN[115]SSYFPDHPLHSISVR;CLQHFYGPNHEHCFN[115]R;VLLGN[115]ESCTLTLSESTMNTLK;HFN[115]MSIIISNGHGTTQY;N[115]FTVACQHR</t>
  </si>
  <si>
    <t>45;106;149;202;399;607;635;785</t>
  </si>
  <si>
    <t>P08581</t>
  </si>
  <si>
    <t>3D-structure;Alternative splicing;ATP-binding;Chromosomal rearrangement;Complete proteome;Disease mutation;Disulfide bond;Glycoprotein;Kinase;Membrane;Nucleotide-binding;Phosphoprotein;Polymorphism;Proto-oncogene;Receptor;Reference proteome;Repeat;Secreted;Signal;Transferase;Transmembrane;Transmembrane helix;Tyrosine-protein kinase;Ubl conjugation</t>
  </si>
  <si>
    <t>UniRef100_P08581;UniRef90_P08581;UniRef50_P08581</t>
  </si>
  <si>
    <t>DB08865;DB08875</t>
  </si>
  <si>
    <t>TRFM_HUMAN</t>
  </si>
  <si>
    <t>Melanotransferrin</t>
  </si>
  <si>
    <t>MFI2</t>
  </si>
  <si>
    <t>SP:1-19;NC:20-738</t>
  </si>
  <si>
    <t>ENSG00000163975</t>
  </si>
  <si>
    <t>ENSP00000296350</t>
  </si>
  <si>
    <t>CD228</t>
  </si>
  <si>
    <t>38;135;515</t>
  </si>
  <si>
    <t>WCATSDPEQHKCGN[115]MSEAFR;CGN[115]MSEAFR;DCDVLTAVSEFFN[115]ASCVPVNNPK;TAVSEFFN[115]ASCVPVNNPK;VSEFFN[115]ASCVPVNNPK;SEFFN[115]ASCVPVNNPK;FN[115]ASCVPVNNPK;N[115]ASCVPVNNPK</t>
  </si>
  <si>
    <t>38;515</t>
  </si>
  <si>
    <t>P08582</t>
  </si>
  <si>
    <t>Cell membrane (Lipid-anchor, GPI- anchor)</t>
  </si>
  <si>
    <t>Alternative splicing;Cell membrane;Complete proteome;Direct protein sequencing;Disulfide bond;Glycoprotein;GPI-anchor;Ion transport;Iron;Iron transport;Lipoprotein;Membrane;Metal-binding;Polymorphism;Reference proteome;Repeat;Signal;Transport;Zinc</t>
  </si>
  <si>
    <t>UniRef100_P08582;UniRef90_P08582;UniRef50_P08582</t>
  </si>
  <si>
    <t>ADRB1_HUMAN</t>
  </si>
  <si>
    <t>Beta-1 adrenergic receptor</t>
  </si>
  <si>
    <t>ADRB1</t>
  </si>
  <si>
    <t>NC:1-59;TM:60-83;CY:84-94;TM:95-121;NC:122-132;TM:133-154;CY:155-174;TM:175-198;NC:199-223;TM:224-247;CY:248-323;TM:324-346;NC:347-357;TM:358-378;CY:379-477</t>
  </si>
  <si>
    <t>ENSG00000043591</t>
  </si>
  <si>
    <t>ENSP00000358301</t>
  </si>
  <si>
    <t>11;274;276;278;412;423</t>
  </si>
  <si>
    <t>Cell membrane (Multi-pass membrane protein);Early endosome</t>
  </si>
  <si>
    <t>3D-structure;Cell membrane;Complete proteome;Disulfide bond;Endosome;G-protein coupled receptor;Glycoprotein;Lipoprotein;Membrane;Palmitate;Phosphoprotein;Polymorphism;Receptor;Reference proteome;Transducer;Transmembrane;Transmembrane helix</t>
  </si>
  <si>
    <t>UniRef100_P08588;UniRef90_P08588;UniRef50_P08588</t>
  </si>
  <si>
    <t>DB00187;DB00195;DB00221;DB00248;DB00264;DB00335;DB00368;DB00370;DB00373;DB00397;DB00408;DB00489;DB00521;DB00571;DB00598;DB00612;DB00668;DB00841;DB00852;DB00866;DB00960;DB01001;DB01064;DB01102;DB01118;DB01136;DB01151;DB01193;DB01203;DB01210;DB01214;DB01288;DB01291;DB01295;DB01297;DB01359;DB01363;DB01407;DB01580;DB04855;DB04861;DB06216;DB06262;DB08807;DB08808;DB00182;DB00217;DB00321;DB00334;DB00540;DB00726;DB01365</t>
  </si>
  <si>
    <t>FCG3A_HUMAN</t>
  </si>
  <si>
    <t>Low affinity immunoglobulin gamma Fc region receptor III-A</t>
  </si>
  <si>
    <t>FCGR3A</t>
  </si>
  <si>
    <t>SP:1-20;NC:21-206;TM:207-228;CY:229-254</t>
  </si>
  <si>
    <t>ENSG00000203747</t>
  </si>
  <si>
    <t>ENSP00000356944;ENSP00000416607;ENSP00000392047</t>
  </si>
  <si>
    <t>CD16a</t>
  </si>
  <si>
    <t>56;63;92;180;187</t>
  </si>
  <si>
    <t>2;34;60;108;116;131;240;247</t>
  </si>
  <si>
    <t>3D-structure;Cell membrane;Complete proteome;Disulfide bond;Glycoprotein;IgG-binding protein;Immunoglobulin domain;Membrane;Polymorphism;Receptor;Reference proteome;Repeat;Secreted;Signal;Transmembrane;Transmembrane helix</t>
  </si>
  <si>
    <t>UniRef100_P08637;UniRef90_P08637;UniRef50_P08637</t>
  </si>
  <si>
    <t>ITA5_HUMAN</t>
  </si>
  <si>
    <t>Integrin alpha-5</t>
  </si>
  <si>
    <t>ITGA5</t>
  </si>
  <si>
    <t>SP:1-41;NC:42-997;TM:998-1021;CY:1022-1049</t>
  </si>
  <si>
    <t>ENSG00000161638</t>
  </si>
  <si>
    <t>ENSP00000293379</t>
  </si>
  <si>
    <t>CD49e</t>
  </si>
  <si>
    <t>84;182;297;307;316;524;530;593;609;675;712;724;773;868</t>
  </si>
  <si>
    <t>84;182;297;307;316;524;530;593;609;675;712;724;771;773;868;872</t>
  </si>
  <si>
    <t>5;124;126;127;128;450;620;898;900;901;903</t>
  </si>
  <si>
    <t>AN[115]TSQPGVLQGGAVYLCPWGASPTQCTPIEFDSK;TEKEPLSDPVGTCYLSTDN[115]FTR;EPLSDPVGTCYLSTDN[115]FTR;PLSDPVGTCYLSTDN[115]FTR;LSDPVGTCYLSTDN[115]FTR;SDPVGTCYLSTDN[115]FTR;PVGTCYLSTDN[115]FTR;TCYLSTDN[115]FTR;LSTDN[115]FTR;GN[115]LTYGYVTILN[115]GSDIR;N[115]LTYGYVTILN[115]GSDIR;GYVTILN[115]GSDIR;YVTILN[115]GSDIR;VTILN[115]GSDIR;TILN[115]GSDIR;ILN[115]GSDIR;SLYN[115]FSGEQM;SLYN[115]FSGEQMASYFGY;IYLRN[115]ESEFR;IYLRN[115]ESEFRDK;YLRN[115]ESEFR;LSPIHIALN[115]F;NALN[115]LTFH;NALN[115]LTFHAQ;NALN[115]LTFHAQNVGEGGAYEAELR;NALN[115]LTFHAQN[115]VGEGGAYEAELR;HPGN[115]FSSLSCDYFAVN[115]QSR;GN[115]FSSLSCDYFAVN[115]QSR;SLSCDYFAVN[115]QSR;SCDYFAVN[115]QSR;FAVN[115]QSR;NLN[115]NSQSDVVSF;NLN[115]NSQSDVVSFR;NLN[115]N[115]SQSDVVSFR;N[115]LN[115]NSQSDVVSFR;N[115]LN[115]N[115]SQSDVVSFR;LN[115]NSQSDVVSFR;N[115]NSQSDVVSFR;VTGLN[115]CTTNHPIN;VTGLN[115]CTTNHPINPK;VTGLN[115]CTTNHPINPKG;VTGLN[115]CTTN[115]HPINPK;TGLN[115]CTTNHPINPK;GLN[115]CTTNHPINPK;LN[115]CTTNHPINPK;N[115]CTTNHPINPK</t>
  </si>
  <si>
    <t>84;182;297;307;316;593;609;675;712;724;773;868</t>
  </si>
  <si>
    <t>P08648</t>
  </si>
  <si>
    <t>3D-structure;Calcium;Cell adhesion;Cleavage on pair of basic residues;Complete proteome;Direct protein sequencing;Disulfide bond;Glycoprotein;Host-virus interaction;Integrin;Membrane;Metal-binding;Polymorphism;Receptor;Reference proteome;Repeat;Signal;Transmembrane;Transmembrane helix</t>
  </si>
  <si>
    <t>UniRef100_P08648;UniRef90_P08648;UniRef50_P08648</t>
  </si>
  <si>
    <t>STS_HUMAN</t>
  </si>
  <si>
    <t>Steryl-sulfatase</t>
  </si>
  <si>
    <t>STS</t>
  </si>
  <si>
    <t>SP:1-23;NC:24-185;TM:186-207;CY:208-214;TM:215-237;NC:238-583</t>
  </si>
  <si>
    <t>ENSG00000101846</t>
  </si>
  <si>
    <t>ENSP00000217961</t>
  </si>
  <si>
    <t>3.1.6</t>
  </si>
  <si>
    <t>47;259;333;459</t>
  </si>
  <si>
    <t>LAN[115]DTLIYFTSDQGAHVEEVSSK</t>
  </si>
  <si>
    <t>P08842</t>
  </si>
  <si>
    <t>3D-structure;Calcium;Complete proteome;Direct protein sequencing;Disease mutation;Disulfide bond;Endoplasmic reticulum;Glycoprotein;Hydrolase;Ichthyosis;Lipid metabolism;Membrane;Metal-binding;Pregnancy;Reference proteome;Signal;Steroid metabolism;Transmembrane;Transmembrane helix</t>
  </si>
  <si>
    <t>UniRef100_P08842;UniRef90_P08842;UniRef50_P08842</t>
  </si>
  <si>
    <t>IL6RA_HUMAN</t>
  </si>
  <si>
    <t>Interleukin-6 receptor subunit alpha</t>
  </si>
  <si>
    <t>IL6R</t>
  </si>
  <si>
    <t>SP:1-19;NC:20-364;TM:365-388;CY:389-468</t>
  </si>
  <si>
    <t>ENSG00000160712</t>
  </si>
  <si>
    <t>ENSP00000357470</t>
  </si>
  <si>
    <t>CD126</t>
  </si>
  <si>
    <t>55;93;221;245;350;441</t>
  </si>
  <si>
    <t>318;320;328;329;336;348;352;353;403;436;443;444</t>
  </si>
  <si>
    <t>Basolateral cell membrane (Single-pass type I membrane protein);Secreted</t>
  </si>
  <si>
    <t>3D-structure;Alternative splicing;Cell membrane;Complete proteome;Direct protein sequencing;Disulfide bond;Glycoprotein;Immunoglobulin domain;Membrane;Polymorphism;Receptor;Reference proteome;Repeat;Secreted;Signal;Transmembrane;Transmembrane helix</t>
  </si>
  <si>
    <t>UniRef100_P08887;UniRef90_P08887;UniRef50_P08887</t>
  </si>
  <si>
    <t>DB06273</t>
  </si>
  <si>
    <t>5HT1A_HUMAN</t>
  </si>
  <si>
    <t>5-hydroxytryptamine receptor 1A</t>
  </si>
  <si>
    <t>HTR1A</t>
  </si>
  <si>
    <t>NC:1-37;TM:38-63;CY:64-72;TM:73-99;NC:100-110;TM:111-132;CY:133-152;TM:153-175;NC:176-194;TM:195-218;CY:219-345;TM:346-368;NC:369-379;TM:380-403;CY:404-422</t>
  </si>
  <si>
    <t>ENSG00000178394</t>
  </si>
  <si>
    <t>ENSP00000316244</t>
  </si>
  <si>
    <t>10;11;24</t>
  </si>
  <si>
    <t>Behavior;Cell membrane;Complete proteome;Disulfide bond;G-protein coupled receptor;Glycoprotein;Isopeptide bond;Membrane;Polymorphism;Receptor;Reference proteome;Transducer;Transmembrane;Transmembrane helix;Ubl conjugation</t>
  </si>
  <si>
    <t>UniRef100_P08908;UniRef90_P08908;UniRef50_P08908</t>
  </si>
  <si>
    <t>DB00216;DB00246;DB00247;DB00248;DB00268;DB00315;DB00321;DB00334;DB00363;DB00408;DB00413;DB00458;DB00477;DB00490;DB00540;DB00543;DB00571;DB00589;DB00656;DB00669;DB00696;DB00714;DB00726;DB00734;DB00866;DB00904;DB00952;DB00960;DB00988;DB01142;DB01149;DB01151;DB01186;DB01200;DB01224;DB01238;DB01267;DB01359;DB01392;DB01614;DB01616;DB01618;DB01621;DB01622;DB04946;DB05271;DB06148;DB06216;DB06684;DB08807;DB08810;DB08815;DB01049;DB01221</t>
  </si>
  <si>
    <t>ACM5_HUMAN</t>
  </si>
  <si>
    <t>Muscarinic acetylcholine receptor M5</t>
  </si>
  <si>
    <t>CHRM5</t>
  </si>
  <si>
    <t>NC:1-29;TM:30-55;CY:56-66;TM:67-91;NC:92-104;TM:105-126;CY:127-146;TM:147-172;NC:173-191;TM:192-214;CY:215-443;TM:444-466;NC:467-478;TM:479-498;CY:499-532</t>
  </si>
  <si>
    <t>ENSG00000184984</t>
  </si>
  <si>
    <t>ENSP00000372750;ENSP00000453745</t>
  </si>
  <si>
    <t>8;13;115;487;499</t>
  </si>
  <si>
    <t>8;13;487;499</t>
  </si>
  <si>
    <t>UniRef100_P08912;UniRef90_P08912;UniRef50_P20309</t>
  </si>
  <si>
    <t>DB00246;DB00321;DB00334;DB00340;DB00363;DB00376;DB00408;DB00420;DB00458;DB00496;DB00540;DB00572;DB00622;DB00715;DB00725;DB00747;DB00777;DB00785;DB00835;DB00934;DB01036;DB01069;DB01142;DB01151;DB01224;DB01238;DB01239;DB01403;DB01591;DB06702;DB08897;DB00454;DB00543;DB00568;DB00726;DB01221</t>
  </si>
  <si>
    <t>ADA2A_HUMAN</t>
  </si>
  <si>
    <t>Alpha-2A adrenergic receptor</t>
  </si>
  <si>
    <t>ADRA2A</t>
  </si>
  <si>
    <t>NC:1-32;TM:33-58;CY:59-69;TM:70-90;NC:91-107;TM:108-129;CY:130-149;TM:150-170;NC:171-194;TM:195-217;CY:218-371;TM:372-392;NC:393-409;TM:410-429;CY:430-450</t>
  </si>
  <si>
    <t>ENSG00000150594</t>
  </si>
  <si>
    <t>ENSP00000280155</t>
  </si>
  <si>
    <t>10;14;418</t>
  </si>
  <si>
    <t>258;271;297;298;299</t>
  </si>
  <si>
    <t>LQPDAGN[115]ASWN[115]GTEAPGGGAR</t>
  </si>
  <si>
    <t>10;14</t>
  </si>
  <si>
    <t>P08913</t>
  </si>
  <si>
    <t>3D-structure;Cell membrane;Complete proteome;Direct protein sequencing;Disulfide bond;G-protein coupled receptor;Glycoprotein;Lipoprotein;Membrane;Palmitate;Polymorphism;Receptor;Reference proteome;Transducer;Transmembrane;Transmembrane helix</t>
  </si>
  <si>
    <t>UniRef100_P08913;UniRef90_P08913;UniRef50_P08913</t>
  </si>
  <si>
    <t>DB00246;DB00248;DB00268;DB00320;DB00321;DB00334;DB00363;DB00368;DB00370;DB00397;DB00408;DB00413;DB00449;DB00457;DB00484;DB00543;DB00575;DB00589;DB00629;DB00633;DB00656;DB00668;DB00692;DB00696;DB00697;DB00714;DB00726;DB00734;DB00751;DB00797;DB00800;DB00852;DB00865;DB00925;DB00935;DB00964;DB00968;DB01018;DB01136;DB01142;DB01149;DB01186;DB01200;DB01224;DB01238;DB01267;DB01363;DB01392;DB01403;DB01577;DB01608;DB01624;DB04855;DB04948;DB06148;DB06216;DB06262;DB06623;DB06694;DB06711;DB08815;DB00217;DB00477;DB00540;DB00543;DB00934;DB01049;DB01151;DB00182;DB01365</t>
  </si>
  <si>
    <t>ROS1_HUMAN</t>
  </si>
  <si>
    <t>Proto-oncogene tyrosine-protein kinase ROS</t>
  </si>
  <si>
    <t>ROS1</t>
  </si>
  <si>
    <t>SP:1-27;NC:28-1861;TM:1862-1882;CY:1883-2347</t>
  </si>
  <si>
    <t>ENSG00000047936</t>
  </si>
  <si>
    <t>ENSP00000357494</t>
  </si>
  <si>
    <t>52;114;123;324;352;396;471;607;628;706;714;732;939;961;1015;1087;1090;1095;1105;1211;1272;1330;1458;1461;1474;1499;1565;1669;1715;1738;1808;2234;2240</t>
  </si>
  <si>
    <t>3D-structure;ATP-binding;Cell membrane;Chromosomal rearrangement;Complete proteome;Glycoprotein;Kinase;Membrane;Nucleotide-binding;Phosphoprotein;Polymorphism;Proto-oncogene;Receptor;Reference proteome;Repeat;Signal;Transferase;Transmembrane;Transmembrane helix;Tyrosine-protein kinase</t>
  </si>
  <si>
    <t>UniRef100_P08922;UniRef90_P08922;UniRef50_P08922</t>
  </si>
  <si>
    <t>CD63_HUMAN</t>
  </si>
  <si>
    <t>CD63 antigen</t>
  </si>
  <si>
    <t>CD63</t>
  </si>
  <si>
    <t>CY:1-11;TM:12-34;NC:35-51;TM:52-73;CY:74-81;TM:82-107;NC:108-203;TM:204-228;CY:229-238</t>
  </si>
  <si>
    <t>ENSG00000135404</t>
  </si>
  <si>
    <t>ENSP00000257857;ENSP00000393502;ENSP00000447730;ENSP00000449337</t>
  </si>
  <si>
    <t>130;150;172</t>
  </si>
  <si>
    <t>QQMENYPKNN[115]HTASILDR;NN[115]HTASILDR;N[115]N[115]HTASILDR;N[115]HTASILDR;CCGAAN[115]YTDWEK;CGAAN[115]YTDWEK;GAAN[115]YTDWEK;NRVPDSCCIN[115]VTVGC;NRVPDSCCIN[115]VTVGCGINFNEK;VPDSCCIN[115]VTVGCGINFNEK</t>
  </si>
  <si>
    <t>P08962</t>
  </si>
  <si>
    <t>Cell membrane (Multi-pass membrane protein);Endosome, multivesicular body;Late endosome membrane (Multi-pass membrane protein);Lysosome membrane (Multi-pass membrane protein);Melanosome</t>
  </si>
  <si>
    <t>Alternative splicing;Cell membrane;Complete proteome;Direct protein sequencing;Endosome;Glycoprotein;Lipoprotein;Lysosome;Membrane;Palmitate;Protein transport;Reference proteome;Transmembrane;Transmembrane helix;Transport</t>
  </si>
  <si>
    <t>UniRef100_P08962;UniRef90_P08962;UniRef50_P08962</t>
  </si>
  <si>
    <t>Endosome;Lysosome;Plasma membrane</t>
  </si>
  <si>
    <t>Cytoskeleton;Cytosol;Endoplasmic Reticulum;Extracellular space;Golgi apparatus;Mitochondrion;Nucleus;Peroxisome</t>
  </si>
  <si>
    <t>PKHD1_HUMAN</t>
  </si>
  <si>
    <t>Fibrocystin</t>
  </si>
  <si>
    <t>PKHD1</t>
  </si>
  <si>
    <t>SP:1-17;NC:18-3858;TM:3859-3882;CY:3883-4074</t>
  </si>
  <si>
    <t>ENSG00000170927</t>
  </si>
  <si>
    <t>ENSP00000360158</t>
  </si>
  <si>
    <t>54;226;276;357;387;507;520;529;641;711;830;869;967;977;1065;1084;1116;1135;1234;1241;1312;1323;1346;1377;1460;1475;1494;1527;1532;1564;1582;1602;1631;1698;1764;1779;1879;1883;1919;1945;1959;2034;2115;2144;2350;2385;2435;2471;2509;2535;2553;2595;2633;2753;2768;3008;3140;3169;3225;3488;3528;3707;3726;3838</t>
  </si>
  <si>
    <t>Cell projection, cilium;Cytoplasm, cytoskeleton, cilium basal body;Cytoplasm, cytoskeleton, microtubule organizing center, centrosome;Cytoplasm, cytoskeleton, spindle;Membrane (Single-pass type I membrane protein)</t>
  </si>
  <si>
    <t>Alternative splicing;Cell projection;Ciliopathy;Cilium;Complete proteome;Cytoplasm;Cytoskeleton;Disease mutation;Glycoprotein;Membrane;Polymorphism;Receptor;Reference proteome;Repeat;Signal;Transmembrane;Transmembrane helix</t>
  </si>
  <si>
    <t>UniRef100_P08F94;UniRef90_P08F94;UniRef50_P08F94</t>
  </si>
  <si>
    <t>P3_HUMAN</t>
  </si>
  <si>
    <t>P3 protein</t>
  </si>
  <si>
    <t>SLC10A3</t>
  </si>
  <si>
    <t>NC:1-225;TM:226-244;CY:245-253;TM:254-277;NC:278-282;TM:283-306;CY:307-320;TM:321-340;NC:341-359;TM:360-379;CY:380-385;TM:386-411;NC:412-416;TM:417-437;CY:438-448;TM:449-470;NC:471-477</t>
  </si>
  <si>
    <t>ENSG00000126903</t>
  </si>
  <si>
    <t>ENSP00000263512;ENSP00000377212</t>
  </si>
  <si>
    <t>SLC;Other;SLC10</t>
  </si>
  <si>
    <t>97;119</t>
  </si>
  <si>
    <t>Alternative splicing;Complete proteome;Membrane;Polymorphism;Reference proteome;Symport;Transmembrane;Transmembrane helix;Transport</t>
  </si>
  <si>
    <t>UniRef100_P09131;UniRef90_P09131;UniRef50_P09131</t>
  </si>
  <si>
    <t>CD48_HUMAN</t>
  </si>
  <si>
    <t>CD48 antigen</t>
  </si>
  <si>
    <t>CD48</t>
  </si>
  <si>
    <t>SP:1-28;NC:29-243</t>
  </si>
  <si>
    <t>ENSG00000117091</t>
  </si>
  <si>
    <t>ENSP00000357025</t>
  </si>
  <si>
    <t>40;44;104;162;189;206</t>
  </si>
  <si>
    <t>GHLVHMTVVSGSN[115]VTLN[115]ISESLPENYK;HLVHMTVVSGSN[115]VTLNISESLPENYK;HLVHMTVVSGSN[115]VTLN[115]ISESLPENYK;MTVVSGSN[115]VTLN[115]ISESLPENYK;TVVSGSN[115]VTLN[115]ISESLPENYK;VVSGSN[115]VTLN[115]ISESLPENYK;VSGSN[115]VTLN[115]ISESLPENYK;SGSNVTLN[115]ISESLPENYK;SGSN[115]VTLN[115]ISESLPENYK;GSN[115]VTLN[115]ISESLPENYK;SN[115]VTLN[115]ISESLPENYK;TLN[115]ISESLPENYK;LN[115]ISESLPENYK;VQKEDN[115]STY;VQKEDN[115]STYIM;VQKEDN[115]STYIMR;QKEDN[115]STYIMR;KEDN[115]STYIMR;EDN[115]STYIMR;DN[115]STYIMR;LSCVIPGESVN[115]YTWYGDK;SCVIPGESVN[115]YTWYGDK;VIPGESVN[115]YTWYGDK;IPGESVN[115]YTWYGDK;PGESVN[115]YTWYGDK;ESVN[115]YTWYGDK;ELQNSVLETTLMPHN[115]Y;ELQNSVLETTLMPHN[115]YS;ELQNSVLETTLMPHN[115]YSR;ELQN[115]SVLETTLMPHN[115]Y;ELQN[115]SVLETTLMPHN[115]YS;ELQN[115]SVLETTLMPHN[115]YSR;LQNSVLETTLMPHN[115]YSR;LQN[115]SVLETTLMPHN[115]YSR;QNSVLETTLMPHN[115]YSR;NSVLETTLMPHN[115]YSR;N[115]SVLETTLMPHN[115]YSR;SVLETTLMPHN[115]YSR;LETTLMPHN[115]YSR;ETTLMPHN[115]YSR;TTLMPHN[115]YSR;TLMPHN[115]YSR;LMPHN[115]YSR;MPHN[115]YSR;N[115]GTVCLSPPCTLAR</t>
  </si>
  <si>
    <t>P09326</t>
  </si>
  <si>
    <t>3D-structure;Alternative splicing;Cell membrane;Complete proteome;Direct protein sequencing;Disulfide bond;Glycoprotein;GPI-anchor;Immunoglobulin domain;Lipoprotein;Membrane;Polymorphism;Reference proteome;Repeat;Signal</t>
  </si>
  <si>
    <t>UniRef100_P09326;UniRef90_P09326;UniRef50_P09326</t>
  </si>
  <si>
    <t>CD7_HUMAN</t>
  </si>
  <si>
    <t>T-cell antigen CD7</t>
  </si>
  <si>
    <t>CD7</t>
  </si>
  <si>
    <t>SP:1-25;NC:26-178;TM:179-201;CY:202-240</t>
  </si>
  <si>
    <t>ENSG00000173762</t>
  </si>
  <si>
    <t>ENSP00000312027</t>
  </si>
  <si>
    <t>45;96</t>
  </si>
  <si>
    <t>AQEVQQSPHCTTVPVGASVN[115]ITCSTSGGLR;EVQQSPHCTTVPVGASVN[115]ITCSTSGGLR;ASVN[115]ITCSTSGGLR;SVN[115]ITCSTSGGLR;VN[115]ITCSTSGGLR;GRIDFSGSQDN[115]LTITMHR;IDFSGSQDN[115]LTI;IDFSGSQDN[115]LTITMH;IDFSGSQDN[115]LTITMHR;DFSGSQDN[115]LTITMHR;FSGSQDN[115]LTITMHR;SGSQDN[115]LTITMHR;GSQDN[115]LTITMHR</t>
  </si>
  <si>
    <t>P09564</t>
  </si>
  <si>
    <t>Adaptive immunity;Complete proteome;Disulfide bond;Glycoprotein;Immunity;Immunoglobulin domain;Lipoprotein;Membrane;Palmitate;Polymorphism;Receptor;Reference proteome;Repeat;Signal;Transmembrane;Transmembrane helix</t>
  </si>
  <si>
    <t>UniRef100_P09564;UniRef90_P09564;UniRef50_P09564</t>
  </si>
  <si>
    <t>CSF1_HUMAN</t>
  </si>
  <si>
    <t>Macrophage colony-stimulating factor 1</t>
  </si>
  <si>
    <t>CSF1</t>
  </si>
  <si>
    <t>SP:1-32;NC:33-496;TM:497-518;CY:519-554</t>
  </si>
  <si>
    <t>ENSG00000184371</t>
  </si>
  <si>
    <t>ENSP00000327513;ENSP00000358817</t>
  </si>
  <si>
    <t>154;172;381</t>
  </si>
  <si>
    <t>154;172;381;415</t>
  </si>
  <si>
    <t>180;185;199;200;204;206;214;222;226;232;233;243;248;256;257;260;266;272;273;283;297;309;313;326;332;335;341;345;347;348;353;363;376;383;391;406;407;414;417;418;420;426;428;430;431;433;445;446;451;461;477;479;485;533</t>
  </si>
  <si>
    <t>VKNVFN[115]ETK;VKNVFN[115]ETKNLLDKDWNIFSK;NVFN[115]ETK</t>
  </si>
  <si>
    <t>P09603</t>
  </si>
  <si>
    <t>3D-structure;Alternative splicing;Cell membrane;Complete proteome;Cytokine;Direct protein sequencing;Disulfide bond;Glycoprotein;Growth factor;Immunity;Inflammatory response;Innate immunity;Membrane;Polymorphism;Proteoglycan;Reference proteome;Secreted;Signal;Transmembrane;Transmembrane helix</t>
  </si>
  <si>
    <t>UniRef100_P09603;UniRef90_P09603;UniRef50_P09603</t>
  </si>
  <si>
    <t>PGFRB_HUMAN</t>
  </si>
  <si>
    <t>Platelet-derived growth factor receptor beta</t>
  </si>
  <si>
    <t>PDGFRB</t>
  </si>
  <si>
    <t>SP:1-32;NC:33-532;TM:533-556;CY:557-1106</t>
  </si>
  <si>
    <t>ENSG00000113721</t>
  </si>
  <si>
    <t>ENSP00000261799</t>
  </si>
  <si>
    <t>CD140b</t>
  </si>
  <si>
    <t>45;89;103;215;230;292;307;354;371;468;479;793;1053</t>
  </si>
  <si>
    <t>LQVSSIN[115]VSVN;LQVSSIN[115]VSVNAVQTVVR;LQVSSIN[115]VSVN[115]AVQTVVR;SILHIPSAELEDSGTYTCN[115]VTESVNDHQDEK;AIN[115]ITVVESGYVR;ELPPTLLGN[115]SSEEESQLETNVTYWEE;ELPPTLLGN[115]SSEEESQLETN[115]VTYWEE</t>
  </si>
  <si>
    <t>215;292;307;468;479</t>
  </si>
  <si>
    <t>P09619</t>
  </si>
  <si>
    <t>Cell membrane (Single-pass type I membrane protein);Cytoplasmic vesicle;Lysosome lumen</t>
  </si>
  <si>
    <t>3D-structure;Alternative splicing;ATP-binding;Cell membrane;Chemotaxis;Chromosomal rearrangement;Complete proteome;Cytoplasmic vesicle;Developmental protein;Direct protein sequencing;Disease mutation;Disulfide bond;Glycoprotein;Immunoglobulin domain;Kinase;Lysosome;Membrane;Nucleotide-binding;Phosphoprotein;Polymorphism;Proto-oncogene;Receptor;Reference proteome;Repeat;Signal;Transferase;Transmembrane;Transmembrane helix;Tyrosine-protein kinase;Ubl conjugation</t>
  </si>
  <si>
    <t>UniRef100_P09619;UniRef90_P09619;UniRef50_P09619</t>
  </si>
  <si>
    <t>Lysosome;Plasma membrane</t>
  </si>
  <si>
    <t>DB00102;DB00398;DB00619;DB01254;DB01268;DB06589;DB08896</t>
  </si>
  <si>
    <t>CD3G_HUMAN</t>
  </si>
  <si>
    <t>T-cell surface glycoprotein CD3 gamma chain</t>
  </si>
  <si>
    <t>CD3G</t>
  </si>
  <si>
    <t>SP:1-22;NC:23-115;TM:116-137;CY:138-182</t>
  </si>
  <si>
    <t>ENSG00000160654</t>
  </si>
  <si>
    <t>ENSP00000431445</t>
  </si>
  <si>
    <t>CD3g</t>
  </si>
  <si>
    <t>52;92</t>
  </si>
  <si>
    <t>VYDYQEDGSVLLTCDAEAKN[115]ITWFK</t>
  </si>
  <si>
    <t>P09693</t>
  </si>
  <si>
    <t>3D-structure;Complete proteome;Direct protein sequencing;Disulfide bond;Glycoprotein;Immunoglobulin domain;Membrane;Phosphoprotein;Polymorphism;Receptor;Reference proteome;Signal;Transmembrane;Transmembrane helix</t>
  </si>
  <si>
    <t>UniRef100_P09693;UniRef90_P09693;UniRef50_P09693</t>
  </si>
  <si>
    <t>TACD2_HUMAN</t>
  </si>
  <si>
    <t>Tumor-associated calcium signal transducer 2</t>
  </si>
  <si>
    <t>TACSTD2</t>
  </si>
  <si>
    <t>SP:1-30;NC:31-274;TM:275-298;CY:299-323</t>
  </si>
  <si>
    <t>ENSG00000184292</t>
  </si>
  <si>
    <t>ENSP00000360269</t>
  </si>
  <si>
    <t>33;120;168;208</t>
  </si>
  <si>
    <t>33;120</t>
  </si>
  <si>
    <t>HRPTAGAFN[115]HSDLDAELR;HRPTAGAFN[115]HSDLDAELRR;RPTAGAFN[115]HSDLDAELR;PTAGAFN[115]HSDLDAELR</t>
  </si>
  <si>
    <t>P09758</t>
  </si>
  <si>
    <t>3D-structure;Amyloid;Amyloidosis;Complete proteome;Corneal dystrophy;Disulfide bond;Glycoprotein;Membrane;Polymorphism;Reference proteome;Sensory transduction;Signal;Transmembrane;Transmembrane helix;Tumor antigen;Vision</t>
  </si>
  <si>
    <t>UniRef100_P09758;UniRef90_P09758;UniRef50_P09758</t>
  </si>
  <si>
    <t>Cytoskeleton;Endoplasmic Reticulum;Endosome;Extracellular space;Golgi apparatus;Lysosome;Mitochondrion;Nucleus;Peroxisome</t>
  </si>
  <si>
    <t>LPH_HUMAN</t>
  </si>
  <si>
    <t>Lactase-phlorizin hydrolase</t>
  </si>
  <si>
    <t>LCT</t>
  </si>
  <si>
    <t>SP:1-19;NC:20-1882;TM:1883-1903;CY:1904-1927</t>
  </si>
  <si>
    <t>ENSG00000115850</t>
  </si>
  <si>
    <t>ENSP00000264162</t>
  </si>
  <si>
    <t>3.2.1</t>
  </si>
  <si>
    <t>42;368;418;512;821;934;946;989;1174;1340;1508;1656;1672;1761;1814</t>
  </si>
  <si>
    <t>418;934;946;1340;1508;1672;1761</t>
  </si>
  <si>
    <t>Apical cell membrane (Single-pass type I membrane protein)</t>
  </si>
  <si>
    <t>Cell membrane;Complete proteome;Disease mutation;Glycosidase;Hydrolase;Membrane;Multifunctional enzyme;Polymorphism;Reference proteome;Repeat;Signal;Transmembrane;Transmembrane helix;Zymogen</t>
  </si>
  <si>
    <t>UniRef100_P09848;UniRef90_P09848;UniRef50_P09848</t>
  </si>
  <si>
    <t>DB00126</t>
  </si>
  <si>
    <t>PPBI_HUMAN</t>
  </si>
  <si>
    <t>Intestinal-type alkaline phosphatase</t>
  </si>
  <si>
    <t>ALPI</t>
  </si>
  <si>
    <t>SP:1-19;NC:20-528</t>
  </si>
  <si>
    <t>ENSG00000163295</t>
  </si>
  <si>
    <t>ENSP00000295463</t>
  </si>
  <si>
    <t>141;268;429</t>
  </si>
  <si>
    <t>Cell membrane;Complete proteome;Direct protein sequencing;Disulfide bond;Glycoprotein;GPI-anchor;Hydrolase;Lipoprotein;Magnesium;Membrane;Metal-binding;Phosphoprotein;Polymorphism;Reference proteome;Signal;Transmembrane;Zinc</t>
  </si>
  <si>
    <t>UniRef100_P09923;UniRef90_P09923;UniRef50_P15693</t>
  </si>
  <si>
    <t>FURIN_HUMAN</t>
  </si>
  <si>
    <t>Furin</t>
  </si>
  <si>
    <t>FURIN</t>
  </si>
  <si>
    <t>SP:1-26;NC:27-715;TM:716-736;CY:737-794</t>
  </si>
  <si>
    <t>ENSG00000140564</t>
  </si>
  <si>
    <t>ENSP00000268171;ENSP00000484952;ENSP00000483552</t>
  </si>
  <si>
    <t>3.4.21</t>
  </si>
  <si>
    <t>387;440;553</t>
  </si>
  <si>
    <t>73;593;625;628;679;681;682</t>
  </si>
  <si>
    <t>Cell membrane (Single-pass type I membrane protein);Golgi apparatus, trans-Golgi network membrane (Single-pass type I membrane protein)</t>
  </si>
  <si>
    <t>3D-structure;Autocatalytic cleavage;Calcium;Cell membrane;Cleavage on pair of basic residues;Complete proteome;Disulfide bond;Glycoprotein;Golgi apparatus;Hydrolase;Membrane;Metal-binding;Phosphoprotein;Polymorphism;Protease;Reference proteome;Serine protease;Signal;Transmembrane;Transmembrane helix;Zymogen</t>
  </si>
  <si>
    <t>UniRef100_P09958;UniRef90_P09958;UniRef50_P09958</t>
  </si>
  <si>
    <t>OR4A8_HUMAN</t>
  </si>
  <si>
    <t>Putative olfactory receptor 4A8</t>
  </si>
  <si>
    <t>OR4A8P</t>
  </si>
  <si>
    <t>NC:1-23;TM:24-48;CY:49-56;TM:57-80;NC:81-99;TM:100-118;CY:119-137;TM:138-162;NC:163-190;TM:191-215;CY:216-234;TM:235-256;NC:257-267;TM:268-287;CY:288-315</t>
  </si>
  <si>
    <t>UniRef100_P0C604;UniRef90_P0C604;UniRef50_P0C604</t>
  </si>
  <si>
    <t>O5AL1_HUMAN</t>
  </si>
  <si>
    <t>Olfactory receptor 5AL1</t>
  </si>
  <si>
    <t>OR5AL1</t>
  </si>
  <si>
    <t>NC:1-40;TM:41-64;CY:65-75;TM:76-95;NC:96-107;TM:108-131;CY:132-160;TM:161-182;NC:183-214;TM:215-241;CY:242-252;TM:253-275;NC:276-287;TM:288-307;CY:308-328</t>
  </si>
  <si>
    <t>UniRef100_P0C617;UniRef90_P0C617;UniRef50_P0C617</t>
  </si>
  <si>
    <t>OR4Q2_HUMAN</t>
  </si>
  <si>
    <t>Olfactory receptor 4Q2</t>
  </si>
  <si>
    <t>OR4Q2</t>
  </si>
  <si>
    <t>NC:1-25;TM:26-49;CY:50-60;TM:61-79;NC:80-98;TM:99-121;CY:122-140;TM:141-162;NC:163-197;TM:198-219;CY:220-236;TM:237-258;NC:259-269;TM:270-288;CY:289-313</t>
  </si>
  <si>
    <t>4;56;66</t>
  </si>
  <si>
    <t>UniRef100_P0C623;UniRef90_P0C623;UniRef50_P0C623</t>
  </si>
  <si>
    <t>OR5G3_HUMAN</t>
  </si>
  <si>
    <t>Olfactory receptor 5G3</t>
  </si>
  <si>
    <t>OR5G3</t>
  </si>
  <si>
    <t>NC:1-24;TM:25-51;CY:52-96;TM:97-120;NC:121-139;TM:140-162;CY:163-170;TM:171-189;NC:190-196;TM:197-221;CY:222-237;TM:238-260;NC:261-269;TM:270-292;CY:293-314</t>
  </si>
  <si>
    <t>UniRef100_P0C626;UniRef90_P0C626;UniRef50_Q8WZ84</t>
  </si>
  <si>
    <t>O5AC1_HUMAN</t>
  </si>
  <si>
    <t>Olfactory receptor 5AC1</t>
  </si>
  <si>
    <t>OR5AC1</t>
  </si>
  <si>
    <t>NC:1-26;TM:27-49;CY:50-58;TM:59-79;NC:80-100;TM:101-120;CY:121-140;TM:141-164;NC:165-195;TM:196-221;CY:222-240;TM:241-261;NC:262-272;TM:273-292;CY:293-307</t>
  </si>
  <si>
    <t>UniRef100_P0C628;UniRef90_P0C628;UniRef50_Q8NGV6</t>
  </si>
  <si>
    <t>O10J4_HUMAN</t>
  </si>
  <si>
    <t>Olfactory receptor 10J4</t>
  </si>
  <si>
    <t>OR10J4</t>
  </si>
  <si>
    <t>NC:1-25;TM:26-49;CY:50-60;TM:61-81;NC:82-99;TM:100-121;CY:122-144;TM:145-168;NC:169-198;TM:199-226;CY:227-237;TM:238-255;NC:256-272;TM:273-292;CY:293-311</t>
  </si>
  <si>
    <t>UniRef100_P0C629;UniRef90_P0C629;UniRef50_P0C629</t>
  </si>
  <si>
    <t>OR4E1_HUMAN</t>
  </si>
  <si>
    <t>Olfactory receptor 4E1</t>
  </si>
  <si>
    <t>OR4E1</t>
  </si>
  <si>
    <t>NC:1-28;TM:29-55;CY:56-62;TM:63-84;NC:85-104;TM:105-124;CY:125-143;TM:144-165;NC:166-208;TM:209-230;CY:231-241;TM:242-263;NC:264-274;TM:275-294;CY:295-316</t>
  </si>
  <si>
    <t>8;69</t>
  </si>
  <si>
    <t>UniRef100_P0C645;UniRef90_P0C645;UniRef50_Q8NGB6</t>
  </si>
  <si>
    <t>O52Z1_HUMAN</t>
  </si>
  <si>
    <t>Olfactory receptor 52Z1</t>
  </si>
  <si>
    <t>OR52Z1</t>
  </si>
  <si>
    <t>NC:1-11;TM:12-35;CY:36-45;TM:46-68;NC:69-87;TM:88-109;CY:110-128;TM:129-150;NC:151-178;TM:179-203;CY:204-223;TM:224-244;NC:245-255;TM:256-277;CY:278-297</t>
  </si>
  <si>
    <t>UniRef100_P0C646;UniRef90_P0C646;UniRef50_Q8NGJ2</t>
  </si>
  <si>
    <t>LIGO3_HUMAN</t>
  </si>
  <si>
    <t>Leucine-rich repeat and immunoglobulin-like domain-containing nogo receptor-interacting protein 3</t>
  </si>
  <si>
    <t>LINGO3</t>
  </si>
  <si>
    <t>SP:1-24;NC:25-526;TM:527-552;CY:553-592</t>
  </si>
  <si>
    <t>ENSG00000220008</t>
  </si>
  <si>
    <t>ENSP00000467753</t>
  </si>
  <si>
    <t>127;185;247;257;276;324;488;504;512;562</t>
  </si>
  <si>
    <t>UniRef100_P0C6S8;UniRef90_P0C6S8;UniRef50_P0C6S8</t>
  </si>
  <si>
    <t>OR8U8_HUMAN</t>
  </si>
  <si>
    <t>Olfactory receptor 8U8</t>
  </si>
  <si>
    <t>OR8U8</t>
  </si>
  <si>
    <t>NC:1-26;TM:27-48;CY:49-59;TM:60-78;NC:79-97;TM:98-117;CY:118-128;TM:129-148;NC:149-202;TM:203-226;CY:227-237;TM:238-260;NC:261-272;TM:273-292;CY:293-319</t>
  </si>
  <si>
    <t>UniRef100_P0C7N1;UniRef90_Q8NH10;UniRef50_Q8NH85</t>
  </si>
  <si>
    <t>OR8U9_HUMAN</t>
  </si>
  <si>
    <t>Olfactory receptor 8U9</t>
  </si>
  <si>
    <t>OR8U9</t>
  </si>
  <si>
    <t>NC:1-26;TM:27-48;CY:49-59;TM:60-78;NC:79-97;TM:98-120;CY:121-139;TM:140-162;NC:163-202;TM:203-226;CY:227-237;TM:238-260;NC:261-272;TM:273-292;CY:293-309</t>
  </si>
  <si>
    <t>UniRef100_P0C7N5;UniRef90_P0C7N5;UniRef50_Q8NH85</t>
  </si>
  <si>
    <t>OR9G9_HUMAN</t>
  </si>
  <si>
    <t>Olfactory receptor 9G9</t>
  </si>
  <si>
    <t>OR9G9</t>
  </si>
  <si>
    <t>NC:1-23;TM:24-47;CY:48-58;TM:59-79;NC:80-92;TM:93-119;CY:120-138;TM:139-157;NC:158-196;TM:197-222;CY:223-239;TM:240-260;NC:261-271;TM:272-291;CY:292-305</t>
  </si>
  <si>
    <t>5;41;50;64;154</t>
  </si>
  <si>
    <t>UniRef100_P0C7N8;UniRef90_P0C7N8;UniRef50_Q8NH87</t>
  </si>
  <si>
    <t>OR2T7_HUMAN</t>
  </si>
  <si>
    <t>Olfactory receptor 2T7</t>
  </si>
  <si>
    <t>OR2T7</t>
  </si>
  <si>
    <t>NC:1-17;TM:18-39;CY:40-50;TM:51-72;NC:73-92;TM:93-111;CY:112-130;TM:131-150;NC:151-187;TM:188-210;CY:211-231;TM:232-252;NC:253-263;TM:264-283;CY:284-308</t>
  </si>
  <si>
    <t>ENSG00000227152</t>
  </si>
  <si>
    <t>ENSP00000475521</t>
  </si>
  <si>
    <t>UniRef100_P0C7T2;UniRef90_P0C7T2;UniRef50_Q8NH16</t>
  </si>
  <si>
    <t>O56A5_HUMAN</t>
  </si>
  <si>
    <t>Olfactory receptor 56A5</t>
  </si>
  <si>
    <t>OR56A5</t>
  </si>
  <si>
    <t>NC:1-31;TM:32-54;CY:55-62;TM:63-89;NC:90-100;TM:101-123;CY:124-142;TM:143-164;NC:165-203;TM:204-225;CY:226-244;TM:245-265;NC:266-276;TM:277-297;CY:298-313</t>
  </si>
  <si>
    <t>ENSG00000188691</t>
  </si>
  <si>
    <t>ENSP00000481594</t>
  </si>
  <si>
    <t>6;7;45;184;198</t>
  </si>
  <si>
    <t>UniRef100_P0C7T3;UniRef90_P0C7T3;UniRef50_Q8NH54</t>
  </si>
  <si>
    <t>ELFN1_HUMAN</t>
  </si>
  <si>
    <t>Protein ELFN1</t>
  </si>
  <si>
    <t>ELFN1</t>
  </si>
  <si>
    <t>SP:1-27;NC:28-416;TM:417-440;CY:441-828</t>
  </si>
  <si>
    <t>ENSG00000225968</t>
  </si>
  <si>
    <t>ENSP00000456548;ENSP00000457193</t>
  </si>
  <si>
    <t>59;85;90;122;210;349;376;391</t>
  </si>
  <si>
    <t>FGN[115]LTYLN[115]LTK;WLAAFTN[115]ATQTYDR</t>
  </si>
  <si>
    <t>85;90;210</t>
  </si>
  <si>
    <t>P0C7U0</t>
  </si>
  <si>
    <t>Cell projection, dendrite;Membrane (Single-pass type I membrane protein)</t>
  </si>
  <si>
    <t>Cell projection;Complete proteome;Glycoprotein;Leucine-rich repeat;Membrane;Protein phosphatase inhibitor;Reference proteome;Repeat;Signal;Transmembrane;Transmembrane helix</t>
  </si>
  <si>
    <t>UniRef100_P0C7U0;UniRef90_P0C7U0;UniRef50_Q8C8T7</t>
  </si>
  <si>
    <t>ZH11B_HUMAN</t>
  </si>
  <si>
    <t>Probable palmitoyltransferase ZDHHC11B</t>
  </si>
  <si>
    <t>ZDHHC11B</t>
  </si>
  <si>
    <t>NC:1-39;TM:40-61;CY:62-69;TM:70-90;NC:91-167;TM:168-196;CY:197-216;TM:217-236;NC:237-241;TM:242-261;CY:262-371</t>
  </si>
  <si>
    <t>ENSG00000206077</t>
  </si>
  <si>
    <t>ENSP00000445280</t>
  </si>
  <si>
    <t>2.3.1</t>
  </si>
  <si>
    <t>Acyltransferase;Complete proteome;Membrane;Metal-binding;Polymorphism;Reference proteome;Transferase;Transmembrane;Transmembrane helix;Zinc;Zinc-finger</t>
  </si>
  <si>
    <t>UniRef100_P0C7U3;UniRef90_P0C7U3;UniRef50_P0C7U3</t>
  </si>
  <si>
    <t>CFC1_HUMAN</t>
  </si>
  <si>
    <t>Cryptic protein</t>
  </si>
  <si>
    <t>CFC1</t>
  </si>
  <si>
    <t>SP:1-25;NC:26-223</t>
  </si>
  <si>
    <t>ENSG00000136698</t>
  </si>
  <si>
    <t>ENSP00000259216</t>
  </si>
  <si>
    <t>Cell membrane;Complete proteome;Developmental protein;Disease mutation;Disulfide bond;EGF-like domain;Gastrulation;Glycoprotein;GPI-anchor;Heterotaxy;Lipoprotein;Membrane;Polymorphism;Reference proteome;Secreted;Signal</t>
  </si>
  <si>
    <t>UniRef100_P0CG37;UniRef90_P0CG37;UniRef50_P0CG37</t>
  </si>
  <si>
    <t>TPBGL_HUMAN</t>
  </si>
  <si>
    <t>Trophoblast glycoprotein-like</t>
  </si>
  <si>
    <t>TPBGL</t>
  </si>
  <si>
    <t>SP:1-26;NC:27-307;TM:308-328;CY:329-382</t>
  </si>
  <si>
    <t>ENSG00000261594</t>
  </si>
  <si>
    <t>ENSP00000474988</t>
  </si>
  <si>
    <t>62;69;251</t>
  </si>
  <si>
    <t>Complete proteome;Disulfide bond;Glycoprotein;Leucine-rich repeat;Membrane;Reference proteome;Repeat;Signal;Transmembrane;Transmembrane helix</t>
  </si>
  <si>
    <t>UniRef100_P0DKB5;UniRef90_P0DKB5;UniRef50_Q8C013</t>
  </si>
  <si>
    <t>1A32_HUMAN</t>
  </si>
  <si>
    <t>HLA class I histocompatibility antigen, A-32 alpha chain</t>
  </si>
  <si>
    <t>SP:1-24;NC:25-305;TM:306-330;CY:331-365</t>
  </si>
  <si>
    <t>ENSG00000223980</t>
  </si>
  <si>
    <t>ENSP00000410645;ENSP00000448992</t>
  </si>
  <si>
    <t>Complete proteome;Disulfide bond;Glycoprotein;Host-virus interaction;Immunity;Membrane;MHC I;Polymorphism;Reference proteome;Signal;Transmembrane;Transmembrane helix;Ubl conjugation</t>
  </si>
  <si>
    <t>UniRef100_P10314;UniRef90_P10314;UniRef50_P01892</t>
  </si>
  <si>
    <t>1A69_HUMAN</t>
  </si>
  <si>
    <t>HLA class I histocompatibility antigen, A-69 alpha chain</t>
  </si>
  <si>
    <t>Complete proteome;Disulfide bond;Glycoprotein;Host-virus interaction;Immunity;Membrane;MHC I;Phosphoprotein;Polymorphism;Reference proteome;Signal;Transmembrane;Transmembrane helix;Ubl conjugation</t>
  </si>
  <si>
    <t>UniRef100_P10316;UniRef90_P01892;UniRef50_P01892</t>
  </si>
  <si>
    <t>1B58_HUMAN</t>
  </si>
  <si>
    <t>HLA class I histocompatibility antigen, B-58 alpha chain</t>
  </si>
  <si>
    <t>SP:1-24;NC:25-305;TM:306-330;CY:331-362</t>
  </si>
  <si>
    <t>UniRef100_P10319;UniRef90_P01889;UniRef50_P01892</t>
  </si>
  <si>
    <t>1C07_HUMAN</t>
  </si>
  <si>
    <t>HLA class I histocompatibility antigen, Cw-7 alpha chain</t>
  </si>
  <si>
    <t>SP:1-24;NC:25-305;TM:306-331;CY:332-366</t>
  </si>
  <si>
    <t>ENSG00000204525</t>
  </si>
  <si>
    <t>ENSP00000365402</t>
  </si>
  <si>
    <t>GYYN[115]QSEDGSHTLQRMSGCDLGPDGR</t>
  </si>
  <si>
    <t>P10321</t>
  </si>
  <si>
    <t>UniRef100_P10321;UniRef90_P10321;UniRef50_P01892</t>
  </si>
  <si>
    <t>PTPRF_HUMAN</t>
  </si>
  <si>
    <t>Receptor-type tyrosine-protein phosphatase F</t>
  </si>
  <si>
    <t>PTPRF</t>
  </si>
  <si>
    <t>SP:1-29;NC:30-1261;TM:1262-1284;CY:1285-1907</t>
  </si>
  <si>
    <t>ENSG00000142949</t>
  </si>
  <si>
    <t>ENSP00000353030</t>
  </si>
  <si>
    <t>117;250;295;721;966;1696;1731</t>
  </si>
  <si>
    <t>250;295;721;966;1731</t>
  </si>
  <si>
    <t>KVEVEPLN[115]STAVHVYWK;VEVEPLN[115]STAVH;VEVEPLN[115]STAVHVY;VEVEPLN[115]STAVHVYW;VEVEPLN[115]STAVHVYWK;DINSQQELQN[115]ITTDTR;DIN[115]SQQELQN[115]ITTDTR</t>
  </si>
  <si>
    <t>721;966</t>
  </si>
  <si>
    <t>P10586</t>
  </si>
  <si>
    <t>3D-structure;Alternative splicing;Cell adhesion;Complete proteome;Disulfide bond;Glycoprotein;Heparin-binding;Hydrolase;Immunoglobulin domain;Membrane;Polymorphism;Protein phosphatase;Receptor;Reference proteome;Repeat;Signal;Transmembrane;Transmembrane helix</t>
  </si>
  <si>
    <t>UniRef100_P10586;UniRef90_Q64604;UniRef50_Q64604</t>
  </si>
  <si>
    <t>TFPI1_HUMAN</t>
  </si>
  <si>
    <t>Tissue factor pathway inhibitor</t>
  </si>
  <si>
    <t>TFPI</t>
  </si>
  <si>
    <t>SP:1-28;NC:29-304</t>
  </si>
  <si>
    <t>ENSG00000003436</t>
  </si>
  <si>
    <t>ENSP00000233156;ENSP00000376172</t>
  </si>
  <si>
    <t>145;195;256</t>
  </si>
  <si>
    <t>276;283</t>
  </si>
  <si>
    <t>12;216</t>
  </si>
  <si>
    <t>YFYNN[115]QTK;YFYN[115]N[115]QTK</t>
  </si>
  <si>
    <t>P10646</t>
  </si>
  <si>
    <t>Secreted;Microsome membrane (Lipid-anchor, GPI-anchor)</t>
  </si>
  <si>
    <t>3D-structure;Alternative splicing;Blood coagulation;Complete proteome;Direct protein sequencing;Disulfide bond;Endoplasmic reticulum;Glycoprotein;GPI-anchor;Hemostasis;Lipoprotein;Membrane;Microsome;Polymorphism;Protease inhibitor;Reference proteome;Repeat;Secreted;Serine protease inhibitor;Signal</t>
  </si>
  <si>
    <t>UniRef100_P10646;UniRef90_P10646;UniRef50_P10646</t>
  </si>
  <si>
    <t>DB00036;DB06779</t>
  </si>
  <si>
    <t>PPBN_HUMAN</t>
  </si>
  <si>
    <t>Alkaline phosphatase, placental-like</t>
  </si>
  <si>
    <t>ALPPL2</t>
  </si>
  <si>
    <t>SP:1-19;NC:20-532</t>
  </si>
  <si>
    <t>ENSG00000163286</t>
  </si>
  <si>
    <t>ENSP00000295453</t>
  </si>
  <si>
    <t>141;268</t>
  </si>
  <si>
    <t>Cell membrane;Complete proteome;Disulfide bond;Glycoprotein;GPI-anchor;Hydrolase;Lipoprotein;Magnesium;Membrane;Metal-binding;Phosphoprotein;Polymorphism;Reference proteome;Signal;Zinc</t>
  </si>
  <si>
    <t>UniRef100_P10696;UniRef90_P10696;UniRef50_P05186</t>
  </si>
  <si>
    <t>DB01143</t>
  </si>
  <si>
    <t>KIT_HUMAN</t>
  </si>
  <si>
    <t>Mast/stem cell growth factor receptor Kit</t>
  </si>
  <si>
    <t>KIT</t>
  </si>
  <si>
    <t>SP:1-25;NC:26-521;TM:522-545;CY:546-976</t>
  </si>
  <si>
    <t>ENSG00000157404</t>
  </si>
  <si>
    <t>ENSP00000288135</t>
  </si>
  <si>
    <t>CD117</t>
  </si>
  <si>
    <t>130;145;283;293;300;320;352;367;463;486;819;941</t>
  </si>
  <si>
    <t>25;28;30;713;718;729;954;963;965;966;967</t>
  </si>
  <si>
    <t>SLYGKEDN[115]DTLVR</t>
  </si>
  <si>
    <t>P10721</t>
  </si>
  <si>
    <t>Cell membrane (Single-pass type I membrane protein);Cell membrane (Single-pass type I membrane protein);Cytoplasm</t>
  </si>
  <si>
    <t>3D-structure;Alternative splicing;ATP-binding;Cell membrane;Complete proteome;Cytoplasm;Direct protein sequencing;Disease mutation;Disulfide bond;Glycoprotein;Immunoglobulin domain;Kinase;Magnesium;Membrane;Metal-binding;Nucleotide-binding;Phosphoprotein;Polymorphism;Proto-oncogene;Receptor;Reference proteome;Repeat;Signal;Transferase;Transmembrane;Transmembrane helix;Tyrosine-protein kinase;Ubl conjugation</t>
  </si>
  <si>
    <t>UniRef100_P10721;UniRef90_P10721;UniRef50_P10721</t>
  </si>
  <si>
    <t>Cytoskeleton</t>
  </si>
  <si>
    <t>DB00398;DB00619;DB01254;DB01268;DB04868;DB06589;DB08896;DB08901</t>
  </si>
  <si>
    <t>CD28_HUMAN</t>
  </si>
  <si>
    <t>T-cell-specific surface glycoprotein CD28</t>
  </si>
  <si>
    <t>CD28</t>
  </si>
  <si>
    <t>SP:1-18;NC:19-152;TM:153-179;CY:180-220</t>
  </si>
  <si>
    <t>ENSG00000178562</t>
  </si>
  <si>
    <t>ENSP00000324890</t>
  </si>
  <si>
    <t>37;71;92;105;129;193</t>
  </si>
  <si>
    <t>154;178</t>
  </si>
  <si>
    <t>QSPMLVAYDNAVN[115]LSCK;LVAYDNAVN[115]LSCK;VAYDNAVN[115]LSCK;VAYDN[115]AVN[115]LSCK;AYDNAVN[115]LSCK;AYDN[115]AVN[115]LSCK;VVYGN[115]YSQQLQVYSK;YGN[115]YSQQLQVYSK;GN[115]YSQQLQVYSK;LQNLYVN[115]QTDIYFCK;QNLYVN[115]QTDIYFCK;NLYVN[115]QTDIYFCK;YVN[115]QTDIYFCK;IEVMYPPPYLDNEKSN[115]GTIIHVK;YPPPYLDNEKSN[115]GTIIHVK;PPPYLDNEKSN[115]GTIIHVK;SN[115]GTIIHV;SN[115]GTIIHVK</t>
  </si>
  <si>
    <t>37;71;105;129</t>
  </si>
  <si>
    <t>P10747</t>
  </si>
  <si>
    <t>3D-structure;Alternative splicing;Complete proteome;Disulfide bond;Glycoprotein;Immunoglobulin domain;Membrane;Phosphoprotein;Reference proteome;Signal;Transmembrane;Transmembrane helix</t>
  </si>
  <si>
    <t>UniRef100_P10747;UniRef90_P10747;UniRef50_P10747</t>
  </si>
  <si>
    <t>GHR_HUMAN</t>
  </si>
  <si>
    <t>Growth hormone receptor</t>
  </si>
  <si>
    <t>GHR</t>
  </si>
  <si>
    <t>SP:1-20;NC:21-263;TM:264-287;CY:288-638</t>
  </si>
  <si>
    <t>ENSG00000112964</t>
  </si>
  <si>
    <t>ENSP00000230882;ENSP00000442206;ENSP00000478332;ENSP00000479846;ENSP00000478291;ENSP00000482373</t>
  </si>
  <si>
    <t>46;115;156;161;200;432;610</t>
  </si>
  <si>
    <t>46;115;156;161;200;432;477;610</t>
  </si>
  <si>
    <t>38;45;443;447;461;466;467;554;559;574</t>
  </si>
  <si>
    <t>Cell membrane (Single-pass type I membrane protein);Secreted;Cell membrane (Single-pass type I membrane protein)</t>
  </si>
  <si>
    <t>3D-structure;Alternative splicing;Cell membrane;Complete proteome;Direct protein sequencing;Disease mutation;Disulfide bond;Dwarfism;Endocytosis;Glycoprotein;Membrane;Phosphoprotein;Polymorphism;Receptor;Reference proteome;Secreted;Signal;Transmembrane;Transmembrane helix;Ubl conjugation</t>
  </si>
  <si>
    <t>UniRef100_P10912;UniRef90_P10912;UniRef50_P10912</t>
  </si>
  <si>
    <t>DB00052;DB00082</t>
  </si>
  <si>
    <t>CD8B_HUMAN</t>
  </si>
  <si>
    <t>T-cell surface glycoprotein CD8 beta chain</t>
  </si>
  <si>
    <t>CD8B</t>
  </si>
  <si>
    <t>SP:1-23;NC:24-170;TM:171-195;CY:196-210</t>
  </si>
  <si>
    <t>ENSG00000172116</t>
  </si>
  <si>
    <t>ENSP00000375070</t>
  </si>
  <si>
    <t>CD8b</t>
  </si>
  <si>
    <t>140;141</t>
  </si>
  <si>
    <t>Cell membrane (Single-pass type I membrane protein);Cell membrane (Single-pass type I membrane protein);Secreted;Cell membrane (Single-pass type I membrane protein);Cell membrane (Single-pass type I membrane protein);Secreted;Secreted;Secreted</t>
  </si>
  <si>
    <t>Adaptive immunity;Alternative splicing;Cell membrane;Complete proteome;Disulfide bond;Glycoprotein;Immunity;Immunoglobulin domain;Membrane;Phosphoprotein;Reference proteome;Secreted;Signal;Transmembrane;Transmembrane helix</t>
  </si>
  <si>
    <t>UniRef100_P10966;UniRef90_P10966;UniRef50_P10966</t>
  </si>
  <si>
    <t>CD37_HUMAN</t>
  </si>
  <si>
    <t>Leukocyte antigen CD37</t>
  </si>
  <si>
    <t>CD37</t>
  </si>
  <si>
    <t>CY:1-11;TM:12-36;NC:37-55;TM:56-77;CY:78-86;TM:87-109;NC:110-241;TM:242-267;CY:268-281</t>
  </si>
  <si>
    <t>ENSG00000104894</t>
  </si>
  <si>
    <t>ENSP00000325708</t>
  </si>
  <si>
    <t>170;183;188</t>
  </si>
  <si>
    <t>GN[115]GSEAHRVPCSCYN[115]LSATN[115]DSTILDK;VPCSCYNLSATN[115]DSTILDK;VPCSCYN[115]LSATN[115]DSTILDK;CSCYN[115]LSATN[115]DSTILDK;SCYNLSATN[115]DSTILDK;SCYN[115]LSATN[115]DSTILDK;YNLSATN[115]DSTILDK;YN[115]LSATN[115]DSTILDK;NLSATN[115]DSTILDK;N[115]LSATN[115]DSTILDK;LSATN[115]DSTILDK;SATN[115]DSTILDK;ATN[115]DSTILDK</t>
  </si>
  <si>
    <t>P11049</t>
  </si>
  <si>
    <t>UniRef100_P11049;UniRef90_P11049;UniRef50_P11049</t>
  </si>
  <si>
    <t>PPAL_HUMAN</t>
  </si>
  <si>
    <t>Lysosomal acid phosphatase</t>
  </si>
  <si>
    <t>ACP2</t>
  </si>
  <si>
    <t>SP:1-32;NC:33-380;TM:381-404;CY:405-423</t>
  </si>
  <si>
    <t>ENSG00000134575</t>
  </si>
  <si>
    <t>ENSP00000256997</t>
  </si>
  <si>
    <t>92;133;167;177;191;267;322;331</t>
  </si>
  <si>
    <t>YHGFLN[115]TSYHR;FNPN[115]ISWQPIPVHTVPITEDR;YEQLQN[115]ETR;QTPEYQN[115]ESSR;PEYQN[115]ESSR;N[115]LTLMATTSQLPK</t>
  </si>
  <si>
    <t>92;133;167;177;267</t>
  </si>
  <si>
    <t>P11117</t>
  </si>
  <si>
    <t>Lysosome lumen;Lysosome membrane (Single-pass membrane protein|Lumenal side</t>
  </si>
  <si>
    <t>Alternative splicing;Complete proteome;Direct protein sequencing;Disulfide bond;Glycoprotein;Hydrolase;Lysosome;Membrane;Polymorphism;Reference proteome;Signal;Transmembrane;Transmembrane helix</t>
  </si>
  <si>
    <t>UniRef100_P11117;UniRef90_P11117;UniRef50_P11117</t>
  </si>
  <si>
    <t>GTR1_HUMAN</t>
  </si>
  <si>
    <t>Solute carrier family 2, facilitated glucose transporter member 1</t>
  </si>
  <si>
    <t>SLC2A1</t>
  </si>
  <si>
    <t>CY:1-11;TM:12-29;NC:30-63;TM:64-87;CY:88-95;TM:96-115;NC:116-120;TM:121-144;CY:145-154;TM:155-174;NC:175-185;TM:186-207;CY:208-271;TM:272-294;NC:295-306;TM:307-328;CY:329-335;TM:336-357;NC:358-362;TM:363-389;CY:390-401;TM:402-425;NC:426-430;TM:431-450;CY:451-492</t>
  </si>
  <si>
    <t>ENSG00000117394</t>
  </si>
  <si>
    <t>ENSP00000416293</t>
  </si>
  <si>
    <t>45;411</t>
  </si>
  <si>
    <t>NTGVINAPQKVIEEFYN[115]QTWVHR;KVIEEFYN[115]QTWVHR;VIEEFYN[115]QT;VIEEFYN[115]QTW;VIEEFYN[115]QTWV;VIEEFYN[115]QTWVH;VIEEFYN[115]QTWVHR;IEEFYN[115]QTWVHR;EEFYN[115]QTWVHR;EFYN[115]QTWVHR;FYN[115]QTWVHR;YN[115]QTWVHR;N[115]QTWVHR</t>
  </si>
  <si>
    <t>P11166</t>
  </si>
  <si>
    <t>3D-structure;Acetylation;Cell membrane;Complete proteome;Direct protein sequencing;Disease mutation;Dystonia;Epilepsy;Glycoprotein;Membrane;Phosphoprotein;Reference proteome;Sugar transport;Transmembrane;Transmembrane helix;Transport</t>
  </si>
  <si>
    <t>UniRef100_P11166;UniRef90_P11166;UniRef50_P11166</t>
  </si>
  <si>
    <t>GTR2_HUMAN</t>
  </si>
  <si>
    <t>Solute carrier family 2, facilitated glucose transporter member 2</t>
  </si>
  <si>
    <t>SLC2A2</t>
  </si>
  <si>
    <t>CY:1-6;TM:7-26;NC:27-94;TM:95-118;CY:119-126;TM:127-147;NC:148-155;TM:156-176;CY:177-187;TM:188-211;NC:212-217;TM:218-239;CY:240-303;TM:304-326;NC:327-338;TM:339-360;CY:361-366;TM:367-390;NC:391-395;TM:396-422;CY:423-433;TM:434-457;NC:458-462;TM:463-482;CY:483-524</t>
  </si>
  <si>
    <t>ENSG00000163581</t>
  </si>
  <si>
    <t>ENSP00000323568</t>
  </si>
  <si>
    <t>62;297;443</t>
  </si>
  <si>
    <t>62;443</t>
  </si>
  <si>
    <t>Alternative splicing;Complete proteome;Disease mutation;Glycoprotein;Membrane;Polymorphism;Reference proteome;Sugar transport;Transmembrane;Transmembrane helix;Transport</t>
  </si>
  <si>
    <t>UniRef100_P11168;UniRef90_P11168;UniRef50_P11168</t>
  </si>
  <si>
    <t>Cytoskeleton;Endoplasmic Reticulum;Extracellular space;Golgi apparatus;Lysosome;Mitochondrion;Nucleus;Peroxisome</t>
  </si>
  <si>
    <t>DB00428</t>
  </si>
  <si>
    <t>GTR3_HUMAN</t>
  </si>
  <si>
    <t>Solute carrier family 2, facilitated glucose transporter member 3</t>
  </si>
  <si>
    <t>SLC2A3</t>
  </si>
  <si>
    <t>CY:1-6;TM:7-26;NC:27-61;TM:62-85;CY:86-94;TM:95-115;NC:116-120;TM:121-142;CY:143-153;TM:154-177;NC:178-183;TM:184-205;CY:206-269;TM:270-292;NC:293-304;TM:305-326;CY:327-333;TM:334-355;NC:356-366;TM:367-389;CY:390-399;TM:400-420;NC:421-426;TM:427-448;CY:449-496</t>
  </si>
  <si>
    <t>ENSG00000059804</t>
  </si>
  <si>
    <t>ENSP00000075120</t>
  </si>
  <si>
    <t>43;409</t>
  </si>
  <si>
    <t>Complete proteome;Glycoprotein;Membrane;Polymorphism;Reference proteome;Sugar transport;Transmembrane;Transmembrane helix;Transport</t>
  </si>
  <si>
    <t>UniRef100_P11169;UniRef90_P11169;UniRef50_P14672</t>
  </si>
  <si>
    <t>ITAM_HUMAN</t>
  </si>
  <si>
    <t>Integrin alpha-M</t>
  </si>
  <si>
    <t>ITGAM</t>
  </si>
  <si>
    <t>SP:1-16;NC:17-1107;TM:1108-1130;CY:1131-1152</t>
  </si>
  <si>
    <t>ENSG00000169896</t>
  </si>
  <si>
    <t>ENSP00000287497</t>
  </si>
  <si>
    <t>CD11b</t>
  </si>
  <si>
    <t>86;240;391;469;692;696;734;801;880;900;911;940;946;978;993;1021;1044;1050;1075</t>
  </si>
  <si>
    <t>86;207;208;240;362;391;445;469;692;696;734;772;801;867;880;900;906;911;940;946;978;993;1021;1044;1050;1075</t>
  </si>
  <si>
    <t>566;851;852;935</t>
  </si>
  <si>
    <t>374;442;503;517;843;983;1055</t>
  </si>
  <si>
    <t>ELFN[115]ITNGAR;ELFN[115]ITN[115]GAR;STFIN[115]MTR;AVFN[115]ETK;AVFN[115]ETKN[115]STR;AVFN[115]ETKN[115]STRR;EFN[115]VTVTVR;AN[115]VTSENNMPR;AN[115]VTSEN[115]NMPR;TN[115]KTEFQLELPVK;YLN[115]FTASEN[115]TSR;N[115]FTASEN[115]TSR;LN[115]QTVIWDR;LN[115]QTVIWDRPQVT;LN[115]QTVIWDRPQVTF;LN[115]QTVIWDRPQVTFSEN[115]LSSTCHTK;APVVN[115]CSIAVCQR;GIQEEFN[115]ATLK;IQEEFN[115]ATLK;GN[115]LSFDWYIK</t>
  </si>
  <si>
    <t>240;391;692;696;801;900;911;940;946;978;993;1021;1044;1050</t>
  </si>
  <si>
    <t>P11215</t>
  </si>
  <si>
    <t>3D-structure;Alternative splicing;Calcium;Cell adhesion;Complete proteome;Direct protein sequencing;Disulfide bond;Glycoprotein;Integrin;Magnesium;Membrane;Metal-binding;Polymorphism;Receptor;Reference proteome;Repeat;Signal;Systemic lupus erythematosus;Transmembrane;Transmembrane helix</t>
  </si>
  <si>
    <t>UniRef100_P11215;UniRef90_P11215;UniRef50_P11215</t>
  </si>
  <si>
    <t>ACM1_HUMAN</t>
  </si>
  <si>
    <t>Muscarinic acetylcholine receptor M1</t>
  </si>
  <si>
    <t>CHRM1</t>
  </si>
  <si>
    <t>NC:1-24;TM:25-50;CY:51-61;TM:62-83;NC:84-99;TM:100-121;CY:122-141;TM:142-167;NC:168-186;TM:187-210;CY:211-366;TM:367-390;NC:391-401;TM:402-421;CY:422-460</t>
  </si>
  <si>
    <t>ENSG00000168539</t>
  </si>
  <si>
    <t>ENSP00000306490</t>
  </si>
  <si>
    <t>2;12;110;410</t>
  </si>
  <si>
    <t>12;410</t>
  </si>
  <si>
    <t>Alternative splicing;Cell junction;Cell membrane;Complete proteome;Disulfide bond;G-protein coupled receptor;Glycoprotein;Membrane;Phosphoprotein;Postsynaptic cell membrane;Receptor;Reference proteome;Synapse;Transducer;Transmembrane;Transmembrane helix</t>
  </si>
  <si>
    <t>UniRef100_P11229;UniRef90_P11229;UniRef50_P11229</t>
  </si>
  <si>
    <t>DB00185;DB00202;DB00209;DB00215;DB00219;DB00245;DB00246;DB00280;DB00321;DB00332;DB00334;DB00340;DB00354;DB00363;DB00366;DB00376;DB00383;DB00387;DB00392;DB00408;DB00411;DB00420;DB00424;DB00434;DB00458;DB00462;DB00477;DB00496;DB00508;DB00517;DB00540;DB00543;DB00572;DB00622;DB00670;DB00715;DB00725;DB00747;DB00771;DB00777;DB00782;DB00785;DB00804;DB00805;DB00809;DB00810;DB00835;DB00875;DB00907;DB00934;DB00940;DB00942;DB00979;DB00986;DB01036;DB01062;DB01069;DB01085;DB01142;DB01148;DB01151;DB01175;DB01224;DB01231;DB01233;DB01238;DB01239;DB01403;DB01409;DB01591;DB01618;DB04843;DB06702;DB08897;DB00454;DB00543;DB00568;DB00726;DB01221</t>
  </si>
  <si>
    <t>ACHB_HUMAN</t>
  </si>
  <si>
    <t>Acetylcholine receptor subunit beta</t>
  </si>
  <si>
    <t>CHRNB1</t>
  </si>
  <si>
    <t>SP:1-23;NC:24-245;TM:246-269;CY:270-276;TM:277-295;NC:296-306;TM:307-332;CY:333-469;TM:470-492;NC:493-501</t>
  </si>
  <si>
    <t>ENSG00000170175</t>
  </si>
  <si>
    <t>ENSP00000304290</t>
  </si>
  <si>
    <t>Alternative splicing;Cell junction;Cell membrane;Complete proteome;Congenital myasthenic syndrome;Disease mutation;Disulfide bond;Glycoprotein;Ion channel;Ion transport;Ligand-gated ion channel;Membrane;Phosphoprotein;Polymorphism;Postsynaptic cell membrane;Receptor;Reference proteome;Signal;Synapse;Transmembrane;Transmembrane helix;Transport</t>
  </si>
  <si>
    <t>UniRef100_P11230;UniRef90_P11230;UniRef50_P11230</t>
  </si>
  <si>
    <t>LAMP1_HUMAN</t>
  </si>
  <si>
    <t>Lysosome-associated membrane glycoprotein 1</t>
  </si>
  <si>
    <t>LAMP1</t>
  </si>
  <si>
    <t>SP:1-28;NC:29-382;TM:383-405;CY:406-417</t>
  </si>
  <si>
    <t>ENSG00000185896</t>
  </si>
  <si>
    <t>ENSP00000333298</t>
  </si>
  <si>
    <t>CD107a</t>
  </si>
  <si>
    <t>SCAR;Class_D</t>
  </si>
  <si>
    <t>37;45;62;76;84;103;107;121;130;165;181;223;228;241;249;261;293;322</t>
  </si>
  <si>
    <t>SGPKN[115]MTFDLPSDATVVLNR;SGPKN[115]MTFDLPSDATVVLN[115]R;N[115]MTFDLPSDATVVLNR;N[115]MTFDLPSDATVVLN[115]R;TFDLPSDATVVLN[115]R;DLPSDATVVLN[115]R;LPSDATVVLN[115]R;PSDATVVLN[115]R;SSCGKEN[115]TSDPSLVIAF;SSCGKEN[115]TSDPSLVIAFGR;EN[115]TSDPSLVIAF;EN[115]TSDPSLVIAFGR;GHTLTLN[115]FTR;GHTLTLN[115]FTRN[115]ATR;TLTLN[115]FTR;SFVYN[115]LSDTHLFPN[115]ASSK;FVYN[115]LSDTHLFPN[115]ASSK;VYN[115]LSDTHLFPN[115]ASSK;YN[115]LSDTHLFPN[115]ASSK;HLFPN[115]ASSK;DATIQAYLSN[115]SSFSR;IQAYLSN[115]SSFSR;AYLSN[115]SSFSR;LSN[115]SSFSR;SPSVDKYN[115]V;SPSVDKYN[115]VS;SPSVDKYN[115]VSGTNGT;SPSVDKYN[115]VSGTN[115]GT;SPSVDKYN[115]VSGTN[115]GTC;SPSVDKYN[115]VSGTN[115]GTCL;SPSVDKYN[115]VSGTN[115]GTCLL;SPSVDKYN[115]VSGTN[115]GTCLLA;SPSVDKYN[115]VSGTN[115]GTCLLAS;SPSVDKYN[115]VSGTN[115]GTCLLASM;MGLQLN[115]LTYER;GLQLN[115]LTYER;KDN[115]TTVTR;LLNINPN[115]K;RDPAFKAAN[115]GSLR;DPAFKAAN[115]GSLR</t>
  </si>
  <si>
    <t>62;76;84;103;107;121;130;181;223;228;241;249;261;322</t>
  </si>
  <si>
    <t>P11279</t>
  </si>
  <si>
    <t>Cell membrane (Single-pass type I membrane protein);Endosome membrane (Single-pass type I membrane protein);Late endosome;Lysosome membrane (Single-pass type I membrane protein)</t>
  </si>
  <si>
    <t>Alternative splicing;Cell membrane;Complete proteome;Direct protein sequencing;Disulfide bond;Endosome;Glycoprotein;Host-virus interaction;Lysosome;Membrane;Polymorphism;Reference proteome;Signal;Transmembrane;Transmembrane helix</t>
  </si>
  <si>
    <t>UniRef100_P11279;UniRef90_P11279;UniRef50_P11279</t>
  </si>
  <si>
    <t>FGFR1_HUMAN</t>
  </si>
  <si>
    <t>Fibroblast growth factor receptor 1</t>
  </si>
  <si>
    <t>FGFR1</t>
  </si>
  <si>
    <t>SP:1-21;NC:22-376;TM:377-397;CY:398-822</t>
  </si>
  <si>
    <t>ENSG00000077782</t>
  </si>
  <si>
    <t>ENSP00000400162</t>
  </si>
  <si>
    <t>CD331</t>
  </si>
  <si>
    <t>Kinase;FGFR</t>
  </si>
  <si>
    <t>77;117;227;240;264;296;317;330;724</t>
  </si>
  <si>
    <t>77;117;185;227;240;264;296;317;330;586;724</t>
  </si>
  <si>
    <t>24;26;428;430;434;436;447;451;452;461;588;779;783;785;786;787;790</t>
  </si>
  <si>
    <t>DGVQLAESN[115]R;SPHRPILQAGLPAN[115]K;HRPILQAGLPAN[115]K;HIEVN[115]GSK;TAGVN[115]TTDK;TAGVN[115]TTDKEMEVLHLR</t>
  </si>
  <si>
    <t>77;264;296;317</t>
  </si>
  <si>
    <t>P11362</t>
  </si>
  <si>
    <t>Cell membrane (Single-pass type I membrane protein);Cytoplasm, cytosol;Cytoplasmic vesicle;Nucleus</t>
  </si>
  <si>
    <t>3D-structure;Alternative splicing;ATP-binding;Cell membrane;Chromosomal rearrangement;Complete proteome;Craniosynostosis;Cytoplasm;Cytoplasmic vesicle;Direct protein sequencing;Disease mutation;Disulfide bond;Dwarfism;Glycoprotein;Heparin-binding;Holoprosencephaly;Hypogonadotropic hypogonadism;Immunoglobulin domain;Kallmann syndrome;Kinase;Membrane;Mental retardation;Nucleotide-binding;Nucleus;Phosphoprotein;Polymorphism;Receptor;Reference proteome;Repeat;Signal;Transcription;Transcription regulation;Transferase;Transmembrane;Transmembrane helix;Tyrosine-protein kinase;Ubl conjugation</t>
  </si>
  <si>
    <t>UniRef100_P11362;UniRef90_P11362;UniRef50_P11362</t>
  </si>
  <si>
    <t>DB00039;DB00398;DB08896;DB08901</t>
  </si>
  <si>
    <t>MPRI_HUMAN</t>
  </si>
  <si>
    <t>Cation-independent mannose-6-phosphate receptor</t>
  </si>
  <si>
    <t>IGF2R</t>
  </si>
  <si>
    <t>SP:1-42;NC:43-2304;TM:2305-2327;CY:2328-2491</t>
  </si>
  <si>
    <t>ENSG00000197081</t>
  </si>
  <si>
    <t>ENSP00000349437</t>
  </si>
  <si>
    <t>CD222</t>
  </si>
  <si>
    <t>112;400;435;543;581;626;747;871;951;957;1164;1246;1312;1656;1757;1816;2085;2136;2348;2365</t>
  </si>
  <si>
    <t>112;400;435;543;581;626;747;871;951;957;1164;1246;1312;1520;1656;1757;1816;2085;2136;2348;2365</t>
  </si>
  <si>
    <t>SLLEFN[115]TTVSCDQQGTNHR;SLLEFN[115]TTVSCDQQGTN[115]HR;EFN[115]TTVSCDQQGTNHR;FN[115]TTVSCDQQGTNHR;YHN[115]QTLR;MSVINFECN[115]K;GCPEDAAVCAVDKN[115]GSK;TN[115]ITLVCKPGDLESAPVLR;TEGEN[115]CTVFDSQAGF;DAGVGFPEYQEEDN[115]STYNFR;DAGVGFPEYQEEDN[115]STYN[115]FR;PEYQEEDN[115]STYNFR;EDN[115]STYNFR;TGPVVEDSGSLLLEYVN[115]GSACTTSDGR;DPNSGFVFNLNPLN[115]SSQGYN[115]VSGIGK;DPNSGFVFNLN[115]PLNSSQGYN[115]VSGIGK;DPNSGFVFNLN[115]PLN[115]SSQGYN[115]VSGIGK;DPN[115]SGFVFNLNPLN[115]SSQGYN[115]VSGIGK;PNSGFVFNLNPLN[115]SSQGYN[115]VSGIGK;SGFVFNLNPLN[115]SSQGYN[115]VSGIGK;NLNPLN[115]SSQGYN[115]VSGIGK;LNPLN[115]SSQGYN[115]VSGIGK;PLN[115]SSQGYN[115]VSGIGK;AAAN[115]GSLSIMYVNGDK;AAAN[115]GSLSIMYVN[115]GDK;HGNLYDLKPLGLN[115]DTIVS;MN[115]FTGGDTCHK;N[115]GSSIVDLSPLIHR;HFN[115]YTSLIAFH;HFN[115]YTSLIAFHCK;SFN[115]LSSLSTSTFK;AACAVKPQEVQMVN[115]GTITNPINGK;AACAVKPQEVQMVN[115]GTITNPIN[115]GK;AVKPQEVQMVN[115]GTITNPINGK;AVKPQEVQMVN[115]GTITNPIN[115]GK;MVN[115]GTITNPINGK;MVN[115]GTITNPIN[115]GK</t>
  </si>
  <si>
    <t>112;400;435;543;581;626;747;871;951;957;1164;1246;1312;1656;1757;1816;2136</t>
  </si>
  <si>
    <t>P11717</t>
  </si>
  <si>
    <t>Lysosome membrane (Single-pass type I membrane protein)</t>
  </si>
  <si>
    <t>3D-structure;Acetylation;Complete proteome;Direct protein sequencing;Disulfide bond;Glycoprotein;Lysosome;Membrane;Phosphoprotein;Polymorphism;Receptor;Reference proteome;Repeat;Signal;Transmembrane;Transmembrane helix;Transport</t>
  </si>
  <si>
    <t>UniRef100_P11717;UniRef90_P11717;UniRef50_P11717</t>
  </si>
  <si>
    <t>Endosome;Golgi apparatus;Lysosome</t>
  </si>
  <si>
    <t>Cytoskeleton;Cytosol;Endoplasmic Reticulum;Extracellular space;Mitochondrion;Peroxisome</t>
  </si>
  <si>
    <t>DB01277</t>
  </si>
  <si>
    <t>CD20_HUMAN</t>
  </si>
  <si>
    <t>B-lymphocyte antigen CD20</t>
  </si>
  <si>
    <t>MS4A1</t>
  </si>
  <si>
    <t>CY:1-54;TM:55-78;NC:79-83;TM:84-103;CY:104-122;TM:123-143;NC:144-187;TM:188-212;CY:213-297</t>
  </si>
  <si>
    <t>ENSG00000156738</t>
  </si>
  <si>
    <t>ENSP00000314620;ENSP00000374589;ENSP00000433179;ENSP00000433277</t>
  </si>
  <si>
    <t>CD20</t>
  </si>
  <si>
    <t>Unknown_function;MS4A</t>
  </si>
  <si>
    <t>9;293</t>
  </si>
  <si>
    <t>9;171;293</t>
  </si>
  <si>
    <t>3;25;239;250;252;253;254;289</t>
  </si>
  <si>
    <t>Cell membrane (Lipid-anchor);Cell membrane (Multi-pass membrane protein)</t>
  </si>
  <si>
    <t>3D-structure;Alternative splicing;B-cell activation;Cell membrane;Complete proteome;Disulfide bond;Lipoprotein;Membrane;Palmitate;Pharmaceutical;Phosphoprotein;Reference proteome;Transmembrane;Transmembrane helix</t>
  </si>
  <si>
    <t>UniRef100_P11836;UniRef90_P11836;UniRef50_P11836</t>
  </si>
  <si>
    <t>DB00073;DB00078;DB00081;DB08935</t>
  </si>
  <si>
    <t>CD79A_HUMAN</t>
  </si>
  <si>
    <t>B-cell antigen receptor complex-associated protein alpha chain</t>
  </si>
  <si>
    <t>CD79A</t>
  </si>
  <si>
    <t>SP:1-32;NC:33-143;TM:144-165;CY:166-226</t>
  </si>
  <si>
    <t>ENSG00000105369</t>
  </si>
  <si>
    <t>ENSP00000221972</t>
  </si>
  <si>
    <t>CD79a</t>
  </si>
  <si>
    <t>57;63;73;88;97;112</t>
  </si>
  <si>
    <t>VPASLMVSLGEDAHFQCPHNSSN[115]NAN[115]VTWWR;VPASLMVSLGEDAHFQCPHN[115]SSNNAN[115]VTWWR;VPASLMVSLGEDAHFQCPHN[115]SSN[115]NAN[115]VTWWR;PASLMVSLGEDAHFQCPHN[115]SSNNAN[115]VTWWR;MVSLGEDAHFQCPHN[115]SSNNAN[115]VTWWR;N[115]SSNNAN[115]VTWWR;NAN[115]VTWWR;AN[115]VTWWR;VLHGN[115]YTWPPEFLGPGED;VLHGN[115]YTWPPEFLGPGEDPN[115]GTLIIQNVN[115]K;VLHGN[115]YTWPPEFLGPGEDPN[115]GTLIIQN[115]VNK;EFLGPGEDPN[115]GTLIIQNVN[115]K;GPGEDPN[115]GTLIIQNVN[115]K;PN[115]GTLIIQNVN[115]K;GTLIIQNVN[115]K;VQEGN[115]ESYQQ;VQEGN[115]ESYQQS;VQEGN[115]ESYQQSC;VQEGN[115]ESYQQSCGTY;VQEGN[115]ESYQQSCGTYLR</t>
  </si>
  <si>
    <t>P11912</t>
  </si>
  <si>
    <t>3D-structure;Adaptive immunity;Alternative splicing;Cell membrane;Complete proteome;Direct protein sequencing;Disulfide bond;Glycoprotein;Immunity;Immunoglobulin domain;Membrane;Methylation;Phosphoprotein;Reference proteome;Signal;Transmembrane;Transmembrane helix</t>
  </si>
  <si>
    <t>UniRef100_P11912;UniRef90_P11912;UniRef50_P11912</t>
  </si>
  <si>
    <t>FCGR1_HUMAN</t>
  </si>
  <si>
    <t>High affinity immunoglobulin gamma Fc receptor I</t>
  </si>
  <si>
    <t>FCGR1A</t>
  </si>
  <si>
    <t>SP:1-15;NC:16-289;TM:290-313;CY:314-374</t>
  </si>
  <si>
    <t>ENSG00000150337</t>
  </si>
  <si>
    <t>ENSP00000358165</t>
  </si>
  <si>
    <t>CD64</t>
  </si>
  <si>
    <t>59;78;152;159;163;195;240</t>
  </si>
  <si>
    <t>2;10;30;56;104;127;149;259;290;310;323</t>
  </si>
  <si>
    <t>ELFPAPVLN[115]A;ELFPAPVLN[115]ASV;GRN[115]TSSEYQILTAR</t>
  </si>
  <si>
    <t>195;240</t>
  </si>
  <si>
    <t>P12314</t>
  </si>
  <si>
    <t>3D-structure;Alternative splicing;Cell membrane;Complete proteome;Direct protein sequencing;Disulfide bond;Glycoprotein;IgG-binding protein;Immunity;Immunoglobulin domain;Innate immunity;Membrane;Phosphoprotein;Polymorphism;Receptor;Reference proteome;Repeat;Signal;Transmembrane;Transmembrane helix</t>
  </si>
  <si>
    <t>UniRef100_P12314;UniRef90_P12314;UniRef50_P26151</t>
  </si>
  <si>
    <t>DB00002;DB00005;DB00028;DB00051;DB00054;DB00056;DB00072;DB00073;DB00074;DB00075;DB00078;DB00081;DB00087;DB00092;DB00095;DB00108;DB00110;DB00111;DB00112;DB00707;DB00992</t>
  </si>
  <si>
    <t>FCG2A_HUMAN</t>
  </si>
  <si>
    <t>Low affinity immunoglobulin gamma Fc region receptor II-a</t>
  </si>
  <si>
    <t>FCGR2A</t>
  </si>
  <si>
    <t>SP:1-35;NC:36-216;TM:217-240;CY:241-317</t>
  </si>
  <si>
    <t>ENSG00000143226</t>
  </si>
  <si>
    <t>ENSP00000271450</t>
  </si>
  <si>
    <t>CD32</t>
  </si>
  <si>
    <t>97;178;249</t>
  </si>
  <si>
    <t>17;49;75;123;146</t>
  </si>
  <si>
    <t>3D-structure;Alternative splicing;Cell membrane;Complete proteome;Direct protein sequencing;Disulfide bond;Glycoprotein;IgG-binding protein;Immunity;Immunoglobulin domain;Membrane;Phosphoprotein;Polymorphism;Receptor;Reference proteome;Repeat;Signal;Transmembrane;Transmembrane helix</t>
  </si>
  <si>
    <t>UniRef100_P12318;UniRef90_P12318;UniRef50_P12318</t>
  </si>
  <si>
    <t>FCERA_HUMAN</t>
  </si>
  <si>
    <t>High affinity immunoglobulin epsilon receptor subunit alpha</t>
  </si>
  <si>
    <t>FCER1A</t>
  </si>
  <si>
    <t>SP:1-25;NC:26-202;TM:203-225;CY:226-257</t>
  </si>
  <si>
    <t>ENSG00000179639</t>
  </si>
  <si>
    <t>ENSP00000357097</t>
  </si>
  <si>
    <t>46;67;75;99;160;165;191</t>
  </si>
  <si>
    <t>3D-structure;Cell membrane;Complete proteome;Direct protein sequencing;Disulfide bond;Glycoprotein;IgE-binding protein;Immunoglobulin domain;Membrane;Polymorphism;Receptor;Reference proteome;Repeat;Signal;Transmembrane;Transmembrane helix</t>
  </si>
  <si>
    <t>UniRef100_P12319;UniRef90_P12319;UniRef50_P20489</t>
  </si>
  <si>
    <t>DB00043;DB00895</t>
  </si>
  <si>
    <t>ACE_HUMAN</t>
  </si>
  <si>
    <t>Angiotensin-converting enzyme</t>
  </si>
  <si>
    <t>ACE</t>
  </si>
  <si>
    <t>SP:1-29;NC:30-1257;TM:1258-1278;CY:1279-1306</t>
  </si>
  <si>
    <t>ENSG00000159640</t>
  </si>
  <si>
    <t>ENSP00000290866</t>
  </si>
  <si>
    <t>CD143</t>
  </si>
  <si>
    <t>3.4.15</t>
  </si>
  <si>
    <t>38;54;74;111;146;160;318;445;509;523;677;695;714;760;942;1191;1225</t>
  </si>
  <si>
    <t>189;227;787</t>
  </si>
  <si>
    <t>ELYEPIWQN[115]FTDPQLR;VTN[115]DTESDINYLLK;N[115]ETHFDAGAK;NMQIAN[115]HTLK;KFDVNQLQN[115]TTIKR;FDVNQLQN[115]TTIK</t>
  </si>
  <si>
    <t>111;445;509;695;714</t>
  </si>
  <si>
    <t>P12821</t>
  </si>
  <si>
    <t>Cell membrane (Single-pass type I membrane protein);Cytoplasm;Secreted</t>
  </si>
  <si>
    <t>3D-structure;Alternative splicing;Carboxypeptidase;Cell membrane;Complete proteome;Cytoplasm;Direct protein sequencing;Disulfide bond;Glycoprotein;Hydrolase;Membrane;Metal-binding;Metalloprotease;Phosphoprotein;Polymorphism;Protease;Reference proteome;Repeat;Secreted;Signal;Transmembrane;Transmembrane helix;Zinc</t>
  </si>
  <si>
    <t>UniRef100_P12821;UniRef90_P12821;UniRef50_P12821</t>
  </si>
  <si>
    <t>DB00178;DB00492;DB00519;DB00542;DB00584;DB00616;DB00691;DB00722;DB00790;DB00881;DB01180;DB01197;DB01340;DB01348</t>
  </si>
  <si>
    <t>CADH1_HUMAN</t>
  </si>
  <si>
    <t>Cadherin-1</t>
  </si>
  <si>
    <t>CDH1</t>
  </si>
  <si>
    <t>SP:1-19;NC:20-707;TM:708-731;CY:732-882</t>
  </si>
  <si>
    <t>ENSG00000039068</t>
  </si>
  <si>
    <t>ENSP00000261769</t>
  </si>
  <si>
    <t>CD324</t>
  </si>
  <si>
    <t>144;558;570;622;637;849</t>
  </si>
  <si>
    <t>144;376;558;570;622;637;849</t>
  </si>
  <si>
    <t>AELDREDFEHVKN[115]STY</t>
  </si>
  <si>
    <t>P12830</t>
  </si>
  <si>
    <t>Cell junction;Cell membrane (Single-pass type I membrane protein);Endosome;Golgi apparatus, trans-Golgi network</t>
  </si>
  <si>
    <t>3D-structure;Alternative splicing;Calcium;Cell adhesion;Cell junction;Cell membrane;Cleavage on pair of basic residues;Complete proteome;Direct protein sequencing;Disease mutation;Disulfide bond;Endosome;Glycoprotein;Golgi apparatus;Membrane;Metal-binding;Phosphoprotein;Polymorphism;Reference proteome;Repeat;Signal;Transmembrane;Transmembrane helix;Ubl conjugation</t>
  </si>
  <si>
    <t>UniRef100_P12830;UniRef90_P12830;UniRef50_P12830</t>
  </si>
  <si>
    <t>Cytosol;Endoplasmic Reticulum;Extracellular space;Lysosome;Mitochondrion;Nucleus;Peroxisome</t>
  </si>
  <si>
    <t>GP1BB_HUMAN</t>
  </si>
  <si>
    <t>Platelet glycoprotein Ib beta chain</t>
  </si>
  <si>
    <t>GP1BB</t>
  </si>
  <si>
    <t>SP:1-25;NC:26-151;TM:152-173;CY:174-206</t>
  </si>
  <si>
    <t>ENSG00000203618</t>
  </si>
  <si>
    <t>ENSP00000383382</t>
  </si>
  <si>
    <t>CD42c</t>
  </si>
  <si>
    <t>3D-structure;Alternative splicing;Bernard Soulier syndrome;Blood coagulation;Cell adhesion;Complete proteome;Direct protein sequencing;Disease mutation;Disulfide bond;Glycoprotein;Hemostasis;Leucine-rich repeat;Membrane;Phosphoprotein;Reference proteome;Signal;Transmembrane;Transmembrane helix</t>
  </si>
  <si>
    <t>UniRef100_P13224;UniRef90_P13224;UniRef50_P13224</t>
  </si>
  <si>
    <t>TDGF1_HUMAN</t>
  </si>
  <si>
    <t>Teratocarcinoma-derived growth factor 1</t>
  </si>
  <si>
    <t>TDGF1</t>
  </si>
  <si>
    <t>SP:1-30;NC:31-188</t>
  </si>
  <si>
    <t>ENSG00000241186</t>
  </si>
  <si>
    <t>ENSP00000296145</t>
  </si>
  <si>
    <t>Cell membrane;Complete proteome;Direct protein sequencing;Disulfide bond;EGF-like domain;Glycoprotein;GPI-anchor;Growth factor;Lipoprotein;Membrane;Polymorphism;Reference proteome;Signal</t>
  </si>
  <si>
    <t>UniRef100_P13385;UniRef90_P13385;UniRef50_P13385</t>
  </si>
  <si>
    <t>Cytoskeleton;Cytosol;Endoplasmic Reticulum;Endosome;Lysosome;Mitochondrion;Peroxisome</t>
  </si>
  <si>
    <t>LAMP2_HUMAN</t>
  </si>
  <si>
    <t>Lysosome-associated membrane glycoprotein 2</t>
  </si>
  <si>
    <t>LAMP2</t>
  </si>
  <si>
    <t>SP:1-28;NC:29-375;TM:376-399;CY:400-410</t>
  </si>
  <si>
    <t>ENSG00000005893</t>
  </si>
  <si>
    <t>ENSP00000200639</t>
  </si>
  <si>
    <t>CD107b</t>
  </si>
  <si>
    <t>32;38;49;58;75;101;123;179;229;242;257;275;300;307;317;356</t>
  </si>
  <si>
    <t>73;183;184;194;195;196;200;203;204;207;209;210;211;213</t>
  </si>
  <si>
    <t>LELNLTDSEN[115]ATCLYAK;LELN[115]LTDSENATCLYAK;LELN[115]LTDSEN[115]ATCLYAK;WQMN[115]FTVR;WQMN[115]FTVRYETTN[115]KTYK;YETTN[115]KTYK;TVTISDHGTVTYN[115]GSICGDDQNGPK;TVTISDHGTVTYN[115]GSICGDDQN[115]GPK;IAVQFGPGFSWIAN[115]FTK;GPGFSWIAN[115]FTK;AASTYSIDSVSFSYNTGDN[115]TTFPDAEDK;SIDSVSFSYNTGDN[115]TTFPDAEDK;SYNTGDN[115]TTFPDAEDK;NTGDN[115]TTFPDAEDK;TGDN[115]TTFPDAEDK;VQN[115]GTVSTNEFLCDK;EKPEAGTYSVNNGN[115]DT;EKPEAGTYSVNNGN[115]DTCLLAT;EKPEAGTYSVNNGN[115]DTCLLATMGLQLN[115]ITQDK;EKPEAGTYSVNN[115]GN[115]DTC;EKPEAGTYSVNN[115]GN[115]DTCLLAT;EKPEAGTYSVN[115]NGN[115]DTCLLATMGLQLN[115]ITQDK;MGLQLN[115]ITQDK;GLQLN[115]ITQDK;VASVININPN[115]TTH;VASVININPN[115]TTHSTG;VASVININPN[115]TTHSTGS;VASVININPN[115]TTHSTGSCR;VASVININ[115]PN[115]TTHSTGSCR;ASVININPN[115]TTHSTGSCR;SVININPN[115]TTHSTGSCR;VININPN[115]TTHSTGSCR;ININPN[115]TTHSTGSCR;NINPN[115]TTHSTGSCR;INPN[115]TTHSTGSCR;NPN[115]TTHSTGSCR;PN[115]TTHSTGSCR;SHTALLRLN[115]SSTIK;LN[115]SSTIK;VQPFN[115]VTQGK;PFN[115]VTQGK</t>
  </si>
  <si>
    <t>32;38;49;58;75;101;123;179;229;242;257;275;356</t>
  </si>
  <si>
    <t>P13473</t>
  </si>
  <si>
    <t>Cell membrane (Single-pass type I membrane protein);Endosome membrane (Single-pass type I membrane protein);Lysosome membrane (Single-pass type I membrane protein)</t>
  </si>
  <si>
    <t>3D-structure;Alternative splicing;Cell membrane;Complete proteome;Direct protein sequencing;Disease mutation;Disulfide bond;Endosome;Glycogen storage disease;Glycoprotein;Lysosome;Membrane;Polymorphism;Reference proteome;Signal;Transmembrane;Transmembrane helix</t>
  </si>
  <si>
    <t>UniRef100_P13473;UniRef90_P13473;UniRef50_P13473</t>
  </si>
  <si>
    <t>NCAM1_HUMAN</t>
  </si>
  <si>
    <t>Neural cell adhesion molecule 1</t>
  </si>
  <si>
    <t>NCAM1</t>
  </si>
  <si>
    <t>SP:1-19;NC:20-721;TM:722-744;CY:745-858</t>
  </si>
  <si>
    <t>ENSG00000149294</t>
  </si>
  <si>
    <t>ENSP00000484943;ENSP00000475074</t>
  </si>
  <si>
    <t>CD56</t>
  </si>
  <si>
    <t>222;315;347;433;459;488;712;810;854</t>
  </si>
  <si>
    <t>9;54;73;151;247;341;356;427;448;547;555;559;656;676</t>
  </si>
  <si>
    <t>QNIVN[115]ATANLGQ;QNIVN[115]ATANLGQS;TSTRN[115]ISSEEK;DGQLLPSSN[115]YSN;DGQLLPSSN[115]YSNIK;DGQLLPSSN[115]YSN[115]IK;PSSN[115]YSNIK;IYNTPSASYLEVTPDSENDFGNYN[115]CTAVNR;YLEVTPDSENDFGNYN[115]CTAVNR</t>
  </si>
  <si>
    <t>222;347;459;488</t>
  </si>
  <si>
    <t>P13591</t>
  </si>
  <si>
    <t>Cell membrane (Single-pass type I membrane protein);Cell membrane (Single-pass type I membrane protein);Cell membrane (Lipid-anchor, GPI- anchor);Cell membrane (Lipid-anchor, GPI-anchor);Secreted;Secreted</t>
  </si>
  <si>
    <t>3D-structure;Alternative splicing;Cell adhesion;Cell membrane;Complete proteome;Disulfide bond;Glycoprotein;GPI-anchor;Immunoglobulin domain;Lipoprotein;Membrane;Phosphoprotein;Polymorphism;Reference proteome;Repeat;Secreted;Signal;Transmembrane;Transmembrane helix</t>
  </si>
  <si>
    <t>UniRef100_P13591;UniRef90_P13596;UniRef50_P13596</t>
  </si>
  <si>
    <t>ICAM2_HUMAN</t>
  </si>
  <si>
    <t>Intercellular adhesion molecule 2</t>
  </si>
  <si>
    <t>ICAM2</t>
  </si>
  <si>
    <t>SP:1-23;NC:24-223;TM:224-248;CY:249-275</t>
  </si>
  <si>
    <t>ENSG00000108622</t>
  </si>
  <si>
    <t>ENSP00000415283;ENSP00000388666;ENSP00000392634;ENSP00000462579;ENSP00000464665</t>
  </si>
  <si>
    <t>CD102</t>
  </si>
  <si>
    <t>47;82;105;153;176;187</t>
  </si>
  <si>
    <t>153;176</t>
  </si>
  <si>
    <t>GSLEVN[115]CSTTCNQPEVGGLETSLDK;GSLEVN[115]CSTTCN[115]QPEVGGLETSLDK;HYLVSN[115]ISH;HYLVSN[115]ISHD;HYLVSN[115]ISHDT;HYLVSN[115]ISHDTVL;HYLVSN[115]ISHDTVLQ;HYLVSN[115]ISHDTVLQCH;HYLVSN[115]ISHDTVLQCHF;HYLVSN[115]ISHDTVLQCHFTC;HYLVSN[115]ISHDTVLQCHFTCSGK;GKQESMNSN[115]VSVYQPPR;QESMNSN[115]VSVYQPPR;QESMN[115]SN[115]VSVYQPPR;N[115]SN[115]VSVYQPPR;SN[115]VSVYQPPR;LFRGN[115]ETLHYETFGK;FRGN[115]ETLHYETFGK;RGN[115]ETLHYETFGK;GN[115]ETLHYE;GN[115]ETLHYET;GN[115]ETLHYETF;GN[115]ETLHYETFG;GN[115]ETLHYETFGK;N[115]ETLHYETFGK;KAAPAPQEATATFN[115]STADREDGHR;AAPAPQEATATFN[115]STADR;AAPAPQEATATFN[115]STADREDGHR;AAPAPQEATATFN[115]STADREDGHRN[115]FSCL;APAPQEATATFN[115]STADR;APAPQEATATFN[115]STADREDGHR;PAPQEATATFN[115]STADR;PAPQEATATFN[115]STADREDGHR;APQEATATFN[115]STADR;APQEATATFN[115]STADREDGHR;PQEATATFN[115]STADR;PQEATATFN[115]STADREDGHR;EATATFN[115]STADR;ATATFN[115]STADR;TATFN[115]STADR;ATFN[115]STADR;EDGHRN[115]FSCL;EDGHRN[115]FSCLAVLDLMSR;N[115]FSCLAVLDLMSR</t>
  </si>
  <si>
    <t>P13598</t>
  </si>
  <si>
    <t>3D-structure;Cell adhesion;Complete proteome;Direct protein sequencing;Disulfide bond;Glycoprotein;Immunoglobulin domain;Membrane;Polymorphism;Reference proteome;Repeat;Signal;Transmembrane;Transmembrane helix</t>
  </si>
  <si>
    <t>UniRef100_P13598;UniRef90_P13598;UniRef50_P13598</t>
  </si>
  <si>
    <t>ITA4_HUMAN</t>
  </si>
  <si>
    <t>Integrin alpha-4</t>
  </si>
  <si>
    <t>ITGA4</t>
  </si>
  <si>
    <t>SP:1-33;NC:34-974;TM:975-1000;CY:1001-1032</t>
  </si>
  <si>
    <t>ENSG00000115232</t>
  </si>
  <si>
    <t>ENSP00000380227</t>
  </si>
  <si>
    <t>CD49d</t>
  </si>
  <si>
    <t>79;138;229;480;518;538;626;645;660;806;821</t>
  </si>
  <si>
    <t>49;64;75;79;84;96;124;138;150;156;158;194;229;243;292;344;352;357;374;380;442;480;489;518;538;617;626;645;660;665;703;783;795;806;813;816;821;830;841;899;903;958</t>
  </si>
  <si>
    <t>589;592</t>
  </si>
  <si>
    <t>LLVGAPTANWLAN[115]ASVINPGAIYR;LVGAPTANWLAN[115]ASVINPGAIYR;VGAPTANWLAN[115]ASVINPGAIYR;APTANWLAN[115]ASVINPGAIYR;TANWLAN[115]ASVINPGAIYR;ANWLAN[115]ASVINPGAIYR;NWLAN[115]ASVINPGAIYR;WLAN[115]ASVINPGAIYR;LAN[115]ASVINPGAIYR;AN[115]ASVINPGAIYR;N[115]ASVINPGAIYR;QPGEN[115]GSIVTCGHR;PGEN[115]GSIVTCGHR;GEN[115]GSIVTCGHR;N[115]GSIVTCGHR;TGSLFVYN[115]ITTNK;SLFVYN[115]ITTNK;FVYN[115]ITTNK;VYN[115]ITTNK;TRPVVIVDASLSHPESVN[115]R;RPVVIVDASLSHPESVN[115]R;PVVIVDASLSHPESVN[115]R;IVDASLSHPESVN[115]R;VDASLSHPESVN[115]R;DASLSHPESVN[115]R;ASLSHPESVN[115]R;SLSHPESVN[115]R;LSHPESVN[115]R;FYN[115]MSLDVNR;YN[115]MSLDVNR;FYFSSN[115]GTSDVITGSIQVSSR;FCAHEN[115]CSAD;FCAHEN[115]CSADL;FCAHEN[115]CSADLQVSAK;CAHEN[115]CSADLQVSAK;AHEN[115]CSADLQVSAK;IGFLKPHEN[115];IGFLKPHEN[115]K;GFLKPHEN[115]K;MN[115]LTFHV;MN[115]LTFHVI;MN[115]LTFHVIN;MN[115]LTFHVINTGN</t>
  </si>
  <si>
    <t>79;138;229;480;518;538;626;645;806</t>
  </si>
  <si>
    <t>P13612</t>
  </si>
  <si>
    <t>3D-structure;Alternative splicing;Calcium;Cell adhesion;Complete proteome;Direct protein sequencing;Disulfide bond;Glycoprotein;Integrin;Membrane;Metal-binding;Phosphoprotein;Polymorphism;Receptor;Reference proteome;Repeat;Signal;Transmembrane;Transmembrane helix</t>
  </si>
  <si>
    <t>UniRef100_P13612;UniRef90_P13612;UniRef50_P13612</t>
  </si>
  <si>
    <t>DB00108;DB06822</t>
  </si>
  <si>
    <t>AT1A3_HUMAN</t>
  </si>
  <si>
    <t>Sodium/potassium-transporting ATPase subunit alpha-3</t>
  </si>
  <si>
    <t>ATP1A3</t>
  </si>
  <si>
    <t>CY:1-85;TM:86-104;NC:105-119;TM:120-139;CY:140-280;TM:281-302;NC:303-308;TM:309-334;CY:335-765;TM:766-786;NC:787-791;TM:792-816;CY:817-838;TM:839-862;NC:863-902;TM:903-922;CY:923-942;TM:943-960;NC:961-974;TM:975-992;CY:993-1013</t>
  </si>
  <si>
    <t>ENSG00000105409</t>
  </si>
  <si>
    <t>ENSP00000302397</t>
  </si>
  <si>
    <t>205;231;473;567;628;674;710</t>
  </si>
  <si>
    <t>Alternative splicing;ATP-binding;Cell membrane;Complete proteome;Deafness;Disease mutation;Dystonia;Hydrolase;Ion transport;Magnesium;Membrane;Metal-binding;Nucleotide-binding;Parkinsonism;Phosphoprotein;Potassium;Potassium transport;Reference proteome;Sodium;Sodium transport;Sodium/potassium transport;Transmembrane;Transmembrane helix;Transport</t>
  </si>
  <si>
    <t>UniRef100_P13637;UniRef90_P13637;UniRef50_P13637</t>
  </si>
  <si>
    <t>Cytoskeleton;Cytosol;Endosome;Extracellular space;Lysosome;Mitochondrion;Peroxisome</t>
  </si>
  <si>
    <t>CEAM1_HUMAN</t>
  </si>
  <si>
    <t>Carcinoembryonic antigen-related cell adhesion molecule 1</t>
  </si>
  <si>
    <t>CEACAM1</t>
  </si>
  <si>
    <t>SP:1-34;NC:35-428;TM:429-454;CY:455-526</t>
  </si>
  <si>
    <t>ENSG00000079385</t>
  </si>
  <si>
    <t>ENSP00000161559</t>
  </si>
  <si>
    <t>CD66a</t>
  </si>
  <si>
    <t>104;111;115;152;182;197;208;224;232;254;274;288;292;302;309;345;351;363;378;405;475</t>
  </si>
  <si>
    <t>TLTLLSVTRN[115]DTGPYE;N[115]DTGPYECEIQNPVSAN[115]R;SDPVTLN[115]VTYGPDTPTISPSDTYYR;TTVTGDKDSVN[115]LTCSTN[115]DTGISIR;DSVN[115]LTCSTN[115]DTGISIR;WFFKN[115]QSLPSSER;N[115]QSLPSSER;LSQGN[115]TTLSINPVK;LSQGN[115]TTLSINPVKR</t>
  </si>
  <si>
    <t>208;224;232;345;351;363;378</t>
  </si>
  <si>
    <t>P13688</t>
  </si>
  <si>
    <t>Cell membrane (Single-pass type I membrane protein);Secreted;Secreted;Secreted;Cell membrane (Single-pass type I membrane protein);Cell membrane (Single-pass type I membrane protein);Cell membrane (Single-pass type I membrane protein);Cell membrane (Single-pass type I membrane protein)</t>
  </si>
  <si>
    <t>3D-structure;Alternative splicing;Cell membrane;Complete proteome;Direct protein sequencing;Disulfide bond;Glycoprotein;Immunoglobulin domain;Membrane;Polymorphism;Pyrrolidone carboxylic acid;Reference proteome;Repeat;Secreted;Signal;Transmembrane;Transmembrane helix</t>
  </si>
  <si>
    <t>UniRef100_P13688;UniRef90_P13688;UniRef50_P13688</t>
  </si>
  <si>
    <t>DB00113</t>
  </si>
  <si>
    <t>TF_HUMAN</t>
  </si>
  <si>
    <t>Tissue factor</t>
  </si>
  <si>
    <t>F3</t>
  </si>
  <si>
    <t>SP:1-32;NC:33-251;TM:252-274;CY:275-295</t>
  </si>
  <si>
    <t>ENSG00000117525</t>
  </si>
  <si>
    <t>ENSP00000334145</t>
  </si>
  <si>
    <t>CD142</t>
  </si>
  <si>
    <t>43;156;169;293</t>
  </si>
  <si>
    <t>6;24;46;57;77;190;286</t>
  </si>
  <si>
    <t>GASGTTNTVAAYN[115]LTWK;GASGTTN[115]TVAAYN[115]LTWK;ASGTTNTVAAYN[115]LTWK;SGTTNTVAAYN[115]LTWK;GTTNTVAAYN[115]LTWK;TTNTVAAYN[115]LTWK;TNTVAAYN[115]LTWK;NTVAAYN[115]LTWK;TVAAYN[115]LTWK;VAAYN[115]LTWK;AYN[115]LTWK;SFEQVGTKVN[115]VTVEDER;VN[115]VTVEDER;VN[115]VTVEDERTLVR;N[115]VTVEDER;TLVRRN[115]NTFLSLR;RN[115]NTFLSLR;RN[115]N[115]TFLSLR;N[115]NTFLSLR;N[115]N[115]TFLSLR</t>
  </si>
  <si>
    <t>43;156;169</t>
  </si>
  <si>
    <t>P13726</t>
  </si>
  <si>
    <t>3D-structure;Alternative splicing;Blood coagulation;Complete proteome;Disulfide bond;Glycoprotein;Hemostasis;Lipoprotein;Membrane;Palmitate;Polymorphism;Reference proteome;Secreted;Signal;Transmembrane;Transmembrane helix</t>
  </si>
  <si>
    <t>UniRef100_P13726;UniRef90_P13726;UniRef50_P13726</t>
  </si>
  <si>
    <t>DB00036</t>
  </si>
  <si>
    <t>1A11_HUMAN</t>
  </si>
  <si>
    <t>HLA class I histocompatibility antigen, A-11 alpha chain</t>
  </si>
  <si>
    <t>3D-structure;Alternative splicing;Complete proteome;Disulfide bond;Glycoprotein;Host-virus interaction;Immunity;Membrane;MHC I;Phosphoprotein;Polymorphism;Reference proteome;Signal;Transmembrane;Transmembrane helix;Ubl conjugation</t>
  </si>
  <si>
    <t>UniRef100_P13746;UniRef90_P01892;UniRef50_P01892</t>
  </si>
  <si>
    <t>HLAE_HUMAN</t>
  </si>
  <si>
    <t>HLA class I histocompatibility antigen, alpha chain E</t>
  </si>
  <si>
    <t>HLA-E</t>
  </si>
  <si>
    <t>SP:1-21;NC:22-302;TM:303-329;CY:330-358</t>
  </si>
  <si>
    <t>ENSG00000206493;ENSG00000229252;ENSG00000233904;ENSG00000230254</t>
  </si>
  <si>
    <t>ENSP00000373091;ENSP00000409910;ENSP00000390707;ENSP00000397420</t>
  </si>
  <si>
    <t>GYYN[115]QSEAGSHTLQWMHGCELGPDR</t>
  </si>
  <si>
    <t>P13747</t>
  </si>
  <si>
    <t>3D-structure;Complete proteome;Disulfide bond;Glycoprotein;Immunity;Membrane;MHC I;Polymorphism;Reference proteome;Signal;Transmembrane;Transmembrane helix</t>
  </si>
  <si>
    <t>UniRef100_P13747;UniRef90_P13747;UniRef50_P01892</t>
  </si>
  <si>
    <t>Cytoskeleton;Cytoskeleton;Cytoskeleton;Cytosol;Cytosol;Cytosol;Extracellular space;Extracellular space;Extracellular space;Lysosome;Lysosome;Lysosome;Mitochondrion;Mitochondrion;Mitochondrion;Nucleus;Nucleus;Nucleus;Peroxisome;Peroxisome;Peroxisome</t>
  </si>
  <si>
    <t>2B14_HUMAN</t>
  </si>
  <si>
    <t>HLA class II histocompatibility antigen, DRB1-4 beta chain</t>
  </si>
  <si>
    <t>ENSG00000228080</t>
  </si>
  <si>
    <t>ENSP00000403458</t>
  </si>
  <si>
    <t>FLEQVKHECHFFN[115]GTER;FLEQVKHECHFFN[115]GTERVR;LEQVKHECHFFN[115]GTER;HECHFFN[115]GTER;HECHFFN[115]GTERVR</t>
  </si>
  <si>
    <t>P13760</t>
  </si>
  <si>
    <t>UniRef100_P13760;UniRef90_P04229;UniRef50_P04229</t>
  </si>
  <si>
    <t>2B17_HUMAN</t>
  </si>
  <si>
    <t>HLA class II histocompatibility antigen, DRB1-7 beta chain</t>
  </si>
  <si>
    <t>ENSG00000229074;ENSG00000236884</t>
  </si>
  <si>
    <t>ENSP00000405960;ENSP00000409322;ENSP00000481636;ENSP00000482190</t>
  </si>
  <si>
    <t>YKCHFFN[115]GTER</t>
  </si>
  <si>
    <t>P13761</t>
  </si>
  <si>
    <t>Cell membrane;Complete proteome;Disulfide bond;Endoplasmic reticulum;Endosome;Glycoprotein;Golgi apparatus;Immunity;Isopeptide bond;Lysosome;Membrane;MHC II;Polymorphism;Reference proteome;Signal;Transmembrane;Transmembrane helix;Ubl conjugation</t>
  </si>
  <si>
    <t>UniRef100_P13761;UniRef90_P79483;UniRef50_P79483</t>
  </si>
  <si>
    <t>DRB4_HUMAN</t>
  </si>
  <si>
    <t>HLA class II histocompatibility antigen, DR beta 4 chain</t>
  </si>
  <si>
    <t>HLA-DRB4</t>
  </si>
  <si>
    <t>ENSG00000227357;ENSG00000231021</t>
  </si>
  <si>
    <t>ENSP00000410857;ENSP00000412031</t>
  </si>
  <si>
    <t>54;90;160;182;217</t>
  </si>
  <si>
    <t>FLEQAKCECHFLN[115]GTER;CECHFLN[115]GTER</t>
  </si>
  <si>
    <t>P13762</t>
  </si>
  <si>
    <t>UniRef100_P13762;UniRef90_P13762;UniRef50_P01920</t>
  </si>
  <si>
    <t>DOB_HUMAN</t>
  </si>
  <si>
    <t>HLA class II histocompatibility antigen, DO beta chain</t>
  </si>
  <si>
    <t>HLA-DOB</t>
  </si>
  <si>
    <t>SP:1-19;NC:20-225;TM:226-247;CY:248-273</t>
  </si>
  <si>
    <t>ENSG00000243612;ENSG00000241106;ENSG00000241386;ENSG00000243496;ENSG00000241910;ENSG00000239457</t>
  </si>
  <si>
    <t>ENSP00000395780;ENSP00000390020;ENSP00000405108;ENSP00000397268;ENSP00000410390;ENSP00000394783</t>
  </si>
  <si>
    <t>15;45</t>
  </si>
  <si>
    <t>5;8;87;157;179;214;222</t>
  </si>
  <si>
    <t>UniRef100_P13765;UniRef90_P13765;UniRef50_P13765</t>
  </si>
  <si>
    <t>SC5A1_HUMAN</t>
  </si>
  <si>
    <t>Sodium/glucose cotransporter 1</t>
  </si>
  <si>
    <t>SLC5A1</t>
  </si>
  <si>
    <t>NC:1-28;TM:29-49;CY:50-64;TM:65-85;NC:86-105;TM:106-126;CY:127-142;TM:143-163;NC:164-178;TM:179-201;CY:202-208;TM:209-229;NC:230-277;TM:278-298;CY:299-313;TM:314-334;NC:335-380;TM:381-401;CY:402-423;TM:424-444;NC:445-455;TM:456-476;CY:477-484;TM:485-505;NC:506-526;IM:527-563;NC:564-643;TM:644-664</t>
  </si>
  <si>
    <t>ENSG00000100170</t>
  </si>
  <si>
    <t>ENSP00000266088</t>
  </si>
  <si>
    <t>248;306</t>
  </si>
  <si>
    <t>AIPTIVSDGN[115]TTFQEK</t>
  </si>
  <si>
    <t>P13866</t>
  </si>
  <si>
    <t>Alternative splicing;Complete proteome;Disease mutation;Disulfide bond;Glycoprotein;Ion transport;Membrane;Polymorphism;Reference proteome;Sodium;Sodium transport;Sugar transport;Symport;Transmembrane;Transmembrane helix;Transport</t>
  </si>
  <si>
    <t>UniRef100_P13866;UniRef90_P13866;UniRef50_P13866</t>
  </si>
  <si>
    <t>DB08907</t>
  </si>
  <si>
    <t>ADRB3_HUMAN</t>
  </si>
  <si>
    <t>Beta-3 adrenergic receptor</t>
  </si>
  <si>
    <t>ADRB3</t>
  </si>
  <si>
    <t>NC:1-37;TM:38-63;CY:64-72;TM:73-92;NC:93-111;TM:112-133;CY:134-153;TM:154-174;NC:175-210;TM:211-230;CY:231-289;TM:290-311;NC:312-326;TM:327-347;CY:348-408</t>
  </si>
  <si>
    <t>ENSG00000188778</t>
  </si>
  <si>
    <t>ENSP00000343782;ENSP00000480325</t>
  </si>
  <si>
    <t>8;26</t>
  </si>
  <si>
    <t>3D-structure;Cell membrane;Complete proteome;Diabetes mellitus;Disulfide bond;G-protein coupled receptor;Glycoprotein;Lipoprotein;Membrane;Obesity;Palmitate;Polymorphism;Receptor;Reference proteome;Transducer;Transmembrane;Transmembrane helix</t>
  </si>
  <si>
    <t>UniRef100_P13945;UniRef90_P13945;UniRef50_P13945</t>
  </si>
  <si>
    <t>DB00368;DB00571;DB00668;DB01064;DB01102;DB01288;DB01363;DB01407;DB06262;DB08807;DB08808;DB08893;DB00182;DB00217;DB00321;DB00334;DB00540;DB00726;DB01365</t>
  </si>
  <si>
    <t>CD59_HUMAN</t>
  </si>
  <si>
    <t>CD59 glycoprotein</t>
  </si>
  <si>
    <t>CD59</t>
  </si>
  <si>
    <t>SP:1-25;NC:26-128</t>
  </si>
  <si>
    <t>ENSG00000085063</t>
  </si>
  <si>
    <t>ENSP00000340210;ENSP00000379191;ENSP00000404822;ENSP00000402425;ENSP00000410182;ENSP00000403511;ENSP00000435179;ENSP00000432942;ENSP00000434617</t>
  </si>
  <si>
    <t>33;43</t>
  </si>
  <si>
    <t>65;124</t>
  </si>
  <si>
    <t>LQCYNCPNPTADCKTAVN[115]CSSDFDACLITK;LQCYNCPN[115]PTADCKTAVN[115]CSSDFDACLITK;TAVN[115]CSSDFDAC;TAVN[115]CSSDFDACLITK;AVN[115]CSSDFDACLITK;VN[115]CSSDFDACLITK</t>
  </si>
  <si>
    <t>P13987</t>
  </si>
  <si>
    <t>3D-structure;Cell membrane;Complete proteome;Direct protein sequencing;Disease mutation;Disulfide bond;Glycation;Glycoprotein;GPI-anchor;Hereditary hemolytic anemia;Lipoprotein;Membrane;Reference proteome;Secreted;Signal</t>
  </si>
  <si>
    <t>UniRef100_P13987;UniRef90_P13987;UniRef50_P13987</t>
  </si>
  <si>
    <t>LYAM1_HUMAN</t>
  </si>
  <si>
    <t>L-selectin</t>
  </si>
  <si>
    <t>SELL</t>
  </si>
  <si>
    <t>SP:1-32;NC:33-333;TM:334-355;CY:356-372</t>
  </si>
  <si>
    <t>ENSG00000188404</t>
  </si>
  <si>
    <t>CD62L</t>
  </si>
  <si>
    <t>Other_receptors;Selectin</t>
  </si>
  <si>
    <t>60;104;177;216;232;246;271</t>
  </si>
  <si>
    <t>60;104;177;216;232;246;271;311;369</t>
  </si>
  <si>
    <t>9;157;159;249;253;263;324</t>
  </si>
  <si>
    <t>FCRDN[115]YTDLVAIQNK;DN[115]YTDLVAIQNK;IGGIWTWVGTN[115]K</t>
  </si>
  <si>
    <t>60;104</t>
  </si>
  <si>
    <t>P14151</t>
  </si>
  <si>
    <t>3D-structure;Alternative splicing;Cell adhesion;Complete proteome;Disulfide bond;EGF-like domain;Glycoprotein;Lectin;Membrane;Polymorphism;Reference proteome;Repeat;Signal;Sushi;Transmembrane;Transmembrane helix</t>
  </si>
  <si>
    <t>UniRef100_P14151;UniRef90_P14151;UniRef50_P14151</t>
  </si>
  <si>
    <t>FOLR2_HUMAN</t>
  </si>
  <si>
    <t>Folate receptor beta</t>
  </si>
  <si>
    <t>FOLR2</t>
  </si>
  <si>
    <t>SP:1-21;NC:22-255</t>
  </si>
  <si>
    <t>ENSG00000165457</t>
  </si>
  <si>
    <t>ENSP00000298223</t>
  </si>
  <si>
    <t>115;195</t>
  </si>
  <si>
    <t>3D-structure;Cell membrane;Complete proteome;Direct protein sequencing;Disulfide bond;Folate-binding;Glycoprotein;GPI-anchor;Lipoprotein;Membrane;Polymorphism;Receptor;Reference proteome;Secreted;Signal;Transport</t>
  </si>
  <si>
    <t>UniRef100_P14207;UniRef90_P14207;UniRef50_P14207</t>
  </si>
  <si>
    <t>DB00158</t>
  </si>
  <si>
    <t>CBPM_HUMAN</t>
  </si>
  <si>
    <t>Carboxypeptidase M</t>
  </si>
  <si>
    <t>CPM</t>
  </si>
  <si>
    <t>SP:1-17;NC:18-443</t>
  </si>
  <si>
    <t>ENSG00000135678</t>
  </si>
  <si>
    <t>ENSP00000339157;ENSP00000447255;ENSP00000448517</t>
  </si>
  <si>
    <t>38;115;164;363;384</t>
  </si>
  <si>
    <t>38;115;164;363;384;407</t>
  </si>
  <si>
    <t>TVAQN[115]YSSVTH;TVAQN[115]YSSVTHL;TVAQN[115]YSSVTHLH;TVAQN[115]YSSVTHLHSIG;TVAQN[115]YSSVTHLHSIGK;AQN[115]YSSVTHLHSIGK;N[115]YSSVTHLHSIGK;LIDYLVTSDGKDPEITNLIN[115]STR;LVTSDGKDPEITNLIN[115]STR;DPEITNLIN[115]STR;PEITNLIN[115]STR;NFPDAFEYNN[115]VSR;NFPDAFEYNN[115]VSRQPETVAVMK;NFPDAFEYN[115]N[115]VSR;N[115]FPDAFEYNN[115]VSR;FPDAFEYNN[115]VSR;PDAFEYNN[115]VSR;PDAFEYN[115]N[115]VSR;SQN[115]FSALK;SQN[115]FSALKK</t>
  </si>
  <si>
    <t>38;115;164;384</t>
  </si>
  <si>
    <t>P14384</t>
  </si>
  <si>
    <t>3D-structure;Carboxypeptidase;Cell membrane;Complete proteome;Direct protein sequencing;Disulfide bond;Glycoprotein;GPI-anchor;Hydrolase;Lipoprotein;Membrane;Metal-binding;Metalloprotease;Polymorphism;Protease;Reference proteome;Signal;Zinc</t>
  </si>
  <si>
    <t>UniRef100_P14384;UniRef90_P14384;UniRef50_P14384</t>
  </si>
  <si>
    <t>AT1B2_HUMAN</t>
  </si>
  <si>
    <t>Sodium/potassium-transporting ATPase subunit beta-2</t>
  </si>
  <si>
    <t>ATP1B2</t>
  </si>
  <si>
    <t>CY:1-36;TM:37-62;NC:63-290</t>
  </si>
  <si>
    <t>ENSG00000129244</t>
  </si>
  <si>
    <t>ENSP00000250111</t>
  </si>
  <si>
    <t>96;118;153;159;193;197;238;250;288</t>
  </si>
  <si>
    <t>FLEPYN[115]DSIQAQK;FLN[115]VTPNVEVNVECR</t>
  </si>
  <si>
    <t>118;250</t>
  </si>
  <si>
    <t>P14415</t>
  </si>
  <si>
    <t>Cell adhesion;Cell membrane;Complete proteome;Disulfide bond;Glycoprotein;Ion transport;Membrane;Polymorphism;Potassium;Potassium transport;Reference proteome;Signal-anchor;Sodium;Sodium transport;Sodium/potassium transport;Transmembrane;Transmembrane helix;Transport</t>
  </si>
  <si>
    <t>UniRef100_P14415;UniRef90_P14415;UniRef50_P14415</t>
  </si>
  <si>
    <t>DRD2_HUMAN</t>
  </si>
  <si>
    <t>D(2) dopamine receptor</t>
  </si>
  <si>
    <t>DRD2</t>
  </si>
  <si>
    <t>NC:1-35;TM:36-59;CY:60-70;TM:71-93;NC:94-108;TM:109-131;CY:132-151;TM:152-173;NC:174-190;TM:191-216;CY:217-372;TM:373-395;NC:396-406;TM:407-429;CY:430-443</t>
  </si>
  <si>
    <t>ENSG00000149295</t>
  </si>
  <si>
    <t>ENSP00000354859;ENSP00000442172</t>
  </si>
  <si>
    <t>5;17;23;243;260</t>
  </si>
  <si>
    <t>286;296;301;311;318</t>
  </si>
  <si>
    <t>3D-structure;Alternative splicing;Cell membrane;Complete proteome;Disease mutation;Disulfide bond;Dystonia;G-protein coupled receptor;Glycoprotein;Membrane;Polymorphism;Receptor;Reference proteome;Transducer;Transmembrane;Transmembrane helix</t>
  </si>
  <si>
    <t>UniRef100_P14416;UniRef90_P61169;UniRef50_P61169</t>
  </si>
  <si>
    <t>DB00182;DB00246;DB00248;DB00268;DB00334;DB00363;DB00370;DB00391;DB00408;DB00409;DB00413;DB00420;DB00433;DB00450;DB00458;DB00477;DB00490;DB00502;DB00508;DB00540;DB00543;DB00568;DB00589;DB00623;DB00679;DB00696;DB00714;DB00726;DB00734;DB00777;DB00805;DB00831;DB00850;DB00875;DB00915;DB00933;DB00934;DB00988;DB01043;DB01049;DB01063;DB01069;DB01100;DB01142;DB01151;DB01184;DB01186;DB01200;DB01221;DB01224;DB01233;DB01235;DB01238;DB01239;DB01267;DB01392;DB01403;DB01425;DB01614;DB01618;DB01621;DB01622;DB01623;DB01624;DB04842;DB04844;DB04946;DB05271;DB06144;DB06148;DB06216;DB06288;DB08815;DB09018</t>
  </si>
  <si>
    <t>INSRR_HUMAN</t>
  </si>
  <si>
    <t>Insulin receptor-related protein</t>
  </si>
  <si>
    <t>INSRR</t>
  </si>
  <si>
    <t>SP:1-23;NC:24-919;TM:920-944;CY:945-1297</t>
  </si>
  <si>
    <t>ENSG00000027644</t>
  </si>
  <si>
    <t>ENSP00000357178</t>
  </si>
  <si>
    <t>47;311;411;492;528;616;634;734;756;885;898;949</t>
  </si>
  <si>
    <t>411;492;528;634;949</t>
  </si>
  <si>
    <t>ATP-binding;Cleavage on pair of basic residues;Complete proteome;Disulfide bond;Glycoprotein;Kinase;Membrane;Nucleotide-binding;Phosphoprotein;Polymorphism;Receptor;Reference proteome;Repeat;Signal;Transferase;Transmembrane;Transmembrane helix;Tyrosine-protein kinase</t>
  </si>
  <si>
    <t>UniRef100_P14616;UniRef90_P14616;UniRef50_P14616</t>
  </si>
  <si>
    <t>GTR4_HUMAN</t>
  </si>
  <si>
    <t>Solute carrier family 2, facilitated glucose transporter member 4</t>
  </si>
  <si>
    <t>SLC2A4</t>
  </si>
  <si>
    <t>CY:1-19;TM:20-40;NC:41-79;TM:80-101;CY:102-112;TM:113-133;NC:134-138;TM:139-160;CY:161-171;TM:172-190;NC:191-201;TM:202-222;CY:223-287;TM:288-310;NC:311-322;TM:323-344;CY:345-351;TM:352-374;NC:375-379;TM:380-406;CY:407-417;TM:418-440;NC:441-446;TM:447-466;CY:467-509</t>
  </si>
  <si>
    <t>ENSG00000181856</t>
  </si>
  <si>
    <t>ENSP00000320935</t>
  </si>
  <si>
    <t>57;427</t>
  </si>
  <si>
    <t>VIEQSYN[115]ETWLGR</t>
  </si>
  <si>
    <t>P14672</t>
  </si>
  <si>
    <t>Cell membrane (Multi-pass membrane protein);Cytoplasm, perinuclear region;Endomembrane system (Multi-pass membrane protein)</t>
  </si>
  <si>
    <t>Alternative splicing;Cell membrane;Complete proteome;Cytoplasm;Diabetes mellitus;Disease mutation;Glycoprotein;Membrane;Phosphoprotein;Polymorphism;Reference proteome;Sugar transport;Transmembrane;Transmembrane helix;Transport;Ubl conjugation</t>
  </si>
  <si>
    <t>UniRef100_P14672;UniRef90_P14672;UniRef50_P14672</t>
  </si>
  <si>
    <t>Cytoskeleton;Cytosol;Endoplasmic Reticulum;Lysosome;Mitochondrion;Nucleus;Peroxisome</t>
  </si>
  <si>
    <t>TYRO_HUMAN</t>
  </si>
  <si>
    <t>Tyrosinase</t>
  </si>
  <si>
    <t>TYR</t>
  </si>
  <si>
    <t>SP:1-17;NC:18-473;TM:474-499;CY:500-529</t>
  </si>
  <si>
    <t>ENSG00000077498</t>
  </si>
  <si>
    <t>ENSP00000263321</t>
  </si>
  <si>
    <t>1.14.18</t>
  </si>
  <si>
    <t>86;111;161;230;290;337;371</t>
  </si>
  <si>
    <t>86;111;230;290;371</t>
  </si>
  <si>
    <t>ESWPSVFYN[115]R;FGFWGPN[115]CTER;AAN[115]FSFR</t>
  </si>
  <si>
    <t>86;111;337</t>
  </si>
  <si>
    <t>P14679</t>
  </si>
  <si>
    <t>Melanosome membrane (Single-pass type I membrane protein)</t>
  </si>
  <si>
    <t>Albinism;Alternative splicing;Complete proteome;Copper;Deafness;Disease mutation;Glycoprotein;Melanin biosynthesis;Membrane;Metal-binding;Monooxygenase;Oxidoreductase;Polymorphism;Reference proteome;Signal;Transmembrane;Transmembrane helix;Tumor antigen;Waardenburg syndrome</t>
  </si>
  <si>
    <t>UniRef100_P14679;UniRef90_P14679;UniRef50_P14679</t>
  </si>
  <si>
    <t>Cytoskeleton;Cytosol;Endoplasmic Reticulum;Endosome;Extracellular space;Mitochondrion;Nucleus;Peroxisome;Plasma membrane</t>
  </si>
  <si>
    <t>DB00548;DB00600;DB01055</t>
  </si>
  <si>
    <t>IL1R1_HUMAN</t>
  </si>
  <si>
    <t>Interleukin-1 receptor type 1</t>
  </si>
  <si>
    <t>IL1R1</t>
  </si>
  <si>
    <t>SP:1-20;NC:21-336;TM:337-359;CY:360-569</t>
  </si>
  <si>
    <t>ENSG00000115594</t>
  </si>
  <si>
    <t>ENSP00000386380</t>
  </si>
  <si>
    <t>CD121a</t>
  </si>
  <si>
    <t>100;193;233;249;263;297</t>
  </si>
  <si>
    <t>57;82;160;260;262;366;463;515;531</t>
  </si>
  <si>
    <t>WN[115]GSVIDEDDPVLGEDYYSVENPANK;STLITVLN[115]ISEIESR</t>
  </si>
  <si>
    <t>263;297</t>
  </si>
  <si>
    <t>P14778</t>
  </si>
  <si>
    <t>Cell membrane;Membrane (Single-pass type I membrane protein);Secreted</t>
  </si>
  <si>
    <t>3D-structure;Cell membrane;Complete proteome;Disulfide bond;Glycoprotein;Immunoglobulin domain;Membrane;Phosphoprotein;Polymorphism;Receptor;Reference proteome;Repeat;Secreted;Signal;Transmembrane;Transmembrane helix</t>
  </si>
  <si>
    <t>UniRef100_P14778;UniRef90_P14778;UniRef50_P14778</t>
  </si>
  <si>
    <t>DB00026</t>
  </si>
  <si>
    <t>IL2RB_HUMAN</t>
  </si>
  <si>
    <t>Interleukin-2 receptor subunit beta</t>
  </si>
  <si>
    <t>IL2RB</t>
  </si>
  <si>
    <t>SP:1-26;NC:27-242;TM:243-265;CY:266-551</t>
  </si>
  <si>
    <t>ENSG00000100385</t>
  </si>
  <si>
    <t>ENSP00000216223</t>
  </si>
  <si>
    <t>CD122</t>
  </si>
  <si>
    <t>29;43;71;149;352</t>
  </si>
  <si>
    <t>348;351;357;388;401;404;439;442;443;476;510</t>
  </si>
  <si>
    <t>AVN[115]GTSQFTCFYNSR;AVN[115]GTSQFTCFYN[115]SR;AN[115]ISCVWSQDGALQDTSCQVHAWPDR</t>
  </si>
  <si>
    <t>29;43</t>
  </si>
  <si>
    <t>P14784</t>
  </si>
  <si>
    <t>3D-structure;Complete proteome;Disulfide bond;Glycoprotein;Host-virus interaction;Membrane;Polymorphism;Receptor;Reference proteome;Signal;Transmembrane;Transmembrane helix</t>
  </si>
  <si>
    <t>UniRef100_P14784;UniRef90_P14784;UniRef50_P14784</t>
  </si>
  <si>
    <t>GBRA1_HUMAN</t>
  </si>
  <si>
    <t>Gamma-aminobutyric acid receptor subunit alpha-1</t>
  </si>
  <si>
    <t>GABRA1</t>
  </si>
  <si>
    <t>SP:1-27;NC:28-249;TM:250-273;CY:274-280;TM:281-300;NC:301-314;TM:315-337;CY:338-424;TM:425-442;NC:443-456</t>
  </si>
  <si>
    <t>ENSG00000022355</t>
  </si>
  <si>
    <t>ENSP00000023897;ENSP00000377517;ENSP00000393097;ENSP00000415441</t>
  </si>
  <si>
    <t>38;138;365</t>
  </si>
  <si>
    <t>Cell junction;Cell membrane;Chloride;Chloride channel;Complete proteome;Disease mutation;Disulfide bond;Epilepsy;Glycoprotein;Ion channel;Ion transport;Ligand-gated ion channel;Membrane;Postsynaptic cell membrane;Receptor;Reference proteome;Signal;Synapse;Transmembrane;Transmembrane helix;Transport</t>
  </si>
  <si>
    <t>UniRef100_P14867;UniRef90_P14867;UniRef50_P31644</t>
  </si>
  <si>
    <t>DB00231;DB00241;DB00273;DB00292;DB00306;DB00312;DB00371;DB00402;DB00418;DB00425;DB00474;DB00543;DB00546;DB00599;DB00683;DB00690;DB00753;DB00794;DB00801;DB00829;DB00837;DB00842;DB00849;DB00897;DB00898;DB00962;DB01028;DB01107;DB01154;DB01159;DB01174;DB01198;DB01205;DB01215;DB01236;DB01346;DB01351;DB01352;DB01353;DB01354;DB01355;DB01381;DB01437;DB01558;DB01559;DB01567;DB01587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</si>
  <si>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AMPN_HUMAN</t>
  </si>
  <si>
    <t>Aminopeptidase N</t>
  </si>
  <si>
    <t>ANPEP</t>
  </si>
  <si>
    <t>CY:1-11;TM:12-33;NC:34-967</t>
  </si>
  <si>
    <t>ENSG00000166825</t>
  </si>
  <si>
    <t>ENSP00000300060</t>
  </si>
  <si>
    <t>CD13</t>
  </si>
  <si>
    <t>3.4.11</t>
  </si>
  <si>
    <t>42;128;234;265;319;527;573;625;681;735;818</t>
  </si>
  <si>
    <t>44;48;49;50;52;54;56;57;255;256</t>
  </si>
  <si>
    <t>KLN[115]YTLSQGHR;KLN[115]YTLSQGHRV;KLN[115]YTLSQGHRVV;KLN[115]YTLSQGHRVVLR;LN[115]YTLSQGHR;LN[115]YTLSQGHRV;N[115]YTLSQGHR;KSFPCFDEPAMKAEFN[115]ITLIHPK;SFPCFDEPAMKAEFN[115]ITLIHPK;AEFN[115]ITLIHPK;EFN[115]ITLIHPK;FN[115]ITLIHPK;N[115]ITLIHPK;DLTALSNMLPKGPSTPLPEDPNWN[115]VTEFHTTPK;DLTALSNMLPKGPSTPLPEDPN[115]WN[115]VTEFHTTPK;GPSTPLPEDPNWN[115]VTEF;GPSTPLPEDPNWN[115]VTEFH;GPSTPLPEDPNWN[115]VTEFHTTPK;GPSTPLPEDPN[115]WN[115]VTEFHTTPK;PSTPLPEDPNWN[115]VTEFHTTPK;STPLPEDPNWN[115]VTEFHTTPK;PLPEDPNWN[115]VTEFHTTPK;PEDPNWN[115]VTEFHTTPK;PNWN[115]VTEFHTTPK;N[115]VTEFHTTPK;IYLNLWDHLQEAVNN[115]R;NLWDHLQEAVNN[115]R;NLWDHLQEAVN[115]N[115]R;LWDHLQEAVNN[115]R;LLDPDSN[115]VTRPSEFNYVWIVPITSIR;NLN[115]VTGYYR;AQIINDAFNLASAHKVPVTLALN[115]N;VPVTLALN[115]NTLF;VPVTLALN[115]NTLFLIEER;VTLALN[115]NTLFLIEER;TLALN[115]NTLFLIEER;LALN[115]NTLFLIEER;ALN[115]NTLFLIEER;LN[115]NTLFLIEER;KQVTPLFIHFRN[115]NTNNWR;HFRN[115]NTNNWR;N[115]NTNNWR;N[115]ATLVNEADK;N[115]ATLVNEADKLR;N[115]ATLVN[115]EADK;N[115]ATLVN[115]EADKLR</t>
  </si>
  <si>
    <t>128;234;265;527;573;625;681;735;818</t>
  </si>
  <si>
    <t>P15144</t>
  </si>
  <si>
    <t>Cell membrane (Single-pass type II membrane protein);Cytoplasm, cytosol</t>
  </si>
  <si>
    <t>3D-structure;Aminopeptidase;Angiogenesis;Cell membrane;Complete proteome;Cytoplasm;Developmental protein;Differentiation;Direct protein sequencing;Disulfide bond;Glycoprotein;Host cell receptor for virus entry;Host-virus interaction;Hydrolase;Membrane;Metal-binding;Metalloprotease;Polymorphism;Protease;Receptor;Reference proteome;Signal-anchor;Sulfation;Transmembrane;Transmembrane helix;Zinc</t>
  </si>
  <si>
    <t>UniRef100_P15144;UniRef90_P15144;UniRef50_P15144</t>
  </si>
  <si>
    <t>DB00973;DB06196</t>
  </si>
  <si>
    <t>PVR_HUMAN</t>
  </si>
  <si>
    <t>Poliovirus receptor</t>
  </si>
  <si>
    <t>PVR</t>
  </si>
  <si>
    <t>SP:1-20;NC:21-343;TM:344-367;CY:368-417</t>
  </si>
  <si>
    <t>ENSG00000073008</t>
  </si>
  <si>
    <t>ENSP00000402060</t>
  </si>
  <si>
    <t>CD155</t>
  </si>
  <si>
    <t>IG;OtherPVR</t>
  </si>
  <si>
    <t>105;120;188;218;237;278;307;313;405</t>
  </si>
  <si>
    <t>85;190;383;384;385;402;407;408</t>
  </si>
  <si>
    <t>VEDEGN[115]YTCL;VEDEGN[115]YTCLF;VEDEGN[115]YTCLFVTFPQGSR;SNPEPTGYN[115]WSTTMGPLPPFAVA;SNPEPTGYN[115]WSTTMGPLPPFAVAQGAQ;SNPEPTGYN[115]WSTTMGPLPPFAVAQGAQL;SNPEPTGYN[115]WSTTMGPLPPFAVAQGAQLL;SNPEPTGYN[115]WSTTMGPLPPFAVAQGAQLLIR;SN[115]PEPTGYN[115]WSTTMGPLPPFAVAQGAQLLIR;LLIRPVDKPIN[115]TTLICN[115]VTNALGAR;LIRPVDKPIN[115]TTLICN[115]VTNALGAR;IRPVDKPIN[115]TTLICN[115]VTNALGAR;PVDKPIN[115]TTLICNVTN[115]ALGAR;PVDKPIN[115]TTLICN[115]VTNALGAR;PVDKPIN[115]TTLICN[115]VTN[115]ALGAR;PIN[115]TTLICN[115]VTNALGAR;PIN[115]TTLICN[115]VTN[115]ALGAR</t>
  </si>
  <si>
    <t>120;278;307;313</t>
  </si>
  <si>
    <t>P15151</t>
  </si>
  <si>
    <t>Cell membrane (Single-pass type I membrane protein);Secreted;Cell membrane (Single-pass type I membrane protein);Secreted</t>
  </si>
  <si>
    <t>3D-structure;Alternative splicing;Cell adhesion;Cell membrane;Complete proteome;Disulfide bond;Glycoprotein;Host-virus interaction;Immunoglobulin domain;Membrane;Phosphoprotein;Polymorphism;Receptor;Reference proteome;Repeat;Secreted;Signal;Transmembrane;Transmembrane helix</t>
  </si>
  <si>
    <t>UniRef100_P15151;UniRef90_P15151;UniRef50_P15151</t>
  </si>
  <si>
    <t>INGR1_HUMAN</t>
  </si>
  <si>
    <t>Interferon gamma receptor 1</t>
  </si>
  <si>
    <t>IFNGR1</t>
  </si>
  <si>
    <t>SP:1-17;NC:18-246;TM:247-270;CY:271-489</t>
  </si>
  <si>
    <t>ENSG00000027697</t>
  </si>
  <si>
    <t>ENSP00000356713</t>
  </si>
  <si>
    <t>CD119</t>
  </si>
  <si>
    <t>IG;Type2;CytokineR</t>
  </si>
  <si>
    <t>34;79;86;179;240;385;401</t>
  </si>
  <si>
    <t>MN[115]GSEIQYK;N[115]GSEIQYK</t>
  </si>
  <si>
    <t>P15260</t>
  </si>
  <si>
    <t>3D-structure;Alternative splicing;Complete proteome;Direct protein sequencing;Disease mutation;Disulfide bond;Glycoprotein;Immunoglobulin domain;Membrane;Phosphoprotein;Polymorphism;Receptor;Reference proteome;Signal;Transmembrane;Transmembrane helix</t>
  </si>
  <si>
    <t>UniRef100_P15260;UniRef90_P15260;UniRef50_P15260</t>
  </si>
  <si>
    <t>DB00033</t>
  </si>
  <si>
    <t>FOLR1_HUMAN</t>
  </si>
  <si>
    <t>Folate receptor alpha</t>
  </si>
  <si>
    <t>FOLR1</t>
  </si>
  <si>
    <t>SP:1-22;NC:23-257</t>
  </si>
  <si>
    <t>ENSG00000110195</t>
  </si>
  <si>
    <t>ENSP00000308137;ENSP00000377281;ENSP00000377284;ENSP00000377286</t>
  </si>
  <si>
    <t>69;161;201</t>
  </si>
  <si>
    <t>NACCSTN[115]TSQEAHK;NACCSTN[115]TSQEAHKDVSYLYR;N[115]ACCSTN[115]TSQEAHKDVSYLYR;STN[115]TSQEAHKDVSYLYR;GWN[115]WTSGFNK;GWN[115]WTSGFN[115]K</t>
  </si>
  <si>
    <t>69;161</t>
  </si>
  <si>
    <t>P15328</t>
  </si>
  <si>
    <t>Apical cell membrane;Cell membrane (Lipid-anchor, GPI-anchor);Cytoplasmic vesicle;Cytoplasmic vesicle, clathrin-coated vesicle;Endosome;Secreted</t>
  </si>
  <si>
    <t>3D-structure;Cell membrane;Complete proteome;Cytoplasmic vesicle;Direct protein sequencing;Disulfide bond;Endosome;Folate-binding;Glycoprotein;GPI-anchor;Lipoprotein;Membrane;Neurodegeneration;Polymorphism;Receptor;Reference proteome;Secreted;Signal;Transport</t>
  </si>
  <si>
    <t>UniRef100_P15328;UniRef90_P15328;UniRef50_P15328</t>
  </si>
  <si>
    <t>CD19_HUMAN</t>
  </si>
  <si>
    <t>B-lymphocyte antigen CD19</t>
  </si>
  <si>
    <t>CD19</t>
  </si>
  <si>
    <t>SP:1-20;NC:21-292;TM:293-315;CY:316-556</t>
  </si>
  <si>
    <t>ENSG00000177455</t>
  </si>
  <si>
    <t>ENSP00000313419</t>
  </si>
  <si>
    <t>86;125;138;181;265;423</t>
  </si>
  <si>
    <t>86;125;138;181;265;380;423</t>
  </si>
  <si>
    <t>WN[115]VSDLGGLGCGLK;WN[115]VSDLGGLGCGLKN[115]R;DSLN[115]QSLSQDLT;GN[115]LTMSFHLE</t>
  </si>
  <si>
    <t>125;138;181;265</t>
  </si>
  <si>
    <t>P15391</t>
  </si>
  <si>
    <t>Alternative splicing;Complete proteome;Disulfide bond;Glycoprotein;Immunoglobulin domain;Membrane;Phosphoprotein;Polymorphism;Reference proteome;Repeat;Signal;Transmembrane;Transmembrane helix</t>
  </si>
  <si>
    <t>UniRef100_P15391;UniRef90_P15391;UniRef50_P15391</t>
  </si>
  <si>
    <t>CSF2R_HUMAN</t>
  </si>
  <si>
    <t>Granulocyte-macrophage colony-stimulating factor receptor subunit alpha</t>
  </si>
  <si>
    <t>CSF2RA</t>
  </si>
  <si>
    <t>SP:1-19;NC:20-324;TM:325-346;CY:347-400</t>
  </si>
  <si>
    <t>ENSG00000198223</t>
  </si>
  <si>
    <t>ENSP00000370935;ENSP00000370940;ENSP00000416437</t>
  </si>
  <si>
    <t>CD116</t>
  </si>
  <si>
    <t>46;54;99;123;135;182;195;223;229;272;305</t>
  </si>
  <si>
    <t>TMN[115]LSWDCQEN[115]TTFSK;NYFLVN[115]GTSR;CN[115]TTHCLVR</t>
  </si>
  <si>
    <t>46;54;195;229</t>
  </si>
  <si>
    <t>P15509</t>
  </si>
  <si>
    <t>3D-structure;Alternative splicing;Cell membrane;Complete proteome;Disease mutation;Disulfide bond;Glycoprotein;Membrane;Receptor;Reference proteome;Secreted;Signal;Transmembrane;Transmembrane helix</t>
  </si>
  <si>
    <t>UniRef100_P15509;UniRef90_P15509;UniRef50_P15509</t>
  </si>
  <si>
    <t>DB00020</t>
  </si>
  <si>
    <t>AREG_HUMAN</t>
  </si>
  <si>
    <t>Amphiregulin</t>
  </si>
  <si>
    <t>AREG</t>
  </si>
  <si>
    <t>SP:1-24;NC:25-198;TM:199-221;CY:222-252</t>
  </si>
  <si>
    <t>ENSG00000109321</t>
  </si>
  <si>
    <t>ENSP00000379097</t>
  </si>
  <si>
    <t>30;113;119</t>
  </si>
  <si>
    <t>LDLN[115]DTYSGK</t>
  </si>
  <si>
    <t>P15514</t>
  </si>
  <si>
    <t>3D-structure;Complete proteome;Cytokine;Direct protein sequencing;Disulfide bond;EGF-like domain;Glycoprotein;Growth factor;Membrane;Polymorphism;Reference proteome;Signal;Transmembrane;Transmembrane helix</t>
  </si>
  <si>
    <t>UniRef100_P15514;UniRef90_P15514;UniRef50_P15514</t>
  </si>
  <si>
    <t>MCP_HUMAN</t>
  </si>
  <si>
    <t>Membrane cofactor protein</t>
  </si>
  <si>
    <t>CD46</t>
  </si>
  <si>
    <t>SP:1-32;NC:33-343;TM:344-366;CY:367-392</t>
  </si>
  <si>
    <t>ENSG00000117335</t>
  </si>
  <si>
    <t>ENSP00000350893</t>
  </si>
  <si>
    <t>83;114;273</t>
  </si>
  <si>
    <t>14;86;150;216;276;345</t>
  </si>
  <si>
    <t>GYFYIPPLATHTICDRN[115]HTWLPVSDDACYR;TICDRN[115]HTWLPVSDDACYR;ICDRN[115]HTWLPVSDDACYR;N[115]HTWLPVSDDACYR;DPLNGQAVPAN[115]GTYEFGY;DPLNGQAVPAN[115]GTYEFGYQMH;DPLN[115]GQAVPAN[115]GTYEFGY;DPLN[115]GQAVPAN[115]GTYEFGYQMH;GFYLDGSDTIVCDSN[115]STWDPPVPK;VCDSN[115]STWDPPVPK;SN[115]STWDPPVPK</t>
  </si>
  <si>
    <t>P15529</t>
  </si>
  <si>
    <t>Cytoplasmic vesicle, secretory vesicle, acrosome inner membrane (Single- pass type I membrane protein)</t>
  </si>
  <si>
    <t>3D-structure;Alternative splicing;Complement pathway;Complete proteome;Cytoplasmic vesicle;Direct protein sequencing;Disease mutation;Disulfide bond;Fertilization;Glycoprotein;Hemolytic uremic syndrome;Host-virus interaction;Immunity;Innate immunity;Membrane;Phosphoprotein;Polymorphism;Reference proteome;Repeat;Signal;Sushi;Transmembrane;Transmembrane helix</t>
  </si>
  <si>
    <t>UniRef100_P15529;UniRef90_P15529;UniRef50_P15529</t>
  </si>
  <si>
    <t>CD1E_HUMAN</t>
  </si>
  <si>
    <t>T-cell surface glycoprotein CD1e, membrane-associated</t>
  </si>
  <si>
    <t>CD1E</t>
  </si>
  <si>
    <t>SP:1-19;NC:20-300;TM:301-325;CY:326-388</t>
  </si>
  <si>
    <t>ENSG00000158488</t>
  </si>
  <si>
    <t>ENSP00000357149</t>
  </si>
  <si>
    <t>CD1e</t>
  </si>
  <si>
    <t>47;84</t>
  </si>
  <si>
    <t>Early endosome;Golgi apparatus membrane (Single-pass type I membrane protein);Late endosome;Lysosome lumen</t>
  </si>
  <si>
    <t>3D-structure;Adaptive immunity;Alternative splicing;Complete proteome;Disulfide bond;Endosome;Glycoprotein;Golgi apparatus;Immunity;Immunoglobulin domain;Lipid-binding;Lysosome;Membrane;Polymorphism;Reference proteome;Signal;Transmembrane;Transmembrane helix;Ubl conjugation</t>
  </si>
  <si>
    <t>UniRef100_P15812;UniRef90_P15812;UniRef50_P15812</t>
  </si>
  <si>
    <t>Endosome;Golgi apparatus;Lysosome;Plasma membrane</t>
  </si>
  <si>
    <t>Cytoskeleton;Cytosol;Endoplasmic Reticulum;Extracellular space;Mitochondrion;Nucleus;Peroxisome</t>
  </si>
  <si>
    <t>CD1D_HUMAN</t>
  </si>
  <si>
    <t>Antigen-presenting glycoprotein CD1d</t>
  </si>
  <si>
    <t>CD1D</t>
  </si>
  <si>
    <t>SP:1-17;NC:18-300;TM:301-321;CY:322-335</t>
  </si>
  <si>
    <t>ENSG00000158473</t>
  </si>
  <si>
    <t>ENSP00000357153</t>
  </si>
  <si>
    <t>CD1d</t>
  </si>
  <si>
    <t>38;60;126;181</t>
  </si>
  <si>
    <t>10;16;41;49;58;71;81;149;158;171;178;208;235;238;261;295</t>
  </si>
  <si>
    <t>TDGLAWLGELQTHSWSN[115]DSDTVR;LGELQTHSWSN[115]DSDTVR</t>
  </si>
  <si>
    <t>P15813</t>
  </si>
  <si>
    <t>Cell membrane (Single-pass type I membrane protein);Endosome membrane;Lysosome membrane</t>
  </si>
  <si>
    <t>3D-structure;Cell membrane;Complete proteome;Disulfide bond;Endosome;Glycoprotein;Host-virus interaction;Immunity;Immunoglobulin domain;Innate immunity;Lysosome;Membrane;Polymorphism;Reference proteome;Signal;Transmembrane;Transmembrane helix</t>
  </si>
  <si>
    <t>UniRef100_P15813;UniRef90_P15813;UniRef50_P15813</t>
  </si>
  <si>
    <t>MUC1_HUMAN</t>
  </si>
  <si>
    <t>Mucin-1</t>
  </si>
  <si>
    <t>MUC1</t>
  </si>
  <si>
    <t>SP:1-27;NC:28-1158;TM:1159-1183;CY:1184-1255</t>
  </si>
  <si>
    <t>ENSG00000185499</t>
  </si>
  <si>
    <t>ENSP00000481231</t>
  </si>
  <si>
    <t>CD227</t>
  </si>
  <si>
    <t>957;975;1029;1055;1133</t>
  </si>
  <si>
    <t>19;22;24;28;29;30;37;38;40;43;44;47;48;49;55;57;58;59;62;63;65;68;70;71;72;73;79;84;88;90;93;99;100;104;110;111;112;119;120;130;131;139;140;144;150;151;159;160;164;170;171;179;180;184;190;191;199;200;204;210;211;219;220;224;230;231;239;240;244;250;251;259;260;264;270;271;279;280;284;290;291;299;300;304;310;311;319;320;324;330;331;339;340;344;350;351;359;360;364;370;371;379;380;384;390;391;399;400;404;410;411;419;420;424;430;431;439;440;444;450;451;459;460;464;470;471;479;480;484;490;491;499;500;504;510;511;519;520;524;530;531;539;540;544;550;551;559;560;564;570;571;579;580;584;590;591;599;600;604;610;611;619;620;624;630;631;639;640;644;650;651;659;660;664;670;671;679;680;684;690;691;699;700;704;710;711;719;720;724;730;731;739;740;744;750;751;759;760;764;770;771;779;780;784;790;791;799;800;804;810;811;819;820;824;830;831;839;840;844;850;851;859;860;864;870;871;879;880;884;890;891;899;900;904;910;911;919;920;924;930;931;939;940;950;951;959;960;962;964;966;968;970;971;977;978;982;983;984;987;989;990;993;996;999;1001;1003;1004;1007;1009;1010;1012;1015;1016;1017;1020;1021;1026;1027;1028;1031;1032;1033;1038;1050;1057;1222;1223;1224;1233</t>
  </si>
  <si>
    <t>Apical cell membrane (Single- pass type I membrane protein);Secreted;Secreted;Secreted;Cell membrane;Cytoplasm;Nucleus</t>
  </si>
  <si>
    <t>3D-structure;Alternative splicing;Autocatalytic cleavage;Cell membrane;Complete proteome;Cytoplasm;Direct protein sequencing;Disulfide bond;Glycoprotein;Lipoprotein;Membrane;Nucleus;Palmitate;Phosphoprotein;Polymorphism;Reference proteome;Repeat;Secreted;Signal;Transmembrane;Transmembrane helix;Tumor suppressor</t>
  </si>
  <si>
    <t>UniRef100_P15941;UniRef90_P15941;UniRef50_P15941</t>
  </si>
  <si>
    <t>ANPRA_HUMAN</t>
  </si>
  <si>
    <t>Atrial natriuretic peptide receptor 1</t>
  </si>
  <si>
    <t>NPR1</t>
  </si>
  <si>
    <t>SP:1-32;NC:33-473;TM:474-494;CY:495-1061</t>
  </si>
  <si>
    <t>ENSG00000169418</t>
  </si>
  <si>
    <t>ENSP00000357669</t>
  </si>
  <si>
    <t>Kinase;RGC</t>
  </si>
  <si>
    <t>34;45;212;338;379;386;427;626;808</t>
  </si>
  <si>
    <t>34;212;338;379;427</t>
  </si>
  <si>
    <t>IQAVTETLAHGGTVTDGEN[115]ITQR</t>
  </si>
  <si>
    <t>P16066</t>
  </si>
  <si>
    <t>cGMP biosynthesis;Chloride;Complete proteome;Disulfide bond;Glycoprotein;GTP-binding;Lyase;Membrane;Nucleotide-binding;Phosphoprotein;Polymorphism;Receptor;Reference proteome;Signal;Transmembrane;Transmembrane helix;Vasoactive</t>
  </si>
  <si>
    <t>UniRef100_P16066;UniRef90_P18910;UniRef50_P20594</t>
  </si>
  <si>
    <t>DB00325;DB00727;DB00883;DB01612;DB01613;DB04899</t>
  </si>
  <si>
    <t>CD44_HUMAN</t>
  </si>
  <si>
    <t>CD44 antigen</t>
  </si>
  <si>
    <t>CD44</t>
  </si>
  <si>
    <t>SP:1-20;NC:21-649;TM:650-671;CY:672-742</t>
  </si>
  <si>
    <t>ENSG00000026508</t>
  </si>
  <si>
    <t>ENSP00000398632</t>
  </si>
  <si>
    <t>25;57;100;110;120;350;548;599;636</t>
  </si>
  <si>
    <t>25;57;100;110;120;172;328;350;548;599;636</t>
  </si>
  <si>
    <t>131;133;163;171;174;179;180;182;183;184;187;188;189;190;197;200;209;213;215;216;222;223;226;227;228;230;232;234;236;252;260;261;262;267;268;269;273;291;305;306;307;309;310;311;318;330;332;340;341;342;345;353;378;381;382;383;384;388;390;391;392;393;396;398;415;420;422;423;424;426;430;433;434;441;442;444;448;449;458;475;476;478;480;484;498;502;504;505;508;512;514;515;516;528;529;530;531;533;534;535;541;550;553;554;555;561;562;567;570;572;577;578;581;583;587;590;594;601;603;612;615;617;618;621;623;627;630;638;639;697</t>
  </si>
  <si>
    <t>244;324</t>
  </si>
  <si>
    <t>QIDLN[115]ITCR;IDLN[115]ITCR;DLN[115]ITCR;TEAADLCKAFN[115]STLPTMAQMEK;AFN[115]STLPTM;AFN[115]STLPTMA;AFN[115]STLPTMAQ;AFN[115]STLPTMAQM;AFN[115]STLPTMAQME;AFN[115]STLPTMAQMEK;FN[115]STLPTMAQMEK;N[115]STLPTMAQMEK;IHPNSICAANN[115]TGVYILTSN[115]TSQYDTY;IHPNSICAAN[115]N;IHPNSICAAN[115]NT;IHPNSICAAN[115]NTG;IHPNSICAAN[115]NTGV;IHPNSICAAN[115]NTGVY;IHPNSICAAN[115]NTGVYI;IHPNSICAAN[115]NTGVYIL;IHPNSICAAN[115]NTGVYILT;IHPNSICAAN[115]NTGVYILTS;IHPNSICAAN[115]NTGVYILTSN;IHPNSICAAN[115]NTGVYILTSN[115]T;IHPNSICAAN[115]NTGVYILTSN[115]TSQY;IHPNSICAAN[115]NTGVYILTSN[115]TSQYDT;IHPNSICAAN[115]NTGVYILTSN[115]TSQYDTY;IHPNSICAAN[115]N[115]TGVY;IHPNSICAAN[115]N[115]TGVYIL;IHPN[115]SICAAN[115]N;IHPN[115]SICAAN[115]NT;IHPN[115]SICAAN[115]NTGVY;IHPN[115]SICAAN[115]NTGVYI;IHPN[115]SICAAN[115]NTGVYIL;IHPN[115]SICAAN[115]NTGVYILT;IHPN[115]SICAAN[115]NTGVYILTS;VTVGDSNSNVN[115]R;TTHGSESDGHSHGSQEGGAN[115]TTSGPIR;GSQEGGAN[115]TTSGPIR;SQEGGAN[115]TTSGPIR;QEGGAN[115]TTSGPIR</t>
  </si>
  <si>
    <t>25;57;100;110;599;636</t>
  </si>
  <si>
    <t>P16070</t>
  </si>
  <si>
    <t>3D-structure;Alternative splicing;Blood group antigen;Cell adhesion;Cell membrane;Complete proteome;Direct protein sequencing;Disulfide bond;Glycoprotein;Membrane;Phosphoprotein;Polymorphism;Proteoglycan;Pyrrolidone carboxylic acid;Receptor;Reference proteome;Signal;Transmembrane;Transmembrane helix</t>
  </si>
  <si>
    <t>UniRef100_P16070;UniRef90_P16070;UniRef50_P16070</t>
  </si>
  <si>
    <t>DB08818</t>
  </si>
  <si>
    <t>LYAM3_HUMAN</t>
  </si>
  <si>
    <t>P-selectin</t>
  </si>
  <si>
    <t>SELP</t>
  </si>
  <si>
    <t>SP:1-36;NC:37-772;TM:773-795;CY:796-830</t>
  </si>
  <si>
    <t>ENSG00000174175</t>
  </si>
  <si>
    <t>ENSP00000263686</t>
  </si>
  <si>
    <t>CD62P</t>
  </si>
  <si>
    <t>54;98;180;212;219;272;411;460;518;665;716;723;741</t>
  </si>
  <si>
    <t>AYSWN[115]ISR</t>
  </si>
  <si>
    <t>P16109</t>
  </si>
  <si>
    <t>3D-structure;Cell adhesion;Complete proteome;Disulfide bond;EGF-like domain;Glycoprotein;Lectin;Lipoprotein;Membrane;Palmitate;Polymorphism;Reference proteome;Repeat;Signal;Sushi;Transmembrane;Transmembrane helix</t>
  </si>
  <si>
    <t>UniRef100_P16109;UniRef90_P16109;UniRef50_P16109</t>
  </si>
  <si>
    <t>DB01109;DB06779;DB08813</t>
  </si>
  <si>
    <t>ITB4_HUMAN</t>
  </si>
  <si>
    <t>Integrin beta-4</t>
  </si>
  <si>
    <t>ITGB4</t>
  </si>
  <si>
    <t>SP:1-27;NC:28-710;TM:711-733;CY:734-1822</t>
  </si>
  <si>
    <t>ENSG00000132470</t>
  </si>
  <si>
    <t>ENSP00000200181</t>
  </si>
  <si>
    <t>CD104</t>
  </si>
  <si>
    <t>327;491;579;617;695;980;1593</t>
  </si>
  <si>
    <t>327;491;579;617;695;811;980;1593</t>
  </si>
  <si>
    <t>HNIIPIFAVTN[115]Y;HNIIPIFAVTN[115]YSY;HNIIPIFAVTN[115]YSYSYYEK;AVTN[115]YSYSYYEK;VTN[115]YSYSYYEK;DEDDDCTYSYTMEGDGAPGPN[115]STVLVHK;TMEGDGAPGPN[115]STVLVHK;EGDGAPGPN[115]STVLVHK;PGPN[115]STVLVHK</t>
  </si>
  <si>
    <t>327;695</t>
  </si>
  <si>
    <t>P16144</t>
  </si>
  <si>
    <t>Cell junction, hemidesmosome;Cell membrane (Lipid-anchor);Cell membrane (Single-pass type I membrane protein)</t>
  </si>
  <si>
    <t>3D-structure;Alternative splicing;Cell adhesion;Cell junction;Cell membrane;Complete proteome;Direct protein sequencing;Disease mutation;Disulfide bond;Epidermolysis bullosa;Glycoprotein;Integrin;Lipoprotein;Membrane;Palmitate;Phosphoprotein;Polymorphism;Receptor;Reference proteome;Repeat;Signal;Transmembrane;Transmembrane helix</t>
  </si>
  <si>
    <t>UniRef100_P16144;UniRef90_P16144;UniRef50_P16144</t>
  </si>
  <si>
    <t>LEUK_HUMAN</t>
  </si>
  <si>
    <t>Leukosialin</t>
  </si>
  <si>
    <t>SPN</t>
  </si>
  <si>
    <t>SP:1-19;NC:20-254;TM:255-277;CY:278-400</t>
  </si>
  <si>
    <t>ENSG00000197471</t>
  </si>
  <si>
    <t>ENSP00000353238;ENSP00000378787;ENSP00000455266</t>
  </si>
  <si>
    <t>CD43</t>
  </si>
  <si>
    <t>14;20;21;22;26;28;29;35;36;37;41;42;46;47;48;50;51;57;58;62;63;68;69;70;75;80;84;85;87;93;94;99;103;104;109;113;114;121;127;129;131;134;136;137;142;143;144;146;147;152;153;156;157;160;161;164;165;170;173;175;178;179;182;183;188;191;193;196;197;198;200;201;206;208;209;211;215;216;219;224;225;229;230;233;235;236;237;238;241;242;316;322;328;337;368;379</t>
  </si>
  <si>
    <t>Complete proteome;Direct protein sequencing;Glycoprotein;Membrane;Phosphoprotein;Polymorphism;Reference proteome;Signal;Transmembrane;Transmembrane helix</t>
  </si>
  <si>
    <t>UniRef100_P16150;UniRef90_P16150;UniRef50_P16150</t>
  </si>
  <si>
    <t>101929889;6693</t>
  </si>
  <si>
    <t>1A30_HUMAN</t>
  </si>
  <si>
    <t>HLA class I histocompatibility antigen, A-30 alpha chain</t>
  </si>
  <si>
    <t>UniRef100_P16188;UniRef90_P01892;UniRef50_P01892</t>
  </si>
  <si>
    <t>1A31_HUMAN</t>
  </si>
  <si>
    <t>HLA class I histocompatibility antigen, A-31 alpha chain</t>
  </si>
  <si>
    <t>ENSG00000231834</t>
  </si>
  <si>
    <t>ENSP00000408986</t>
  </si>
  <si>
    <t>UniRef100_P16189;UniRef90_P10314;UniRef50_P01892</t>
  </si>
  <si>
    <t>1A33_HUMAN</t>
  </si>
  <si>
    <t>HLA class I histocompatibility antigen, A-33 alpha chain</t>
  </si>
  <si>
    <t>UniRef100_P16190;UniRef90_P10314;UniRef50_P01892</t>
  </si>
  <si>
    <t>PGFRA_HUMAN</t>
  </si>
  <si>
    <t>Platelet-derived growth factor receptor alpha</t>
  </si>
  <si>
    <t>PDGFRA</t>
  </si>
  <si>
    <t>SP:1-28;NC:29-525;TM:526-549;CY:550-1089</t>
  </si>
  <si>
    <t>ENSG00000134853</t>
  </si>
  <si>
    <t>ENSP00000257290</t>
  </si>
  <si>
    <t>CD140a</t>
  </si>
  <si>
    <t>42;76;103;179;353;359;458;468</t>
  </si>
  <si>
    <t>66;67;566;717;719;724;739;740;752;760;767;1055;1057</t>
  </si>
  <si>
    <t>VVQLN[115]SSFSLR;QGFN[115]GTFTVGPYICEATVK;NN[115]LTLIEN[115]LTEITTDVEK;N[115]NLTLIEN[115]LTEITTDVEK;N[115]N[115]LTLIEN[115]LTEITTDVEK;ANN[115]VSNIITEIHSR</t>
  </si>
  <si>
    <t>42;179;353;359;468</t>
  </si>
  <si>
    <t>P16234</t>
  </si>
  <si>
    <t>3D-structure;Alternative splicing;ATP-binding;Cell membrane;Chemotaxis;Complete proteome;Developmental protein;Disulfide bond;Glycoprotein;Host-virus interaction;Immunoglobulin domain;Kinase;Membrane;Nucleotide-binding;Phosphoprotein;Polymorphism;Proto-oncogene;Receptor;Reference proteome;Repeat;Signal;Transferase;Transmembrane;Transmembrane helix;Tyrosine-protein kinase;Ubl conjugation</t>
  </si>
  <si>
    <t>UniRef100_P16234;UniRef90_P16234;UniRef50_P16234</t>
  </si>
  <si>
    <t>DB00102;DB00619;DB01268;DB06589;DB08896;DB08901</t>
  </si>
  <si>
    <t>PECA1_HUMAN</t>
  </si>
  <si>
    <t>Platelet endothelial cell adhesion molecule</t>
  </si>
  <si>
    <t>PECAM1</t>
  </si>
  <si>
    <t>SP:1-27;NC:28-602;TM:603-624;CY:625-738</t>
  </si>
  <si>
    <t>CD31</t>
  </si>
  <si>
    <t>52;84;151;301;320;344;356;453;551</t>
  </si>
  <si>
    <t>52;84;151;301;320;344;356;453;467;551</t>
  </si>
  <si>
    <t>136;414;455;506;638;653;696;697</t>
  </si>
  <si>
    <t>SLPDWTVQNGKN[115]LTLQ;SLPDWTVQN[115]GKN[115]LTLQ;LFYKDDVLFYN[115]ISSMK;YKDDVLFYN[115]ISSMK;KDDVLFYN[115]ISSMK;DDVLFYN[115]ISSMK;LFYN[115]ISSMK;FYN[115]ISSMK;VN[115]CSVPEEK;AVYSVMAMVEHSGN[115]YTCK;SVMAMVEHSGN[115]YTCK;MAMVEHSGN[115]YTCK;AMVEHSGN[115]YTCK;VEHSGN[115]YTCK;VSSIVVN[115]ITELFSKPELES;LN[115]LSCSIPGAPPAN[115]FTIQK;N[115]LSCSIPGAPPAN[115]FTIQK;SIPGAPPAN[115]FTIQK;IPGAPPAN[115]FTIQK;VLEN[115]STK;EKEGKPFYQMTSN[115]ATQ;EKEGKPFYQMTSN[115]ATQAFWTK;EGKPFYQMTSN[115]ATQ;EGKPFYQMTSN[115]ATQA;EGKPFYQMTSN[115]ATQAF;EGKPFYQMTSN[115]ATQAFWT;EGKPFYQMTSN[115]ATQAFWTK;PFYQMTSN[115]ATQAFWTK;YQMTSN[115]ATQAFWTK;TSN[115]ATQAFWTK;SN[115]ATQAFWTK;N[115]ATQAFWTK</t>
  </si>
  <si>
    <t>P16284</t>
  </si>
  <si>
    <t>Cell junction;Cell junction;Cell membrane (Lipid-anchor);Cell membrane (Single-pass type I membrane protein)</t>
  </si>
  <si>
    <t>3D-structure;Alternative splicing;Cell adhesion;Cell junction;Cell membrane;Complete proteome;Disulfide bond;Glycoprotein;Immunoglobulin domain;Lipoprotein;Membrane;Palmitate;Phagocytosis;Phosphoprotein;Polymorphism;Reference proteome;Repeat;Signal;Transmembrane;Transmembrane helix</t>
  </si>
  <si>
    <t>UniRef100_P16284;UniRef90_P16284;UniRef50_P16284</t>
  </si>
  <si>
    <t>CTLA4_HUMAN</t>
  </si>
  <si>
    <t>Cytotoxic T-lymphocyte protein 4</t>
  </si>
  <si>
    <t>CTLA4</t>
  </si>
  <si>
    <t>SP:1-35;NC:36-161;TM:162-185;CY:186-223</t>
  </si>
  <si>
    <t>ENSG00000163599</t>
  </si>
  <si>
    <t>ENSP00000303939;ENSP00000409707</t>
  </si>
  <si>
    <t>CD152</t>
  </si>
  <si>
    <t>113;145</t>
  </si>
  <si>
    <t>3D-structure;Adaptive immunity;Alternative splicing;Cell membrane;Complete proteome;Diabetes mellitus;Disulfide bond;Glycoprotein;Immunity;Immunoglobulin domain;Membrane;Pharmaceutical;Phosphoprotein;Polymorphism;Reference proteome;Signal;Systemic lupus erythematosus;Transmembrane;Transmembrane helix</t>
  </si>
  <si>
    <t>UniRef100_P16410;UniRef90_P16410;UniRef50_P16410</t>
  </si>
  <si>
    <t>DB06186</t>
  </si>
  <si>
    <t>EPCAM_HUMAN</t>
  </si>
  <si>
    <t>Epithelial cell adhesion molecule</t>
  </si>
  <si>
    <t>EPCAM</t>
  </si>
  <si>
    <t>SP:1-23;NC:24-265;TM:266-288;CY:289-314</t>
  </si>
  <si>
    <t>ENSG00000119888</t>
  </si>
  <si>
    <t>ENSP00000263735</t>
  </si>
  <si>
    <t>CD326</t>
  </si>
  <si>
    <t>74;111;198</t>
  </si>
  <si>
    <t>QCN[115]GTSMCWCVNTAGVR;NVITIDLVQN[115]SSQK;VITIDLVQN[115]SSQK</t>
  </si>
  <si>
    <t>111;198</t>
  </si>
  <si>
    <t>P16422</t>
  </si>
  <si>
    <t>Cell junction, tight junction;Lateral cell membrane (Single-pass type I membrane protein)</t>
  </si>
  <si>
    <t>3D-structure;Cell junction;Cell membrane;Complete proteome;Direct protein sequencing;Disease mutation;Disulfide bond;Glycoprotein;Hereditary nonpolyposis colorectal cancer;Membrane;Polymorphism;Pyrrolidone carboxylic acid;Reference proteome;Repeat;Signal;Tight junction;Transmembrane;Transmembrane helix;Tumor antigen</t>
  </si>
  <si>
    <t>UniRef100_P16422;UniRef90_P16422;UniRef50_P16422</t>
  </si>
  <si>
    <t>DPEP1_HUMAN</t>
  </si>
  <si>
    <t>Dipeptidase 1</t>
  </si>
  <si>
    <t>DPEP1</t>
  </si>
  <si>
    <t>SP:1-16;NC:17-411</t>
  </si>
  <si>
    <t>ENSG00000015413</t>
  </si>
  <si>
    <t>ENSP00000261615;ENSP00000376807;ENSP00000397313</t>
  </si>
  <si>
    <t>3.4.13</t>
  </si>
  <si>
    <t>57;279;332;358</t>
  </si>
  <si>
    <t>2;5</t>
  </si>
  <si>
    <t>LQDERAN[115]LTTLAGTHTNIPK;QDERAN[115]LTTLAGTHTNIPK;AN[115]LTTLAGTHTNIPK;AN[115]LSQVADHLDHIK;RN[115]WTEAEVK;RN[115]WTEAEVKGALADNLLR</t>
  </si>
  <si>
    <t>57;279;332</t>
  </si>
  <si>
    <t>P16444</t>
  </si>
  <si>
    <t>Apical cell membrane (Lipid-anchor, GPI- anchor);Cell projection, microvillus membrane (Lipid-anchor, GPI- anchor)</t>
  </si>
  <si>
    <t>3D-structure;Cell membrane;Cell projection;Complete proteome;Dipeptidase;Direct protein sequencing;Disulfide bond;Glycoprotein;GPI-anchor;Hydrolase;Lipoprotein;Membrane;Metal-binding;Metalloprotease;Polymorphism;Protease;Reference proteome;Signal;Zinc</t>
  </si>
  <si>
    <t>UniRef100_P16444;UniRef90_P16444;UniRef50_P16444</t>
  </si>
  <si>
    <t>DB01597</t>
  </si>
  <si>
    <t>PRLR_HUMAN</t>
  </si>
  <si>
    <t>Prolactin receptor</t>
  </si>
  <si>
    <t>PRLR</t>
  </si>
  <si>
    <t>SP:1-24;NC:25-236;TM:237-257;CY:258-622</t>
  </si>
  <si>
    <t>ENSG00000113494</t>
  </si>
  <si>
    <t>ENSP00000482954</t>
  </si>
  <si>
    <t>59;104;233;432;594</t>
  </si>
  <si>
    <t>59;104;233;370;432;594</t>
  </si>
  <si>
    <t>335;341;349;353;358;372;373;388;389;398;415;422;461;462;464;486;499;503;598;599;600</t>
  </si>
  <si>
    <t>148;215</t>
  </si>
  <si>
    <t>3D-structure;Alternative splicing;Complete proteome;Disease mutation;Disulfide bond;Glycoprotein;Membrane;Metal-binding;Polymorphism;Receptor;Reference proteome;Repeat;Secreted;Signal;Transmembrane;Transmembrane helix;Zinc</t>
  </si>
  <si>
    <t>UniRef100_P16471;UniRef90_P16471;UniRef50_P16471</t>
  </si>
  <si>
    <t>DB00052;DB01185</t>
  </si>
  <si>
    <t>TSHR_HUMAN</t>
  </si>
  <si>
    <t>Thyrotropin receptor</t>
  </si>
  <si>
    <t>TSHR</t>
  </si>
  <si>
    <t>SP:1-25;NC:26-418;TM:419-440;CY:441-451;TM:452-473;NC:474-496;TM:497-517;CY:518-537;TM:538-560;NC:561-578;TM:579-606;CY:607-626;TM:627-649;NC:650-660;TM:661-681;CY:682-764</t>
  </si>
  <si>
    <t>ENSG00000165409</t>
  </si>
  <si>
    <t>77;99;113;177;198;302;715</t>
  </si>
  <si>
    <t>113;177;198;715</t>
  </si>
  <si>
    <t>LYNNGFTSVQGYAFN[115]GTK;LYNN[115]GFTSVQGYAFN[115]GTK</t>
  </si>
  <si>
    <t>P16473</t>
  </si>
  <si>
    <t>3D-structure;Alternative splicing;Cell membrane;Complete proteome;Congenital hypothyroidism;Direct protein sequencing;Disease mutation;Disulfide bond;G-protein coupled receptor;Glycoprotein;Leucine-rich repeat;Membrane;Polymorphism;Receptor;Reference proteome;Repeat;Signal;Transducer;Transmembrane;Transmembrane helix</t>
  </si>
  <si>
    <t>UniRef100_P16473;UniRef90_P16473;UniRef50_P16473</t>
  </si>
  <si>
    <t>DB00024</t>
  </si>
  <si>
    <t>LYAM2_HUMAN</t>
  </si>
  <si>
    <t>E-selectin</t>
  </si>
  <si>
    <t>SELE</t>
  </si>
  <si>
    <t>SP:1-21;NC:22-555;TM:556-578;CY:579-610</t>
  </si>
  <si>
    <t>ENSG00000007908</t>
  </si>
  <si>
    <t>ENSP00000331736</t>
  </si>
  <si>
    <t>CD62E</t>
  </si>
  <si>
    <t>25;145;160;179;199;203;265;312;332;503;527</t>
  </si>
  <si>
    <t>25;79;145;160;179;199;203;265;291;312;332;503;527;554</t>
  </si>
  <si>
    <t>170;495;551</t>
  </si>
  <si>
    <t>3D-structure;Cell adhesion;Complete proteome;Disulfide bond;EGF-like domain;Glycoprotein;Lectin;Membrane;Polymorphism;Reference proteome;Repeat;Signal;Sushi;Transmembrane;Transmembrane helix</t>
  </si>
  <si>
    <t>UniRef100_P16581;UniRef90_P16581;UniRef50_P16581</t>
  </si>
  <si>
    <t>DB01136</t>
  </si>
  <si>
    <t>CD36_HUMAN</t>
  </si>
  <si>
    <t>Platelet glycoprotein 4</t>
  </si>
  <si>
    <t>CD36</t>
  </si>
  <si>
    <t>CY:1-6;TM:7-28;NC:29-439;TM:440-465;CY:466-472</t>
  </si>
  <si>
    <t>ENSG00000135218</t>
  </si>
  <si>
    <t>ENSP00000308165;ENSP00000378268;ENSP00000411411;ENSP00000399421;ENSP00000415743</t>
  </si>
  <si>
    <t>SCAR;Class_B</t>
  </si>
  <si>
    <t>79;102;134;163;205;220;235;247;321;417</t>
  </si>
  <si>
    <t>QFWIFDVQNPQEVMMN[115]SSNIQVK;IFDVQNPQEVMMN[115]SSNIQVK;DVQNPQEVMMN[115]SSNIQVK;VQNPQEVMMN[115]SSNIQVK;QNPQEVMMN[115]SSNIQVK;NPQEVMMN[115]SSNIQVK;PQEVMMN[115]SSNIQVK;EVMMN[115]SSNIQVK;VMMN[115]SSNIQVK;MMN[115]SSNIQVK;MN[115]SSNIQVK;FLAKEN[115]VTQDAEDN;FLAKEN[115]VTQDAEDNT;FLAKEN[115]VTQDAEDNTV;FLAKEN[115]VTQDAEDNTVS;FLAKEN[115]VTQDAEDNTVSF;FLAKEN[115]VTQDAEDNTVSFLQPN;EN[115]VTQDAEDN;EN[115]VTQDAEDNT;EN[115]VTQDAEDNTV;EN[115]VTQDAEDNTVS;EN[115]VTQDAEDNTVSF;EN[115]VTQDAEDNTVSFLQPN;EN[115]VTQDAEDNTVSFLQPNGA;EN[115]VTQDAEDNTVSFLQPNGAIF;EN[115]VTQDAEDNTVSFLQPNGAIFEPS;EN[115]VTQDAEDNTVSFLQPN[115]GA;EN[115]VTQDAEDN[115]TVS;EN[115]VTQDAEDN[115]TVSF;EN[115]VTQDAEDN[115]TVSFLQPN;TTTVGLFYPYN[115]NTADGVYK;TTTVGLFYPYN[115]N[115]TADGVYK;TVGLFYPYN[115]NTADGVYK;TVGLFYPYN[115]N[115]TADGVYK;VGLFYPYN[115]NTADGVYK;GLFYPYN[115]NTADGVYK;GLFYPYN[115]N[115]TADGVYK;LFYPYN[115]NTADGVYK;FYPYN[115]NTADGVYK;VFNGKDN[115]ISK;VFN[115]GKDN[115]ISK;FNGKDN[115]ISK;FN[115]GKDN[115]ISK;DMIN[115]GTDAASFPPFVEK;IN[115]GTDAASFPPFVEK;IISKN[115]CTSYGV;IISKN[115]CTSYGVLDISK;N[115]CTSYGVLDISK;NYIVPILWLN[115]ETGTIGDEK;IVPILWLN[115]ETGTIGDEK;ILWLN[115]ETGTIGDEK;LWLN[115]ETGTIGDEK;LN[115]ETGTIGDEK;N[115]ETGTIGDEK</t>
  </si>
  <si>
    <t>79;102;205;220;247;321;417</t>
  </si>
  <si>
    <t>P16671</t>
  </si>
  <si>
    <t>Alternative splicing;Cell adhesion;Cell membrane;Complete proteome;Direct protein sequencing;Disease mutation;Disulfide bond;Glycoprotein;Lipoprotein;Membrane;Palmitate;Polymorphism;Receptor;Reference proteome;Transmembrane;Transmembrane helix;Transport</t>
  </si>
  <si>
    <t>UniRef100_P16671;UniRef90_P16671;UniRef50_P16671</t>
  </si>
  <si>
    <t>IL7RA_HUMAN</t>
  </si>
  <si>
    <t>Interleukin-7 receptor subunit alpha</t>
  </si>
  <si>
    <t>IL7R</t>
  </si>
  <si>
    <t>SP:1-20;NC:21-240;TM:241-264;CY:265-459</t>
  </si>
  <si>
    <t>ENSG00000168685</t>
  </si>
  <si>
    <t>ENSP00000306157</t>
  </si>
  <si>
    <t>CD127</t>
  </si>
  <si>
    <t>49;65;151;182;232;233;295;373;412</t>
  </si>
  <si>
    <t>346;351;375;384;393;407;411;414;423;440</t>
  </si>
  <si>
    <t>EGANDFVVTFN[115]TSHLQ;EGANDFVVTFN[115]TSHLQK;TFN[115]TSHLQK;DENKWTHVN[115]LSSTK;WTHVN[115]LSSTK;THVN[115]LSSTK</t>
  </si>
  <si>
    <t>151;182</t>
  </si>
  <si>
    <t>P16871</t>
  </si>
  <si>
    <t>Cell membrane (Single-pass type I membrane protein);Cell membrane (Single-pass type I membrane protein);Secreted</t>
  </si>
  <si>
    <t>3D-structure;Alternative splicing;Cell membrane;Complete proteome;Disease mutation;Disulfide bond;Glycoprotein;Membrane;Phosphoprotein;Polymorphism;Receptor;Reference proteome;SCID;Secreted;Signal;Transmembrane;Transmembrane helix</t>
  </si>
  <si>
    <t>UniRef100_P16871;UniRef90_P16871;UniRef50_P16871</t>
  </si>
  <si>
    <t>INAR1_HUMAN</t>
  </si>
  <si>
    <t>Interferon alpha/beta receptor 1</t>
  </si>
  <si>
    <t>IFNAR1</t>
  </si>
  <si>
    <t>SP:1-23;NC:24-436;TM:437-457;CY:458-557</t>
  </si>
  <si>
    <t>ENSG00000142166</t>
  </si>
  <si>
    <t>ENSP00000270139</t>
  </si>
  <si>
    <t>50;58;81;88;110;172;254;313;314;376;416;433;507;518;537</t>
  </si>
  <si>
    <t>58;81;254;313;518</t>
  </si>
  <si>
    <t>SDESVGN[115]VTFSFDYQK;LSGCQN[115]ITSTK;AEKEN[115]TSSWYEVDSFTPFR;EN[115]TSSWYEVDSFTPFR;VQASDGNN[115]TSFWSEEIK;VQASDGN[115]NTSFWSEEIK;VQASDGN[115]N[115]TSFWSEEIK;IFWEN[115]TSNAER;WEN[115]TSNAER</t>
  </si>
  <si>
    <t>58;81;110;313;314;376</t>
  </si>
  <si>
    <t>P17181</t>
  </si>
  <si>
    <t>3D-structure;Alternative splicing;Complete proteome;Disulfide bond;Glycoprotein;Lipoprotein;Membrane;Palmitate;Phosphoprotein;Polymorphism;Receptor;Reference proteome;Repeat;Signal;Transmembrane;Transmembrane helix</t>
  </si>
  <si>
    <t>UniRef100_P17181;UniRef90_P17181;UniRef50_P17181</t>
  </si>
  <si>
    <t>DB00008;DB00011;DB00018;DB00022;DB00034;DB00060;DB00068;DB00069;DB00105;DB05258</t>
  </si>
  <si>
    <t>ITA2_HUMAN</t>
  </si>
  <si>
    <t>Integrin alpha-2</t>
  </si>
  <si>
    <t>ITGA2</t>
  </si>
  <si>
    <t>SP:1-29;NC:30-1132;TM:1133-1156;CY:1157-1181</t>
  </si>
  <si>
    <t>ENSG00000164171</t>
  </si>
  <si>
    <t>ENSP00000296585</t>
  </si>
  <si>
    <t>CD49b</t>
  </si>
  <si>
    <t>105;112;343;432;460;475;699;1057;1074;1081</t>
  </si>
  <si>
    <t>105;112;225;316;343;432;460;471;473;475;580;670;699;818;945;1057;1074;1081</t>
  </si>
  <si>
    <t>91;99;100;101;102;107;598;953;959;1018</t>
  </si>
  <si>
    <t>LNLQTSTSIPN[115]VTEMK;LN[115]LQTSTSIPN[115]VTEMK;TN[115]MSLGLILTR;YFFN[115]VSDEAALLEK;FFN[115]VSDEAALLEK;FN[115]VSDEAALLEK;N[115]VSDEAALLEK;QAFDQILQDRN[115]HSSYLGYSVAAISTGESTHFVAGAPR;N[115]HSSYLGYSVAAISTGESTHFVAGAPR;AN[115]YTGQIVLY;AN[115]YTGQIVLYSVNENGN[115]ITVIQAHR;AN[115]YTGQIVLYSVNEN[115]GNITVIQAHR;AN[115]YTGQIVLYSVNEN[115]GN[115]ITVIQAHR;AN[115]YTGQIVLYSVN[115]ENGNITVIQAHR;YSVNENGN[115]ITVIQAHR;YSVNEN[115]GN[115]ITVIQAHR;SVNENGN[115]ITVIQAHR;SVNEN[115]GN[115]ITVIQAHR;SVN[115]ENGN[115]ITVIQAHR;SVN[115]EN[115]GN[115]ITVIQAHR;NENGN[115]ITVIQAHR;NEN[115]GN[115]ITVIQAHR;ENGN[115]ITVIQAHR;NGN[115]ITVIQAHR;GN[115]ITVIQAHR;N[115]ITLDADGFSSR;TASCSN[115]VTCWLK;DVHMKGEYFVN[115]VTTR;GEYFVN[115]VTTR;YFVN[115]VTTR;IWN[115]GTFASSTF</t>
  </si>
  <si>
    <t>P17301</t>
  </si>
  <si>
    <t>3D-structure;Calcium;Cell adhesion;Complete proteome;Direct protein sequencing;Disulfide bond;Glycoprotein;Host cell receptor for virus entry;Host-virus interaction;Integrin;Magnesium;Membrane;Metal-binding;Polymorphism;Receptor;Reference proteome;Repeat;Signal;Transmembrane;Transmembrane helix</t>
  </si>
  <si>
    <t>UniRef100_P17301;UniRef90_P17301;UniRef50_P17301</t>
  </si>
  <si>
    <t>CXA1_HUMAN</t>
  </si>
  <si>
    <t>Gap junction alpha-1 protein</t>
  </si>
  <si>
    <t>GJA1</t>
  </si>
  <si>
    <t>CY:1-19;TM:20-40;NC:41-76;TM:77-99;CY:100-153;TM:154-176;NC:177-207;TM:208-233;CY:234-382</t>
  </si>
  <si>
    <t>ENSG00000152661</t>
  </si>
  <si>
    <t>ENSP00000282561</t>
  </si>
  <si>
    <t>294;295;312</t>
  </si>
  <si>
    <t>3D-structure;Cataract;Cell junction;Cell membrane;Complete proteome;Disease mutation;Disulfide bond;Gap junction;Isopeptide bond;Membrane;Phosphoprotein;Polymorphism;Reference proteome;S-nitrosylation;Transmembrane;Transmembrane helix;Ubl conjugation</t>
  </si>
  <si>
    <t>UniRef100_P17302;UniRef90_P17302;UniRef50_P17302</t>
  </si>
  <si>
    <t>Cytoskeleton;Extracellular space;Nucleus;Peroxisome</t>
  </si>
  <si>
    <t>ANPRC_HUMAN</t>
  </si>
  <si>
    <t>Atrial natriuretic peptide receptor 3</t>
  </si>
  <si>
    <t>NPR3</t>
  </si>
  <si>
    <t>SP:1-21;NC:22-483;TM:484-504;CY:505-541</t>
  </si>
  <si>
    <t>ENSG00000113389</t>
  </si>
  <si>
    <t>ENSP00000265074</t>
  </si>
  <si>
    <t>86;293;394;469</t>
  </si>
  <si>
    <t>86;394</t>
  </si>
  <si>
    <t>LFN[115]SSSYGDGSWK;IIQQTWN[115]R</t>
  </si>
  <si>
    <t>293;394</t>
  </si>
  <si>
    <t>P17342</t>
  </si>
  <si>
    <t>3D-structure;Alternative splicing;Chloride;Complete proteome;Direct protein sequencing;Disulfide bond;Glycoprotein;Membrane;Receptor;Reference proteome;Signal;Transmembrane;Transmembrane helix</t>
  </si>
  <si>
    <t>UniRef100_P17342;UniRef90_P17342;UniRef50_P17342</t>
  </si>
  <si>
    <t>DB04899</t>
  </si>
  <si>
    <t>TYRP1_HUMAN</t>
  </si>
  <si>
    <t>5,6-dihydroxyindole-2-carboxylic acid oxidase</t>
  </si>
  <si>
    <t>TYRP1</t>
  </si>
  <si>
    <t>SP:1-24;NC:25-477;TM:478-501;CY:502-537</t>
  </si>
  <si>
    <t>ENSG00000107165</t>
  </si>
  <si>
    <t>ENSP00000373570</t>
  </si>
  <si>
    <t>96;104;181;304;350;385;533</t>
  </si>
  <si>
    <t>TCHCNGN[115]FSGHNCGTCR;VVCDSLEDYDTLGTLCN[115]STEDGPIR;VVCDSLEDYDTLGTLCN[115]STEDGPIRR</t>
  </si>
  <si>
    <t>104;304</t>
  </si>
  <si>
    <t>P17643</t>
  </si>
  <si>
    <t>Melanosome membrane (Single- pass type I membrane protein)</t>
  </si>
  <si>
    <t>Albinism;Complete proteome;Copper;Direct protein sequencing;Disease mutation;Glycoprotein;Melanin biosynthesis;Membrane;Metal-binding;Monooxygenase;Oxidoreductase;Polymorphism;Reference proteome;Signal;Transmembrane;Transmembrane helix</t>
  </si>
  <si>
    <t>UniRef100_P17643;UniRef90_P17643;UniRef50_P07147</t>
  </si>
  <si>
    <t>Endosome</t>
  </si>
  <si>
    <t>Cytoskeleton;Cytosol;Endoplasmic Reticulum;Extracellular space;Golgi apparatus;Lysosome;Mitochondrion;Nucleus;Peroxisome;Plasma membrane</t>
  </si>
  <si>
    <t>HLAG_HUMAN</t>
  </si>
  <si>
    <t>HLA class I histocompatibility antigen, alpha chain G</t>
  </si>
  <si>
    <t>HLA-G</t>
  </si>
  <si>
    <t>SP:1-24;NC:25-305;TM:306-332;CY:333-338</t>
  </si>
  <si>
    <t>ENSG00000204632;ENSG00000206506;ENSG00000233095;ENSG00000235346;ENSG00000235680;ENSG00000230413;ENSG00000237216</t>
  </si>
  <si>
    <t>ENSP00000353472;ENSP00000373116;ENSP00000389522;ENSP00000405238;ENSP00000412927;ENSP00000388176;ENSP00000398200;ENSP00000408773;ENSP00000447762;ENSP00000447780;ENSP00000448085;ENSP00000448363;ENSP00000449903;ENSP00000449291</t>
  </si>
  <si>
    <t>3D-structure;Complete proteome;Disulfide bond;Glycoprotein;Immunity;Membrane;MHC I;Reference proteome;Signal;Transmembrane;Transmembrane helix</t>
  </si>
  <si>
    <t>UniRef100_P17693;UniRef90_P17693;UniRef50_P17693</t>
  </si>
  <si>
    <t>ACHB2_HUMAN</t>
  </si>
  <si>
    <t>Neuronal acetylcholine receptor subunit beta-2</t>
  </si>
  <si>
    <t>CHRNB2</t>
  </si>
  <si>
    <t>SP:1-25;NC:26-234;TM:235-258;CY:259-266;TM:267-288;NC:289-299;TM:300-321;CY:322-460;TM:461-482;NC:483-502</t>
  </si>
  <si>
    <t>ENSG00000160716</t>
  </si>
  <si>
    <t>ENSP00000357461</t>
  </si>
  <si>
    <t>51;168;485</t>
  </si>
  <si>
    <t>168;485</t>
  </si>
  <si>
    <t>3D-structure;Cell junction;Cell membrane;Complete proteome;Disease mutation;Disulfide bond;Epilepsy;Glycoprotein;Ion channel;Ion transport;Ligand-gated ion channel;Membrane;Polymorphism;Postsynaptic cell membrane;Receptor;Reference proteome;Signal;Synapse;Transmembrane;Transmembrane helix;Transport</t>
  </si>
  <si>
    <t>UniRef100_P17787;UniRef90_P17787;UniRef50_Q9ERK7</t>
  </si>
  <si>
    <t>DB00184;DB00514;DB00674</t>
  </si>
  <si>
    <t>EGLN_HUMAN</t>
  </si>
  <si>
    <t>Endoglin</t>
  </si>
  <si>
    <t>ENG</t>
  </si>
  <si>
    <t>SP:1-25;NC:26-587;TM:588-614;CY:615-658</t>
  </si>
  <si>
    <t>ENSG00000106991</t>
  </si>
  <si>
    <t>ENSP00000362299</t>
  </si>
  <si>
    <t>CD105</t>
  </si>
  <si>
    <t>88;102;121;134;307;641</t>
  </si>
  <si>
    <t>328;329;336;337;343;344;349;357;576;634;635;637;638;639;643;646;649</t>
  </si>
  <si>
    <t>QN[115]GTWPR;GIPLHLAYN[115]SSLVTFQEPPGVN[115]TTELPSFPK;HLAYN[115]SSLVTFQEPPGVN[115]TTELPSFPK;AYN[115]SSLVTFQEPPGVN[115]TTELPSFPK;SLVTFQEPPGVN[115]TTELPSFPK;VTFQEPPGVN[115]TTELPSFPK;TFQEPPGVN[115]TTELPSFPK;FQEPPGVN[115]TTELPSFPK;MLN[115]ASIVASFVELPLAS</t>
  </si>
  <si>
    <t>88;121;134;307</t>
  </si>
  <si>
    <t>P17813</t>
  </si>
  <si>
    <t>Alternative splicing;Angiogenesis;Cell adhesion;Complete proteome;Direct protein sequencing;Disease mutation;Glycoprotein;Membrane;Phosphoprotein;Polymorphism;Reference proteome;Signal;Transmembrane;Transmembrane helix</t>
  </si>
  <si>
    <t>UniRef100_P17813;UniRef90_P17813;UniRef50_P17813</t>
  </si>
  <si>
    <t>CR1_HUMAN</t>
  </si>
  <si>
    <t>Complement receptor type 1</t>
  </si>
  <si>
    <t>CR1</t>
  </si>
  <si>
    <t>SP:1-41;NC:42-1971;TM:1972-1996;CY:1997-2039</t>
  </si>
  <si>
    <t>ENSG00000203710</t>
  </si>
  <si>
    <t>ENSP00000356018;ENSP00000356020;ENSP00000383744</t>
  </si>
  <si>
    <t>CD35</t>
  </si>
  <si>
    <t>56;156;252;315;410;447;509;578;702;765;860;897;959;1028;1152;1215;1310;1481;1504;1534;1540;1605;1668;1763;1908</t>
  </si>
  <si>
    <t>40;48;92;154;225;286;346;409;480;542;604;675;736;796;859;930;992;1054;1125;1186;1246;1309;1380;1445;1507;1578;1639;1699;1762;1833;1897;1949;1958;1993</t>
  </si>
  <si>
    <t>N[115]YTCDPHPDR;TQTN[115]ASDFPIGTSLK;AVN[115]YTCDPHPDR;LIGSPSTTCLVSGNN[115]VTWDK;TSFHN[115]GTVVTY</t>
  </si>
  <si>
    <t>447;509;897;1504;1540</t>
  </si>
  <si>
    <t>P17927</t>
  </si>
  <si>
    <t>3D-structure;Blood group antigen;Complement pathway;Complete proteome;Disulfide bond;Glycoprotein;Immunity;Innate immunity;Membrane;Polymorphism;Pyrrolidone carboxylic acid;Receptor;Reference proteome;Repeat;Signal;Sushi;Transmembrane;Transmembrane helix</t>
  </si>
  <si>
    <t>UniRef100_P17927;UniRef90_P17927;UniRef50_P17927</t>
  </si>
  <si>
    <t>VGFR1_HUMAN</t>
  </si>
  <si>
    <t>Vascular endothelial growth factor receptor 1</t>
  </si>
  <si>
    <t>FLT1</t>
  </si>
  <si>
    <t>SP:1-26;NC:27-758;TM:759-780;CY:781-1338</t>
  </si>
  <si>
    <t>ENSG00000102755</t>
  </si>
  <si>
    <t>ENSP00000282397</t>
  </si>
  <si>
    <t>100;164;196;251;323;402;417;474;547;597;620;625;666;916;1234</t>
  </si>
  <si>
    <t>68;277;436;599;603;605;959;961;962;963;965;968;969;1185;1197;1199;1236;1237;1263;1268;1277;1288;1291;1295;1296;1301</t>
  </si>
  <si>
    <t>SVN[115]TSVHIYDK</t>
  </si>
  <si>
    <t>P17948</t>
  </si>
  <si>
    <t>Cell membrane (Single-pass type I membrane protein);Endosome;Secreted;Secreted;Secreted;Cytoplasm;Cytoplasm;Cytoplasm</t>
  </si>
  <si>
    <t>3D-structure;Alternative splicing;Angiogenesis;ATP-binding;Cell membrane;Chemotaxis;Complete proteome;Cytoplasm;Developmental protein;Differentiation;Direct protein sequencing;Disulfide bond;Endosome;Glycoprotein;Immunoglobulin domain;Kinase;Membrane;Nucleotide-binding;Phosphoprotein;Polymorphism;Receptor;Reference proteome;Repeat;Secreted;Signal;Transferase;Transmembrane;Transmembrane helix;Tyrosine-protein kinase;Ubl conjugation</t>
  </si>
  <si>
    <t>UniRef100_P17948;UniRef90_P17948;UniRef50_P17948</t>
  </si>
  <si>
    <t>Endosome;Extracellular space;Plasma membrane</t>
  </si>
  <si>
    <t>DB00398;DB01268;DB06589;DB06626;DB08896</t>
  </si>
  <si>
    <t>ITB5_HUMAN</t>
  </si>
  <si>
    <t>Integrin beta-5</t>
  </si>
  <si>
    <t>ITGB5</t>
  </si>
  <si>
    <t>SP:1-24;NC:25-720;TM:721-745;CY:746-799</t>
  </si>
  <si>
    <t>ENSG00000082781</t>
  </si>
  <si>
    <t>ENSP00000296181</t>
  </si>
  <si>
    <t>347;460;477;505;552;586;654;705;791;795</t>
  </si>
  <si>
    <t>N[115]FTALIPGTTVEILDGDSK;CN[115]GSGTYVCGLCECSPGYLGTR;IYGPFCECDN[115]FSCAR;CHAGYIGDNCN[115]CSTDISTCR;CHAGYIGDN[115]CN[115]CSTDISTCR;IGDNCN[115]CSTDISTCR;RDCVECLLLHSGKPDN[115]QTCH;DCVECLLLHSGKPDN[115]QTCH;DCVECLLLHSGKPDN[115]QTCHSLCR;HSGKPDN[115]QTCHSLCR;SGKPDN[115]QTCHSLCR;SN[115]LTVLR</t>
  </si>
  <si>
    <t>347;477;552;586;654;705</t>
  </si>
  <si>
    <t>P18084</t>
  </si>
  <si>
    <t>Cell adhesion;Complete proteome;Disulfide bond;Glycoprotein;Integrin;Membrane;Polymorphism;Receptor;Reference proteome;Repeat;Signal;Transmembrane;Transmembrane helix</t>
  </si>
  <si>
    <t>UniRef100_P18084;UniRef90_P18084;UniRef50_P18084</t>
  </si>
  <si>
    <t>ADA2B_HUMAN</t>
  </si>
  <si>
    <t>Alpha-2B adrenergic receptor</t>
  </si>
  <si>
    <t>ADRA2B</t>
  </si>
  <si>
    <t>NC:1-12;TM:13-37;CY:38-48;TM:49-68;NC:69-87;TM:88-108;CY:109-128;TM:129-150;NC:151-169;TM:170-196;CY:197-365;TM:366-387;NC:388-405;TM:406-426;CY:427-447</t>
  </si>
  <si>
    <t>3D-structure;Cell membrane;Complete proteome;Disulfide bond;G-protein coupled receptor;Lipoprotein;Membrane;Palmitate;Polymorphism;Receptor;Reference proteome;Transducer;Transmembrane;Transmembrane helix</t>
  </si>
  <si>
    <t>UniRef100_P18089;UniRef90_P18089;UniRef50_P18089</t>
  </si>
  <si>
    <t>DB00246;DB00248;DB00268;DB00292;DB00334;DB00363;DB00368;DB00408;DB00413;DB00457;DB00484;DB00575;DB00589;DB00629;DB00668;DB00696;DB00697;DB00714;DB00726;DB00734;DB00797;DB00800;DB00925;DB00935;DB00964;DB01018;DB01136;DB01142;DB01186;DB01200;DB01224;DB01238;DB01267;DB01363;DB01392;DB01403;DB01577;DB04855;DB05271;DB06148;DB06216;DB06262;DB06694;DB00217;DB00477;DB00540;DB00543;DB00934;DB01049;DB01151;DB00182;DB01365</t>
  </si>
  <si>
    <t>PTPRA_HUMAN</t>
  </si>
  <si>
    <t>Receptor-type tyrosine-protein phosphatase alpha</t>
  </si>
  <si>
    <t>PTPRA</t>
  </si>
  <si>
    <t>SP:1-21;NC:22-142;TM:143-166;CY:167-802</t>
  </si>
  <si>
    <t>ENSG00000132670</t>
  </si>
  <si>
    <t>21;36;68;80;86;104;124;297;590;684</t>
  </si>
  <si>
    <t>21;51;68;86;104</t>
  </si>
  <si>
    <t>LIN[115]SSTAEPVKEEAK</t>
  </si>
  <si>
    <t>P18433</t>
  </si>
  <si>
    <t>Alternative splicing;Complete proteome;Glycoprotein;Hydrolase;Membrane;Phosphoprotein;Polymorphism;Protein phosphatase;Reference proteome;Repeat;Signal;Transmembrane;Transmembrane helix</t>
  </si>
  <si>
    <t>UniRef100_P18433;UniRef90_P18433;UniRef50_P18433</t>
  </si>
  <si>
    <t>1A25_HUMAN</t>
  </si>
  <si>
    <t>HLA class I histocompatibility antigen, A-25 alpha chain</t>
  </si>
  <si>
    <t>ENSG00000206505</t>
  </si>
  <si>
    <t>ENSP00000373100</t>
  </si>
  <si>
    <t>IALRYYN[115]QSEDGSHTIQR</t>
  </si>
  <si>
    <t>P18462</t>
  </si>
  <si>
    <t>UniRef100_P18462;UniRef90_P01892;UniRef50_P01892</t>
  </si>
  <si>
    <t>1B37_HUMAN</t>
  </si>
  <si>
    <t>HLA class I histocompatibility antigen, B-37 alpha chain</t>
  </si>
  <si>
    <t>ENSG00000206450</t>
  </si>
  <si>
    <t>ENSP00000352656</t>
  </si>
  <si>
    <t>UniRef100_P18463;UniRef90_P01889;UniRef50_P01892</t>
  </si>
  <si>
    <t>1B51_HUMAN</t>
  </si>
  <si>
    <t>HLA class I histocompatibility antigen, B-51 alpha chain</t>
  </si>
  <si>
    <t>UniRef100_P18464;UniRef90_P01889;UniRef50_P01892</t>
  </si>
  <si>
    <t>1B57_HUMAN</t>
  </si>
  <si>
    <t>HLA class I histocompatibility antigen, B-57 alpha chain</t>
  </si>
  <si>
    <t>YYN[115]QSEAGSHIIQV;YYN[115]QSEAGSHIIQVM;YYN[115]QSEAGSHIIQVMYGCDV;YYN[115]QSEAGSHIIQVMYGCDVGPDGR</t>
  </si>
  <si>
    <t>P18465</t>
  </si>
  <si>
    <t>UniRef100_P18465;UniRef90_P01889;UniRef50_P01892</t>
  </si>
  <si>
    <t>GBRB1_HUMAN</t>
  </si>
  <si>
    <t>Gamma-aminobutyric acid receptor subunit beta-1</t>
  </si>
  <si>
    <t>GABRB1</t>
  </si>
  <si>
    <t>SP:1-24;NC:25-242;TM:243-266;CY:267-273;TM:274-293;NC:294-307;TM:308-331;CY:332-454;TM:455-472;NC:473-474</t>
  </si>
  <si>
    <t>ENSG00000163288</t>
  </si>
  <si>
    <t>ENSP00000295454</t>
  </si>
  <si>
    <t>33;105;174;376</t>
  </si>
  <si>
    <t>105;174;376</t>
  </si>
  <si>
    <t>Alternative splicing;Cell junction;Cell membrane;Chloride;Chloride channel;Complete proteome;Disulfide bond;Glycoprotein;Ion channel;Ion transport;Ligand-gated ion channel;Membrane;Polymorphism;Postsynaptic cell membrane;Receptor;Reference proteome;Signal;Synapse;Transmembrane;Transmembrane helix;Transport</t>
  </si>
  <si>
    <t>UniRef100_P18505;UniRef90_P15431;UniRef50_P15431</t>
  </si>
  <si>
    <t>DB00231;DB00431;DB00546;DB00683;DB00690;DB00801;DB00829;DB00842;DB00897;DB01215;DB01440;DB01558;DB01559;DB01567;DB01587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</si>
  <si>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GBRG2_HUMAN</t>
  </si>
  <si>
    <t>Gamma-aminobutyric acid receptor subunit gamma-2</t>
  </si>
  <si>
    <t>GABRG2</t>
  </si>
  <si>
    <t>SP:1-38;NC:39-272;TM:273-295;CY:296-304;TM:305-323;NC:324-336;TM:337-360;CY:361-443;TM:444-465;NC:466-467</t>
  </si>
  <si>
    <t>ENSG00000113327</t>
  </si>
  <si>
    <t>ENSP00000354651</t>
  </si>
  <si>
    <t>52;129;247;393</t>
  </si>
  <si>
    <t>Alternative splicing;Cell junction;Cell membrane;Chloride;Chloride channel;Complete proteome;Disease mutation;Disulfide bond;Epilepsy;Glycoprotein;Ion channel;Ion transport;Lipoprotein;Membrane;Palmitate;Postsynaptic cell membrane;Reference proteome;Signal;Synapse;Transmembrane;Transmembrane helix;Transport</t>
  </si>
  <si>
    <t>UniRef100_P18507;UniRef90_P18507;UniRef50_P18507</t>
  </si>
  <si>
    <t>DB00231;DB00546;DB00683;DB00690;DB00801;DB00829;DB00842;DB00897;DB01205;DB01215;DB01381;DB01558;DB01559;DB01567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</si>
  <si>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ITB6_HUMAN</t>
  </si>
  <si>
    <t>Integrin beta-6</t>
  </si>
  <si>
    <t>ITGB6</t>
  </si>
  <si>
    <t>SP:1-21;NC:22-709;TM:710-733;CY:734-788</t>
  </si>
  <si>
    <t>ENSG00000115221</t>
  </si>
  <si>
    <t>ENSP00000283249;ENSP00000386367</t>
  </si>
  <si>
    <t>48;97;260;387;396;463;471;541;575;771</t>
  </si>
  <si>
    <t>91;99;510</t>
  </si>
  <si>
    <t>QKN[115]SSDIVQIAPQSL;QKN[115]SSDIVQIAPQSLILK</t>
  </si>
  <si>
    <t>P18564</t>
  </si>
  <si>
    <t>3D-structure;Alternative splicing;Cell adhesion;Complete proteome;Disulfide bond;Glycoprotein;Host cell receptor for virus entry;Host-virus interaction;Integrin;Membrane;Polymorphism;Receptor;Reference proteome;Repeat;Signal;Transmembrane;Transmembrane helix</t>
  </si>
  <si>
    <t>UniRef100_P18564;UniRef90_P18564;UniRef50_P18564</t>
  </si>
  <si>
    <t>LAG3_HUMAN</t>
  </si>
  <si>
    <t>Lymphocyte activation gene 3 protein</t>
  </si>
  <si>
    <t>LAG3</t>
  </si>
  <si>
    <t>SP:1-17;NC:18-449;TM:450-474;CY:475-525</t>
  </si>
  <si>
    <t>ENSG00000089692</t>
  </si>
  <si>
    <t>ENSP00000203629</t>
  </si>
  <si>
    <t>CD223</t>
  </si>
  <si>
    <t>188;250;256;343</t>
  </si>
  <si>
    <t>256;343</t>
  </si>
  <si>
    <t>UniRef100_P18627;UniRef90_P18627;UniRef50_P18627</t>
  </si>
  <si>
    <t>ADA2C_HUMAN</t>
  </si>
  <si>
    <t>Alpha-2C adrenergic receptor</t>
  </si>
  <si>
    <t>ADRA2C</t>
  </si>
  <si>
    <t>NC:1-49;TM:50-76;CY:77-87;TM:88-108;NC:109-124;TM:125-147;CY:148-167;TM:168-188;NC:189-208;TM:209-231;CY:232-379;TM:380-401;NC:402-420;TM:421-440;CY:441-462</t>
  </si>
  <si>
    <t>ENSG00000184160</t>
  </si>
  <si>
    <t>ENSP00000386069</t>
  </si>
  <si>
    <t>19;33;429</t>
  </si>
  <si>
    <t>LAVAAAAGPN[115]ASGAGER;VAAAAGPN[115]ASGAGER</t>
  </si>
  <si>
    <t>P18825</t>
  </si>
  <si>
    <t>UniRef100_P18825;UniRef90_P18825;UniRef50_P18825</t>
  </si>
  <si>
    <t>DB00246;DB00248;DB00268;DB00334;DB00363;DB00368;DB00370;DB00408;DB00413;DB00484;DB00575;DB00589;DB00668;DB00697;DB00714;DB00734;DB00797;DB00800;DB00925;DB00935;DB01136;DB01142;DB01186;DB01200;DB01224;DB01238;DB01267;DB01363;DB01392;DB01403;DB01577;DB04855;DB04946;DB06148;DB06216;DB06262;DB06694;DB08815;DB00217;DB00477;DB00540;DB00543;DB00934;DB01049;DB01151;DB00182;DB01365</t>
  </si>
  <si>
    <t>SDC1_HUMAN</t>
  </si>
  <si>
    <t>Syndecan-1</t>
  </si>
  <si>
    <t>SDC1</t>
  </si>
  <si>
    <t>SP:1-22;NC:23-252;TM:253-276;CY:277-310</t>
  </si>
  <si>
    <t>ENSG00000115884</t>
  </si>
  <si>
    <t>ENSP00000254351;ENSP00000370542</t>
  </si>
  <si>
    <t>CD138</t>
  </si>
  <si>
    <t>Other_receptors;Syndecan</t>
  </si>
  <si>
    <t>43;231</t>
  </si>
  <si>
    <t>3D-structure;Complete proteome;Glycoprotein;Heparan sulfate;Membrane;Polymorphism;Proteoglycan;Reference proteome;Secreted;Signal;Transmembrane;Transmembrane helix</t>
  </si>
  <si>
    <t>UniRef100_P18827;UniRef90_P18827;UniRef50_P18827</t>
  </si>
  <si>
    <t>AMD_HUMAN</t>
  </si>
  <si>
    <t>Peptidyl-glycine alpha-amidating monooxygenase</t>
  </si>
  <si>
    <t>PAM</t>
  </si>
  <si>
    <t>SP:1-20;NC:21-864;TM:865-887;CY:888-973</t>
  </si>
  <si>
    <t>ENSG00000145730</t>
  </si>
  <si>
    <t>ENSP00000396493</t>
  </si>
  <si>
    <t>1.14.17.3/4.3.2.5</t>
  </si>
  <si>
    <t>411;762</t>
  </si>
  <si>
    <t>Membrane (Single-pass type I membrane protein);Membrane (Single-pass type I membrane protein);Secreted;Secreted</t>
  </si>
  <si>
    <t>Alternative splicing;Cleavage on pair of basic residues;Complete proteome;Copper;Disulfide bond;Glycoprotein;Lyase;Membrane;Metal-binding;Monooxygenase;Multifunctional enzyme;Oxidoreductase;Phosphoprotein;Polymorphism;Reference proteome;Repeat;Secreted;Signal;Sulfation;Transmembrane;Transmembrane helix;Vitamin C;Zinc</t>
  </si>
  <si>
    <t>UniRef100_P19021;UniRef90_P19021;UniRef50_P14925</t>
  </si>
  <si>
    <t>CADH2_HUMAN</t>
  </si>
  <si>
    <t>Cadherin-2</t>
  </si>
  <si>
    <t>CDH2</t>
  </si>
  <si>
    <t>SP:1-25;NC:26-722;TM:723-746;CY:747-906</t>
  </si>
  <si>
    <t>ENSG00000170558</t>
  </si>
  <si>
    <t>ENSP00000269141</t>
  </si>
  <si>
    <t>CD325</t>
  </si>
  <si>
    <t>190;273;325;402;572;622;651;692;874</t>
  </si>
  <si>
    <t>IVSQAPSTPSPNMFTINN[115]ETGDIITVAAGLDR;MFTINN[115]ETGDIITVAAGLDR;TINN[115]ETGDIITVAAGLDR;VDIIVAN[115]LTVTDK;VDIIVAN[115]LTVTDKDQPHTPAWN;VDIIVAN[115]LTVTDKDQPHTPAWNAVYR;RN[115]WTITR;SN[115]ISILR</t>
  </si>
  <si>
    <t>325;402;651;692</t>
  </si>
  <si>
    <t>P19022</t>
  </si>
  <si>
    <t>Alternative splicing;Calcium;Cell adhesion;Cell membrane;Cleavage on pair of basic residues;Complete proteome;Glycoprotein;Membrane;Metal-binding;Polymorphism;Reference proteome;Repeat;Signal;Transmembrane;Transmembrane helix</t>
  </si>
  <si>
    <t>UniRef100_P19022;UniRef90_P15116;UniRef50_P15116</t>
  </si>
  <si>
    <t>TSN8_HUMAN</t>
  </si>
  <si>
    <t>Tetraspanin-8</t>
  </si>
  <si>
    <t>TSPAN8</t>
  </si>
  <si>
    <t>CY:1-11;TM:12-33;NC:34-52;TM:53-74;CY:75-83;TM:84-109;NC:110-205;TM:206-231;CY:232-237</t>
  </si>
  <si>
    <t>ENSG00000127324</t>
  </si>
  <si>
    <t>ENSP00000247829;ENSP00000377003;ENSP00000447160</t>
  </si>
  <si>
    <t>37;118</t>
  </si>
  <si>
    <t>SDRIVN[115]ETLYENTK;IVN[115]ETLYENTK;IVN[115]ETLYEN[115]TK</t>
  </si>
  <si>
    <t>P19075</t>
  </si>
  <si>
    <t>UniRef100_P19075;UniRef90_P19075;UniRef50_P19075</t>
  </si>
  <si>
    <t>EPOR_HUMAN</t>
  </si>
  <si>
    <t>Erythropoietin receptor</t>
  </si>
  <si>
    <t>EPOR</t>
  </si>
  <si>
    <t>SP:1-22;NC:23-250;TM:251-272;CY:273-508</t>
  </si>
  <si>
    <t>ENSG00000187266</t>
  </si>
  <si>
    <t>ENSP00000222139</t>
  </si>
  <si>
    <t>3D-structure;Alternative splicing;Cell membrane;Complete proteome;Congenital erythrocytosis;Disease mutation;Disulfide bond;Glycoprotein;Isopeptide bond;Membrane;Phosphoprotein;Polymorphism;Receptor;Reference proteome;Secreted;Signal;Transmembrane;Transmembrane helix;Ubl conjugation</t>
  </si>
  <si>
    <t>UniRef100_P19235;UniRef90_P19235;UniRef50_P14753</t>
  </si>
  <si>
    <t>DB00012;DB00016;DB08894;DB08923</t>
  </si>
  <si>
    <t>LFA3_HUMAN</t>
  </si>
  <si>
    <t>Lymphocyte function-associated antigen 3</t>
  </si>
  <si>
    <t>CD58</t>
  </si>
  <si>
    <t>SP:1-30;NC:31-216;TM:217-237;CY:238-250</t>
  </si>
  <si>
    <t>ENSG00000116815</t>
  </si>
  <si>
    <t>ENSP00000358501</t>
  </si>
  <si>
    <t>40;94;109;135;169;195</t>
  </si>
  <si>
    <t>FSQQIYGVVYGN[115]VTFHVPSNVPLK;GVVYGN[115]VTFHVPSNVPLK;VVYGN[115]VTFHVPSNVPLK;VYGN[115]VTFHVPSNVPLK;YGN[115]VTFHVPSNVPLK;GN[115]VTFHVPSNVPLK;N[115]LTSSDEDEYEMESPN[115]ITDTMK;DEDEYEMESPN[115]ITDTMK;ESPN[115]ITDTMK;RN[115]STSIYFK;N[115]STSIYFK;IQCTLSNPLFN[115]T;IQCTLSNPLFN[115]TTSSIILTTCIPSSGHSR</t>
  </si>
  <si>
    <t>40;94;109;169;195</t>
  </si>
  <si>
    <t>P19256</t>
  </si>
  <si>
    <t>Cell membrane (Single-pass type I membrane protein);Cell membrane (Lipid-anchor, GPI- anchor)</t>
  </si>
  <si>
    <t>3D-structure;Alternative splicing;Cell membrane;Complete proteome;Direct protein sequencing;Disulfide bond;Glycoprotein;GPI-anchor;Immunoglobulin domain;Lipoprotein;Membrane;Polymorphism;Reference proteome;Signal;Transmembrane;Transmembrane helix</t>
  </si>
  <si>
    <t>UniRef100_P19256;UniRef90_P19256;UniRef50_P19256</t>
  </si>
  <si>
    <t>VCAM1_HUMAN</t>
  </si>
  <si>
    <t>Vascular cell adhesion protein 1</t>
  </si>
  <si>
    <t>VCAM1</t>
  </si>
  <si>
    <t>SP:1-24;NC:25-699;TM:700-720;CY:721-739</t>
  </si>
  <si>
    <t>ENSG00000162692</t>
  </si>
  <si>
    <t>ENSP00000294728</t>
  </si>
  <si>
    <t>CD106</t>
  </si>
  <si>
    <t>273;365;417;463;531;561</t>
  </si>
  <si>
    <t>231;273;365;417;463;531;561</t>
  </si>
  <si>
    <t>412;730</t>
  </si>
  <si>
    <t>LDNGNLQHLSGN[115]ATLTL;LDNGNLQHLSGN[115]ATLTLIAMR;LDNGN[115]LQHLSGN[115]ATLTLIAMR;LDN[115]GNLQHLSGN[115]ATLTL;LDN[115]GNLQHLSGN[115]ATLTLIAMR;SEGTN[115]STLTLSPVSFENEH;SEGTN[115]STLTLSPVSFENEHSY;SEGTN[115]STLTLSPVSFENEHSYL;SEGTN[115]STLTLSPVSFENEHSYLCTVTCGH;SEGTN[115]STLTLSPVSFENEHSYLCTVTCGHK;SEGTN[115]STLTLSPVSFEN[115]EHSYLCTVTCGHK;DPEIEMSGGLVN[115]GSSVTVSCK;SGGLVN[115]GSSVTVSCK;GGLVN[115]GSSVTVSCK;DTTVLVSPSSILEEGSSVN[115]MTCLSQGFPAPK;QLPNGELQPLSEN[115]ATLTLISTK;QLPN[115]GELQPLSEN[115]ATLTLISTK;GELQPLSEN[115]ATLTLISTK;ELQPLSEN[115]ATLTLISTK;PLSEN[115]ATLTLISTK;SEN[115]ATLTLISTK</t>
  </si>
  <si>
    <t>273;365;417;531;561</t>
  </si>
  <si>
    <t>P19320</t>
  </si>
  <si>
    <t>3D-structure;Alternative splicing;Cell adhesion;Complete proteome;Direct protein sequencing;Disulfide bond;Glycoprotein;Host-virus interaction;Immunoglobulin domain;Membrane;Polymorphism;Reference proteome;Repeat;Signal;Transmembrane;Transmembrane helix</t>
  </si>
  <si>
    <t>UniRef100_P19320;UniRef90_P19320;UniRef50_P19320</t>
  </si>
  <si>
    <t>CD53_HUMAN</t>
  </si>
  <si>
    <t>Leukocyte surface antigen CD53</t>
  </si>
  <si>
    <t>CD53</t>
  </si>
  <si>
    <t>CY:1-11;TM:12-36;NC:37-51;TM:52-72;CY:73-80;TM:81-106;NC:107-181;TM:182-205;CY:206-219</t>
  </si>
  <si>
    <t>ENSG00000143119</t>
  </si>
  <si>
    <t>ENSP00000271324</t>
  </si>
  <si>
    <t>129;148</t>
  </si>
  <si>
    <t>GLTDSIHRYHSDN[115]STK;YHSDN[115]STK;AAWDSIQSFLQCCGIN[115]GTSDWTSGPPASCPSDR;LQCCGIN[115]GTSDWTSGPPASCPSDR;GIN[115]GTSDWTSGPPASCPSDR;IN[115]GTSDWTSGPPASCPSDR</t>
  </si>
  <si>
    <t>P19397</t>
  </si>
  <si>
    <t>Cell junction;Cell membrane;Membrane (Multi-pass membrane protein)</t>
  </si>
  <si>
    <t>Cell junction;Cell membrane;Complete proteome;Glycoprotein;Membrane;Reference proteome;Transmembrane;Transmembrane helix</t>
  </si>
  <si>
    <t>UniRef100_P19397;UniRef90_P19397;UniRef50_P19397</t>
  </si>
  <si>
    <t>TNR1A_HUMAN</t>
  </si>
  <si>
    <t>Tumor necrosis factor receptor superfamily member 1A</t>
  </si>
  <si>
    <t>TNFRSF1A</t>
  </si>
  <si>
    <t>SP:1-24;NC:25-211;TM:212-234;CY:235-455</t>
  </si>
  <si>
    <t>ENSG00000067182</t>
  </si>
  <si>
    <t>ENSP00000162749</t>
  </si>
  <si>
    <t>CD120a</t>
  </si>
  <si>
    <t>54;145;151</t>
  </si>
  <si>
    <t>54;145;151;270</t>
  </si>
  <si>
    <t>42;157;251;252;262;263;264;272;276;280;282;290;291;292;294;295;296;297;298;300;327;331;344;350</t>
  </si>
  <si>
    <t>YIHPQN[115]NSICCTK</t>
  </si>
  <si>
    <t>P19438</t>
  </si>
  <si>
    <t>Cell membrane (Single-pass type I membrane protein);Golgi apparatus membrane (Single- pass type I membrane protein);Secreted;Secreted</t>
  </si>
  <si>
    <t>3D-structure;Alternative splicing;Amyloidosis;Apoptosis;Cell membrane;Cleavage on pair of basic residues;Complete proteome;Direct protein sequencing;Disease mutation;Disulfide bond;Glycoprotein;Golgi apparatus;Host-virus interaction;Membrane;Polymorphism;Receptor;Reference proteome;Repeat;Secreted;Signal;Transmembrane;Transmembrane helix</t>
  </si>
  <si>
    <t>UniRef100_P19438;UniRef90_P19438;UniRef50_P19438</t>
  </si>
  <si>
    <t>GGT1_HUMAN</t>
  </si>
  <si>
    <t>Gamma-glutamyltranspeptidase 1</t>
  </si>
  <si>
    <t>GGT1</t>
  </si>
  <si>
    <t>CY:1-6;TM:7-27;NC:28-569</t>
  </si>
  <si>
    <t>ENSG00000100031</t>
  </si>
  <si>
    <t>ENSP00000248923;ENSP00000383231;ENSP00000383232</t>
  </si>
  <si>
    <t>CD224</t>
  </si>
  <si>
    <t>95;120;230;266;297;344;511</t>
  </si>
  <si>
    <t>LAFATMFN[115]SSEQSQK;LAFATMFN[115]SSEQSQKGGLSVAVPGEIR;LAFATMFN[115]SSEQSQKGGLSVAVPGEIRGYELAHQR;FATMFN[115]SSEQSQK;ATMFN[115]SSEQSQK;TMFN[115]SSEQSQK;AFYN[115]GSLTAQIVK;AELIEHPLN[115]ISLGDVV;AELIEHPLN[115]ISLGDVVLY</t>
  </si>
  <si>
    <t>120;230;266</t>
  </si>
  <si>
    <t>P19440</t>
  </si>
  <si>
    <t>3D-structure;Acyltransferase;Alternative promoter usage;Alternative splicing;Cell membrane;Complete proteome;Direct protein sequencing;Disulfide bond;Glutathione biosynthesis;Glycoprotein;Hydrolase;Membrane;Polymorphism;Protease;Reference proteome;Sialic acid;Signal-anchor;Transferase;Transmembrane;Transmembrane helix;Zymogen</t>
  </si>
  <si>
    <t>UniRef100_P19440;UniRef90_P19440;UniRef50_P19440</t>
  </si>
  <si>
    <t>DB00143</t>
  </si>
  <si>
    <t>SL9A1_HUMAN</t>
  </si>
  <si>
    <t>Sodium/hydrogen exchanger 1</t>
  </si>
  <si>
    <t>SLC9A1</t>
  </si>
  <si>
    <t>CY:1-12;TM:13-33;NC:34-105;TM:106-127;CY:128-129;TM:130-149;NC:150-154;TM:155-174;CY:175-191;TM:192-211;NC:212-227;TM:228-247;CY:248-256;TM:257-276;NC:277-294;TM:295-315;CY:316-338;TM:339-358;NC:359-381;IM:382-402;NC:403-410;TM:411-430;CY:431-448;TM:449-470;NC:471-479;TM:480-499;CY:500-815</t>
  </si>
  <si>
    <t>ENSG00000090020</t>
  </si>
  <si>
    <t>ENSP00000263980</t>
  </si>
  <si>
    <t>SLC;Other;SLC9</t>
  </si>
  <si>
    <t>75;370;410</t>
  </si>
  <si>
    <t>40;42;44;45;48;49;56;61;62;68;71;77;79;599;602;603;605;648;766;769;770;771</t>
  </si>
  <si>
    <t>PVN[115]HSVTDHGMKPR;VN[115]HSVTDHGMKPR</t>
  </si>
  <si>
    <t>P19634</t>
  </si>
  <si>
    <t>Cell membrane (Multi-pass membrane protein);Endoplasmic reticulum membrane (Multi-pass membrane protein);Membrane (Multi-pass membrane protein)</t>
  </si>
  <si>
    <t>3D-structure;Alternative splicing;Antiport;Calmodulin-binding;Cell membrane;Complete proteome;Endoplasmic reticulum;Glycoprotein;Ion transport;Membrane;Phosphoprotein;Polymorphism;Reference proteome;Sodium;Sodium transport;Transmembrane;Transmembrane helix;Transport;Ubl conjugation</t>
  </si>
  <si>
    <t>UniRef100_P19634;UniRef90_P19634;UniRef50_P19634</t>
  </si>
  <si>
    <t>DB00594</t>
  </si>
  <si>
    <t>CR2_HUMAN</t>
  </si>
  <si>
    <t>Complement receptor type 2</t>
  </si>
  <si>
    <t>CR2</t>
  </si>
  <si>
    <t>SP:1-20;NC:21-972;TM:973-998;CY:999-1033</t>
  </si>
  <si>
    <t>ENSG00000117322</t>
  </si>
  <si>
    <t>ENSP00000356025</t>
  </si>
  <si>
    <t>CD21</t>
  </si>
  <si>
    <t>121;127;294;372;492;623;682;800;823;861;911</t>
  </si>
  <si>
    <t>75;131;138;203;265;335;399;459;515;586;650;707;772;836;900;961</t>
  </si>
  <si>
    <t>HIGNSLAN[115]VSYGSIVTY;HIGN[115]SLAN[115]VSYGSIVTY;PQHQFVRPDVN[115]SSCGEGYK;VRPDVN[115]SSCGEGYK;EAPYFYN[115]DTVTFK;VELVN[115]TSCQDGYQLTGH;TPNGN[115]HTGGNIA;TPNGN[115]HTGGNIAR;TPN[115]GN[115]HTGGNIA;TPN[115]GN[115]HTGGNIAR;EVN[115]CSSPADMDGIQK</t>
  </si>
  <si>
    <t>294;492;623;682;861;911</t>
  </si>
  <si>
    <t>P20023</t>
  </si>
  <si>
    <t>3D-structure;Alternative splicing;Complement pathway;Complete proteome;Direct protein sequencing;Disulfide bond;Glycoprotein;Immunity;Innate immunity;Membrane;Polymorphism;Receptor;Reference proteome;Repeat;Signal;Sushi;Systemic lupus erythematosus;Transmembrane;Transmembrane helix</t>
  </si>
  <si>
    <t>UniRef100_P20023;UniRef90_P20023;UniRef50_P20023</t>
  </si>
  <si>
    <t>DPA1_HUMAN</t>
  </si>
  <si>
    <t>HLA class II histocompatibility antigen, DP alpha 1 chain</t>
  </si>
  <si>
    <t>HLA-DPA1</t>
  </si>
  <si>
    <t>SP:1-31;NC:32-223;TM:224-245;CY:246-260</t>
  </si>
  <si>
    <t>ENSG00000168384;ENSG00000206291;ENSG00000224103;ENSG00000231389;ENSG00000228163;ENSG00000235844;ENSG00000229685;ENSG00000236177</t>
  </si>
  <si>
    <t>ENSP00000363941;ENSP00000372711;ENSP00000405838;ENSP00000393566;ENSP00000406250;ENSP00000397587;ENSP00000397139;ENSP00000427429;ENSP00000480187</t>
  </si>
  <si>
    <t>109;149</t>
  </si>
  <si>
    <t>74;152;199;209</t>
  </si>
  <si>
    <t>SN[115]HTQATND;SN[115]HTQATNDPPEVTVFPK;SN[115]HTQATN[115]DPPEVTVFPK</t>
  </si>
  <si>
    <t>P20036</t>
  </si>
  <si>
    <t>UniRef100_P20036;UniRef90_P20036;UniRef50_P20036</t>
  </si>
  <si>
    <t>2B1B_HUMAN</t>
  </si>
  <si>
    <t>HLA class II histocompatibility antigen, DRB1-11 beta chain</t>
  </si>
  <si>
    <t>ENSP00000331343;ENSP00000382378</t>
  </si>
  <si>
    <t>UniRef100_P20039;UniRef90_P04229;UniRef50_P04229</t>
  </si>
  <si>
    <t>CD33_HUMAN</t>
  </si>
  <si>
    <t>Myeloid cell surface antigen CD33</t>
  </si>
  <si>
    <t>CD33</t>
  </si>
  <si>
    <t>SP:1-16;NC:17-257;TM:258-282;CY:283-364</t>
  </si>
  <si>
    <t>ENSG00000105383</t>
  </si>
  <si>
    <t>ENSP00000262262</t>
  </si>
  <si>
    <t>100;113;160;209;230;297</t>
  </si>
  <si>
    <t>100;113;160;209;230;237;297;349</t>
  </si>
  <si>
    <t>NN[115]CSLSIVDAR;RRDN[115]GSYFFR;DN[115]GSYFFR;TTHSSVLIITPRPQDHGTN[115]LTCQVK;PQDHGTN[115]LTCQVK</t>
  </si>
  <si>
    <t>100;113;209</t>
  </si>
  <si>
    <t>P20138</t>
  </si>
  <si>
    <t>Alternative splicing;Cell adhesion;Cell membrane;Complete proteome;Disulfide bond;Glycoprotein;Immunoglobulin domain;Lectin;Membrane;Phosphoprotein;Polymorphism;Reference proteome;Repeat;Signal;Transmembrane;Transmembrane helix</t>
  </si>
  <si>
    <t>UniRef100_P20138;UniRef90_P20138;UniRef50_P20138</t>
  </si>
  <si>
    <t>DB00056</t>
  </si>
  <si>
    <t>CD22_HUMAN</t>
  </si>
  <si>
    <t>B-cell receptor CD22</t>
  </si>
  <si>
    <t>CD22</t>
  </si>
  <si>
    <t>SP:1-19;NC:20-687;TM:688-707;CY:708-847</t>
  </si>
  <si>
    <t>ENSG00000012124</t>
  </si>
  <si>
    <t>ENSP00000085219;ENSP00000270311</t>
  </si>
  <si>
    <t>67;101;112;135;164;231;363;445;479;574;634;724</t>
  </si>
  <si>
    <t>67;101;112;135;164;231;363;445;448;479;574;634;724</t>
  </si>
  <si>
    <t>490;629</t>
  </si>
  <si>
    <t>ALDGDLESFILFHNPEYNKN[115]TSK;NKN[115]CTLSIHPVHLN[115]DSGQLGLR;N[115]CTLSIHPVHLN[115]DSGQLGLR;HLN[115]DSGQLGLR;IHLN[115]VSER;FLSN[115]DTVQLN;FLSN[115]DTVQLNVK;SLANPLPTN[115]YTWYHNGK;SLANPLPTN[115]YTWYHN[115]GK;EGDTVTLSCNYN[115]SSNPSVTR;EGDTVTLSCNYN[115]SSN[115]PSVTR;SCNYN[115]SSNPSVTR;SCNYN[115]SSN[115]PSVTR;NYN[115]SSNPSVTR;NYN[115]SSN[115]PSVTR;YN[115]SSNPSVTR;YN[115]SSN[115]PSVTR;ESQLNFDSISPEDAGSYSCWVN[115]NSIGQTASK;VN[115]NSIGQTASK;SATLTCESDANPPVSHYTWFDWNN[115]QSLPYHSQK</t>
  </si>
  <si>
    <t>67;101;112;135;231;363;445;574;634</t>
  </si>
  <si>
    <t>P20273</t>
  </si>
  <si>
    <t>UniRef100_P20273;UniRef90_P20273;UniRef50_P35329</t>
  </si>
  <si>
    <t>ACM3_HUMAN</t>
  </si>
  <si>
    <t>Muscarinic acetylcholine receptor M3</t>
  </si>
  <si>
    <t>CHRM3</t>
  </si>
  <si>
    <t>NC:1-66;TM:67-93;CY:94-104;TM:105-131;NC:132-142;TM:143-164;CY:165-184;TM:185-210;NC:211-230;TM:231-253;CY:254-488;TM:489-509;NC:510-527;TM:528-547;CY:548-590</t>
  </si>
  <si>
    <t>ENSG00000133019</t>
  </si>
  <si>
    <t>ENSP00000255380;ENSP00000482377</t>
  </si>
  <si>
    <t>5;6;15;41;48;153;379;444;536;548</t>
  </si>
  <si>
    <t>6;379;536;548</t>
  </si>
  <si>
    <t>381;386;441;446;451</t>
  </si>
  <si>
    <t>Basolateral cell membrane (Multi-pass membrane protein);Cell junction, synapse, postsynaptic cell membrane (Multi-pass membrane protein);Cell membrane (Multi-pass membrane protein)</t>
  </si>
  <si>
    <t>3D-structure;Cell junction;Cell membrane;Complete proteome;Disulfide bond;G-protein coupled receptor;Glycoprotein;Membrane;Polymorphism;Postsynaptic cell membrane;Receptor;Reference proteome;Synapse;Transducer;Transmembrane;Transmembrane helix</t>
  </si>
  <si>
    <t>UniRef100_P20309;UniRef90_P20309;UniRef50_P20309</t>
  </si>
  <si>
    <t>DB00185;DB00193;DB00202;DB00246;DB00280;DB00321;DB00332;DB00334;DB00340;DB00363;DB00376;DB00383;DB00387;DB00408;DB00420;DB00424;DB00434;DB00458;DB00462;DB00477;DB00496;DB00517;DB00540;DB00572;DB00622;DB00715;DB00725;DB00729;DB00747;DB00777;DB00785;DB00809;DB00835;DB00934;DB00986;DB01036;DB01062;DB01069;DB01085;DB01142;DB01151;DB01224;DB01226;DB01231;DB01238;DB01239;DB01337;DB01338;DB01403;DB01409;DB01591;DB01625;DB04843;DB06702;DB06709;DB08897;DB00454;DB00543;DB00568;DB00726;DB01221</t>
  </si>
  <si>
    <t>TNR1B_HUMAN</t>
  </si>
  <si>
    <t>Tumor necrosis factor receptor superfamily member 1B</t>
  </si>
  <si>
    <t>TNFRSF1B</t>
  </si>
  <si>
    <t>SP:1-22;NC:23-257;TM:258-283;CY:284-461</t>
  </si>
  <si>
    <t>ENSG00000028137</t>
  </si>
  <si>
    <t>ENSP00000365435</t>
  </si>
  <si>
    <t>CD120b</t>
  </si>
  <si>
    <t>171;193;380</t>
  </si>
  <si>
    <t>71;202;203;204;206;208;221;222;224;227;230;234;235;238;239;240;248;254;255;325;326;327;328;329;330;344;364;365;367;368;370;371;390;391;394;395;399;402;403;404;411;413;415</t>
  </si>
  <si>
    <t>3D-structure;Alternative splicing;Apoptosis;Cell membrane;Complete proteome;Direct protein sequencing;Disulfide bond;Glycoprotein;Membrane;Pharmaceutical;Phosphoprotein;Polymorphism;Receptor;Reference proteome;Repeat;Secreted;Signal;Transmembrane;Transmembrane helix</t>
  </si>
  <si>
    <t>UniRef100_P20333;UniRef90_P20333;UniRef50_P20333</t>
  </si>
  <si>
    <t>DB00005</t>
  </si>
  <si>
    <t>ANPRB_HUMAN</t>
  </si>
  <si>
    <t>Atrial natriuretic peptide receptor 2</t>
  </si>
  <si>
    <t>NPR2</t>
  </si>
  <si>
    <t>SP:1-24;NC:25-454;TM:455-478;CY:479-1047</t>
  </si>
  <si>
    <t>ENSG00000159899</t>
  </si>
  <si>
    <t>ENSP00000341083</t>
  </si>
  <si>
    <t>24;35;161;195;244;277;349;610</t>
  </si>
  <si>
    <t>GHFN[115]WTAR;LQGSN[115]LSVQHQVYAR;YAEVLN[115]ETIQEGGTR</t>
  </si>
  <si>
    <t>161;195;349</t>
  </si>
  <si>
    <t>P20594</t>
  </si>
  <si>
    <t>Alternative splicing;cGMP biosynthesis;Complete proteome;Disease mutation;Disulfide bond;Dwarfism;Glycoprotein;GTP-binding;Lyase;Membrane;Nucleotide-binding;Osteogenesis;Phosphoprotein;Polymorphism;Receptor;Reference proteome;Signal;Transmembrane;Transmembrane helix</t>
  </si>
  <si>
    <t>UniRef100_P20594;UniRef90_P20594;UniRef50_P20594</t>
  </si>
  <si>
    <t>DB01613;DB04899</t>
  </si>
  <si>
    <t>MPRD_HUMAN</t>
  </si>
  <si>
    <t>Cation-dependent mannose-6-phosphate receptor</t>
  </si>
  <si>
    <t>M6PR</t>
  </si>
  <si>
    <t>SP:1-26;NC:27-187;TM:188-210;CY:211-277</t>
  </si>
  <si>
    <t>ENSG00000003056</t>
  </si>
  <si>
    <t>ENSP00000000412</t>
  </si>
  <si>
    <t>57;83;94;107;113</t>
  </si>
  <si>
    <t>EAGN[115]HTSGAGLV;EAGN[115]HTSGAGLVQ;EAGN[115]HTSGAGLVQIN;EAGN[115]HTSGAGLVQINK;EAGN[115]HTSGAGLVQIN[115]K;AGN[115]HTSGAGLVQINK;AGN[115]HTSGAGLVQIN[115]K;GN[115]HTSGAGLVQINK;GN[115]HTSGAGLVQIN[115]K;LN[115]ETHIFN[115]GS;LN[115]ETHIFN[115]GSN;LN[115]ETHIFN[115]GSNWI;LN[115]ETHIFN[115]GSNWIM;LN[115]ETHIFN[115]GSNWIML;LN[115]ETHIFN[115]GSNWIMLIYK</t>
  </si>
  <si>
    <t>83;94;107;113</t>
  </si>
  <si>
    <t>P20645</t>
  </si>
  <si>
    <t>3D-structure;Complete proteome;Glycoprotein;Lysosome;Membrane;Phosphoprotein;Receptor;Reference proteome;Signal;Transmembrane;Transmembrane helix;Transport</t>
  </si>
  <si>
    <t>UniRef100_P20645;UniRef90_P20645;UniRef50_P20645</t>
  </si>
  <si>
    <t>Endosome;Lysosome</t>
  </si>
  <si>
    <t>DB01272</t>
  </si>
  <si>
    <t>ITAL_HUMAN</t>
  </si>
  <si>
    <t>Integrin alpha-L</t>
  </si>
  <si>
    <t>ITGAL</t>
  </si>
  <si>
    <t>SP:1-25;NC:26-1089;TM:1090-1114;CY:1115-1170</t>
  </si>
  <si>
    <t>ENSG00000005844</t>
  </si>
  <si>
    <t>ENSP00000349252</t>
  </si>
  <si>
    <t>CD11a</t>
  </si>
  <si>
    <t>65;89;188;649;670;726;730;862;885;897;1060;1071</t>
  </si>
  <si>
    <t>65;89;188;392;649;670;726;730;862;885;897;965;1060;1071</t>
  </si>
  <si>
    <t>VLQVGNGVIVGAPGEGN[115]STGSLYQCQSGTGH;VLQVGNGVIVGAPGEGN[115]STGSLYQCQSGTGHCLPV;VLQVGNGVIVGAPGEGN[115]STGSLYQCQSGTGHCLPVTLR;VLQVGN[115]GVIVGAPGEGN[115]STGSLYQCQSGTGH;VLQVGN[115]GVIVGAPGEGN[115]STGSLYQCQSGTGHCLPV;VLQVGN[115]GVIVGAPGEGN[115]STGSLYQCQSGTGHCLPVTLR;KLSN[115]TSYQFA;KLSN[115]TSYQFAAV;KLSN[115]TSYQFAAVQF;LSN[115]TSYQFAAVQF;LSN[115]TSYQFAAVQFSTSYK;LVAN[115]LTYTLQLDGHR;AN[115]LTYTLQLDGHR;N[115]LTYTLQLDGHR;SLN[115]FSLWEEEGTPR;LN[115]FSLWEEEGTPR;ALSCN[115]VSSPIFK;SCN[115]VSSPIFK;SSLSISFN[115]SSK;SLSISFN[115]SSK;HFHLYGSN[115]A;HFHLYGSN[115]ASLA;HFHLYGSN[115]ASLAQ;HFHLYGSN[115]ASLAQVV;HFHLYGSN[115]ASLAQVVMK;GSN[115]ASLAQVVMK</t>
  </si>
  <si>
    <t>65;188;670;730;862;1060;1071</t>
  </si>
  <si>
    <t>P20701</t>
  </si>
  <si>
    <t>3D-structure;Alternative splicing;Calcium;Cell adhesion;Complete proteome;Direct protein sequencing;Disulfide bond;Glycoprotein;Integrin;Magnesium;Membrane;Metal-binding;Polymorphism;Receptor;Reference proteome;Repeat;Signal;Transmembrane;Transmembrane helix</t>
  </si>
  <si>
    <t>UniRef100_P20701;UniRef90_P20701;UniRef50_P20701</t>
  </si>
  <si>
    <t>DB00095;DB00098;DB00227</t>
  </si>
  <si>
    <t>ITAX_HUMAN</t>
  </si>
  <si>
    <t>Integrin alpha-X</t>
  </si>
  <si>
    <t>ITGAX</t>
  </si>
  <si>
    <t>SP:1-19;NC:20-1107;TM:1108-1130;CY:1131-1163</t>
  </si>
  <si>
    <t>ENSG00000140678</t>
  </si>
  <si>
    <t>ENSP00000268296</t>
  </si>
  <si>
    <t>CD11c</t>
  </si>
  <si>
    <t>61;89;385;392;697;735;899;904;939;1050;1152</t>
  </si>
  <si>
    <t>46;61;89;294;296;385;392;697;714;735;899;904;905;939;970;993;1050;1104;1152</t>
  </si>
  <si>
    <t>343;563;567;843;850;902;995;1000;1080;1156</t>
  </si>
  <si>
    <t>LLLTAN[115]VSSENNTPR;LLLTAN[115]VSSEN[115]NTPR;LTAN[115]VSSENNTPR;LTAN[115]VSSEN[115]NTPR;TAN[115]VSSENNTPR;YLN[115]FSESEEK</t>
  </si>
  <si>
    <t>899;904;939</t>
  </si>
  <si>
    <t>P20702</t>
  </si>
  <si>
    <t>3D-structure;Calcium;Cell adhesion;Complete proteome;Direct protein sequencing;Disulfide bond;Glycoprotein;Integrin;Magnesium;Membrane;Metal-binding;Polymorphism;Receptor;Reference proteome;Repeat;Signal;Transmembrane;Transmembrane helix</t>
  </si>
  <si>
    <t>UniRef100_P20702;UniRef90_P20702;UniRef50_P20702</t>
  </si>
  <si>
    <t>EFNA1_HUMAN</t>
  </si>
  <si>
    <t>Ephrin-A1</t>
  </si>
  <si>
    <t>EFNA1</t>
  </si>
  <si>
    <t>SP:1-18;NC:19-205</t>
  </si>
  <si>
    <t>ENSG00000169242</t>
  </si>
  <si>
    <t>ENSP00000357392</t>
  </si>
  <si>
    <t>HTVFWN[115]SSNPK</t>
  </si>
  <si>
    <t>P20827</t>
  </si>
  <si>
    <t>3D-structure;Alternative splicing;Angiogenesis;Cell membrane;Complete proteome;Direct protein sequencing;Disulfide bond;Glycoprotein;GPI-anchor;Lipoprotein;Membrane;Polymorphism;Reference proteome;Secreted;Signal;Tumor suppressor</t>
  </si>
  <si>
    <t>UniRef100_P20827;UniRef90_P20827;UniRef50_P20827</t>
  </si>
  <si>
    <t>MAG_HUMAN</t>
  </si>
  <si>
    <t>Myelin-associated glycoprotein</t>
  </si>
  <si>
    <t>MAG</t>
  </si>
  <si>
    <t>SP:1-19;NC:20-513;TM:514-533;CY:534-626</t>
  </si>
  <si>
    <t>ENSG00000105695</t>
  </si>
  <si>
    <t>ENSP00000376048</t>
  </si>
  <si>
    <t>99;106;223;246;315;332;406;450;454;541</t>
  </si>
  <si>
    <t>452;543;549;607;612</t>
  </si>
  <si>
    <t>Alternative splicing;Cell adhesion;Complete proteome;Disulfide bond;Glycoprotein;Immunoglobulin domain;Lectin;Lipoprotein;Membrane;Palmitate;Polymorphism;Reference proteome;Repeat;Signal;Transmembrane;Transmembrane helix</t>
  </si>
  <si>
    <t>UniRef100_P20916;UniRef90_P20916;UniRef50_P20916</t>
  </si>
  <si>
    <t>MDR3_HUMAN</t>
  </si>
  <si>
    <t>Multidrug resistance protein 3</t>
  </si>
  <si>
    <t>ABCB4</t>
  </si>
  <si>
    <t>CY:1-54;TM:55-78;NC:79-117;TM:118-142;CY:143-191;TM:192-211;NC:212-216;TM:217-237;CY:238-296;TM:297-318;NC:319-329;TM:330-351;CY:352-707;TM:708-733;NC:734-752;TM:753-776;CY:777-831;TM:832-852;NC:853-857;TM:858-878;CY:879-935;TM:936-954;NC:955-972;TM:973-993;CY:994-1286</t>
  </si>
  <si>
    <t>ENSG00000005471</t>
  </si>
  <si>
    <t>ENSP00000265723</t>
  </si>
  <si>
    <t>8;91;97;168;298;496;704;808;1033</t>
  </si>
  <si>
    <t>8;168;496;704;808;1033</t>
  </si>
  <si>
    <t>Alternative splicing;ATP-binding;Cell membrane;Complete proteome;Disease mutation;Glycoprotein;Hydrolase;Intrahepatic cholestasis;Membrane;Nucleotide-binding;Polymorphism;Reference proteome;Repeat;Transmembrane;Transmembrane helix;Transport</t>
  </si>
  <si>
    <t>UniRef100_P21439;UniRef90_P21439;UniRef50_P21439</t>
  </si>
  <si>
    <t>NK2R_HUMAN</t>
  </si>
  <si>
    <t>Substance-K receptor</t>
  </si>
  <si>
    <t>TACR2</t>
  </si>
  <si>
    <t>NC:1-34;TM:35-59;CY:60-70;TM:71-92;NC:93-108;TM:109-129;CY:130-149;TM:150-171;NC:172-194;TM:195-220;CY:221-248;TM:249-270;NC:271-287;TM:288-310;CY:311-398</t>
  </si>
  <si>
    <t>ENSG00000075073</t>
  </si>
  <si>
    <t>ENSP00000362403</t>
  </si>
  <si>
    <t>11;19</t>
  </si>
  <si>
    <t>UniRef100_P21452;UniRef90_P21452;UniRef50_P21452</t>
  </si>
  <si>
    <t>S1PR1_HUMAN</t>
  </si>
  <si>
    <t>Sphingosine 1-phosphate receptor 1</t>
  </si>
  <si>
    <t>S1PR1</t>
  </si>
  <si>
    <t>NC:1-48;TM:49-70;CY:71-80;TM:81-103;NC:104-121;TM:122-140;CY:141-159;TM:160-182;NC:183-201;TM:202-225;CY:226-252;TM:253-277;NC:278-293;TM:294-314;CY:315-382</t>
  </si>
  <si>
    <t>ENSG00000170989</t>
  </si>
  <si>
    <t>ENSP00000305416</t>
  </si>
  <si>
    <t>CD363</t>
  </si>
  <si>
    <t>30;36;153;240;357;379</t>
  </si>
  <si>
    <t>5;333;336;353;355;359;374;375</t>
  </si>
  <si>
    <t>Cell membrane (Multi-pass membrane protein);Endosome;Membrane raft</t>
  </si>
  <si>
    <t>3D-structure;Acetylation;Angiogenesis;Cell membrane;Chemotaxis;Complete proteome;Disulfide bond;Endosome;G-protein coupled receptor;Glycoprotein;Lipoprotein;Membrane;Palmitate;Phosphoprotein;Polymorphism;Receptor;Reference proteome;Transducer;Transmembrane;Transmembrane helix</t>
  </si>
  <si>
    <t>UniRef100_P21453;UniRef90_P21453;UniRef50_P21453</t>
  </si>
  <si>
    <t>FPR1_HUMAN</t>
  </si>
  <si>
    <t>fMet-Leu-Phe receptor</t>
  </si>
  <si>
    <t>FPR1</t>
  </si>
  <si>
    <t>NC:1-26;TM:27-51;CY:52-62;TM:63-82;NC:83-100;TM:101-121;CY:122-141;TM:142-162;NC:163-202;TM:203-224;CY:225-243;TM:244-266;NC:267-280;TM:281-303;CY:304-350</t>
  </si>
  <si>
    <t>ENSG00000171051</t>
  </si>
  <si>
    <t>ENSP00000302707;ENSP00000471493</t>
  </si>
  <si>
    <t>4;10;179;337</t>
  </si>
  <si>
    <t>Cell membrane (Multi- pass membrane protein)</t>
  </si>
  <si>
    <t>Cell membrane;Chemotaxis;Complete proteome;Disulfide bond;G-protein coupled receptor;Glycoprotein;Membrane;Phosphoprotein;Polymorphism;Receptor;Reference proteome;Transducer;Transmembrane;Transmembrane helix</t>
  </si>
  <si>
    <t>UniRef100_P21462;UniRef90_P21462;UniRef50_P21462</t>
  </si>
  <si>
    <t>DB00716</t>
  </si>
  <si>
    <t>CNR1_HUMAN</t>
  </si>
  <si>
    <t>Cannabinoid receptor 1</t>
  </si>
  <si>
    <t>CNR1</t>
  </si>
  <si>
    <t>NC:1-117;TM:118-142;CY:143-153;TM:154-175;NC:176-188;TM:189-212;CY:213-232;TM:233-255;NC:256-274;TM:275-299;CY:300-343;TM:344-365;NC:366-376;TM:377-399;CY:400-472</t>
  </si>
  <si>
    <t>ENSG00000118432</t>
  </si>
  <si>
    <t>ENSP00000358511;ENSP00000358513;ENSP00000412192;ENSP00000446819</t>
  </si>
  <si>
    <t>77;83;389</t>
  </si>
  <si>
    <t>77;389</t>
  </si>
  <si>
    <t>3D-structure;Alternative splicing;Cell membrane;Complete proteome;G-protein coupled receptor;Glycoprotein;Lipoprotein;Membrane;Palmitate;Receptor;Reference proteome;Transducer;Transmembrane;Transmembrane helix</t>
  </si>
  <si>
    <t>UniRef100_P21554;UniRef90_P20272;UniRef50_P20272</t>
  </si>
  <si>
    <t>DB00470;DB00486;DB06155</t>
  </si>
  <si>
    <t>SCF_HUMAN</t>
  </si>
  <si>
    <t>Kit ligand</t>
  </si>
  <si>
    <t>KITLG</t>
  </si>
  <si>
    <t>SP:1-25;NC:26-213;TM:214-237;CY:238-273</t>
  </si>
  <si>
    <t>ENSG00000049130</t>
  </si>
  <si>
    <t>ENSP00000228280</t>
  </si>
  <si>
    <t>90;97;118;145;195</t>
  </si>
  <si>
    <t>166;191;192;243</t>
  </si>
  <si>
    <t>FSN[115]ISEGLSNYSIIDK;FSN[115]ISEGLSN[115]YSIIDK</t>
  </si>
  <si>
    <t>90;97</t>
  </si>
  <si>
    <t>P21583</t>
  </si>
  <si>
    <t>Cell membrane (Single-pass type I membrane protein);Cell membrane (Single-pass type I membrane protein);Cytoplasm, cytoskeleton;Secreted</t>
  </si>
  <si>
    <t>3D-structure;Alternative splicing;Cell adhesion;Cell membrane;Complete proteome;Cytoplasm;Cytoskeleton;Direct protein sequencing;Disease mutation;Disulfide bond;Glycoprotein;Growth factor;Membrane;Polymorphism;Reference proteome;Secreted;Signal;Transmembrane;Transmembrane helix</t>
  </si>
  <si>
    <t>UniRef100_P21583;UniRef90_P21583;UniRef50_P21583</t>
  </si>
  <si>
    <t>Nucleus</t>
  </si>
  <si>
    <t>5NTD_HUMAN</t>
  </si>
  <si>
    <t>5'-nucleotidase</t>
  </si>
  <si>
    <t>NT5E</t>
  </si>
  <si>
    <t>SP:1-26;NC:27-574</t>
  </si>
  <si>
    <t>ENSG00000135318</t>
  </si>
  <si>
    <t>ENSP00000257770</t>
  </si>
  <si>
    <t>CD73</t>
  </si>
  <si>
    <t>53;311;333;403</t>
  </si>
  <si>
    <t>LEQTSEDSSKCVN[115]ASR;LEQTSEDSSKCVN[115]ASRCMGGVAR;SEDSSKCVN[115]ASR;IEFDERGNVISSHGNPILLN[115]SSIPEDPSIK;GNVISSHGNPILLN[115]SSIPED;GNVISSHGNPILLN[115]SSIPEDPSIK;GNVISSHGNPILLN[115]SSIPEDPSIKADINKWR;GN[115]VISSHGNPILLN[115]SSIPEDPSIK;GNPILLN[115]SSIPEDPSIK;GN[115]PILLN[115]SSIPEDPSIK;NPILLN[115]SSIPEDPSIK;PILLN[115]SSIPEDPSIK;PILLN[115]SSIPEDPSIKADINKWR;LLN[115]SSIPEDPSIK;IKLDN[115]YSTQ;IKLDN[115]YSTQELG;IKLDN[115]YSTQELGK;KLDN[115]YSTQELGK;LDN[115]YSTQELGK;DN[115]YSTQELGK;N[115]YSTQELGK;SPIDERNN[115]GTITWENLAAVLPFGGTFDLVQLK;NN[115]GTITWENL;NN[115]GTITWENLA;NN[115]GTITWENLAA</t>
  </si>
  <si>
    <t>P21589</t>
  </si>
  <si>
    <t>3D-structure;Alternative splicing;Cell membrane;Complete proteome;Direct protein sequencing;Disease mutation;Disulfide bond;Glycoprotein;GPI-anchor;Hydrolase;Lipoprotein;Membrane;Metal-binding;Nucleotide-binding;Polymorphism;Reference proteome;Signal;Zinc</t>
  </si>
  <si>
    <t>UniRef100_P21589;UniRef90_P21589;UniRef50_P21589</t>
  </si>
  <si>
    <t>DB00806</t>
  </si>
  <si>
    <t>EPHA1_HUMAN</t>
  </si>
  <si>
    <t>Ephrin type-A receptor 1</t>
  </si>
  <si>
    <t>EPHA1</t>
  </si>
  <si>
    <t>SP:1-25;NC:26-547;TM:548-568;CY:569-976</t>
  </si>
  <si>
    <t>ENSG00000146904</t>
  </si>
  <si>
    <t>ENSP00000275815</t>
  </si>
  <si>
    <t>59;338;414;478</t>
  </si>
  <si>
    <t>59;414;478</t>
  </si>
  <si>
    <t>540;906</t>
  </si>
  <si>
    <t>SPGAN[115]LTYELH;SPGAN[115]LTYELHVLNQDEER</t>
  </si>
  <si>
    <t>P21709</t>
  </si>
  <si>
    <t>3D-structure;Alternative splicing;Angiogenesis;ATP-binding;Cell adhesion;Cell membrane;Complete proteome;Glycoprotein;Kinase;Membrane;Nucleotide-binding;Phosphoprotein;Polymorphism;Receptor;Reference proteome;Repeat;Signal;Transferase;Transmembrane;Transmembrane helix;Tyrosine-protein kinase;Ubl conjugation</t>
  </si>
  <si>
    <t>UniRef100_P21709;UniRef90_P21709;UniRef50_P21709</t>
  </si>
  <si>
    <t>DRD1_HUMAN</t>
  </si>
  <si>
    <t>D(1A) dopamine receptor</t>
  </si>
  <si>
    <t>DRD1</t>
  </si>
  <si>
    <t>NC:1-19;TM:20-49;CY:50-60;TM:61-78;NC:79-97;TM:98-119;CY:120-138;TM:139-161;NC:162-194;TM:195-217;CY:218-269;TM:270-295;NC:296-314;TM:315-334;CY:335-446</t>
  </si>
  <si>
    <t>ENSG00000184845</t>
  </si>
  <si>
    <t>ENSP00000377353</t>
  </si>
  <si>
    <t>5;175;323</t>
  </si>
  <si>
    <t>373;382</t>
  </si>
  <si>
    <t>3D-structure;Cell membrane;Complete proteome;Disulfide bond;Endoplasmic reticulum;G-protein coupled receptor;Glycoprotein;Lipoprotein;Membrane;Palmitate;Polymorphism;Receptor;Reference proteome;Transducer;Transmembrane;Transmembrane helix</t>
  </si>
  <si>
    <t>UniRef100_P21728;UniRef90_P21728;UniRef50_P18901</t>
  </si>
  <si>
    <t>DB00246;DB00248;DB00268;DB00334;DB00353;DB00363;DB00397;DB00408;DB00413;DB00420;DB00477;DB00502;DB00508;DB00543;DB00589;DB00623;DB00679;DB00714;DB00734;DB00777;DB00800;DB00805;DB00850;DB00875;DB00988;DB01049;DB01063;DB01186;DB01200;DB01224;DB01235;DB01238;DB01239;DB01267;DB01403;DB01608;DB01614;DB01621;DB01622;DB01623;DB01624;DB04946;DB05271;DB06216;DB00248;DB00334;DB00370;DB00408;DB00458;DB00477;DB00568;DB00696;DB00726;DB00988;DB06148</t>
  </si>
  <si>
    <t>C5AR1_HUMAN</t>
  </si>
  <si>
    <t>C5a anaphylatoxin chemotactic receptor 1</t>
  </si>
  <si>
    <t>C5AR1</t>
  </si>
  <si>
    <t>NC:1-37;TM:38-61;CY:62-72;TM:73-94;NC:95-109;TM:110-131;CY:132-150;TM:151-174;NC:175-202;TM:203-227;CY:228-240;TM:241-264;NC:265-285;TM:286-304;CY:305-350</t>
  </si>
  <si>
    <t>ENSG00000197405</t>
  </si>
  <si>
    <t>ENSP00000347197</t>
  </si>
  <si>
    <t>CD88</t>
  </si>
  <si>
    <t>332;338;339</t>
  </si>
  <si>
    <t>60;74;102;143;154;161;213;230;255</t>
  </si>
  <si>
    <t>Cell membrane (Multi-pass membrane protein);Cytoplasmic vesicle</t>
  </si>
  <si>
    <t>Cell membrane;Chemotaxis;Complete proteome;Cytoplasmic vesicle;Disulfide bond;G-protein coupled receptor;Glycoprotein;Membrane;Phosphoprotein;Polymorphism;Receptor;Reference proteome;Sulfation;Transducer;Transmembrane;Transmembrane helix</t>
  </si>
  <si>
    <t>UniRef100_P21730;UniRef90_P21730;UniRef50_P21730</t>
  </si>
  <si>
    <t>TA2R_HUMAN</t>
  </si>
  <si>
    <t>Thromboxane A2 receptor</t>
  </si>
  <si>
    <t>TBXA2R</t>
  </si>
  <si>
    <t>NC:1-28;TM:29-51;CY:52-62;TM:63-87;NC:88-106;TM:107-128;CY:129-148;TM:149-171;NC:172-194;TM:195-223;CY:224-244;TM:245-270;NC:271-289;TM:290-311;CY:312-343</t>
  </si>
  <si>
    <t>ENSG00000006638</t>
  </si>
  <si>
    <t>4;16</t>
  </si>
  <si>
    <t>FRPTN[115]ITLEER;PTN[115]ITLEER</t>
  </si>
  <si>
    <t>P21731</t>
  </si>
  <si>
    <t>3D-structure;Alternative splicing;Cell membrane;Complete proteome;Direct protein sequencing;Disease mutation;Disulfide bond;G-protein coupled receptor;Glycoprotein;Membrane;Phosphoprotein;Polymorphism;Receptor;Reference proteome;Transducer;Transmembrane;Transmembrane helix</t>
  </si>
  <si>
    <t>UniRef100_P21731;UniRef90_P21731;UniRef50_P21731</t>
  </si>
  <si>
    <t>DB01207</t>
  </si>
  <si>
    <t>ZP3_HUMAN</t>
  </si>
  <si>
    <t>Zona pellucida sperm-binding protein 3</t>
  </si>
  <si>
    <t>ZP3</t>
  </si>
  <si>
    <t>SP:1-22;NC:23-386;TM:387-409;CY:410-424</t>
  </si>
  <si>
    <t>ENSG00000188372</t>
  </si>
  <si>
    <t>ENSP00000378326</t>
  </si>
  <si>
    <t>125;147;226;272</t>
  </si>
  <si>
    <t>33;248;249;303;306;331;333;348;417</t>
  </si>
  <si>
    <t>Alternative splicing;Cell membrane;Cleavage on pair of basic residues;Complete proteome;Disulfide bond;Extracellular matrix;Fertilization;Glycoprotein;Membrane;Polymorphism;Pyrrolidone carboxylic acid;Receptor;Reference proteome;Secreted;Signal;Transmembrane;Transmembrane helix</t>
  </si>
  <si>
    <t>UniRef100_P21754;UniRef90_P21754;UniRef50_P21754</t>
  </si>
  <si>
    <t>Cytoskeleton;Cytosol;Lysosome;Mitochondrion;Nucleus;Peroxisome</t>
  </si>
  <si>
    <t>MSRE_HUMAN</t>
  </si>
  <si>
    <t>Macrophage scavenger receptor types I and II</t>
  </si>
  <si>
    <t>MSR1</t>
  </si>
  <si>
    <t>CY:1-51;TM:52-75;NC:76-451</t>
  </si>
  <si>
    <t>ENSG00000038945</t>
  </si>
  <si>
    <t>ENSP00000262101</t>
  </si>
  <si>
    <t>CD204</t>
  </si>
  <si>
    <t>SCAR;Class_A</t>
  </si>
  <si>
    <t>82;102;143;184;221;249;267</t>
  </si>
  <si>
    <t>184;249;267</t>
  </si>
  <si>
    <t>VLNN[115]ITNDLR</t>
  </si>
  <si>
    <t>P21757</t>
  </si>
  <si>
    <t>Alternative splicing;Coiled coil;Collagen;Complete proteome;Disulfide bond;Endocytosis;Glycoprotein;LDL;Membrane;Phosphoprotein;Polymorphism;Receptor;Reference proteome;Signal-anchor;Transmembrane;Transmembrane helix</t>
  </si>
  <si>
    <t>UniRef100_P21757;UniRef90_P21757;UniRef50_P21757</t>
  </si>
  <si>
    <t>FGFR2_HUMAN</t>
  </si>
  <si>
    <t>Fibroblast growth factor receptor 2</t>
  </si>
  <si>
    <t>FGFR2</t>
  </si>
  <si>
    <t>SP:1-26;NC:27-377;TM:378-398;CY:399-821</t>
  </si>
  <si>
    <t>ENSG00000066468</t>
  </si>
  <si>
    <t>ENSP00000351276</t>
  </si>
  <si>
    <t>CD332</t>
  </si>
  <si>
    <t>83;123;228;241;265;297;318;331;402;727;816</t>
  </si>
  <si>
    <t>24;31;32;40;404;411;429;431;435;436;437;453;454;464;780;782;786;788;789;792</t>
  </si>
  <si>
    <t>AAGVN[115]TTDKEIEVLYIR</t>
  </si>
  <si>
    <t>P21802</t>
  </si>
  <si>
    <t>Cell membrane (Single-pass type I membrane protein);Cytoplasmic vesicle;Golgi apparatus;Cell membrane (Single-pass type I membrane protein);Secreted;Secreted;Cell membrane (Single-pass type I membrane protein)</t>
  </si>
  <si>
    <t>3D-structure;Alternative splicing;Apoptosis;ATP-binding;Cell membrane;Complete proteome;Craniosynostosis;Cytoplasmic vesicle;Disease mutation;Disulfide bond;Ectodermal dysplasia;Glycoprotein;Golgi apparatus;Heparin-binding;Immunoglobulin domain;Kinase;Lacrimo-auriculo-dento-digital syndrome;Membrane;Mental retardation;Nucleotide-binding;Phosphoprotein;Polymorphism;Proto-oncogene;Receptor;Reference proteome;Repeat;Secreted;Signal;Transferase;Transmembrane;Transmembrane helix;Tyrosine-protein kinase;Ubl conjugation</t>
  </si>
  <si>
    <t>UniRef100_P21802;UniRef90_P21802;UniRef50_P21802</t>
  </si>
  <si>
    <t>DB00039;DB01041;DB08896;DB08901</t>
  </si>
  <si>
    <t>ERBB3_HUMAN</t>
  </si>
  <si>
    <t>Receptor tyrosine-protein kinase erbB-3</t>
  </si>
  <si>
    <t>ERBB3</t>
  </si>
  <si>
    <t>SP:1-19;NC:20-642;TM:643-666;CY:667-1342</t>
  </si>
  <si>
    <t>ENSG00000065361</t>
  </si>
  <si>
    <t>ENSP00000267101</t>
  </si>
  <si>
    <t>126;250;353;408;414;437;469;522;566;616</t>
  </si>
  <si>
    <t>HFN[115]DSGACVPR;FQTVDSSNIDGFVN[115]CTK;NLN[115]VTSLGFR</t>
  </si>
  <si>
    <t>250;353;437</t>
  </si>
  <si>
    <t>P21860</t>
  </si>
  <si>
    <t>3D-structure;Alternative splicing;ATP-binding;Cell membrane;Complete proteome;Disulfide bond;Glycoprotein;Kinase;Membrane;Nucleotide-binding;Phosphoprotein;Polymorphism;Receptor;Reference proteome;Secreted;Signal;Transferase;Transmembrane;Transmembrane helix;Tyrosine-protein kinase</t>
  </si>
  <si>
    <t>UniRef100_P21860;UniRef90_P21860;UniRef50_P21860</t>
  </si>
  <si>
    <t>DRD4_HUMAN</t>
  </si>
  <si>
    <t>D(4) dopamine receptor</t>
  </si>
  <si>
    <t>DRD4</t>
  </si>
  <si>
    <t>NC:1-35;TM:36-60;CY:61-71;TM:72-92;NC:93-111;TM:112-132;CY:133-151;TM:152-172;NC:173-191;TM:192-214;CY:215-393;TM:394-415;NC:416-431;TM:432-451;CY:452-467</t>
  </si>
  <si>
    <t>ENSG00000069696</t>
  </si>
  <si>
    <t>ENSP00000176183</t>
  </si>
  <si>
    <t>239;245;247</t>
  </si>
  <si>
    <t>Biological rhythms;Cell membrane;Complete proteome;Disulfide bond;G-protein coupled receptor;Glycoprotein;Membrane;Polymorphism;Receptor;Reference proteome;Repeat;Transducer;Transmembrane;Transmembrane helix;Ubl conjugation</t>
  </si>
  <si>
    <t>UniRef100_P21917;UniRef90_P21917;UniRef50_P21917</t>
  </si>
  <si>
    <t>DB00246;DB00248;DB00268;DB00334;DB00363;DB00408;DB00409;DB00413;DB00420;DB00477;DB00543;DB00589;DB00714;DB00734;DB00777;DB00988;DB01186;DB01200;DB01224;DB01235;DB01238;DB01267;DB01403;DB04946;DB05271;DB06216</t>
  </si>
  <si>
    <t>DRD5_HUMAN</t>
  </si>
  <si>
    <t>D(1B) dopamine receptor</t>
  </si>
  <si>
    <t>DRD5</t>
  </si>
  <si>
    <t>NC:1-40;TM:41-66;CY:67-77;TM:78-96;NC:97-114;TM:115-136;CY:137-156;TM:157-177;NC:178-225;TM:226-248;CY:249-294;TM:295-321;NC:322-342;TM:343-361;CY:362-477</t>
  </si>
  <si>
    <t>ENSG00000169676</t>
  </si>
  <si>
    <t>ENSP00000306129</t>
  </si>
  <si>
    <t>7;74;199;222;351;388</t>
  </si>
  <si>
    <t>7;74;199;222</t>
  </si>
  <si>
    <t>200;346</t>
  </si>
  <si>
    <t>Cell membrane;Complete proteome;Disulfide bond;Dystonia;G-protein coupled receptor;Glycoprotein;Lipoprotein;Membrane;Palmitate;Polymorphism;Receptor;Reference proteome;Transducer;Transmembrane;Transmembrane helix</t>
  </si>
  <si>
    <t>UniRef100_P21918;UniRef90_P21918;UniRef50_P21918</t>
  </si>
  <si>
    <t>DB00246;DB00248;DB00268;DB00334;DB00408;DB00413;DB00477;DB00589;DB00714;DB00800;DB00988;DB01186;DB01200;DB01224;DB01235;DB01238;DB01403;DB01624;DB05271;DB00248;DB00334;DB00370;DB00408;DB00458;DB00477;DB00568;DB00696;DB00726;DB00988;DB06148</t>
  </si>
  <si>
    <t>CD9_HUMAN</t>
  </si>
  <si>
    <t>CD9 antigen</t>
  </si>
  <si>
    <t>CD9</t>
  </si>
  <si>
    <t>CY:1-11;TM:12-35;NC:36-54;TM:55-78;CY:79-88;TM:89-111;NC:112-194;TM:195-220;CY:221-228</t>
  </si>
  <si>
    <t>ENSG00000010278</t>
  </si>
  <si>
    <t>ENSP00000009180;ENSP00000371958</t>
  </si>
  <si>
    <t>52;53</t>
  </si>
  <si>
    <t>Cell adhesion;Cell membrane;Complete proteome;Direct protein sequencing;Disulfide bond;Fertilization;Glycoprotein;Lipoprotein;Membrane;Palmitate;Reference proteome;Transmembrane;Transmembrane helix</t>
  </si>
  <si>
    <t>UniRef100_P21926;UniRef90_P21926;UniRef50_P21926</t>
  </si>
  <si>
    <t>KCNA3_HUMAN</t>
  </si>
  <si>
    <t>Potassium voltage-gated channel subfamily A member 3</t>
  </si>
  <si>
    <t>KCNA3</t>
  </si>
  <si>
    <t>CY:1-234;TM:235-256;NC:257-294;TM:295-315;CY:316-326;TM:327-345;NC:346-356;TM:357-377;CY:378-397;TM:398-419;NC:420-458;TM:459-480;CY:481-575</t>
  </si>
  <si>
    <t>ENSG00000177272</t>
  </si>
  <si>
    <t>ENSP00000358784</t>
  </si>
  <si>
    <t>Channels;Voltage_gated_ion_channels;Potassium_channels</t>
  </si>
  <si>
    <t>109;279;521;538;551</t>
  </si>
  <si>
    <t>279;521;551</t>
  </si>
  <si>
    <t>DEKDYPASTSQDSFEAAGN[115]STSGSR;DYPASTSQDSFEAAGN[115]STSGSR;STSQDSFEAAGN[115]STSGSR;SQDSFEAAGN[115]STSGSR;QDSFEAAGN[115]STSGSR</t>
  </si>
  <si>
    <t>P22001</t>
  </si>
  <si>
    <t>3D-structure;Cell membrane;Complete proteome;Glycoprotein;Ion channel;Ion transport;Lipoprotein;Membrane;Palmitate;Phosphoprotein;Potassium;Potassium channel;Potassium transport;Reference proteome;Transmembrane;Transmembrane helix;Transport;Voltage-gated channel</t>
  </si>
  <si>
    <t>UniRef100_P22001;UniRef90_P22001;UniRef50_P22001</t>
  </si>
  <si>
    <t>DB06637</t>
  </si>
  <si>
    <t>CADH3_HUMAN</t>
  </si>
  <si>
    <t>Cadherin-3</t>
  </si>
  <si>
    <t>CDH3</t>
  </si>
  <si>
    <t>SP:1-24;NC:25-654;TM:655-677;CY:678-829</t>
  </si>
  <si>
    <t>ENSG00000062038</t>
  </si>
  <si>
    <t>ENSP00000264012</t>
  </si>
  <si>
    <t>200;523;557;566</t>
  </si>
  <si>
    <t>QVLN[115]ITDK</t>
  </si>
  <si>
    <t>P22223</t>
  </si>
  <si>
    <t>Alternative splicing;Calcium;Cell adhesion;Cell membrane;Cleavage on pair of basic residues;Complete proteome;Disease mutation;Ectodermal dysplasia;Glycoprotein;Hypotrichosis;Membrane;Metal-binding;Polymorphism;Reference proteome;Repeat;Sensory transduction;Signal;Transmembrane;Transmembrane helix;Vision</t>
  </si>
  <si>
    <t>UniRef100_P22223;UniRef90_P22223;UniRef50_P12830</t>
  </si>
  <si>
    <t>ACES_HUMAN</t>
  </si>
  <si>
    <t>Acetylcholinesterase</t>
  </si>
  <si>
    <t>ACHE</t>
  </si>
  <si>
    <t>SP:1-30;NC:31-614</t>
  </si>
  <si>
    <t>ENSG00000087085</t>
  </si>
  <si>
    <t>ENSP00000241069;ENSP00000394976;ENSP00000414858</t>
  </si>
  <si>
    <t>296;381;495</t>
  </si>
  <si>
    <t>ATQLAHLVGCPPGGTGGN[115]DTELVACLR;DN[115]ESLISR</t>
  </si>
  <si>
    <t>296;381</t>
  </si>
  <si>
    <t>P22303</t>
  </si>
  <si>
    <t>Cell junction, synapse;Cell membrane (Peripheral membrane protein);Secreted;Cell membrane (Lipid-anchor, GPI-anchor|Extracellular side;Nucleus</t>
  </si>
  <si>
    <t>3D-structure;Alternative splicing;Blood group antigen;Cell junction;Cell membrane;Complete proteome;Direct protein sequencing;Disulfide bond;Glycoprotein;GPI-anchor;Hydrolase;Lipoprotein;Membrane;Neurotransmitter degradation;Nucleus;Polymorphism;Reference proteome;Secreted;Serine esterase;Signal;Synapse</t>
  </si>
  <si>
    <t>UniRef100_P22303;UniRef90_P22303;UniRef50_P22303</t>
  </si>
  <si>
    <t>DB00122;DB00449;DB00483;DB00545;DB00674;DB00677;DB00733;DB00805;DB00843;DB00944;DB00981;DB00989;DB01010;DB01122;DB01199;DB01245;DB01364;DB01400;DB08996</t>
  </si>
  <si>
    <t>ENPP1_HUMAN</t>
  </si>
  <si>
    <t>Ectonucleotide pyrophosphatase/phosphodiesterase family member 1</t>
  </si>
  <si>
    <t>ENPP1</t>
  </si>
  <si>
    <t>CY:1-76;TM:77-97;NC:98-925</t>
  </si>
  <si>
    <t>ENSG00000197594</t>
  </si>
  <si>
    <t>ENSP00000354238</t>
  </si>
  <si>
    <t>CD203a</t>
  </si>
  <si>
    <t>3.1.4.1/3.6.1.9</t>
  </si>
  <si>
    <t>179;285;341;477;578;585;643;700;731;748</t>
  </si>
  <si>
    <t>179;285;341;477;523;578;585;629;643;700;731;748</t>
  </si>
  <si>
    <t>MN[115]ASFSLK;MYN[115]GSVPFEER;TVDRN[115]DSFSTEDFSNCLYQDFR</t>
  </si>
  <si>
    <t>285;341;700</t>
  </si>
  <si>
    <t>P22413</t>
  </si>
  <si>
    <t>Basolateral cell membrane (Single-pass type II membrane protein);Cell membrane (Single-pass type II membrane protein);Secreted</t>
  </si>
  <si>
    <t>3D-structure;Biomineralization;Calcium;Cell membrane;Complete proteome;Diabetes mellitus;Direct protein sequencing;Disease mutation;Disulfide bond;Glycoprotein;Hydrolase;Membrane;Metal-binding;Obesity;Polymorphism;Reference proteome;Repeat;Secreted;Signal-anchor;Transmembrane;Transmembrane helix;Zinc</t>
  </si>
  <si>
    <t>UniRef100_P22413;UniRef90_P22413;UniRef50_P22413</t>
  </si>
  <si>
    <t>DB00811;DB01143</t>
  </si>
  <si>
    <t>FGFR4_HUMAN</t>
  </si>
  <si>
    <t>Fibroblast growth factor receptor 4</t>
  </si>
  <si>
    <t>FGFR4</t>
  </si>
  <si>
    <t>SP:1-21;NC:22-369;TM:370-390;CY:391-802</t>
  </si>
  <si>
    <t>ENSG00000160867</t>
  </si>
  <si>
    <t>ENSP00000292408;ENSP00000424960</t>
  </si>
  <si>
    <t>CD334</t>
  </si>
  <si>
    <t>112;258;290;311;322;508</t>
  </si>
  <si>
    <t>112;177;258;290;311;322;508</t>
  </si>
  <si>
    <t>TADIN[115]SSEVEVLYLR</t>
  </si>
  <si>
    <t>P22455</t>
  </si>
  <si>
    <t>Cell membrane (Single-pass type I membrane protein);Endoplasmic reticulum;Endosome;Secreted;Cytoplasm</t>
  </si>
  <si>
    <t>3D-structure;Alternative splicing;ATP-binding;Cell membrane;Complete proteome;Cytoplasm;Direct protein sequencing;Disulfide bond;Endoplasmic reticulum;Endosome;Glycoprotein;Immunoglobulin domain;Kinase;Membrane;Nucleotide-binding;Phosphoprotein;Polymorphism;Receptor;Reference proteome;Repeat;Secreted;Signal;Transferase;Transmembrane;Transmembrane helix;Tyrosine-protein kinase;Ubl conjugation</t>
  </si>
  <si>
    <t>UniRef100_P22455;UniRef90_P22455;UniRef50_P22455</t>
  </si>
  <si>
    <t>Endoplasmic Reticulum;Endosome;Extracellular space;Plasma membrane</t>
  </si>
  <si>
    <t>Cytoskeleton;Cytosol;Golgi apparatus;Lysosome;Mitochondrion;Peroxisome</t>
  </si>
  <si>
    <t>DB00039;DB08901</t>
  </si>
  <si>
    <t>FGFR3_HUMAN</t>
  </si>
  <si>
    <t>Fibroblast growth factor receptor 3</t>
  </si>
  <si>
    <t>FGFR3</t>
  </si>
  <si>
    <t>SP:1-22;NC:23-372;TM:373-396;CY:397-806</t>
  </si>
  <si>
    <t>ENSG00000068078</t>
  </si>
  <si>
    <t>ENSP00000260795;ENSP00000414914</t>
  </si>
  <si>
    <t>CD333</t>
  </si>
  <si>
    <t>98;225;262;294;315;328;428;453;718</t>
  </si>
  <si>
    <t>181;225;262;315;328;718</t>
  </si>
  <si>
    <t>410;424;430;433;445;450;771;779;780;781;782;783</t>
  </si>
  <si>
    <t>Cell membrane (Single-pass type I membrane protein);Cytoplasmic vesicle;Endoplasmic reticulum;Cell membrane (Single-pass type I membrane protein);Secreted;Cell membrane (Single-pass type I membrane protein)</t>
  </si>
  <si>
    <t>3D-structure;Alternative splicing;Apoptosis;ATP-binding;Cell membrane;Chromosomal rearrangement;Complete proteome;Craniosynostosis;Cytoplasmic vesicle;Deafness;Disease mutation;Disulfide bond;Dwarfism;Ectodermal dysplasia;Endoplasmic reticulum;Glycoprotein;Immunoglobulin domain;Kinase;Lacrimo-auriculo-dento-digital syndrome;Membrane;Nucleotide-binding;Phosphoprotein;Polymorphism;Receptor;Reference proteome;Repeat;Secreted;Signal;Transferase;Transmembrane;Transmembrane helix;Tyrosine-protein kinase;Ubl conjugation</t>
  </si>
  <si>
    <t>UniRef100_P22607;UniRef90_P22607;UniRef50_P21802-23</t>
  </si>
  <si>
    <t>DB00039;DB06589;DB08901</t>
  </si>
  <si>
    <t>GTR5_HUMAN</t>
  </si>
  <si>
    <t>Solute carrier family 2, facilitated glucose transporter member 5</t>
  </si>
  <si>
    <t>SLC2A5</t>
  </si>
  <si>
    <t>CY:1-11;TM:12-34;NC:35-68;TM:69-89;CY:90-99;TM:100-117;NC:118-124;TM:125-146;CY:147-157;TM:158-180;NC:181-191;TM:192-213;CY:214-276;TM:277-299;NC:300-315;TM:316-336;CY:337-342;TM:343-365;NC:366-370;TM:371-390;CY:391-410;TM:411-433;NC:434-438;TM:439-460;CY:461-501</t>
  </si>
  <si>
    <t>ENSG00000142583</t>
  </si>
  <si>
    <t>ENSP00000366641</t>
  </si>
  <si>
    <t>51;423</t>
  </si>
  <si>
    <t>AVNSPALLMQQFYN[115]ETYYGR;VNSPALLMQQFYN[115]ETYYGR;SPALLMQQFYN[115]ETYYGR;LLMQQFYN[115]ETYYGR;LMQQFYN[115]ETYYGR;MQQFYN[115]ETYYGR;QQFYN[115]ETYYGR;QFYN[115]ETYYGR;FYN[115]ETYYGR;YN[115]ETYYGR</t>
  </si>
  <si>
    <t>P22732</t>
  </si>
  <si>
    <t>Apical cell membrane (Multi- pass membrane protein);Membrane (Multi-pass membrane protein)</t>
  </si>
  <si>
    <t>3D-structure;Acetylation;Alternative splicing;Cell membrane;Complete proteome;Glycoprotein;Membrane;Reference proteome;Sugar transport;Transmembrane;Transmembrane helix;Transport</t>
  </si>
  <si>
    <t>UniRef100_P22732;UniRef90_P22732;UniRef50_P22732</t>
  </si>
  <si>
    <t>CAH4_HUMAN</t>
  </si>
  <si>
    <t>Carbonic anhydrase 4</t>
  </si>
  <si>
    <t>CA4</t>
  </si>
  <si>
    <t>SP:1-19;NC:20-312</t>
  </si>
  <si>
    <t>ENSG00000167434</t>
  </si>
  <si>
    <t>ENSP00000300900</t>
  </si>
  <si>
    <t>3D-structure;Alternative splicing;Cell membrane;Complete proteome;Direct protein sequencing;Disease mutation;Disulfide bond;Glycoprotein;GPI-anchor;Lipoprotein;Lyase;Membrane;Metal-binding;Polymorphism;Reference proteome;Retinitis pigmentosa;Signal;Zinc</t>
  </si>
  <si>
    <t>UniRef100_P22748;UniRef90_P22748;UniRef50_P22748</t>
  </si>
  <si>
    <t>DB00232;DB00273;DB00436;DB00562;DB00606;DB00703;DB00774;DB00819;DB00869;DB00880;DB00909;DB00999;DB01021;DB01144;DB01194</t>
  </si>
  <si>
    <t>EVI2A_HUMAN</t>
  </si>
  <si>
    <t>Protein EVI2A</t>
  </si>
  <si>
    <t>EVI2A</t>
  </si>
  <si>
    <t>SP:1-30;NC:31-132;TM:133-160;CY:161-236</t>
  </si>
  <si>
    <t>ENSG00000126860</t>
  </si>
  <si>
    <t>ENSP00000418064;ENSP00000420557</t>
  </si>
  <si>
    <t>31;38;49;73;112</t>
  </si>
  <si>
    <t>LWAN[115]STSSWDSVIQN[115]K</t>
  </si>
  <si>
    <t>38;49</t>
  </si>
  <si>
    <t>P22794</t>
  </si>
  <si>
    <t>Alternative splicing;Complete proteome;Glycoprotein;Membrane;Phosphoprotein;Proto-oncogene;Reference proteome;Signal;Transmembrane;Transmembrane helix</t>
  </si>
  <si>
    <t>UniRef100_P22794;UniRef90_P22794;UniRef50_P22794</t>
  </si>
  <si>
    <t>LSHR_HUMAN</t>
  </si>
  <si>
    <t>Lutropin-choriogonadotropic hormone receptor</t>
  </si>
  <si>
    <t>LHCGR</t>
  </si>
  <si>
    <t>SP:1-26;NC:27-363;TM:364-385;CY:386-396;TM:397-417;NC:418-441;TM:442-462;CY:463-482;TM:483-505;NC:506-525;TM:526-551;CY:552-571;TM:572-594;NC:595-605;TM:606-626;CY:627-699</t>
  </si>
  <si>
    <t>ENSG00000138039</t>
  </si>
  <si>
    <t>ENSP00000294954</t>
  </si>
  <si>
    <t>99;174;195;291;299;313;377;400</t>
  </si>
  <si>
    <t>195;313;377</t>
  </si>
  <si>
    <t>3D-structure;Alternative splicing;Cell membrane;Complete proteome;Disease mutation;Disulfide bond;G-protein coupled receptor;Glycoprotein;Leucine-rich repeat;Lipoprotein;Membrane;Palmitate;Polymorphism;Receptor;Reference proteome;Repeat;Signal;Transducer;Transmembrane;Transmembrane helix</t>
  </si>
  <si>
    <t>UniRef100_P22888;UniRef90_P22888;UniRef50_P22888</t>
  </si>
  <si>
    <t>Cytoskeleton;Cytosol;Golgi apparatus;Mitochondrion;Peroxisome</t>
  </si>
  <si>
    <t>DB00014;DB00032;DB00044;DB00050;DB00097;DB06719</t>
  </si>
  <si>
    <t>MRC1_HUMAN</t>
  </si>
  <si>
    <t>Macrophage mannose receptor 1</t>
  </si>
  <si>
    <t>MRC1</t>
  </si>
  <si>
    <t>SP:1-19;NC:20-1387;TM:1388-1411;CY:1412-1456</t>
  </si>
  <si>
    <t>ENSG00000260314</t>
  </si>
  <si>
    <t>ENSP00000455897</t>
  </si>
  <si>
    <t>CD206</t>
  </si>
  <si>
    <t>104;344;529;926;930;1160;1205;1311</t>
  </si>
  <si>
    <t>TAHCN[115]ESFYFLCK</t>
  </si>
  <si>
    <t>P22897</t>
  </si>
  <si>
    <t>3D-structure;Alternative splicing;Calcium;Cell membrane;Complete proteome;Direct protein sequencing;Disulfide bond;Endocytosis;Endosome;Glycoprotein;Lectin;Membrane;Polymorphism;Receptor;Reference proteome;Repeat;Signal;Transmembrane;Transmembrane helix</t>
  </si>
  <si>
    <t>UniRef100_P22897;UniRef90_P22897;UniRef50_P22897</t>
  </si>
  <si>
    <t>ITA6_HUMAN</t>
  </si>
  <si>
    <t>Integrin alpha-6</t>
  </si>
  <si>
    <t>ITGA6</t>
  </si>
  <si>
    <t>SP:1-23;NC:24-1052;TM:1053-1076;CY:1077-1130</t>
  </si>
  <si>
    <t>ENSG00000091409</t>
  </si>
  <si>
    <t>ENSP00000406694</t>
  </si>
  <si>
    <t>CD49f</t>
  </si>
  <si>
    <t>78;223;323;409;770;787;930;966;997;1126</t>
  </si>
  <si>
    <t>78;223;323;409;552;726;770;787;930;966;997</t>
  </si>
  <si>
    <t>106;107;631;632</t>
  </si>
  <si>
    <t>AN[115]HSGAVVLLK;AN[115]HSGAVVLLKR;QLSCVANQN[115]GSQADCELGNPFK;QLSCVANQN[115]GSQADCELGNPFKR;VANQN[115]GSQADCELGNPFK;EINSLN[115]LTESH;EINSLN[115]LTESHN;EINSLN[115]LTESHNS;EINSLN[115]LTESHNSR;EINSLN[115]LTESHN[115]S;EINSLN[115]LTESHN[115]SR;EIN[115]SLN[115]LTESHNS;NSLN[115]LTESHNSR;SLN[115]LTESHNSR;KYQTLN[115]CSVNVN;KYQTLN[115]CSVNVNCVNIR;YQTLN[115]CSVNVNCV;YQTLN[115]CSVNVNCVN;YQTLN[115]CSVNVNCVNIR;SRLWN[115]STFLEEYSK;LWN[115]STFLEEYSK</t>
  </si>
  <si>
    <t>323;770;930;966;997</t>
  </si>
  <si>
    <t>P23229</t>
  </si>
  <si>
    <t>Cell membrane (Lipid-anchor);Cell membrane (Single-pass type I membrane protein)</t>
  </si>
  <si>
    <t>Alternative splicing;Calcium;Cell adhesion;Cell membrane;Cleavage on pair of basic residues;Complete proteome;Direct protein sequencing;Disulfide bond;Epidermolysis bullosa;Glycoprotein;Integrin;Lipoprotein;Membrane;Metal-binding;Palmitate;Phosphoprotein;Receptor;Reference proteome;Repeat;Signal;Transmembrane;Transmembrane helix</t>
  </si>
  <si>
    <t>UniRef100_P23229;UniRef90_P23229;UniRef50_P23229</t>
  </si>
  <si>
    <t>KELL_HUMAN</t>
  </si>
  <si>
    <t>Kell blood group glycoprotein</t>
  </si>
  <si>
    <t>KEL</t>
  </si>
  <si>
    <t>CY:1-47;TM:48-68;NC:69-732</t>
  </si>
  <si>
    <t>ENSG00000197993;ENSG00000276615</t>
  </si>
  <si>
    <t>ENSP00000347409;ENSP00000477793</t>
  </si>
  <si>
    <t>CD238</t>
  </si>
  <si>
    <t>94;115;191;345;627</t>
  </si>
  <si>
    <t>Blood group antigen;Cell membrane;Complete proteome;Direct protein sequencing;Disulfide bond;Glycoprotein;Hydrolase;Membrane;Metal-binding;Metalloprotease;Polymorphism;Protease;Reference proteome;Signal-anchor;Transmembrane;Transmembrane helix;Zinc</t>
  </si>
  <si>
    <t>UniRef100_P23276;UniRef90_P23276;UniRef50_P23276</t>
  </si>
  <si>
    <t>GLRA1_HUMAN</t>
  </si>
  <si>
    <t>Glycine receptor subunit alpha-1</t>
  </si>
  <si>
    <t>GLRA1</t>
  </si>
  <si>
    <t>SP:1-28;NC:29-250;TM:251-272;CY:273-280;TM:281-300;NC:301-312;TM:313-335;CY:336-428;TM:429-447;NC:448-457</t>
  </si>
  <si>
    <t>ENSG00000145888</t>
  </si>
  <si>
    <t>ENSP00000411593</t>
  </si>
  <si>
    <t>66;371;394;397</t>
  </si>
  <si>
    <t>3D-structure;Alternative splicing;Cell junction;Cell membrane;Chloride;Chloride channel;Complete proteome;Disease mutation;Disulfide bond;Glycoprotein;Ion channel;Ion transport;Ligand-gated ion channel;Membrane;Postsynaptic cell membrane;Receptor;Reference proteome;Signal;Synapse;Transmembrane;Transmembrane helix;Transport</t>
  </si>
  <si>
    <t>UniRef100_P23415;UniRef90_P23415;UniRef50_P23415</t>
  </si>
  <si>
    <t>DB00145;DB00431;DB00753;DB00898;DB01028;DB01159;DB01189;DB01236;DB01381;DB00228</t>
  </si>
  <si>
    <t>GLRA2_HUMAN</t>
  </si>
  <si>
    <t>Glycine receptor subunit alpha-2</t>
  </si>
  <si>
    <t>GLRA2</t>
  </si>
  <si>
    <t>SP:1-27;NC:28-255;TM:256-278;CY:279-286;TM:287-306;NC:307-318;TM:319-341;CY:342-423;TM:424-443;NC:444-452</t>
  </si>
  <si>
    <t>ENSG00000101958</t>
  </si>
  <si>
    <t>ENSP00000218075</t>
  </si>
  <si>
    <t>72;103;371</t>
  </si>
  <si>
    <t>UniRef100_P23416;UniRef90_P23416;UniRef50_P23415</t>
  </si>
  <si>
    <t>DB00145;DB00431;DB00898</t>
  </si>
  <si>
    <t>PTPRB_HUMAN</t>
  </si>
  <si>
    <t>Receptor-type tyrosine-protein phosphatase beta</t>
  </si>
  <si>
    <t>PTPRB</t>
  </si>
  <si>
    <t>SP:1-22;NC:23-1621;TM:1622-1642;CY:1643-1997</t>
  </si>
  <si>
    <t>ENSG00000127329</t>
  </si>
  <si>
    <t>ENSP00000261266</t>
  </si>
  <si>
    <t>28;53;75;172;198;267;321;414;421;479;544;574;598;652;721;829;927;1040;1096;1163;1185;1193;1212;1274;1367;1470;1474;1518;1716;1759;1892</t>
  </si>
  <si>
    <t>28;75;172;267;321;421;479;574;927;1096;1185;1212;1367;1470</t>
  </si>
  <si>
    <t>SFSVYTN[115]GSTVPSPVK;TVPSSVSGVTVN[115]NSGR</t>
  </si>
  <si>
    <t>198;652</t>
  </si>
  <si>
    <t>P23467</t>
  </si>
  <si>
    <t>3D-structure;Alternative splicing;Angiogenesis;Complete proteome;Glycoprotein;Hydrolase;Membrane;Polymorphism;Protein phosphatase;Reference proteome;Repeat;Signal;Transmembrane;Transmembrane helix</t>
  </si>
  <si>
    <t>UniRef100_P23467;UniRef90_P23467;UniRef50_P23467</t>
  </si>
  <si>
    <t>PTPRD_HUMAN</t>
  </si>
  <si>
    <t>Receptor-type tyrosine-protein phosphatase delta</t>
  </si>
  <si>
    <t>PTPRD</t>
  </si>
  <si>
    <t>SP:1-20;NC:21-1266;TM:1267-1290;CY:1291-1912</t>
  </si>
  <si>
    <t>ENSG00000153707</t>
  </si>
  <si>
    <t>ENSP00000348812;ENSP00000370593;ENSP00000438164</t>
  </si>
  <si>
    <t>254;299;724;832;1503;1640;1701;1736</t>
  </si>
  <si>
    <t>254;299;724;832;1640;1736</t>
  </si>
  <si>
    <t>KVEVEAVN[115]STSVK</t>
  </si>
  <si>
    <t>P23468</t>
  </si>
  <si>
    <t>UniRef100_P23468;UniRef90_P23468;UniRef50_Q64604</t>
  </si>
  <si>
    <t>PTPRG_HUMAN</t>
  </si>
  <si>
    <t>Receptor-type tyrosine-protein phosphatase gamma</t>
  </si>
  <si>
    <t>PTPRG</t>
  </si>
  <si>
    <t>SP:1-19;NC:20-736;TM:737-762;CY:763-1445</t>
  </si>
  <si>
    <t>ENSG00000144724</t>
  </si>
  <si>
    <t>ENSP00000418112</t>
  </si>
  <si>
    <t>109;113;156;359;444;619;631;722;813;863;1181;1207;1252</t>
  </si>
  <si>
    <t>113;359;444;619;631;863</t>
  </si>
  <si>
    <t>VGEEYQELQLDGFDNESSN[115]K;VGEEYQELQLDGFDN[115]ESSN[115]K;VEFHWGHSN[115]GSAGSEH;VEFHWGHSN[115]GSAGSEHSINGR;VEFHWGHSN[115]GSAGSEHSIN[115]GR;SDFSQTMLFQAN[115]TTR;LFQAN[115]TTR</t>
  </si>
  <si>
    <t>109;113;156;444</t>
  </si>
  <si>
    <t>P23470</t>
  </si>
  <si>
    <t>3D-structure;Alternative splicing;Complete proteome;Disulfide bond;Glycoprotein;Hydrolase;Membrane;Phosphoprotein;Polymorphism;Protein phosphatase;Reference proteome;Repeat;Signal;Transmembrane;Transmembrane helix</t>
  </si>
  <si>
    <t>UniRef100_P23470;UniRef90_P23470;UniRef50_P23470</t>
  </si>
  <si>
    <t>PTPRZ_HUMAN</t>
  </si>
  <si>
    <t>Receptor-type tyrosine-protein phosphatase zeta</t>
  </si>
  <si>
    <t>PTPRZ1</t>
  </si>
  <si>
    <t>SP:1-22;NC:23-1637;TM:1638-1662;CY:1663-2315</t>
  </si>
  <si>
    <t>ENSG00000106278</t>
  </si>
  <si>
    <t>ENSP00000377047</t>
  </si>
  <si>
    <t>105;134;223;232;324;381;480;497;501;552;602;629;677;782;1017;1050;1082;1122;1457;1562;1618;1869;2052;2079</t>
  </si>
  <si>
    <t>105;223;324;501;677;782;1050;1562;1869;2052</t>
  </si>
  <si>
    <t>TVEIN[115]LTNDYR;ILLNLLPN[115]STDK;EEIHEAVCSSEPENVQADPEN[115]YTSLLVTWERPR;DPEN[115]YTSLLVTWERPR;ESFLQTN[115]YTEIR</t>
  </si>
  <si>
    <t>105;223;324;677</t>
  </si>
  <si>
    <t>P23471</t>
  </si>
  <si>
    <t>3D-structure;Alternative splicing;Cell membrane;Complete proteome;Disulfide bond;Glycoprotein;Hydrolase;Membrane;Phosphoprotein;Polymorphism;Protein phosphatase;Reference proteome;Repeat;Secreted;Signal;Transmembrane;Transmembrane helix</t>
  </si>
  <si>
    <t>UniRef100_P23471;UniRef90_P23471;UniRef50_P23471</t>
  </si>
  <si>
    <t>TNFL4_HUMAN</t>
  </si>
  <si>
    <t>Tumor necrosis factor ligand superfamily member 4</t>
  </si>
  <si>
    <t>TNFSF4</t>
  </si>
  <si>
    <t>CY:1-23;TM:24-49;NC:50-183</t>
  </si>
  <si>
    <t>ENSG00000117586</t>
  </si>
  <si>
    <t>ENSP00000281834</t>
  </si>
  <si>
    <t>CD252</t>
  </si>
  <si>
    <t>90;114;152;157</t>
  </si>
  <si>
    <t>3D-structure;Alternative splicing;Complete proteome;Cytokine;Disulfide bond;Glycoprotein;Membrane;Reference proteome;Signal-anchor;Systemic lupus erythematosus;Transmembrane;Transmembrane helix</t>
  </si>
  <si>
    <t>UniRef100_P23510;UniRef90_P23510;UniRef50_P23510</t>
  </si>
  <si>
    <t>OMGP_HUMAN</t>
  </si>
  <si>
    <t>Oligodendrocyte-myelin glycoprotein</t>
  </si>
  <si>
    <t>OMG</t>
  </si>
  <si>
    <t>SP:1-24;NC:25-440</t>
  </si>
  <si>
    <t>ENSG00000126861</t>
  </si>
  <si>
    <t>ENSP00000247271</t>
  </si>
  <si>
    <t>45;61;103;152;176;189;192;234;364;389;425</t>
  </si>
  <si>
    <t>Cell adhesion;Cell membrane;Complete proteome;Direct protein sequencing;Glycoprotein;GPI-anchor;Leucine-rich repeat;Lipoprotein;Membrane;Polymorphism;Reference proteome;Repeat;Signal</t>
  </si>
  <si>
    <t>UniRef100_P23515;UniRef90_P23515;UniRef50_P23515</t>
  </si>
  <si>
    <t>AT2B4_HUMAN</t>
  </si>
  <si>
    <t>Plasma membrane calcium-transporting ATPase 4</t>
  </si>
  <si>
    <t>ATP2B4</t>
  </si>
  <si>
    <t>CY:1-95;TM:96-119;NC:120-147;TM:148-168;CY:169-358;TM:359-382;NC:383-408;TM:409-432;CY:433-842;TM:843-862;NC:863-873;TM:874-893;CY:894-916;TM:917-937;NC:938-956;TM:957-974;CY:975-994;TM:995-1016;NC:1017-1027;TM:1028-1049;CY:1050-1241</t>
  </si>
  <si>
    <t>ENSG00000058668</t>
  </si>
  <si>
    <t>458;533;822</t>
  </si>
  <si>
    <t>3D-structure;Alternative splicing;ATP-binding;Calcium;Calcium transport;Calmodulin-binding;Cell membrane;Complete proteome;Direct protein sequencing;Hydrolase;Ion transport;Magnesium;Membrane;Metal-binding;Nucleotide-binding;Phosphoprotein;Reference proteome;Transmembrane;Transmembrane helix;Transport</t>
  </si>
  <si>
    <t>UniRef100_P23634;UniRef90_P23634;UniRef50_P23634</t>
  </si>
  <si>
    <t>PRPH2_HUMAN</t>
  </si>
  <si>
    <t>Peripherin-2</t>
  </si>
  <si>
    <t>PRPH2</t>
  </si>
  <si>
    <t>CY:1-20;TM:21-41;NC:42-60;TM:61-81;CY:82-100;TM:101-124;NC:125-263;TM:264-286;CY:287-346</t>
  </si>
  <si>
    <t>ENSG00000112619</t>
  </si>
  <si>
    <t>ENSP00000230381</t>
  </si>
  <si>
    <t>53;229</t>
  </si>
  <si>
    <t>Cell adhesion;Complete proteome;Cone-rod dystrophy;Disease mutation;Disulfide bond;Glycoprotein;Membrane;Polymorphism;Reference proteome;Retinitis pigmentosa;Transmembrane;Transmembrane helix</t>
  </si>
  <si>
    <t>UniRef100_P23942;UniRef90_P23942;UniRef50_P23942</t>
  </si>
  <si>
    <t>FSHR_HUMAN</t>
  </si>
  <si>
    <t>Follicle-stimulating hormone receptor</t>
  </si>
  <si>
    <t>FSHR</t>
  </si>
  <si>
    <t>SP:1-17;NC:18-366;TM:367-387;CY:388-398;TM:399-421;NC:422-444;TM:445-465;CY:466-485;TM:486-509;NC:510-528;TM:529-554;CY:555-574;TM:575-597;NC:598-608;TM:609-629;CY:630-695</t>
  </si>
  <si>
    <t>ENSG00000170820</t>
  </si>
  <si>
    <t>ENSP00000306780</t>
  </si>
  <si>
    <t>191;199;293;318;680</t>
  </si>
  <si>
    <t>3D-structure;Alternative splicing;Cell membrane;Complete proteome;Disease mutation;Disulfide bond;G-protein coupled receptor;Glycoprotein;Leucine-rich repeat;Membrane;Polymorphism;Receptor;Reference proteome;Repeat;Signal;Transducer;Transmembrane;Transmembrane helix</t>
  </si>
  <si>
    <t>UniRef100_P23945;UniRef90_P23945;UniRef50_P16235</t>
  </si>
  <si>
    <t>DB00032;DB00066;DB00094;DB00097;DB04786</t>
  </si>
  <si>
    <t>SC6A2_HUMAN</t>
  </si>
  <si>
    <t>Sodium-dependent noradrenaline transporter</t>
  </si>
  <si>
    <t>SLC6A2</t>
  </si>
  <si>
    <t>CY:1-63;TM:64-82;NC:83-93;TM:94-116;CY:117-136;TM:137-161;NC:162-233;TM:234-252;CY:253-261;TM:262-282;NC:283-310;TM:311-332;CY:333-343;TM:344-368;NC:369-394;TM:395-417;CY:418-443;TM:444-468;NC:469-473;TM:474-498;CY:499-518;TM:519-540;NC:541-555;TM:556-577;CY:578-617</t>
  </si>
  <si>
    <t>ENSG00000103546</t>
  </si>
  <si>
    <t>ENSP00000369237;ENSP00000457473</t>
  </si>
  <si>
    <t>SLC;Other;SLC6</t>
  </si>
  <si>
    <t>184;192;198</t>
  </si>
  <si>
    <t>184;198</t>
  </si>
  <si>
    <t>553;556</t>
  </si>
  <si>
    <t>LLN[115]GSVLGN[115]HTK</t>
  </si>
  <si>
    <t>192;198</t>
  </si>
  <si>
    <t>P23975</t>
  </si>
  <si>
    <t>Alternative splicing;Complete proteome;Disease mutation;Glycoprotein;Membrane;Neurotransmitter transport;Polymorphism;Reference proteome;Symport;Transmembrane;Transmembrane helix;Transport</t>
  </si>
  <si>
    <t>UniRef100_P23975;UniRef90_P23975;UniRef50_Q01959</t>
  </si>
  <si>
    <t>DB00182;DB00191;DB00193;DB00226;DB00234;DB00285;DB00289;DB00321;DB00344;DB00370;DB00408;DB00422;DB00454;DB00458;DB00476;DB00514;DB00540;DB00543;DB00579;DB00696;DB00715;DB00726;DB00830;DB00852;DB00907;DB00934;DB00937;DB00988;DB01105;DB01114;DB01142;DB01149;DB01151;DB01156;DB01170;DB01173;DB01175;DB01221;DB01242;DB01363;DB01364;DB01381;DB01576;DB01577;DB01579;DB04840;DB04896;DB06148;DB06204;DB06700;DB06701;DB06707;DB08918</t>
  </si>
  <si>
    <t>GBRR1_HUMAN</t>
  </si>
  <si>
    <t>Gamma-aminobutyric acid receptor subunit rho-1</t>
  </si>
  <si>
    <t>GABRR1</t>
  </si>
  <si>
    <t>SP:1-21;NC:22-280;TM:281-304;CY:305-313;TM:314-334;NC:335-345;TM:346-368;CY:369-457;TM:458-477;NC:478-479</t>
  </si>
  <si>
    <t>ENSG00000146276</t>
  </si>
  <si>
    <t>ENSP00000412673</t>
  </si>
  <si>
    <t>140;234;274;332;400</t>
  </si>
  <si>
    <t>Alternative splicing;Cell junction;Cell membrane;Chloride;Chloride channel;Complete proteome;Disulfide bond;Glycoprotein;Ion channel;Ion transport;Membrane;Polymorphism;Postsynaptic cell membrane;Reference proteome;Signal;Synapse;Transmembrane;Transmembrane helix;Transport</t>
  </si>
  <si>
    <t>UniRef100_P24046;UniRef90_P24046;UniRef50_P24046</t>
  </si>
  <si>
    <t>FCAR_HUMAN</t>
  </si>
  <si>
    <t>Immunoglobulin alpha Fc receptor</t>
  </si>
  <si>
    <t>FCAR</t>
  </si>
  <si>
    <t>SP:1-21;NC:22-227;TM:228-247;CY:248-287</t>
  </si>
  <si>
    <t>ENSG00000186431;ENSG00000275136;ENSG00000275269;ENSG00000276858;ENSG00000275970;ENSG00000273738;ENSG00000275564;ENSG00000276985;ENSG00000278415;ENSG00000274580</t>
  </si>
  <si>
    <t>ENSP00000347714;ENSP00000477977;ENSP00000478465;ENSP00000483099;ENSP00000482623;ENSP00000482334;ENSP00000481195;ENSP00000482807;ENSP00000481502;ENSP00000479738</t>
  </si>
  <si>
    <t>CD89</t>
  </si>
  <si>
    <t>65;79;141;177;186;198</t>
  </si>
  <si>
    <t>FWN[115]ETDPEFVIDHMDANK;GLVLMPGEN[115]ISLTCSSAHIPFDR;EGELSLPQHQSGEHPAN[115]FSLGPVDLN[115]V;EGELSLPQHQSGEHPAN[115]FSLGPVDLN[115]VSGIYR;DLN[115]VSGIYR</t>
  </si>
  <si>
    <t>79;141;177;186</t>
  </si>
  <si>
    <t>P24071</t>
  </si>
  <si>
    <t>Cell membrane (Single-pass type I membrane protein);Cell membrane (Single-pass type I membrane protein);Cell membrane (Single-pass type I membrane protein);Secreted;Secreted</t>
  </si>
  <si>
    <t>3D-structure;Alternative splicing;Cell membrane;Complete proteome;Disulfide bond;Glycoprotein;IgA-binding protein;Immunoglobulin domain;Membrane;Polymorphism;Receptor;Reference proteome;Repeat;Secreted;Signal;Transmembrane;Transmembrane helix</t>
  </si>
  <si>
    <t>UniRef100_P24071;UniRef90_P24071;UniRef50_P24071</t>
  </si>
  <si>
    <t>IL4RA_HUMAN</t>
  </si>
  <si>
    <t>Interleukin-4 receptor subunit alpha</t>
  </si>
  <si>
    <t>IL4R</t>
  </si>
  <si>
    <t>SP:1-23;NC:24-232;TM:233-254;CY:255-825</t>
  </si>
  <si>
    <t>ENSG00000077238</t>
  </si>
  <si>
    <t>ENSP00000379111;ENSP00000441667</t>
  </si>
  <si>
    <t>CD124</t>
  </si>
  <si>
    <t>53;98;128;134;176;209;481</t>
  </si>
  <si>
    <t>291;436;439;440;450;470;476;478;507;540;541;573;590;613;625;626;667;668;672;673;674;741;752;753;756;757;765;774;779;783;786;789;791;792;793;794;805;806;816</t>
  </si>
  <si>
    <t>MNGPTN[115]CSTELR;APGN[115]LTVH;IYN[115]VTYLEPSLR</t>
  </si>
  <si>
    <t>53;128;176</t>
  </si>
  <si>
    <t>P24394</t>
  </si>
  <si>
    <t>3D-structure;Alternative splicing;Cell membrane;Complete proteome;Disulfide bond;Glycoprotein;Immunity;Membrane;Phosphoprotein;Polymorphism;Receptor;Reference proteome;Secreted;Signal;Transmembrane;Transmembrane helix</t>
  </si>
  <si>
    <t>UniRef100_P24394;UniRef90_P24394;UniRef50_P24394</t>
  </si>
  <si>
    <t>EDNRB_HUMAN</t>
  </si>
  <si>
    <t>Endothelin B receptor</t>
  </si>
  <si>
    <t>EDNRB</t>
  </si>
  <si>
    <t>SP:1-26;NC:27-101;TM:102-126;CY:127-137;TM:138-159;NC:160-178;TM:179-197;CY:198-217;TM:218-240;NC:241-274;TM:275-297;CY:298-320;TM:321-341;NC:342-361;TM:362-389;CY:390-442</t>
  </si>
  <si>
    <t>ENSG00000136160</t>
  </si>
  <si>
    <t>ENSP00000335311</t>
  </si>
  <si>
    <t>59;119</t>
  </si>
  <si>
    <t>Alternative splicing;Cell membrane;Complete proteome;Deafness;Disease mutation;Disulfide bond;G-protein coupled receptor;Glycoprotein;Hirschsprung disease;Lipoprotein;Membrane;Palmitate;Phosphoprotein;Polymorphism;Receptor;Reference proteome;Signal;Transducer;Transmembrane;Transmembrane helix;Waardenburg syndrome</t>
  </si>
  <si>
    <t>UniRef100_P24530;UniRef90_P24530;UniRef50_P24530</t>
  </si>
  <si>
    <t>DB00559;DB06268;DB08932</t>
  </si>
  <si>
    <t>HRH2_HUMAN</t>
  </si>
  <si>
    <t>Histamine H2 receptor</t>
  </si>
  <si>
    <t>HRH2</t>
  </si>
  <si>
    <t>NC:1-19;TM:20-44;CY:45-54;TM:55-78;NC:79-92;TM:93-114;CY:115-134;TM:135-157;NC:158-186;TM:187-206;CY:207-232;TM:233-254;NC:255-270;TM:271-291;CY:292-359</t>
  </si>
  <si>
    <t>ENSG00000113749</t>
  </si>
  <si>
    <t>ENSP00000231683</t>
  </si>
  <si>
    <t>4;51;162;168;320</t>
  </si>
  <si>
    <t>4;51;162;168</t>
  </si>
  <si>
    <t>Alternative splicing;Cell membrane;Complete proteome;Disulfide bond;G-protein coupled receptor;Glycoprotein;Lipoprotein;Membrane;Palmitate;Polymorphism;Receptor;Reference proteome;Transducer;Transmembrane;Transmembrane helix</t>
  </si>
  <si>
    <t>UniRef100_P25021;UniRef90_P25021;UniRef50_P97292</t>
  </si>
  <si>
    <t>DB00272;DB00321;DB00334;DB00408;DB00501;DB00585;DB00667;DB00751;DB00797;DB00863;DB00927;DB00940;DB01142;DB06216;DB08806</t>
  </si>
  <si>
    <t>CXCR1_HUMAN</t>
  </si>
  <si>
    <t>C-X-C chemokine receptor type 1</t>
  </si>
  <si>
    <t>CXCR1</t>
  </si>
  <si>
    <t>NC:1-40;TM:41-65;CY:66-76;TM:77-97;NC:98-120;TM:121-139;CY:140-150;TM:151-174;NC:175-203;TM:204-223;CY:224-242;TM:243-261;NC:262-291;TM:292-309;CY:310-350</t>
  </si>
  <si>
    <t>ENSG00000163464</t>
  </si>
  <si>
    <t>ENSP00000295683</t>
  </si>
  <si>
    <t>CD181</t>
  </si>
  <si>
    <t>3;16;166;181;182;193;345</t>
  </si>
  <si>
    <t>337;338;341;342;343</t>
  </si>
  <si>
    <t>NSSPVCYEVLGN[115]DTAK</t>
  </si>
  <si>
    <t>P25024</t>
  </si>
  <si>
    <t>3D-structure;Cell membrane;Chemotaxis;Complete proteome;Disulfide bond;G-protein coupled receptor;Glycoprotein;Membrane;Polymorphism;Receptor;Reference proteome;Transducer;Transmembrane;Transmembrane helix</t>
  </si>
  <si>
    <t>UniRef100_P25024;UniRef90_P25024;UniRef50_P25025</t>
  </si>
  <si>
    <t>DB01009</t>
  </si>
  <si>
    <t>CXCR2_HUMAN</t>
  </si>
  <si>
    <t>C-X-C chemokine receptor type 2</t>
  </si>
  <si>
    <t>CXCR2</t>
  </si>
  <si>
    <t>NC:1-49;TM:50-74;CY:75-85;TM:86-106;NC:107-129;TM:130-148;CY:149-159;TM:160-183;NC:184-212;TM:213-233;CY:234-249;TM:250-270;NC:271-298;TM:299-317;CY:318-360</t>
  </si>
  <si>
    <t>ENSG00000180871</t>
  </si>
  <si>
    <t>ENSP00000319635</t>
  </si>
  <si>
    <t>CD182</t>
  </si>
  <si>
    <t>22;191;202</t>
  </si>
  <si>
    <t>344;347;352;353</t>
  </si>
  <si>
    <t>3D-structure;Cell membrane;Chemotaxis;Complete proteome;Disulfide bond;G-protein coupled receptor;Glycoprotein;Membrane;Phosphoprotein;Polymorphism;Receptor;Reference proteome;Transducer;Transmembrane;Transmembrane helix</t>
  </si>
  <si>
    <t>UniRef100_P25025;UniRef90_P25025;UniRef50_P25025</t>
  </si>
  <si>
    <t>CD24_HUMAN</t>
  </si>
  <si>
    <t>Signal transducer CD24</t>
  </si>
  <si>
    <t>CD24</t>
  </si>
  <si>
    <t>SP:1-26;NC:27-80</t>
  </si>
  <si>
    <t>36;52</t>
  </si>
  <si>
    <t>36;49;52</t>
  </si>
  <si>
    <t>Cell membrane;Complete proteome;Glycoprotein;GPI-anchor;Lipoprotein;Membrane;Polymorphism;Reference proteome;Signal</t>
  </si>
  <si>
    <t>UniRef100_P25063;UniRef90_P25063;UniRef50_P25063</t>
  </si>
  <si>
    <t>FPR3_HUMAN</t>
  </si>
  <si>
    <t>N-formyl peptide receptor 3</t>
  </si>
  <si>
    <t>FPR3</t>
  </si>
  <si>
    <t>NC:1-24;TM:25-51;CY:52-61;TM:62-81;NC:82-99;TM:100-121;CY:122-144;TM:145-164;NC:165-200;TM:201-224;CY:225-241;TM:242-268;NC:269-286;TM:287-305;CY:306-353</t>
  </si>
  <si>
    <t>ENSG00000187474</t>
  </si>
  <si>
    <t>ENSP00000341821;ENSP00000470471</t>
  </si>
  <si>
    <t>4;10</t>
  </si>
  <si>
    <t>Cell membrane;Chemotaxis;Complete proteome;Disulfide bond;G-protein coupled receptor;Glycoprotein;Membrane;Receptor;Reference proteome;Transducer;Transmembrane;Transmembrane helix</t>
  </si>
  <si>
    <t>UniRef100_P25089;UniRef90_P25089;UniRef50_P21462</t>
  </si>
  <si>
    <t>FPR2_HUMAN</t>
  </si>
  <si>
    <t>N-formyl peptide receptor 2</t>
  </si>
  <si>
    <t>FPR2</t>
  </si>
  <si>
    <t>NC:1-26;TM:27-51;CY:52-62;TM:63-88;NC:89-99;TM:100-121;CY:122-140;TM:141-164;NC:165-202;TM:203-225;CY:226-242;TM:243-267;NC:268-286;TM:287-305;CY:306-351</t>
  </si>
  <si>
    <t>ENSG00000171049</t>
  </si>
  <si>
    <t>ENSP00000340191;ENSP00000468897;ENSP00000468876</t>
  </si>
  <si>
    <t>4;333</t>
  </si>
  <si>
    <t>329;332</t>
  </si>
  <si>
    <t>UniRef100_P25090;UniRef90_P25090;UniRef50_P21462</t>
  </si>
  <si>
    <t>GUC2C_HUMAN</t>
  </si>
  <si>
    <t>Heat-stable enterotoxin receptor</t>
  </si>
  <si>
    <t>GUCY2C</t>
  </si>
  <si>
    <t>SP:1-23;NC:24-430;TM:431-454;CY:455-1073</t>
  </si>
  <si>
    <t>ENSG00000070019</t>
  </si>
  <si>
    <t>ENSP00000261170</t>
  </si>
  <si>
    <t>32;75;79;195;284;307;313;345;357;402;482;524;543;574;656;757;994;1064</t>
  </si>
  <si>
    <t>Cell membrane (Single-pass type I membrane protein);Endoplasmic reticulum membrane (Single-pass type I membrane protein)</t>
  </si>
  <si>
    <t>Cell membrane;cGMP biosynthesis;Complete proteome;Disease mutation;Endoplasmic reticulum;Glycoprotein;GTP-binding;Lyase;Membrane;Nucleotide-binding;Polymorphism;Receptor;Reference proteome;Signal;Transmembrane;Transmembrane helix</t>
  </si>
  <si>
    <t>UniRef100_P25092;UniRef90_P25092;UniRef50_P25092</t>
  </si>
  <si>
    <t>DB08890</t>
  </si>
  <si>
    <t>ADA1D_HUMAN</t>
  </si>
  <si>
    <t>Alpha-1D adrenergic receptor</t>
  </si>
  <si>
    <t>ADRA1D</t>
  </si>
  <si>
    <t>NC:1-98;TM:99-122;CY:123-132;TM:133-152;NC:153-171;TM:172-192;CY:193-212;TM:213-234;NC:235-253;TM:254-278;CY:279-348;TM:349-370;NC:371-385;TM:386-404;CY:405-572</t>
  </si>
  <si>
    <t>ENSG00000171873</t>
  </si>
  <si>
    <t>ENSP00000368766</t>
  </si>
  <si>
    <t>65;82</t>
  </si>
  <si>
    <t>Cell membrane;Complete proteome;G-protein coupled receptor;Glycoprotein;Lipoprotein;Membrane;Palmitate;Receptor;Reference proteome;Transducer;Transmembrane;Transmembrane helix</t>
  </si>
  <si>
    <t>UniRef100_P25100;UniRef90_P25100;UniRef50_P25100</t>
  </si>
  <si>
    <t>DB00211;DB00248;DB00298;DB00321;DB00346;DB00368;DB00388;DB00420;DB00457;DB00458;DB00540;DB00575;DB00590;DB00622;DB00668;DB00696;DB00706;DB00723;DB00777;DB00800;DB00925;DB00935;DB01136;DB01142;DB01162;DB01186;DB01200;DB01224;DB01403;DB04855;DB06144;DB06207;DB06262;DB06694;DB00370;DB00477;DB00543;DB00598;DB00934;DB01049;DB01151;DB06148;DB00182;DB01365</t>
  </si>
  <si>
    <t>EDNRA_HUMAN</t>
  </si>
  <si>
    <t>Endothelin-1 receptor</t>
  </si>
  <si>
    <t>EDNRA</t>
  </si>
  <si>
    <t>SP:1-20;NC:21-80;TM:81-105;CY:106-116;TM:117-136;NC:137-160;TM:161-181;CY:182-200;TM:201-225;NC:226-256;TM:257-283;CY:284-303;TM:304-324;NC:325-344;TM:345-372;CY:373-427</t>
  </si>
  <si>
    <t>ENSG00000151617</t>
  </si>
  <si>
    <t>ENSP00000315011</t>
  </si>
  <si>
    <t>29;62;98;242;287;401</t>
  </si>
  <si>
    <t>98;242;401</t>
  </si>
  <si>
    <t>61;391;393;396;397;404;420</t>
  </si>
  <si>
    <t>SN[115]GSMHNYCPQQTK;TCMLN[115]ATSK</t>
  </si>
  <si>
    <t>62;242</t>
  </si>
  <si>
    <t>P25101</t>
  </si>
  <si>
    <t>Alternative splicing;Cell membrane;Complete proteome;Disulfide bond;G-protein coupled receptor;Glycoprotein;Membrane;Polymorphism;Receptor;Reference proteome;Signal;Transducer;Transmembrane;Transmembrane helix</t>
  </si>
  <si>
    <t>UniRef100_P25101;UniRef90_P26684;UniRef50_P21451</t>
  </si>
  <si>
    <t>DB00559;DB00945;DB06268;DB08932</t>
  </si>
  <si>
    <t>NK1R_HUMAN</t>
  </si>
  <si>
    <t>Substance-P receptor</t>
  </si>
  <si>
    <t>TACR1</t>
  </si>
  <si>
    <t>NC:1-31;TM:32-58;CY:59-69;TM:70-90;NC:91-109;TM:110-128;CY:129-148;TM:149-168;NC:169-194;TM:195-225;CY:226-245;TM:246-271;NC:272-285;TM:286-308;CY:309-407</t>
  </si>
  <si>
    <t>ENSG00000115353</t>
  </si>
  <si>
    <t>ENSP00000303522</t>
  </si>
  <si>
    <t>14;18;89;385</t>
  </si>
  <si>
    <t>339;344;352;357;360;379;384;388</t>
  </si>
  <si>
    <t>3D-structure;Alternative splicing;Cell membrane;Complete proteome;Disulfide bond;G-protein coupled receptor;Glycoprotein;Lipoprotein;Membrane;Palmitate;Polymorphism;Receptor;Reference proteome;Transducer;Transmembrane;Transmembrane helix</t>
  </si>
  <si>
    <t>UniRef100_P25103;UniRef90_P14600;UniRef50_P14600</t>
  </si>
  <si>
    <t>DB00673;DB01221;DB04894</t>
  </si>
  <si>
    <t>PTAFR_HUMAN</t>
  </si>
  <si>
    <t>Platelet-activating factor receptor</t>
  </si>
  <si>
    <t>PTAFR</t>
  </si>
  <si>
    <t>NC:1-19;TM:20-41;CY:42-53;TM:54-76;NC:77-88;TM:89-113;CY:114-133;TM:134-154;NC:155-184;TM:185-209;CY:210-229;TM:230-251;NC:252-274;TM:275-296;CY:297-342</t>
  </si>
  <si>
    <t>ENSG00000169403</t>
  </si>
  <si>
    <t>ENSP00000301974;ENSP00000362965;ENSP00000442658</t>
  </si>
  <si>
    <t>58;169</t>
  </si>
  <si>
    <t>ILDSTNTVPDSAGSGN[115]VTR;TNTVPDSAGSGN[115]VTR;NTVPDSAGSGN[115]VTR;TVPDSAGSGN[115]VTR;VPDSAGSGN[115]VTR</t>
  </si>
  <si>
    <t>P25105</t>
  </si>
  <si>
    <t>UniRef100_P25105;UniRef90_P25105;UniRef50_P25105</t>
  </si>
  <si>
    <t>ACKR3_HUMAN</t>
  </si>
  <si>
    <t>Atypical chemokine receptor 3</t>
  </si>
  <si>
    <t>ACKR3</t>
  </si>
  <si>
    <t>NC:1-41;TM:42-66;CY:67-80;TM:81-102;NC:103-120;TM:121-140;CY:141-160;TM:161-182;NC:183-209;TM:210-234;CY:235-253;TM:254-277;NC:278-293;TM:294-318;CY:319-362</t>
  </si>
  <si>
    <t>ENSG00000144476</t>
  </si>
  <si>
    <t>ENSP00000272928</t>
  </si>
  <si>
    <t>13;22;39;192</t>
  </si>
  <si>
    <t>18;347</t>
  </si>
  <si>
    <t>TVTSASNN[115]ETYCR</t>
  </si>
  <si>
    <t>P25106</t>
  </si>
  <si>
    <t>Cell membrane (Multi-pass membrane protein);Cytoplasm, perinuclear region;Early endosome;Recycling endosome</t>
  </si>
  <si>
    <t>Cell adhesion;Cell membrane;Complete proteome;Cytoplasm;Developmental protein;Disulfide bond;Endosome;G-protein coupled receptor;Glycoprotein;Host-virus interaction;Membrane;Phosphoprotein;Polymorphism;Receptor;Reference proteome;Transducer;Transmembrane;Transmembrane helix;Ubl conjugation</t>
  </si>
  <si>
    <t>UniRef100_P25106;UniRef90_P25106;UniRef50_P25106</t>
  </si>
  <si>
    <t>PAR1_HUMAN</t>
  </si>
  <si>
    <t>Proteinase-activated receptor 1</t>
  </si>
  <si>
    <t>F2R</t>
  </si>
  <si>
    <t>SP:1-21;NC:22-106;TM:107-129;CY:130-137;TM:138-157;NC:158-176;TM:177-198;CY:199-218;TM:219-239;NC:240-266;TM:267-291;CY:292-311;TM:312-338;NC:339-349;TM:350-373;CY:374-425</t>
  </si>
  <si>
    <t>ENSG00000181104</t>
  </si>
  <si>
    <t>ENSP00000321326</t>
  </si>
  <si>
    <t>35;62;75;250;259;304;398;416</t>
  </si>
  <si>
    <t>37;64;73;77;78;391;392;395;396;400;406</t>
  </si>
  <si>
    <t>56;100;168;213;227</t>
  </si>
  <si>
    <t>ATN[115]ATLDPR;NPNDKYEPFWEDEEKN[115]ESGLTEYR;NPN[115]DKYEPFWEDEEKN[115]ESGLTEYR;N[115]PNDKYEPFWEDEEKN[115]ESGLTEYR;PNDKYEPFWEDEEKN[115]ESGLTEYR;YEPFWEDEEKN[115]ESGLTEYR;WEDEEKN[115]ESGLTEYR</t>
  </si>
  <si>
    <t>35;62</t>
  </si>
  <si>
    <t>P25116</t>
  </si>
  <si>
    <t>3D-structure;Blood coagulation;Cell membrane;Complete proteome;Disulfide bond;G-protein coupled receptor;Glycoprotein;Hemostasis;Membrane;Phosphoprotein;Polymorphism;Receptor;Reference proteome;Signal;Transducer;Transmembrane;Transmembrane helix</t>
  </si>
  <si>
    <t>UniRef100_P25116;UniRef90_P25116;UniRef50_P25116</t>
  </si>
  <si>
    <t>Cytoskeleton;Cytosol;Endoplasmic Reticulum;Endosome;Lysosome;Mitochondrion;Nucleus;Peroxisome</t>
  </si>
  <si>
    <t>DB00086</t>
  </si>
  <si>
    <t>MYP0_HUMAN</t>
  </si>
  <si>
    <t>Myelin protein P0</t>
  </si>
  <si>
    <t>MPZ</t>
  </si>
  <si>
    <t>SP:1-29;NC:30-154;TM:155-181;CY:182-248</t>
  </si>
  <si>
    <t>ENSG00000158887</t>
  </si>
  <si>
    <t>ENSP00000431538;ENSP00000432943</t>
  </si>
  <si>
    <t>DGSIVIHNLDYSDN[115]GTFTCDVK;NLDYSDN[115]GTFTCDVK;SDN[115]GTFTCDVK</t>
  </si>
  <si>
    <t>P25189</t>
  </si>
  <si>
    <t>Cell membrane (Single-pass type I membrane protein);Myelin membrane (Single-pass type I membrane protein)</t>
  </si>
  <si>
    <t>3D-structure;Alternative splicing;Cell membrane;Charcot-Marie-Tooth disease;Complete proteome;Deafness;Dejerine-Sottas syndrome;Direct protein sequencing;Disease mutation;Disulfide bond;Glycoprotein;Immunoglobulin domain;Membrane;Neurodegeneration;Neuropathy;Phosphoprotein;Polymorphism;Reference proteome;Signal;Transmembrane;Transmembrane helix</t>
  </si>
  <si>
    <t>UniRef100_P25189;UniRef90_P25189;UniRef50_P25189</t>
  </si>
  <si>
    <t>TNR6_HUMAN</t>
  </si>
  <si>
    <t>Tumor necrosis factor receptor superfamily member 6</t>
  </si>
  <si>
    <t>FAS</t>
  </si>
  <si>
    <t>SP:1-25;NC:26-173;TM:174-190;CY:191-335</t>
  </si>
  <si>
    <t>ENSG00000026103</t>
  </si>
  <si>
    <t>ENSP00000347979</t>
  </si>
  <si>
    <t>CD95</t>
  </si>
  <si>
    <t>118;136;223</t>
  </si>
  <si>
    <t>28;40;42;43;161;212;214</t>
  </si>
  <si>
    <t>CRLCDEGHGLEVEIN[115]CTRTQNTK;CRLCDEGHGLEVEIN[115]CTRTQNTKCR;LCDEGHGLEVEIN[115]CTR;LCDEGHGLEVEIN[115]CTRTQNTK;LCDEGHGLEVEIN[115]CTRTQNTKCR;CKPNFFCN[115]STVCEHCDPCTK;FFCN[115]STVCEHCDPCTK</t>
  </si>
  <si>
    <t>118;136</t>
  </si>
  <si>
    <t>P25445</t>
  </si>
  <si>
    <t>Cell membrane (Single-pass type I membrane protein);Secreted;Secreted;Secreted;Secreted;Secreted</t>
  </si>
  <si>
    <t>3D-structure;Alternative splicing;Apoptosis;Cell membrane;Complete proteome;Direct protein sequencing;Disease mutation;Disulfide bond;Glycoprotein;Membrane;Phosphoprotein;Polymorphism;Receptor;Reference proteome;Repeat;Secreted;Signal;Transmembrane;Transmembrane helix</t>
  </si>
  <si>
    <t>UniRef100_P25445;UniRef90_P25445;UniRef50_P25445</t>
  </si>
  <si>
    <t>Cytosol;Extracellular space;Plasma membrane</t>
  </si>
  <si>
    <t>Cytoskeleton;Endoplasmic Reticulum;Endosome;Golgi apparatus;Lysosome;Mitochondrion;Peroxisome</t>
  </si>
  <si>
    <t>NPY1R_HUMAN</t>
  </si>
  <si>
    <t>Neuropeptide Y receptor type 1</t>
  </si>
  <si>
    <t>NPY1R</t>
  </si>
  <si>
    <t>NC:1-42;TM:43-66;CY:67-77;TM:78-103;NC:104-114;TM:115-136;CY:137-155;TM:156-177;NC:178-212;TM:213-236;CY:237-260;TM:261-281;NC:282-299;TM:300-323;CY:324-384</t>
  </si>
  <si>
    <t>ENSG00000164128</t>
  </si>
  <si>
    <t>ENSP00000354652</t>
  </si>
  <si>
    <t>2;11;17;73;81;186</t>
  </si>
  <si>
    <t>2;73;186</t>
  </si>
  <si>
    <t>MTDEPFQN[115]VTLDAYK</t>
  </si>
  <si>
    <t>P25929</t>
  </si>
  <si>
    <t>3D-structure;Cell membrane;Complete proteome;Disulfide bond;G-protein coupled receptor;Glycoprotein;Lipoprotein;Membrane;Palmitate;Polymorphism;Receptor;Reference proteome;Transducer;Transmembrane;Transmembrane helix</t>
  </si>
  <si>
    <t>UniRef100_P25929;UniRef90_Q04573;UniRef50_Q04573</t>
  </si>
  <si>
    <t>TNR5_HUMAN</t>
  </si>
  <si>
    <t>Tumor necrosis factor receptor superfamily member 5</t>
  </si>
  <si>
    <t>CD40</t>
  </si>
  <si>
    <t>SP:1-20;NC:21-193;TM:194-215;CY:216-277</t>
  </si>
  <si>
    <t>ENSG00000101017</t>
  </si>
  <si>
    <t>ENSP00000361359</t>
  </si>
  <si>
    <t>153;180</t>
  </si>
  <si>
    <t>223;262</t>
  </si>
  <si>
    <t>11;71;109;164</t>
  </si>
  <si>
    <t>QIATGVSDTICEPCPVGFFSN[115]VSSAFEK;EPCPVGFFSN[115]VSSAFEK;VGFFSN[115]VSSAFEK;GFFSN[115]VSSAFEK;FFSN[115]VSSAFEK;FSN[115]VSSAFEK;SN[115]VSSAFEK;DLVVQQAGTN[115]K;DLVVQQAGTN[115]KTDVVCGPQDR;LVVQQAGTN[115]K;VVQQAGTN[115]K</t>
  </si>
  <si>
    <t>P25942</t>
  </si>
  <si>
    <t>3D-structure;Alternative splicing;Cell membrane;Complete proteome;Direct protein sequencing;Disease mutation;Disulfide bond;Glycoprotein;Immunity;Membrane;Polymorphism;Receptor;Reference proteome;Repeat;Secreted;Signal;Transmembrane;Transmembrane helix</t>
  </si>
  <si>
    <t>UniRef100_P25942;UniRef90_P25942;UniRef50_P25942</t>
  </si>
  <si>
    <t>Cytoskeleton;Cytosol</t>
  </si>
  <si>
    <t>ITA3_HUMAN</t>
  </si>
  <si>
    <t>Integrin alpha-3</t>
  </si>
  <si>
    <t>ITGA3</t>
  </si>
  <si>
    <t>SP:1-32;NC:33-991;TM:992-1014;CY:1015-1051</t>
  </si>
  <si>
    <t>ENSG00000005884</t>
  </si>
  <si>
    <t>ENSP00000007722</t>
  </si>
  <si>
    <t>CD49c</t>
  </si>
  <si>
    <t>86;107;265;500;511;573;605;656;697;841;857;926;935;969</t>
  </si>
  <si>
    <t>YLLLAGAPRELAVPDGYTN[115]R;ELAVPDGYTN[115]R;LAVPDGYTN[115]R;VPDGYTN[115]R;DDCERMN[115]ITVK;N[115]ITIVTGAPR;CFAYN[115]QSAGNPNYR;FAYN[115]QSAGNPNYR;AYN[115]QSAGNPNYR;YN[115]QSAGNPNYR;N[115]QSAGNPNYR;RN[115]ITLAYTLEADR;RN[115]ITLAYTLEADRDR;RN[115]ITLAYTLEADRDRRPPR;N[115]ITLAYTLEADR;N[115]ITLAYTLEADRDR;DKLRPIIISMN[115]YSLPLR;LRPIIISMN[115]Y;LRPIIISMN[115]YSLPLR;SMN[115]YSLPLR;SLDAYPILNQAQALEN[115]HT;SLDAYPILNQAQALEN[115]HTEVQFQK;SLDAYPILNQAQALEN[115]HTEVQFQKECGPDNK;SLDAYPILN[115]QAQALEN[115]HTEVQFQK;LDAYPILNQAQALEN[115]HTEVQFQK;PILNQAQALEN[115]HTEVQFQK;LNQAQALEN[115]HTEVQFQK;NQAQALEN[115]HTEVQFQK;QAQALEN[115]HTEVQFQK;AQALEN[115]HTEVQFQK;QALEN[115]HTEVQFQK;ALEN[115]HTEVQFQK;LEN[115]HTEVQFQK;EN[115]HTEVQFQK;N[115]HTEVQFQK;LLLSIN[115]VTNTR;LLLSIN[115]VTN[115]TR;LLSIN[115]VTNTR;LLSIN[115]VTN[115]TR;LSIN[115]VTNTR;LSIN[115]VTN[115]TR;SIN[115]VTNTR;IN[115]VTNTR;LSSVRPPGACQAN[115]ETIFCELGNPFK;SSVRPPGACQAN[115]ETIFCELGNPFK;SVRPPGACQAN[115]ETIFCELGNPFK;VRPPGACQAN[115]ETIFCELGNPFK;QAN[115]ETIFCELGNPFK;PLN[115]LTLSDPGDRPSSPQR;AHCVWLECPIPDAPVVTN[115]VTVK;LECPIPDAPVVTN[115]VTVK;ECPIPDAPVVTN[115]VTVK;PIPDAPVVTN[115]VTVK;PDAPVVTN[115]VTVK;DAPVVTN[115]VTVK;APVVTN[115]VTVK;PVVTN[115]VTVK;ARVWN[115]STFIEDYRDFDR;ARVWN[115]STFIEDYRDFDRVR;VWN[115]STFIEDYR;VWN[115]STFIEDYRDFDR;VWN[115]STFIEDYRDFDRVR;WN[115]STFIEDYR;N[115]STFIEDYRDFDRVR;TSIPTINMEN[115]K;TSIPTIN[115]MEN[115]K;PTINMEN[115]K</t>
  </si>
  <si>
    <t>86;107;265;500;511;573;605;656;697;857;926;935;969</t>
  </si>
  <si>
    <t>P26006</t>
  </si>
  <si>
    <t>Cell membrane (Lipid-anchor);Cell membrane (Single-pass type I membrane protein);Cell projection, filopodium membrane (Single-pass type I membrane protein);Cell projection, invadopodium membrane (Single-pass type I membrane protein)</t>
  </si>
  <si>
    <t>Alternative splicing;Calcium;Cell adhesion;Cell junction;Cell membrane;Cell projection;Cleavage on pair of basic residues;Complete proteome;Direct protein sequencing;Disulfide bond;Epidermolysis bullosa;Glycoprotein;Integrin;Lipoprotein;Membrane;Metal-binding;Palmitate;Phosphoprotein;Polymorphism;Receptor;Reference proteome;Repeat;Signal;Transmembrane;Transmembrane helix</t>
  </si>
  <si>
    <t>UniRef100_P26006;UniRef90_P26006;UniRef50_P26006</t>
  </si>
  <si>
    <t>ITB7_HUMAN</t>
  </si>
  <si>
    <t>Integrin beta-7</t>
  </si>
  <si>
    <t>ITGB7</t>
  </si>
  <si>
    <t>SP:1-19;NC:20-725;TM:726-746;CY:747-798</t>
  </si>
  <si>
    <t>ENSG00000139626</t>
  </si>
  <si>
    <t>ENSP00000267082;ENSP00000408741</t>
  </si>
  <si>
    <t>68;279;434;477;531;590;665;674</t>
  </si>
  <si>
    <t>QLN[115]FTASGEAEAR;APN[115]GTGPLCSGK;CQCGVCHCHAN[115]R;CGVCHCHAN[115]R;GVCHCHAN[115]R;TGPLATN[115]CSTACAH</t>
  </si>
  <si>
    <t>68;531;590;665</t>
  </si>
  <si>
    <t>P26010</t>
  </si>
  <si>
    <t>3D-structure;Alternative splicing;Cell adhesion;Complete proteome;Direct protein sequencing;Disulfide bond;Glycoprotein;Host cell receptor for virus entry;Integrin;Magnesium;Membrane;Metal-binding;Phosphoprotein;Polymorphism;Receptor;Reference proteome;Repeat;Signal;Transmembrane;Transmembrane helix</t>
  </si>
  <si>
    <t>UniRef100_P26010;UniRef90_P26010;UniRef50_P26010</t>
  </si>
  <si>
    <t>ITB8_HUMAN</t>
  </si>
  <si>
    <t>Integrin beta-8</t>
  </si>
  <si>
    <t>ITGB8</t>
  </si>
  <si>
    <t>SP:1-24;NC:25-681;TM:682-704;CY:705-769</t>
  </si>
  <si>
    <t>ENSG00000105855</t>
  </si>
  <si>
    <t>ENSP00000222573</t>
  </si>
  <si>
    <t>233;402;421;431;456;466;648</t>
  </si>
  <si>
    <t>IHVLSLTEN[115]ITEFEK;VLSLTEN[115]ITEFEK;SLTEN[115]ITEFEK;NYAIIKPIGFN[115]ETAK;ENWNCMQCLHPHN[115]LSQAILDQCK</t>
  </si>
  <si>
    <t>233;456;648</t>
  </si>
  <si>
    <t>P26012</t>
  </si>
  <si>
    <t>Alternative splicing;Cell adhesion;Complete proteome;Disulfide bond;Glycoprotein;Integrin;Membrane;Polymorphism;Receptor;Reference proteome;Repeat;Signal;Transmembrane;Transmembrane helix</t>
  </si>
  <si>
    <t>UniRef100_P26012;UniRef90_P26012;UniRef50_P26012</t>
  </si>
  <si>
    <t>NKG2A_HUMAN</t>
  </si>
  <si>
    <t>NKG2-A/NKG2-B type II integral membrane protein</t>
  </si>
  <si>
    <t>KLRC1</t>
  </si>
  <si>
    <t>CY:1-70;TM:71-95;NC:96-233</t>
  </si>
  <si>
    <t>ENSG00000134545</t>
  </si>
  <si>
    <t>ENSP00000352064;ENSP00000438038</t>
  </si>
  <si>
    <t>CD159a</t>
  </si>
  <si>
    <t>102;103;151;180</t>
  </si>
  <si>
    <t>3D-structure;Alternative splicing;Complete proteome;Disulfide bond;Glycoprotein;Lectin;Membrane;Polymorphism;Receptor;Reference proteome;Signal-anchor;Transmembrane;Transmembrane helix</t>
  </si>
  <si>
    <t>UniRef100_P26715;UniRef90_P26715;UniRef50_P26717</t>
  </si>
  <si>
    <t>NKG2C_HUMAN</t>
  </si>
  <si>
    <t>NKG2-C type II integral membrane protein</t>
  </si>
  <si>
    <t>KLRC2</t>
  </si>
  <si>
    <t>CY:1-74;TM:75-97;NC:98-231</t>
  </si>
  <si>
    <t>ENSG00000205809</t>
  </si>
  <si>
    <t>ENSP00000371327</t>
  </si>
  <si>
    <t>CD159c</t>
  </si>
  <si>
    <t>27;100;101;149;178</t>
  </si>
  <si>
    <t>3D-structure;Complete proteome;Disulfide bond;Glycoprotein;Lectin;Membrane;Polymorphism;Receptor;Reference proteome;Signal-anchor;Transmembrane;Transmembrane helix</t>
  </si>
  <si>
    <t>UniRef100_P26717;UniRef90_P26717;UniRef50_P26717</t>
  </si>
  <si>
    <t>NKG2D_HUMAN</t>
  </si>
  <si>
    <t>NKG2-D type II integral membrane protein</t>
  </si>
  <si>
    <t>KLRK1</t>
  </si>
  <si>
    <t>CY:1-52;TM:53-76;NC:77-216</t>
  </si>
  <si>
    <t>ENSG00000213809</t>
  </si>
  <si>
    <t>ENSP00000240618;ENSP00000446003</t>
  </si>
  <si>
    <t>CD314</t>
  </si>
  <si>
    <t>49;131;163;202</t>
  </si>
  <si>
    <t>Cell membrane (Single- pass type II membrane protein)</t>
  </si>
  <si>
    <t>3D-structure;Adaptive immunity;Alternative splicing;Cell membrane;Complete proteome;Differentiation;Disulfide bond;Glycoprotein;Immunity;Innate immunity;Lectin;Membrane;Polymorphism;Receptor;Reference proteome;Signal-anchor;Transmembrane;Transmembrane helix</t>
  </si>
  <si>
    <t>UniRef100_P26718;UniRef90_P26718;UniRef50_P26718</t>
  </si>
  <si>
    <t>100528032;22914</t>
  </si>
  <si>
    <t>CD27_HUMAN</t>
  </si>
  <si>
    <t>CD27 antigen</t>
  </si>
  <si>
    <t>CD27</t>
  </si>
  <si>
    <t>SP:1-22;NC:23-188;TM:189-211;CY:212-260</t>
  </si>
  <si>
    <t>ENSG00000139193</t>
  </si>
  <si>
    <t>ENSP00000266557</t>
  </si>
  <si>
    <t>95;125</t>
  </si>
  <si>
    <t>127;129;132;133;149;156;173;176;219;224;235</t>
  </si>
  <si>
    <t>N[115]CTITANAECACR;N[115]CTITAN[115]AECACR</t>
  </si>
  <si>
    <t>P26842</t>
  </si>
  <si>
    <t>Apoptosis;Complete proteome;Direct protein sequencing;Disease mutation;Disulfide bond;Glycoprotein;Membrane;Phosphoprotein;Polymorphism;Receptor;Reference proteome;Repeat;Signal;Transmembrane;Transmembrane helix</t>
  </si>
  <si>
    <t>UniRef100_P26842;UniRef90_P26842;UniRef50_P26842</t>
  </si>
  <si>
    <t>IL3RA_HUMAN</t>
  </si>
  <si>
    <t>Interleukin-3 receptor subunit alpha</t>
  </si>
  <si>
    <t>IL3RA</t>
  </si>
  <si>
    <t>SP:1-19;NC:20-306;TM:307-329;CY:330-378</t>
  </si>
  <si>
    <t>ENSG00000185291</t>
  </si>
  <si>
    <t>ENSP00000327890</t>
  </si>
  <si>
    <t>CD123</t>
  </si>
  <si>
    <t>46;64;80;109;212;218</t>
  </si>
  <si>
    <t>AQQLTWDLNRN[115]VTDIECVK;N[115]VTDIECVK;CEVTN[115]YTVR;FVVFSQIEILTPPN[115]MTAK;SQIEILTPPN[115]MTAK</t>
  </si>
  <si>
    <t>46;80;212</t>
  </si>
  <si>
    <t>P26951</t>
  </si>
  <si>
    <t>3D-structure;Alternative splicing;Complete proteome;Glycoprotein;Membrane;Polymorphism;Receptor;Reference proteome;Signal;Transmembrane;Transmembrane helix</t>
  </si>
  <si>
    <t>UniRef100_P26951;UniRef90_P26951;UniRef50_P26951</t>
  </si>
  <si>
    <t>CNTFR_HUMAN</t>
  </si>
  <si>
    <t>Ciliary neurotrophic factor receptor subunit alpha</t>
  </si>
  <si>
    <t>CNTFR</t>
  </si>
  <si>
    <t>SP:1-22;NC:23-372</t>
  </si>
  <si>
    <t>ENSG00000122756</t>
  </si>
  <si>
    <t>ENSP00000242338;ENSP00000368265;ENSP00000480451</t>
  </si>
  <si>
    <t>60;70;142;190</t>
  </si>
  <si>
    <t>VN[115]GTDLAPDLLN[115]GSQLVLH;TFN[115]VTVLHGSK</t>
  </si>
  <si>
    <t>60;70;142</t>
  </si>
  <si>
    <t>P26992</t>
  </si>
  <si>
    <t>3D-structure;Cell membrane;Complete proteome;Disulfide bond;Glycoprotein;GPI-anchor;Immunoglobulin domain;Lipoprotein;Membrane;Receptor;Reference proteome;Repeat;Signal</t>
  </si>
  <si>
    <t>UniRef100_P26992;UniRef90_P26992;UniRef50_P26992</t>
  </si>
  <si>
    <t>AVR2A_HUMAN</t>
  </si>
  <si>
    <t>Activin receptor type-2A</t>
  </si>
  <si>
    <t>ACVR2A</t>
  </si>
  <si>
    <t>SP:1-19;NC:20-138;TM:139-161;CY:162-513</t>
  </si>
  <si>
    <t>ENSG00000121989</t>
  </si>
  <si>
    <t>ENSP00000241416;ENSP00000384338</t>
  </si>
  <si>
    <t>Kinase;Act.TGFB</t>
  </si>
  <si>
    <t>43;66;333</t>
  </si>
  <si>
    <t>DRTN[115]QTGVEPCYGDK;DRTN[115]QTGVEPCYGDKDK;TN[115]QTGVEPCYGDK</t>
  </si>
  <si>
    <t>P27037</t>
  </si>
  <si>
    <t>3D-structure;Alternative splicing;ATP-binding;Complete proteome;Disulfide bond;Glycoprotein;Kinase;Magnesium;Manganese;Membrane;Metal-binding;Nucleotide-binding;Polymorphism;Receptor;Reference proteome;Serine/threonine-protein kinase;Signal;Transferase;Transmembrane;Transmembrane helix</t>
  </si>
  <si>
    <t>UniRef100_P27037;UniRef90_P27038;UniRef50_P27040</t>
  </si>
  <si>
    <t>DPP4_HUMAN</t>
  </si>
  <si>
    <t>Dipeptidyl peptidase 4</t>
  </si>
  <si>
    <t>DPP4</t>
  </si>
  <si>
    <t>CY:1-6;TM:7-28;NC:29-766</t>
  </si>
  <si>
    <t>ENSG00000197635</t>
  </si>
  <si>
    <t>ENSP00000353731</t>
  </si>
  <si>
    <t>CD26</t>
  </si>
  <si>
    <t>85;92;150;219;229;281;321;520;685</t>
  </si>
  <si>
    <t>85;92;150;219;229;263;281;321;520;685</t>
  </si>
  <si>
    <t>QLITEERIPN[115]NTQWVTWSPVGHK;IPN[115]NTQWVTWSPVGHK;N[115]NTQWVTWSPVGHK;IQN[115]YSVMDICDYDESSGR;KLDFIILN[115]ETK;LDFIILN[115]ETK;YMGLPTPEDNLDHYRN[115]STVMSR;YMGLPTPEDN[115]LDHYRN[115]STVMSR</t>
  </si>
  <si>
    <t>150;321;520;685</t>
  </si>
  <si>
    <t>P27487</t>
  </si>
  <si>
    <t>Apical cell membrane (Single-pass type II membrane protein);Cell junction;Cell membrane (Single-pass type II membrane protein);Cell projection, invadopodium membrane (Single-pass type II membrane protein);Cell projection, lamellipodium membrane (Single-pass type II membrane protein);Membrane raft;Secreted</t>
  </si>
  <si>
    <t>3D-structure;Aminopeptidase;Cell adhesion;Cell junction;Cell membrane;Cell projection;Complete proteome;Direct protein sequencing;Disulfide bond;Glycoprotein;Hydrolase;Membrane;Protease;Receptor;Reference proteome;Secreted;Serine protease;Signal-anchor;Transmembrane;Transmembrane helix</t>
  </si>
  <si>
    <t>UniRef100_P27487;UniRef90_P27487;UniRef50_P27487</t>
  </si>
  <si>
    <t>Cytoskeleton;Cytosol;Endosome;Lysosome;Mitochondrion;Nucleus;Peroxisome</t>
  </si>
  <si>
    <t>DB01076;DB01261;DB04876;DB06203;DB06335;DB08882</t>
  </si>
  <si>
    <t>CD82_HUMAN</t>
  </si>
  <si>
    <t>CD82 antigen</t>
  </si>
  <si>
    <t>CD82</t>
  </si>
  <si>
    <t>CY:1-11;TM:12-36;NC:37-55;TM:56-75;CY:76-84;TM:85-108;NC:109-228;TM:229-253;CY:254-267</t>
  </si>
  <si>
    <t>ENSG00000085117</t>
  </si>
  <si>
    <t>ENSP00000227155</t>
  </si>
  <si>
    <t>129;157;198</t>
  </si>
  <si>
    <t>DYN[115]SSREDSLQDAWDYVQ;DYN[115]SSREDSLQDAWDYVQAQVK;YN[115]WTDNAELMNRPEVTYPCSCEVK;KGFCEAPGN[115]R;GFCEAPGN[115]R</t>
  </si>
  <si>
    <t>P27701</t>
  </si>
  <si>
    <t>UniRef100_P27701;UniRef90_P27701;UniRef50_P27701</t>
  </si>
  <si>
    <t>IL1R2_HUMAN</t>
  </si>
  <si>
    <t>Interleukin-1 receptor type 2</t>
  </si>
  <si>
    <t>IL1R2</t>
  </si>
  <si>
    <t>SP:1-18;NC:19-347;TM:348-369;CY:370-398</t>
  </si>
  <si>
    <t>ENSG00000115590</t>
  </si>
  <si>
    <t>ENSP00000330959;ENSP00000377066</t>
  </si>
  <si>
    <t>CD121b</t>
  </si>
  <si>
    <t>66;72;112;219;277</t>
  </si>
  <si>
    <t>56;58;69;87;94;169;273;274;350;368;387</t>
  </si>
  <si>
    <t>IN[115]LTWHK;CVLTFAHEGQQYN[115]ITR;AHEGQQYN[115]ITR;EGQQYN[115]ITR;VFLGTGTPLTTMLWWTAN[115]DTHIESAYPGGR;TTMLWWTAN[115]DTHIESAYPGGR;TAN[115]DTHIESAYPGGR</t>
  </si>
  <si>
    <t>66;219;277</t>
  </si>
  <si>
    <t>P27930</t>
  </si>
  <si>
    <t>3D-structure;Alternative splicing;Cell membrane;Complete proteome;Disulfide bond;Glycoprotein;Immunoglobulin domain;Membrane;Polymorphism;Receptor;Reference proteome;Repeat;Secreted;Signal;Transmembrane;Transmembrane helix</t>
  </si>
  <si>
    <t>UniRef100_P27930;UniRef90_P27930;UniRef50_P27930</t>
  </si>
  <si>
    <t>DMA_HUMAN</t>
  </si>
  <si>
    <t>HLA class II histocompatibility antigen, DM alpha chain</t>
  </si>
  <si>
    <t>HLA-DMA</t>
  </si>
  <si>
    <t>SP:1-26;NC:27-232;TM:233-254;CY:255-261</t>
  </si>
  <si>
    <t>ENSG00000204257;ENSG00000243215;ENSG00000242361;ENSG00000239463;ENSG00000242685;ENSG00000243189;ENSG00000243719</t>
  </si>
  <si>
    <t>ENSP00000363976;ENSP00000372717;ENSP00000407198;ENSP00000410591;ENSP00000392842;ENSP00000395349;ENSP00000404018</t>
  </si>
  <si>
    <t>41;191</t>
  </si>
  <si>
    <t>Late endosome membrane (Single-pass type I membrane protein);Lysosome membrane (Single-pass type I membrane protein)</t>
  </si>
  <si>
    <t>UniRef100_P28067;UniRef90_P28067;UniRef50_P28078</t>
  </si>
  <si>
    <t>DMB_HUMAN</t>
  </si>
  <si>
    <t>HLA class II histocompatibility antigen, DM beta chain</t>
  </si>
  <si>
    <t>HLA-DMB</t>
  </si>
  <si>
    <t>SP:1-20;NC:21-218;TM:219-239;CY:240-263</t>
  </si>
  <si>
    <t>ENSG00000241674;ENSG00000242092;ENSG00000241296;ENSG00000242574;ENSG00000234154;ENSG00000239329;ENSG00000226264;ENSG00000242386</t>
  </si>
  <si>
    <t>ENSP00000372718;ENSP00000378723;ENSP00000413471;ENSP00000398890;ENSP00000414817;ENSP00000393646;ENSP00000411321;ENSP00000408453</t>
  </si>
  <si>
    <t>110;255</t>
  </si>
  <si>
    <t>54;105;138;149;172;207;240;260</t>
  </si>
  <si>
    <t>3D-structure;Complete proteome;Disulfide bond;Endosome;Glycoprotein;Immunity;Immunoglobulin domain;Lysosome;Membrane;MHC II;Polymorphism;Reference proteome;Signal;Transmembrane;Transmembrane helix</t>
  </si>
  <si>
    <t>UniRef100_P28068;UniRef90_P28068;UniRef50_P28068</t>
  </si>
  <si>
    <t>Endosome;Endosome;Endosome;Lysosome;Lysosome;Lysosome</t>
  </si>
  <si>
    <t>Cytoskeleton;Cytoskeleton;Cytoskeleton;Cytosol;Cytosol;Cytosol;Endoplasmic Reticulum;Endoplasmic Reticulum;Endoplasmic Reticulum;Extracellular space;Extracellular space;Extracellular space;Golgi apparatus;Golgi apparatus;Golgi apparatus;Mitochondrion;Mitochondrion;Mitochondrion;Nucleus;Nucleus;Nucleus;Peroxisome;Peroxisome;Peroxisome</t>
  </si>
  <si>
    <t>5HT1D_HUMAN</t>
  </si>
  <si>
    <t>5-hydroxytryptamine receptor 1D</t>
  </si>
  <si>
    <t>HTR1D</t>
  </si>
  <si>
    <t>NC:1-38;TM:39-65;CY:66-74;TM:75-101;NC:102-112;TM:113-134;CY:135-154;TM:155-175;NC:176-195;TM:196-218;CY:219-301;TM:302-324;NC:325-337;TM:338-359;CY:360-377</t>
  </si>
  <si>
    <t>ENSG00000179546</t>
  </si>
  <si>
    <t>ENSP00000363748</t>
  </si>
  <si>
    <t>5;17;21;191;257</t>
  </si>
  <si>
    <t>SLN[115]ATETSEAW</t>
  </si>
  <si>
    <t>P28221</t>
  </si>
  <si>
    <t>UniRef100_P28221;UniRef90_P28221;UniRef50_P28222</t>
  </si>
  <si>
    <t>DB00216;DB00246;DB00248;DB00268;DB00315;DB00320;DB00321;DB00334;DB00363;DB00408;DB00413;DB00589;DB00669;DB00696;DB00714;DB00726;DB00734;DB00918;DB00952;DB00953;DB00998;DB01186;DB01200;DB01224;DB01238;DB01267;DB01392;DB01049;DB01221</t>
  </si>
  <si>
    <t>5HT1B_HUMAN</t>
  </si>
  <si>
    <t>5-hydroxytryptamine receptor 1B</t>
  </si>
  <si>
    <t>HTR1B</t>
  </si>
  <si>
    <t>NC:1-49;TM:50-74;CY:75-85;TM:86-106;NC:107-123;TM:124-145;CY:146-165;TM:166-186;NC:187-205;TM:206-229;CY:230-314;TM:315-339;NC:340-344;TM:345-368;CY:369-390</t>
  </si>
  <si>
    <t>ENSG00000135312</t>
  </si>
  <si>
    <t>ENSP00000358963</t>
  </si>
  <si>
    <t>24;32;245</t>
  </si>
  <si>
    <t>3D-structure;Behavior;Cell membrane;Complete proteome;Disulfide bond;G-protein coupled receptor;Glycoprotein;Lipoprotein;Membrane;Palmitate;Phosphoprotein;Polymorphism;Receptor;Reference proteome;Transducer;Transmembrane;Transmembrane helix</t>
  </si>
  <si>
    <t>UniRef100_P28222;UniRef90_P28222;UniRef50_P28222</t>
  </si>
  <si>
    <t>DB00216;DB00246;DB00247;DB00248;DB00268;DB00315;DB00320;DB00321;DB00334;DB00363;DB00408;DB00413;DB00543;DB00571;DB00589;DB00669;DB00696;DB00714;DB00904;DB00918;DB00952;DB00953;DB00960;DB00998;DB01186;DB01200;DB01224;DB01238;DB01359;DB01392;DB06216;DB08807;DB01049;DB01221</t>
  </si>
  <si>
    <t>5HT2A_HUMAN</t>
  </si>
  <si>
    <t>5-hydroxytryptamine receptor 2A</t>
  </si>
  <si>
    <t>HTR2A</t>
  </si>
  <si>
    <t>NC:1-75;TM:76-99;CY:100-110;TM:111-137;NC:138-149;TM:150-171;CY:172-191;TM:192-214;NC:215-233;TM:234-256;CY:257-323;TM:324-347;NC:348-359;TM:360-383;CY:384-471</t>
  </si>
  <si>
    <t>ENSG00000102468</t>
  </si>
  <si>
    <t>ENSP00000367959;ENSP00000437737</t>
  </si>
  <si>
    <t>8;38;44;51;54;75;107;384</t>
  </si>
  <si>
    <t>44;51;107;384</t>
  </si>
  <si>
    <t>Cell membrane (Multi-pass membrane protein);Cell projection, axon;Cell projection, dendrite;Cytoplasmic vesicle;Membrane, caveola</t>
  </si>
  <si>
    <t>Alternative splicing;Behavior;Cell membrane;Cell projection;Complete proteome;Cytoplasmic vesicle;Disulfide bond;G-protein coupled receptor;Glycoprotein;Membrane;Phosphoprotein;Polymorphism;Receptor;Reference proteome;Transducer;Transmembrane;Transmembrane helix</t>
  </si>
  <si>
    <t>UniRef100_P28223;UniRef90_P28223;UniRef50_P14842</t>
  </si>
  <si>
    <t>DB00246;DB00247;DB00248;DB00268;DB00321;DB00334;DB00363;DB00370;DB00408;DB00409;DB00413;DB00420;DB00434;DB00458;DB00477;DB00502;DB00540;DB00543;DB00589;DB00604;DB00656;DB00679;DB00696;DB00714;DB00715;DB00726;DB00734;DB00751;DB00777;DB00805;DB00843;DB00875;DB00924;DB00933;DB00934;DB01069;DB01142;DB01149;DB01151;DB01186;DB01200;DB01224;DB01238;DB01239;DB01242;DB01267;DB01392;DB01403;DB01614;DB01618;DB01621;DB01622;DB01623;DB01624;DB04842;DB04946;DB06144;DB06148;DB06216;DB06288;DB08810;DB08815;DB09016;DB01049;DB00477;DB01221</t>
  </si>
  <si>
    <t>5HT2C_HUMAN</t>
  </si>
  <si>
    <t>5-hydroxytryptamine receptor 2C</t>
  </si>
  <si>
    <t>HTR2C</t>
  </si>
  <si>
    <t>SP:1-32;NC:33-55;TM:56-78;CY:79-89;TM:90-116;NC:117-127;TM:128-150;CY:151-170;TM:171-194;NC:195-213;TM:214-241;CY:242-311;TM:312-333;NC:334-351;TM:352-371;CY:372-458</t>
  </si>
  <si>
    <t>ENSG00000147246</t>
  </si>
  <si>
    <t>ENSP00000276198;ENSP00000361018;ENSP00000361019</t>
  </si>
  <si>
    <t>39;86;203;204</t>
  </si>
  <si>
    <t>Alternative splicing;Behavior;Cell membrane;Complete proteome;Disulfide bond;G-protein coupled receptor;Glycoprotein;Membrane;Polymorphism;Receptor;Reference proteome;RNA editing;Signal;Transducer;Transmembrane;Transmembrane helix</t>
  </si>
  <si>
    <t>UniRef100_P28335;UniRef90_P28335;UniRef50_P28335</t>
  </si>
  <si>
    <t>DB00193;DB00246;DB00247;DB00248;DB00268;DB00321;DB00334;DB00363;DB00370;DB00408;DB00413;DB00420;DB00434;DB00458;DB00477;DB00540;DB00543;DB00589;DB00656;DB00696;DB00714;DB00726;DB00734;DB00777;DB00805;DB00934;DB01142;DB01149;DB01151;DB01186;DB01191;DB01200;DB01224;DB01238;DB01239;DB01242;DB01267;DB01392;DB01403;DB04871;DB06144;DB06148;DB06216;DB06594;DB09014;DB01049;DB00477;DB01221</t>
  </si>
  <si>
    <t>NMBR_HUMAN</t>
  </si>
  <si>
    <t>Neuromedin-B receptor</t>
  </si>
  <si>
    <t>NMBR</t>
  </si>
  <si>
    <t>NC:1-47;TM:48-69;CY:70-80;TM:81-101;NC:102-118;TM:119-139;CY:140-157;TM:158-178;NC:179-211;TM:212-233;CY:234-263;TM:264-287;NC:288-302;TM:303-327;CY:328-390</t>
  </si>
  <si>
    <t>ENSG00000135577</t>
  </si>
  <si>
    <t>ENSP00000258042</t>
  </si>
  <si>
    <t>8;16;192</t>
  </si>
  <si>
    <t>UniRef100_P28336;UniRef90_P28336;UniRef50_P28336</t>
  </si>
  <si>
    <t>GBRB3_HUMAN</t>
  </si>
  <si>
    <t>Gamma-aminobutyric acid receptor subunit beta-3</t>
  </si>
  <si>
    <t>GABRB3</t>
  </si>
  <si>
    <t>SP:1-25;NC:26-242;TM:243-266;CY:267-272;TM:273-293;NC:294-308;TM:309-332;CY:333-453;TM:454-471;NC:472-473</t>
  </si>
  <si>
    <t>ENSG00000166206</t>
  </si>
  <si>
    <t>ENSP00000308725</t>
  </si>
  <si>
    <t>33;105;174</t>
  </si>
  <si>
    <t>105;174</t>
  </si>
  <si>
    <t>LAYSGIPLN[115]LTLDNR</t>
  </si>
  <si>
    <t>P28472</t>
  </si>
  <si>
    <t>3D-structure;Alternative splicing;Cell junction;Cell membrane;Chloride;Chloride channel;Complete proteome;Direct protein sequencing;Disease mutation;Disulfide bond;Epilepsy;Glycoprotein;Ion channel;Ion transport;Ligand-gated ion channel;Membrane;Postsynaptic cell membrane;Receptor;Reference proteome;Signal;Synapse;Transmembrane;Transmembrane helix;Transport</t>
  </si>
  <si>
    <t>UniRef100_P28472;UniRef90_P28472;UniRef50_P28472</t>
  </si>
  <si>
    <t>DB00231;DB00546;DB00592;DB00602;DB00683;DB00690;DB00801;DB00818;DB00829;DB00842;DB00897;DB01215;DB01558;DB01559;DB01567;DB01588;DB01589;DB01594;DB01595;DB06716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</si>
  <si>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GBRR2_HUMAN</t>
  </si>
  <si>
    <t>Gamma-aminobutyric acid receptor subunit rho-2</t>
  </si>
  <si>
    <t>GABRR2</t>
  </si>
  <si>
    <t>SP:1-20;NC:21-260;TM:261-284;CY:285-293;TM:294-314;NC:315-325;TM:326-349;CY:350-444;TM:445-463;NC:464-465</t>
  </si>
  <si>
    <t>ENSG00000111886</t>
  </si>
  <si>
    <t>ENSP00000386029</t>
  </si>
  <si>
    <t>120;254;312</t>
  </si>
  <si>
    <t>Alternative initiation;Cell junction;Cell membrane;Chloride;Chloride channel;Complete proteome;Disulfide bond;Glycoprotein;Ion channel;Ion transport;Membrane;Postsynaptic cell membrane;Reference proteome;Signal;Synapse;Transmembrane;Transmembrane helix;Transport</t>
  </si>
  <si>
    <t>UniRef100_P28476;UniRef90_P28476;UniRef50_P28476</t>
  </si>
  <si>
    <t>5HT1E_HUMAN</t>
  </si>
  <si>
    <t>5-hydroxytryptamine receptor 1E</t>
  </si>
  <si>
    <t>HTR1E</t>
  </si>
  <si>
    <t>NC:1-22;TM:23-47;CY:48-58;TM:59-85;NC:86-96;TM:97-118;CY:119-138;TM:139-160;NC:161-179;TM:180-205;CY:206-289;TM:290-309;NC:310-328;TM:329-347;CY:348-365</t>
  </si>
  <si>
    <t>ENSG00000168830</t>
  </si>
  <si>
    <t>ENSP00000307766</t>
  </si>
  <si>
    <t>2;5;224</t>
  </si>
  <si>
    <t>UniRef100_P28566;UniRef90_P28566;UniRef50_P28566</t>
  </si>
  <si>
    <t>DB00216;DB00246;DB00247;DB00334;DB00363;DB00408;DB01224;DB01238;DB01049;DB01221</t>
  </si>
  <si>
    <t>PTPRM_HUMAN</t>
  </si>
  <si>
    <t>Receptor-type tyrosine-protein phosphatase mu</t>
  </si>
  <si>
    <t>PTPRM</t>
  </si>
  <si>
    <t>SP:1-20;NC:21-742;TM:743-764;CY:765-1452</t>
  </si>
  <si>
    <t>ENSG00000173482</t>
  </si>
  <si>
    <t>ENSP00000331418</t>
  </si>
  <si>
    <t>72;92;131;249;406;414;448;454;534;544;598;651;681;1182</t>
  </si>
  <si>
    <t>92;249;406;414;544;598;681</t>
  </si>
  <si>
    <t>EN[115]DTHCIDFHYFVSSK;VNNGPLGNPIWN[115]ISGDPTR;VNNGPLGN[115]PIWN[115]ISGDPTR;VNN[115]GPLGNPIWN[115]ISGDPTR;VN[115]NGPLGNPIWN[115]ISGDPTR;VN[115]N[115]GPLGNPIWN[115]ISGDPTR;GPLGNPIWN[115]ISGDPTR;LGNPIWN[115]ISGDPTR;PIWN[115]ISGDPTR;FIASFNVVN[115]TTK;WEPFGYN[115]VTR;EEVSWDTENSHPQHTITNLSPYTN[115]VSVK;EEVSWDTENSHPQHTITN[115]LSPYTN[115]VSVK;EEVSWDTEN[115]SHPQHTITNLSPYTN[115]VSVK;TITNLSPYTN[115]VSVK;TITN[115]LSPYTN[115]VSVK;AVSSFDPEIDLSN[115]QSGR;LGN[115]ETHFLF;LGN[115]ETHFLFF;ISAPSMPAYELETPLN[115]QTDNTVTVMLKPAH;ISAPSMPAYELETPLN[115]QTDNTVTVMLKPAHSR</t>
  </si>
  <si>
    <t>92;131;249;406;448;454;534;544;598</t>
  </si>
  <si>
    <t>P28827</t>
  </si>
  <si>
    <t>3D-structure;Alternative splicing;Cell adhesion;Complete proteome;Disulfide bond;Glycoprotein;Hydrolase;Immunoglobulin domain;Membrane;Phosphoprotein;Polymorphism;Protein phosphatase;Receptor;Reference proteome;Repeat;Signal;Transmembrane;Transmembrane helix</t>
  </si>
  <si>
    <t>UniRef100_P28827;UniRef90_P28827;UniRef50_Q15262</t>
  </si>
  <si>
    <t>CD34_HUMAN</t>
  </si>
  <si>
    <t>Hematopoietic progenitor cell antigen CD34</t>
  </si>
  <si>
    <t>CD34</t>
  </si>
  <si>
    <t>SP:1-32;NC:33-290;TM:291-311;CY:312-385</t>
  </si>
  <si>
    <t>ENSG00000174059</t>
  </si>
  <si>
    <t>ENSP00000310036</t>
  </si>
  <si>
    <t>36;51;55;85;107;126;142;194;249;362</t>
  </si>
  <si>
    <t>KLTQGICLEQN[115]K;LTQGICLEQN[115]K;TQGICLEQN[115]K;PQCLLLVLAN[115]R</t>
  </si>
  <si>
    <t>194;249</t>
  </si>
  <si>
    <t>P28906</t>
  </si>
  <si>
    <t>Alternative splicing;Cell adhesion;Complete proteome;Direct protein sequencing;Glycoprotein;Membrane;Phosphoprotein;Polymorphism;Reference proteome;Signal;Transmembrane;Transmembrane helix</t>
  </si>
  <si>
    <t>UniRef100_P28906;UniRef90_P28906;UniRef50_P28906</t>
  </si>
  <si>
    <t>Cytoskeleton;Cytosol;Endoplasmic Reticulum;Endosome;Golgi apparatus;Mitochondrion;Nucleus;Peroxisome</t>
  </si>
  <si>
    <t>CD38_HUMAN</t>
  </si>
  <si>
    <t>ADP-ribosyl cyclase/cyclic ADP-ribose hydrolase 1</t>
  </si>
  <si>
    <t>CD38</t>
  </si>
  <si>
    <t>CY:1-23;TM:24-43;NC:44-300</t>
  </si>
  <si>
    <t>ENSG00000004468</t>
  </si>
  <si>
    <t>ENSP00000226279</t>
  </si>
  <si>
    <t>3.2.2</t>
  </si>
  <si>
    <t>100;164;209;219</t>
  </si>
  <si>
    <t>HPCN[115]ITEED;HPCN[115]ITEEDYQP;HPCN[115]ITEEDYQPL;HPCN[115]ITEEDYQPLM;HPCN[115]ITEEDYQPLMK;PCN[115]ITEEDYQPLMK;CN[115]ITEEDYQPLMK;YLADDLTWCGEFN[115]TSK;LADDLTWCGEFN[115]TSK;ADDLTWCGEFN[115]TSK;CGEFN[115]TSK;RFAEAACDVVHVMLN[115]GSR;FAEAACDVVHVMLN[115]GS;FAEAACDVVHVMLN[115]GSR;EAACDVVHVMLN[115]GSR;AACDVVHVMLN[115]GSR;ACDVVHVMLN[115]GSR;VVHVMLN[115]GSR;VHVMLN[115]GSR;IFDKN[115]STF;IFDKN[115]STFGSVEV;IFDKN[115]STFGSVEVH;IFDKN[115]STFGSVEVHNLQPEK;IFDKN[115]STFGSVEVHN[115]LQPEK;FDKN[115]STFGSVEVHNLQPEK;DKN[115]STFGSVEVHNLQPEK;N[115]STFGSVEVH;N[115]STFGSVEVHN;N[115]STFGSVEVHNLQPEK</t>
  </si>
  <si>
    <t>P28907</t>
  </si>
  <si>
    <t>3D-structure;Alternative splicing;Complete proteome;Diabetes mellitus;Disulfide bond;Glycoprotein;Hydrolase;Membrane;NAD;NADP;Polymorphism;Receptor;Reference proteome;Signal-anchor;Transferase;Transmembrane;Transmembrane helix</t>
  </si>
  <si>
    <t>UniRef100_P28907;UniRef90_P28907;UniRef50_P28907</t>
  </si>
  <si>
    <t>TNR8_HUMAN</t>
  </si>
  <si>
    <t>Tumor necrosis factor receptor superfamily member 8</t>
  </si>
  <si>
    <t>TNFRSF8</t>
  </si>
  <si>
    <t>SP:1-18;NC:19-386;TM:387-407;CY:408-595</t>
  </si>
  <si>
    <t>ENSG00000120949</t>
  </si>
  <si>
    <t>ENSP00000263932</t>
  </si>
  <si>
    <t>CD30</t>
  </si>
  <si>
    <t>101;276</t>
  </si>
  <si>
    <t>TPCAWN[115]SSR;PCAWN[115]SSR;CAWN[115]SSR</t>
  </si>
  <si>
    <t>P28908</t>
  </si>
  <si>
    <t>3D-structure;Alternative initiation;Alternative splicing;Cell membrane;Complete proteome;Cytoplasm;Disulfide bond;Glycoprotein;Membrane;Phosphoprotein;Polymorphism;Receptor;Reference proteome;Repeat;Signal;Transmembrane;Transmembrane helix</t>
  </si>
  <si>
    <t>UniRef100_P28908;UniRef90_P28908;UniRef50_P28908</t>
  </si>
  <si>
    <t>DB08870</t>
  </si>
  <si>
    <t>CD1B_HUMAN</t>
  </si>
  <si>
    <t>T-cell surface glycoprotein CD1b</t>
  </si>
  <si>
    <t>CD1B</t>
  </si>
  <si>
    <t>SP:1-18;NC:19-300;TM:301-323;CY:324-333</t>
  </si>
  <si>
    <t>ENSG00000158485</t>
  </si>
  <si>
    <t>ENSP00000357150</t>
  </si>
  <si>
    <t>CD1b</t>
  </si>
  <si>
    <t>38;75;146;258</t>
  </si>
  <si>
    <t>38;75;146;258;297</t>
  </si>
  <si>
    <t>GN[115]FSDKEVAELEEIFR;GALGGLDFLSVKN[115]ASCVPSPEGGSR</t>
  </si>
  <si>
    <t>75;146</t>
  </si>
  <si>
    <t>P29016</t>
  </si>
  <si>
    <t>3D-structure;Adaptive immunity;Alternative splicing;Cell membrane;Complete proteome;Disulfide bond;Endosome;Glycoprotein;Immunity;Immunoglobulin domain;Lysosome;Membrane;Reference proteome;Signal;Transmembrane;Transmembrane helix</t>
  </si>
  <si>
    <t>UniRef100_P29016;UniRef90_P29016;UniRef50_P29016</t>
  </si>
  <si>
    <t>CD1C_HUMAN</t>
  </si>
  <si>
    <t>T-cell surface glycoprotein CD1c</t>
  </si>
  <si>
    <t>CD1C</t>
  </si>
  <si>
    <t>SP:1-21;NC:22-303;TM:304-323;CY:324-333</t>
  </si>
  <si>
    <t>ENSG00000158481</t>
  </si>
  <si>
    <t>ENSP00000357152</t>
  </si>
  <si>
    <t>CD1c</t>
  </si>
  <si>
    <t>38;70;75;146</t>
  </si>
  <si>
    <t>SFVN[115]QSWAR;GN[115]FSNEELSDLELLFR</t>
  </si>
  <si>
    <t>38;75</t>
  </si>
  <si>
    <t>P29017</t>
  </si>
  <si>
    <t>3D-structure;Adaptive immunity;Cell membrane;Complete proteome;Disulfide bond;Endosome;Glycoprotein;Immunity;Immunoglobulin domain;Lipid-binding;Membrane;Polymorphism;Reference proteome;Signal;Transmembrane;Transmembrane helix</t>
  </si>
  <si>
    <t>UniRef100_P29017;UniRef90_P29017;UniRef50_P29017</t>
  </si>
  <si>
    <t>CXB2_HUMAN</t>
  </si>
  <si>
    <t>Gap junction beta-2 protein</t>
  </si>
  <si>
    <t>GJB2</t>
  </si>
  <si>
    <t>CY:1-21;TM:22-40;NC:41-75;TM:76-97;CY:98-131;TM:132-157;NC:158-190;TM:191-215;CY:216-226</t>
  </si>
  <si>
    <t>ENSG00000165474</t>
  </si>
  <si>
    <t>ENSP00000372295;ENSP00000372299</t>
  </si>
  <si>
    <t>3D-structure;Cell junction;Cell membrane;Complete proteome;Deafness;Disease mutation;Disulfide bond;Ectodermal dysplasia;Gap junction;Hearing;Ichthyosis;Membrane;Non-syndromic deafness;Palmoplantar keratoderma;Polymorphism;Reference proteome;Transmembrane;Transmembrane helix</t>
  </si>
  <si>
    <t>UniRef100_P29033;UniRef90_P29033;UniRef50_P29033</t>
  </si>
  <si>
    <t>AA2AR_HUMAN</t>
  </si>
  <si>
    <t>Adenosine receptor A2a</t>
  </si>
  <si>
    <t>ADORA2A</t>
  </si>
  <si>
    <t>NC:1-6;TM:7-32;CY:33-42;TM:43-66;NC:67-77;TM:78-100;CY:101-120;TM:121-142;NC:143-177;TM:178-202;CY:203-233;TM:234-257;NC:258-268;TM:269-290;CY:291-412</t>
  </si>
  <si>
    <t>ENSG00000128271</t>
  </si>
  <si>
    <t>ENSP00000336630</t>
  </si>
  <si>
    <t>39;154;348</t>
  </si>
  <si>
    <t>320;335;367;374</t>
  </si>
  <si>
    <t>3D-structure;Cell membrane;Complete proteome;Disulfide bond;G-protein coupled receptor;Glycoprotein;Membrane;Polymorphism;Receptor;Reference proteome;Transducer;Transmembrane;Transmembrane helix;Ubl conjugation</t>
  </si>
  <si>
    <t>UniRef100_P29274;UniRef90_P29274;UniRef50_P30543</t>
  </si>
  <si>
    <t>DB00201;DB00277;DB00358;DB00640;DB00651;DB00806;DB00824;DB01303;DB01412;DB04932;DB06213</t>
  </si>
  <si>
    <t>AA2BR_HUMAN</t>
  </si>
  <si>
    <t>Adenosine receptor A2b</t>
  </si>
  <si>
    <t>ADORA2B</t>
  </si>
  <si>
    <t>NC:1-11;TM:12-33;CY:34-43;TM:44-67;NC:68-78;TM:79-101;CY:102-121;TM:122-143;NC:144-182;TM:183-209;CY:210-230;TM:231-250;NC:251-269;TM:270-292;CY:293-332</t>
  </si>
  <si>
    <t>ENSG00000170425</t>
  </si>
  <si>
    <t>ENSP00000304501</t>
  </si>
  <si>
    <t>153;163</t>
  </si>
  <si>
    <t>Cell membrane;Complete proteome;Disulfide bond;G-protein coupled receptor;Glycoprotein;Lipoprotein;Membrane;Palmitate;Receptor;Reference proteome;Transducer;Transmembrane;Transmembrane helix</t>
  </si>
  <si>
    <t>UniRef100_P29275;UniRef90_P29275;UniRef50_P30543</t>
  </si>
  <si>
    <t>DB00277;DB00640;DB00824;DB04932</t>
  </si>
  <si>
    <t>EPHA2_HUMAN</t>
  </si>
  <si>
    <t>Ephrin type-A receptor 2</t>
  </si>
  <si>
    <t>EPHA2</t>
  </si>
  <si>
    <t>SP:1-26;NC:27-534;TM:535-558;CY:559-976</t>
  </si>
  <si>
    <t>ENSG00000142627</t>
  </si>
  <si>
    <t>ENSP00000351209;ENSP00000484980</t>
  </si>
  <si>
    <t>407;435</t>
  </si>
  <si>
    <t>TSVTVSDLEPHMN[115]YTFTVE;TSVTVSDLEPHMN[115]YTFTVEA;TSVTVSDLEPHMN[115]YTFTVEAR;MN[115]YTFTVEAR;TASVSIN[115]QTEPPK;TASVSIN[115]QTEPPKV;TASVSIN[115]QTEPPKVR;SVSIN[115]QTEPPK;VSIN[115]QTEPPK</t>
  </si>
  <si>
    <t>P29317</t>
  </si>
  <si>
    <t>Cell junction, focal adhesion;Cell membrane (Single-pass type I membrane protein);Cell projection, lamellipodium membrane (Single- pass type I membrane protein);Cell projection, ruffle membrane (Single-pass type I membrane protein)</t>
  </si>
  <si>
    <t>3D-structure;Alternative splicing;Angiogenesis;Apoptosis;ATP-binding;Cataract;Cell adhesion;Cell junction;Cell membrane;Cell projection;Complete proteome;Differentiation;Disease mutation;Disulfide bond;Glycoprotein;Host-virus interaction;Kinase;Membrane;Nucleotide-binding;Phosphoprotein;Polymorphism;Receptor;Reference proteome;Repeat;Signal;Transferase;Transmembrane;Transmembrane helix;Tyrosine-protein kinase;Ubl conjugation</t>
  </si>
  <si>
    <t>UniRef100_P29317;UniRef90_P29317;UniRef50_P29317</t>
  </si>
  <si>
    <t>DB01254;DB08896</t>
  </si>
  <si>
    <t>EPHA3_HUMAN</t>
  </si>
  <si>
    <t>Ephrin type-A receptor 3</t>
  </si>
  <si>
    <t>EPHA3</t>
  </si>
  <si>
    <t>SP:1-20;NC:21-541;TM:542-564;CY:565-983</t>
  </si>
  <si>
    <t>ENSG00000044524</t>
  </si>
  <si>
    <t>ENSP00000337451</t>
  </si>
  <si>
    <t>232;337;391;404;493;620;704</t>
  </si>
  <si>
    <t>GSCVN[115]NSKEED;GSCVN[115]NSKEEDPPR;NVISNIN[115]ETSVILDWSWPLDTGGR;QFGLTN[115]TTVTVTDLLAH;TN[115]YTFEIDAVNGVSELSSPPR;TN[115]YTFEIDAVN[115]GVSELSSPPR;GTN[115]VTISSLKPD;GTN[115]VTISSLKPDTIY;GTN[115]VTISSLKPDTIYVF;GTN[115]VTISSLKPDTIYVFQIR</t>
  </si>
  <si>
    <t>232;337;391;404;493</t>
  </si>
  <si>
    <t>P29320</t>
  </si>
  <si>
    <t>3D-structure;Alternative splicing;ATP-binding;Cell adhesion;Cell membrane;Complete proteome;Direct protein sequencing;Glycoprotein;Kinase;Membrane;Nucleotide-binding;Phosphoprotein;Polymorphism;Receptor;Reference proteome;Repeat;Secreted;Signal;Transferase;Transmembrane;Transmembrane helix;Tyrosine-protein kinase</t>
  </si>
  <si>
    <t>UniRef100_P29320;UniRef90_P29320;UniRef50_P54763</t>
  </si>
  <si>
    <t>EPHA8_HUMAN</t>
  </si>
  <si>
    <t>Ephrin type-A receptor 8</t>
  </si>
  <si>
    <t>EPHA8</t>
  </si>
  <si>
    <t>SP:1-27;NC:28-542;TM:543-562;CY:563-1005</t>
  </si>
  <si>
    <t>ENSG00000070886</t>
  </si>
  <si>
    <t>ENSP00000166244</t>
  </si>
  <si>
    <t>340;407;432;718;841</t>
  </si>
  <si>
    <t>340;432;841</t>
  </si>
  <si>
    <t>Cell membrane (Single-pass type I membrane protein);Cell projection;Early endosome membrane</t>
  </si>
  <si>
    <t>3D-structure;Alternative splicing;ATP-binding;Cell adhesion;Cell membrane;Cell projection;Complete proteome;Developmental protein;Endosome;Glycoprotein;Kinase;Membrane;Neurogenesis;Nucleotide-binding;Phosphoprotein;Polymorphism;Receptor;Reference proteome;Repeat;Signal;Transferase;Transmembrane;Transmembrane helix;Tyrosine-protein kinase;Ubl conjugation</t>
  </si>
  <si>
    <t>UniRef100_P29322;UniRef90_O09127;UniRef50_O09127</t>
  </si>
  <si>
    <t>EPHB2_HUMAN</t>
  </si>
  <si>
    <t>Ephrin type-B receptor 2</t>
  </si>
  <si>
    <t>EPHB2</t>
  </si>
  <si>
    <t>SP:1-18;NC:19-542;TM:543-565;CY:566-1055</t>
  </si>
  <si>
    <t>ENSG00000133216</t>
  </si>
  <si>
    <t>ENSP00000383053</t>
  </si>
  <si>
    <t>265;336;428;482;704</t>
  </si>
  <si>
    <t>265;336;428;482</t>
  </si>
  <si>
    <t>AGFEAVEN[115]GTVCR;AGFEAVEN[115]GTVCRG;ELSEYN[115]ATAIK</t>
  </si>
  <si>
    <t>265;482</t>
  </si>
  <si>
    <t>P29323</t>
  </si>
  <si>
    <t>Cell membrane (Single-pass type I membrane protein);Cell projection, axon;Cell projection, dendrite</t>
  </si>
  <si>
    <t>3D-structure;Alternative splicing;ATP-binding;Cell membrane;Cell projection;Complete proteome;Developmental protein;Disease mutation;Disulfide bond;Glycoprotein;Kinase;Membrane;Neurogenesis;Nucleotide-binding;Phosphoprotein;Polymorphism;Receptor;Reference proteome;Repeat;Signal;Transferase;Transmembrane;Transmembrane helix;Tumor suppressor;Tyrosine-protein kinase</t>
  </si>
  <si>
    <t>UniRef100_P29323;UniRef90_P54763;UniRef50_P54763</t>
  </si>
  <si>
    <t>NK3R_HUMAN</t>
  </si>
  <si>
    <t>Neuromedin-K receptor</t>
  </si>
  <si>
    <t>TACR3</t>
  </si>
  <si>
    <t>NC:1-85;TM:86-111;CY:112-122;TM:123-144;NC:145-162;TM:163-181;CY:182-201;TM:202-220;NC:221-245;TM:246-273;CY:274-297;TM:298-324;NC:325-336;TM:337-359;CY:360-465</t>
  </si>
  <si>
    <t>ENSG00000169836</t>
  </si>
  <si>
    <t>ENSP00000303325</t>
  </si>
  <si>
    <t>23;50;73</t>
  </si>
  <si>
    <t>23;73</t>
  </si>
  <si>
    <t>Cell membrane;Complete proteome;Disease mutation;Disulfide bond;G-protein coupled receptor;Glycoprotein;Hypogonadotropic hypogonadism;Lipoprotein;Membrane;Palmitate;Polymorphism;Receptor;Reference proteome;Transducer;Transmembrane;Transmembrane helix</t>
  </si>
  <si>
    <t>UniRef100_P29371;UniRef90_P29371;UniRef50_P14600</t>
  </si>
  <si>
    <t>LTK_HUMAN</t>
  </si>
  <si>
    <t>Leukocyte tyrosine kinase receptor</t>
  </si>
  <si>
    <t>LTK</t>
  </si>
  <si>
    <t>SP:1-19;NC:20-424;TM:425-449;CY:450-864</t>
  </si>
  <si>
    <t>ENSG00000062524</t>
  </si>
  <si>
    <t>ENSP00000263800</t>
  </si>
  <si>
    <t>257;380;412;509;809</t>
  </si>
  <si>
    <t>412;509;859</t>
  </si>
  <si>
    <t>Alternative splicing;ATP-binding;Complete proteome;Glycoprotein;Kinase;Membrane;Nucleotide-binding;Phosphoprotein;Polymorphism;Receptor;Reference proteome;Signal;Systemic lupus erythematosus;Transferase;Transmembrane;Transmembrane helix;Tyrosine-protein kinase</t>
  </si>
  <si>
    <t>UniRef100_P29376;UniRef90_P29376;UniRef50_P29376</t>
  </si>
  <si>
    <t>CD40L_HUMAN</t>
  </si>
  <si>
    <t>CD40 ligand</t>
  </si>
  <si>
    <t>CD40LG</t>
  </si>
  <si>
    <t>CY:1-22;TM:23-46;NC:47-261</t>
  </si>
  <si>
    <t>ENSG00000102245</t>
  </si>
  <si>
    <t>ENSP00000359663</t>
  </si>
  <si>
    <t>CD154</t>
  </si>
  <si>
    <t>6;240</t>
  </si>
  <si>
    <t>8;9;12;135;136;213;214</t>
  </si>
  <si>
    <t>3D-structure;Cell membrane;Complete proteome;Cytokine;Direct protein sequencing;Disease mutation;Disulfide bond;Glycoprotein;Membrane;Polymorphism;Reference proteome;Secreted;Signal-anchor;Transmembrane;Transmembrane helix</t>
  </si>
  <si>
    <t>UniRef100_P29965;UniRef90_P29965;UniRef50_P29965</t>
  </si>
  <si>
    <t>AQP1_HUMAN</t>
  </si>
  <si>
    <t>Aquaporin-1</t>
  </si>
  <si>
    <t>AQP1</t>
  </si>
  <si>
    <t>CY:1-7;TM:8-36;NC:37-48;TM:49-66;CY:67-70;IM:71-76;IM:77-84;CY:85-94;TM:95-115;NC:116-136;TM:137-155;CY:156-166;TM:167-183;NC:184-186;IM:187-192;IM:193-200;NC:201-207;TM:208-228;CY:229-269</t>
  </si>
  <si>
    <t>ENSG00000240583</t>
  </si>
  <si>
    <t>ENSP00000311165</t>
  </si>
  <si>
    <t>42;205</t>
  </si>
  <si>
    <t>YPVGNN[115]QTAVQDNVK;YPVGN[115]N[115]QTAVQDNVK;GNN[115]QTAVQDNVK</t>
  </si>
  <si>
    <t>P29972</t>
  </si>
  <si>
    <t>3D-structure;Alternative splicing;Blood group antigen;Cell membrane;Complete proteome;Direct protein sequencing;Glycoprotein;Membrane;Phosphoprotein;Polymorphism;Reference proteome;Repeat;Transmembrane;Transmembrane helix;Transport</t>
  </si>
  <si>
    <t>UniRef100_P29972;UniRef90_P29972;UniRef50_P29972</t>
  </si>
  <si>
    <t>Nucleus;Plasma membrane</t>
  </si>
  <si>
    <t>DB00819</t>
  </si>
  <si>
    <t>CD6_HUMAN</t>
  </si>
  <si>
    <t>T-cell differentiation antigen CD6</t>
  </si>
  <si>
    <t>CD6</t>
  </si>
  <si>
    <t>SP:1-19;NC:20-400;TM:401-424;CY:425-668</t>
  </si>
  <si>
    <t>ENSG00000013725</t>
  </si>
  <si>
    <t>ENSP00000323280</t>
  </si>
  <si>
    <t>28;49;112;118;229;339;345;368</t>
  </si>
  <si>
    <t>LTN[115]GSSSCSGTVEV;LTN[115]GSSSCSGTVEVR;DQVN[115]CSGAEAY;DQVN[115]CSGAEAYL;DQVN[115]CSGAEAYLWDCPGLPGQHYCGHK;FN[115]NSNLCSQSLAAR;FN[115]NSN[115]LCSQSLAAR;FN[115]N[115]SNLCSQSLAAR</t>
  </si>
  <si>
    <t>49;229;345</t>
  </si>
  <si>
    <t>P30203</t>
  </si>
  <si>
    <t>Alternative splicing;Cell adhesion;Cell membrane;Complete proteome;Disulfide bond;Glycoprotein;Membrane;Phosphoprotein;Polymorphism;Reference proteome;Repeat;Signal;Transmembrane;Transmembrane helix</t>
  </si>
  <si>
    <t>UniRef100_P30203;UniRef90_P30203;UniRef50_P30203</t>
  </si>
  <si>
    <t>MIP_HUMAN</t>
  </si>
  <si>
    <t>Lens fiber major intrinsic protein</t>
  </si>
  <si>
    <t>MIP</t>
  </si>
  <si>
    <t>CY:1-8;TM:9-32;NC:33-38;TM:39-61;IM:62-67;IM:68-78;CY:79-84;TM:85-107;NC:108-126;TM:127-147;CY:148-159;TM:160-176;IM:177-183;IM:184-194;NC:195-200;TM:201-219;CY:220-263</t>
  </si>
  <si>
    <t>ENSG00000135517</t>
  </si>
  <si>
    <t>ENSP00000257979</t>
  </si>
  <si>
    <t>Cataract;Cell junction;Cell membrane;Complete proteome;Disease mutation;Eye lens protein;Gap junction;Membrane;Phosphoprotein;Reference proteome;Repeat;Sensory transduction;Transmembrane;Transmembrane helix;Transport;Vision</t>
  </si>
  <si>
    <t>UniRef100_P30301;UniRef90_P06624;UniRef50_P06624</t>
  </si>
  <si>
    <t>T4S1_HUMAN</t>
  </si>
  <si>
    <t>Transmembrane 4 L6 family member 1</t>
  </si>
  <si>
    <t>TM4SF1</t>
  </si>
  <si>
    <t>CY:1-11;TM:12-30;NC:31-45;TM:46-69;CY:70-89;TM:90-115;NC:116-160;TM:161-182;CY:183-202</t>
  </si>
  <si>
    <t>ENSG00000169908</t>
  </si>
  <si>
    <t>ENSP00000304277</t>
  </si>
  <si>
    <t>129;159</t>
  </si>
  <si>
    <t>UniRef100_P30408;UniRef90_P30408;UniRef50_P30408</t>
  </si>
  <si>
    <t>BKRB2_HUMAN</t>
  </si>
  <si>
    <t>B2 bradykinin receptor</t>
  </si>
  <si>
    <t>BDKRB2</t>
  </si>
  <si>
    <t>NC:1-62;TM:63-84;CY:85-94;TM:95-115;NC:116-134;TM:135-153;CY:154-173;TM:174-195;NC:196-225;TM:226-248;CY:249-267;TM:268-289;NC:290-311;TM:312-335;CY:336-391</t>
  </si>
  <si>
    <t>ENSG00000168398</t>
  </si>
  <si>
    <t>ENSP00000450482</t>
  </si>
  <si>
    <t>30;39;207</t>
  </si>
  <si>
    <t>5;52;55;65;113;123;173;182;220;283;344;386</t>
  </si>
  <si>
    <t>Alternative splicing;Cell membrane;Complete proteome;Direct protein sequencing;Disulfide bond;G-protein coupled receptor;Glycoprotein;Lipoprotein;Membrane;Palmitate;Phosphoprotein;Polymorphism;Receptor;Reference proteome;Transducer;Transmembrane;Transmembrane helix</t>
  </si>
  <si>
    <t>UniRef100_P30411;UniRef90_P30411;UniRef50_P30411</t>
  </si>
  <si>
    <t>DB06196</t>
  </si>
  <si>
    <t>1A01_HUMAN</t>
  </si>
  <si>
    <t>HLA class I histocompatibility antigen, A-1 alpha chain</t>
  </si>
  <si>
    <t>ENSP00000406366;ENSP00000404678;ENSP00000447635;ENSP00000447614</t>
  </si>
  <si>
    <t>3D-structure;Complete proteome;Disulfide bond;Glycoprotein;Host-virus interaction;Immunity;Immunoglobulin domain;Membrane;MHC I;Polymorphism;Reference proteome;Signal;Sulfation;Transmembrane;Transmembrane helix;Ubl conjugation</t>
  </si>
  <si>
    <t>UniRef100_P30443;UniRef90_P01892;UniRef50_P01892</t>
  </si>
  <si>
    <t>1A23_HUMAN</t>
  </si>
  <si>
    <t>HLA class I histocompatibility antigen, A-23 alpha chain</t>
  </si>
  <si>
    <t>ENSP00000410645</t>
  </si>
  <si>
    <t>UniRef100_P30447;UniRef90_P10314;UniRef50_P01892</t>
  </si>
  <si>
    <t>1A26_HUMAN</t>
  </si>
  <si>
    <t>HLA class I histocompatibility antigen, A-26 alpha chain</t>
  </si>
  <si>
    <t>ENSP00000373100;ENSP00000447990</t>
  </si>
  <si>
    <t>UniRef100_P30450;UniRef90_P01892;UniRef50_P01892</t>
  </si>
  <si>
    <t>1A34_HUMAN</t>
  </si>
  <si>
    <t>HLA class I histocompatibility antigen, A-34 alpha chain</t>
  </si>
  <si>
    <t>UniRef100_P30453;UniRef90_P01892;UniRef50_P01892</t>
  </si>
  <si>
    <t>1A36_HUMAN</t>
  </si>
  <si>
    <t>HLA class I histocompatibility antigen, A-36 alpha chain</t>
  </si>
  <si>
    <t>UniRef100_P30455;UniRef90_P01892;UniRef50_P01892</t>
  </si>
  <si>
    <t>1A43_HUMAN</t>
  </si>
  <si>
    <t>HLA class I histocompatibility antigen, A-43 alpha chain</t>
  </si>
  <si>
    <t>UniRef100_P30456;UniRef90_P01892;UniRef50_P01892</t>
  </si>
  <si>
    <t>1A66_HUMAN</t>
  </si>
  <si>
    <t>HLA class I histocompatibility antigen, A-66 alpha chain</t>
  </si>
  <si>
    <t>UniRef100_P30457;UniRef90_P01892;UniRef50_P01892</t>
  </si>
  <si>
    <t>1A74_HUMAN</t>
  </si>
  <si>
    <t>HLA class I histocompatibility antigen, A-74 alpha chain</t>
  </si>
  <si>
    <t>GYYN[115]QSEAGSHTIQMMYGCDVGPDGR</t>
  </si>
  <si>
    <t>P30459</t>
  </si>
  <si>
    <t>UniRef100_P30459;UniRef90_P10314;UniRef50_P01892</t>
  </si>
  <si>
    <t>1B08_HUMAN</t>
  </si>
  <si>
    <t>HLA class I histocompatibility antigen, B-8 alpha chain</t>
  </si>
  <si>
    <t>ENSG00000223532</t>
  </si>
  <si>
    <t>ENSP00000400842</t>
  </si>
  <si>
    <t>UniRef100_P30460;UniRef90_P01889;UniRef50_P01892</t>
  </si>
  <si>
    <t>1B13_HUMAN</t>
  </si>
  <si>
    <t>HLA class I histocompatibility antigen, B-13 alpha chain</t>
  </si>
  <si>
    <t>UniRef100_P30461;UniRef90_P01889;UniRef50_P01892</t>
  </si>
  <si>
    <t>1B14_HUMAN</t>
  </si>
  <si>
    <t>HLA class I histocompatibility antigen, B-14 alpha chain</t>
  </si>
  <si>
    <t>YYN[115]QSEAGSHTLQWMYGCDVGPDGR</t>
  </si>
  <si>
    <t>P30462</t>
  </si>
  <si>
    <t>UniRef100_P30462;UniRef90_P01889;UniRef50_P01892</t>
  </si>
  <si>
    <t>1B15_HUMAN</t>
  </si>
  <si>
    <t>HLA class I histocompatibility antigen, B-15 alpha chain</t>
  </si>
  <si>
    <t>ENSG00000232126</t>
  </si>
  <si>
    <t>ENSP00000388208</t>
  </si>
  <si>
    <t>UniRef100_P30464;UniRef90_P30464;UniRef50_P30464</t>
  </si>
  <si>
    <t>1B18_HUMAN</t>
  </si>
  <si>
    <t>HLA class I histocompatibility antigen, B-18 alpha chain</t>
  </si>
  <si>
    <t>UniRef100_P30466;UniRef90_P01889;UniRef50_P01892</t>
  </si>
  <si>
    <t>1B39_HUMAN</t>
  </si>
  <si>
    <t>HLA class I histocompatibility antigen, B-39 alpha chain</t>
  </si>
  <si>
    <t>UniRef100_P30475;UniRef90_P01889;UniRef50_P01892</t>
  </si>
  <si>
    <t>1B41_HUMAN</t>
  </si>
  <si>
    <t>HLA class I histocompatibility antigen, B-41 alpha chain</t>
  </si>
  <si>
    <t>GYYN[115]QSEAGSHTWQRMYGCDVGPDGR;YYN[115]QSEAGSHTWQRMYGCDVGPDGR</t>
  </si>
  <si>
    <t>P30479</t>
  </si>
  <si>
    <t>UniRef100_P30479;UniRef90_P01889;UniRef50_P01892</t>
  </si>
  <si>
    <t>1B42_HUMAN</t>
  </si>
  <si>
    <t>HLA class I histocompatibility antigen, B-42 alpha chain</t>
  </si>
  <si>
    <t>UniRef100_P30480;UniRef90_P01889;UniRef50_P01892</t>
  </si>
  <si>
    <t>1B44_HUMAN</t>
  </si>
  <si>
    <t>HLA class I histocompatibility antigen, B-44 alpha chain</t>
  </si>
  <si>
    <t>ENSG00000228964</t>
  </si>
  <si>
    <t>ENSP00000405365</t>
  </si>
  <si>
    <t>TALRYYN[115]QSEAGSHIIQR</t>
  </si>
  <si>
    <t>P30481</t>
  </si>
  <si>
    <t>UniRef100_P30481;UniRef90_P01889;UniRef50_P01892</t>
  </si>
  <si>
    <t>1B45_HUMAN</t>
  </si>
  <si>
    <t>HLA class I histocompatibility antigen, B-45 alpha chain</t>
  </si>
  <si>
    <t>UniRef100_P30483;UniRef90_P01889;UniRef50_P01892</t>
  </si>
  <si>
    <t>1B46_HUMAN</t>
  </si>
  <si>
    <t>HLA class I histocompatibility antigen, B-46 alpha chain</t>
  </si>
  <si>
    <t>UniRef100_P30484;UniRef90_P01889;UniRef50_P01892</t>
  </si>
  <si>
    <t>1B47_HUMAN</t>
  </si>
  <si>
    <t>HLA class I histocompatibility antigen, B-47 alpha chain</t>
  </si>
  <si>
    <t>YYN[115]QSEAGSHTLQRMFGCDVGPDGR</t>
  </si>
  <si>
    <t>P30485</t>
  </si>
  <si>
    <t>UniRef100_P30485;UniRef90_P01889;UniRef50_P01892</t>
  </si>
  <si>
    <t>1B48_HUMAN</t>
  </si>
  <si>
    <t>HLA class I histocompatibility antigen, B-48 alpha chain</t>
  </si>
  <si>
    <t>UniRef100_P30486;UniRef90_P30486;UniRef50_P01892</t>
  </si>
  <si>
    <t>1B49_HUMAN</t>
  </si>
  <si>
    <t>HLA class I histocompatibility antigen, B-49 alpha chain</t>
  </si>
  <si>
    <t>IALRYYN[115]QSEAGSHTWQR</t>
  </si>
  <si>
    <t>P30487</t>
  </si>
  <si>
    <t>UniRef100_P30487;UniRef90_P01889;UniRef50_P01892</t>
  </si>
  <si>
    <t>1B50_HUMAN</t>
  </si>
  <si>
    <t>HLA class I histocompatibility antigen, B-50 alpha chain</t>
  </si>
  <si>
    <t>UniRef100_P30488;UniRef90_P01889;UniRef50_P01892</t>
  </si>
  <si>
    <t>1B52_HUMAN</t>
  </si>
  <si>
    <t>HLA class I histocompatibility antigen, B-52 alpha chain</t>
  </si>
  <si>
    <t>UniRef100_P30490;UniRef90_P01889;UniRef50_P01892</t>
  </si>
  <si>
    <t>1B53_HUMAN</t>
  </si>
  <si>
    <t>HLA class I histocompatibility antigen, B-53 alpha chain</t>
  </si>
  <si>
    <t>UniRef100_P30491;UniRef90_P01889;UniRef50_P01892</t>
  </si>
  <si>
    <t>1B54_HUMAN</t>
  </si>
  <si>
    <t>HLA class I histocompatibility antigen, B-54 alpha chain</t>
  </si>
  <si>
    <t>UniRef100_P30492;UniRef90_P01889;UniRef50_P01892</t>
  </si>
  <si>
    <t>1B55_HUMAN</t>
  </si>
  <si>
    <t>HLA class I histocompatibility antigen, B-55 alpha chain</t>
  </si>
  <si>
    <t>UniRef100_P30493;UniRef90_P01889;UniRef50_P01892</t>
  </si>
  <si>
    <t>1B56_HUMAN</t>
  </si>
  <si>
    <t>HLA class I histocompatibility antigen, B-56 alpha chain</t>
  </si>
  <si>
    <t>UniRef100_P30495;UniRef90_P01889;UniRef50_P01892</t>
  </si>
  <si>
    <t>1B78_HUMAN</t>
  </si>
  <si>
    <t>HLA class I histocompatibility antigen, B-78 alpha chain</t>
  </si>
  <si>
    <t>GYYN[115]QSEAGSHTWQTMYGCDVGPDGR</t>
  </si>
  <si>
    <t>P30498</t>
  </si>
  <si>
    <t>UniRef100_P30498;UniRef90_P01889;UniRef50_P01892</t>
  </si>
  <si>
    <t>1C01_HUMAN</t>
  </si>
  <si>
    <t>HLA class I histocompatibility antigen, Cw-1 alpha chain</t>
  </si>
  <si>
    <t>ENSG00000237022</t>
  </si>
  <si>
    <t>ENSP00000393374</t>
  </si>
  <si>
    <t>UniRef100_P30499;UniRef90_P30499;UniRef50_P01892</t>
  </si>
  <si>
    <t>1C02_HUMAN</t>
  </si>
  <si>
    <t>HLA class I histocompatibility antigen, Cw-2 alpha chain</t>
  </si>
  <si>
    <t>ENSG00000228299</t>
  </si>
  <si>
    <t>ENSP00000410214</t>
  </si>
  <si>
    <t>UniRef100_P30501;UniRef90_P30499;UniRef50_P01892</t>
  </si>
  <si>
    <t>1C04_HUMAN</t>
  </si>
  <si>
    <t>HLA class I histocompatibility antigen, Cw-4 alpha chain</t>
  </si>
  <si>
    <t>ENSG00000206435;ENSG00000206452</t>
  </si>
  <si>
    <t>ENSP00000383195;ENSP00000383244</t>
  </si>
  <si>
    <t>UniRef100_P30504;UniRef90_P30499;UniRef50_P01892</t>
  </si>
  <si>
    <t>1C08_HUMAN</t>
  </si>
  <si>
    <t>HLA class I histocompatibility antigen, Cw-8 alpha chain</t>
  </si>
  <si>
    <t>UniRef100_P30505;UniRef90_P30499;UniRef50_P01892</t>
  </si>
  <si>
    <t>1C12_HUMAN</t>
  </si>
  <si>
    <t>HLA class I histocompatibility antigen, Cw-12 alpha chain</t>
  </si>
  <si>
    <t>UniRef100_P30508;UniRef90_P30499;UniRef50_P01892</t>
  </si>
  <si>
    <t>1C14_HUMAN</t>
  </si>
  <si>
    <t>HLA class I histocompatibility antigen, Cw-14 alpha chain</t>
  </si>
  <si>
    <t>GYYN[115]QSEAGSHTLQWMFGCDLGPDGR</t>
  </si>
  <si>
    <t>P30510</t>
  </si>
  <si>
    <t>UniRef100_P30510;UniRef90_P30499;UniRef50_P01892</t>
  </si>
  <si>
    <t>HLAF_HUMAN</t>
  </si>
  <si>
    <t>HLA class I histocompatibility antigen, alpha chain F</t>
  </si>
  <si>
    <t>HLA-F</t>
  </si>
  <si>
    <t>SP:1-21;NC:22-302;TM:303-329;CY:330-346</t>
  </si>
  <si>
    <t>ENSG00000204642;ENSG00000206509;ENSG00000229698;ENSG00000137403;ENSG00000235220;ENSG00000237508</t>
  </si>
  <si>
    <t>ENSP00000334263;ENSP00000366057</t>
  </si>
  <si>
    <t>YN[115]QSEAGSHTLQGMNGCDMGPDGR;YN[115]QSEAGSHTLQGMN[115]GCDMGPDGR</t>
  </si>
  <si>
    <t>P30511</t>
  </si>
  <si>
    <t>Alternative splicing;Complete proteome;Disulfide bond;Glycoprotein;Immunity;Membrane;MHC I;Polymorphism;Reference proteome;Signal;Transmembrane;Transmembrane helix</t>
  </si>
  <si>
    <t>UniRef100_P30511;UniRef90_P30511;UniRef50_P01892</t>
  </si>
  <si>
    <t>1A29_HUMAN</t>
  </si>
  <si>
    <t>HLA class I histocompatibility antigen, A-29 alpha chain</t>
  </si>
  <si>
    <t>GYYN[115]QSEAGSHTIQMMYGCHVGSDGR</t>
  </si>
  <si>
    <t>P30512</t>
  </si>
  <si>
    <t>UniRef100_P30512;UniRef90_P10314;UniRef50_P01892</t>
  </si>
  <si>
    <t>V2R_HUMAN</t>
  </si>
  <si>
    <t>Vasopressin V2 receptor</t>
  </si>
  <si>
    <t>AVPR2</t>
  </si>
  <si>
    <t>NC:1-40;TM:41-62;CY:63-73;TM:74-94;NC:95-114;TM:115-135;CY:136-155;TM:156-178;NC:179-204;TM:205-224;CY:225-272;TM:273-295;NC:296-306;TM:307-328;CY:329-371</t>
  </si>
  <si>
    <t>ENSG00000126895</t>
  </si>
  <si>
    <t>ENSP00000338072;ENSP00000351805</t>
  </si>
  <si>
    <t>3D-structure;Alternative splicing;Cell membrane;Complete proteome;Diabetes insipidus;Disease mutation;G-protein coupled receptor;Glycoprotein;Lipoprotein;Membrane;Palmitate;Polymorphism;Receptor;Reference proteome;Transducer;Transmembrane;Transmembrane helix</t>
  </si>
  <si>
    <t>UniRef100_P30518;UniRef90_P30518;UniRef50_P30518</t>
  </si>
  <si>
    <t>DB00035;DB00067;DB00872;DB02638;DB06212</t>
  </si>
  <si>
    <t>UFO_HUMAN</t>
  </si>
  <si>
    <t>Tyrosine-protein kinase receptor UFO</t>
  </si>
  <si>
    <t>AXL</t>
  </si>
  <si>
    <t>SP:1-28;NC:29-449;TM:450-472;CY:473-894</t>
  </si>
  <si>
    <t>ENSG00000167601</t>
  </si>
  <si>
    <t>ENSP00000301178;ENSP00000351995</t>
  </si>
  <si>
    <t>Kinase;Axl</t>
  </si>
  <si>
    <t>43;157;198;339;345;401;683</t>
  </si>
  <si>
    <t>182;214;215;216;328;488;505;844;851;853;871;872;873;875</t>
  </si>
  <si>
    <t>320;448</t>
  </si>
  <si>
    <t>EESPFVGNPGN[115]ITGAR;ESPFVGNPGN[115]ITGAR;SPFVGNPGN[115]ITGAR;PFVGNPGN[115]ITGAR;FVGNPGN[115]ITGAR;VGNPGN[115]ITGAR;TVAANTPFN[115]LSCQAQGPPEPVDLL;SLHVPGLN[115]K;VACTSSQGPSSWTHWLPVETPEGVPLGPPEN[115]ISATR;WLPVETPEGVPLGPPEN[115]ISATR;TPEGVPLGPPEN[115]ISATR;PEGVPLGPPEN[115]ISATR;EGVPLGPPEN[115]ISATR;PLGPPEN[115]ISATR;PPEN[115]ISATR;N[115]GSQAFVHWQEPR</t>
  </si>
  <si>
    <t>43;157;198;339;345</t>
  </si>
  <si>
    <t>P30530</t>
  </si>
  <si>
    <t>3D-structure;Alternative splicing;ATP-binding;Cell membrane;Complete proteome;Differentiation;Disulfide bond;Glycoprotein;Immunity;Immunoglobulin domain;Innate immunity;Kinase;Membrane;Nucleotide-binding;Oncogene;Phosphoprotein;Polymorphism;Proto-oncogene;Receptor;Reference proteome;Repeat;Signal;Transferase;Transmembrane;Transmembrane helix;Tyrosine-protein kinase;Ubl conjugation</t>
  </si>
  <si>
    <t>UniRef100_P30530;UniRef90_P30530;UniRef50_P30530</t>
  </si>
  <si>
    <t>SC6A1_HUMAN</t>
  </si>
  <si>
    <t>Sodium- and chloride-dependent GABA transporter 1</t>
  </si>
  <si>
    <t>SLC6A1</t>
  </si>
  <si>
    <t>CY:1-50;TM:51-70;NC:71-81;TM:82-103;CY:104-124;TM:125-149;NC:150-209;TM:210-230;CY:231-238;TM:239-259;NC:260-288;TM:289-309;CY:310-320;TM:321-345;NC:346-374;TM:375-394;CY:395-421;TM:422-444;NC:445-451;TM:452-477;CY:478-495;TM:496-517;NC:518-536;TM:537-557;CY:558-599</t>
  </si>
  <si>
    <t>ENSG00000157103</t>
  </si>
  <si>
    <t>ENSP00000287766</t>
  </si>
  <si>
    <t>4;176;181;184;438</t>
  </si>
  <si>
    <t>Cell membrane;Complete proteome;Glycoprotein;Membrane;Neurotransmitter transport;Polymorphism;Reference proteome;Symport;Transmembrane;Transmembrane helix;Transport</t>
  </si>
  <si>
    <t>UniRef100_P30531;UniRef90_P30531;UniRef50_P30531</t>
  </si>
  <si>
    <t>DB00906</t>
  </si>
  <si>
    <t>ACHA5_HUMAN</t>
  </si>
  <si>
    <t>Neuronal acetylcholine receptor subunit alpha-5</t>
  </si>
  <si>
    <t>CHRNA5</t>
  </si>
  <si>
    <t>SP:1-27;NC:28-250;TM:251-274;CY:275-281;TM:282-303;NC:304-315;TM:316-337;CY:338-429;TM:430-452;NC:453-468</t>
  </si>
  <si>
    <t>ENSG00000169684</t>
  </si>
  <si>
    <t>ENSP00000299565</t>
  </si>
  <si>
    <t>155;183;229</t>
  </si>
  <si>
    <t>Cell junction;Cell membrane;Complete proteome;Disulfide bond;Glycoprotein;Ion channel;Ion transport;Ligand-gated ion channel;Membrane;Polymorphism;Postsynaptic cell membrane;Receptor;Reference proteome;Signal;Synapse;Transmembrane;Transmembrane helix;Transport</t>
  </si>
  <si>
    <t>UniRef100_P30532;UniRef90_P30532;UniRef50_P30532</t>
  </si>
  <si>
    <t>DB00184;DB00674</t>
  </si>
  <si>
    <t>AA1R_HUMAN</t>
  </si>
  <si>
    <t>Adenosine receptor A1</t>
  </si>
  <si>
    <t>ADORA1</t>
  </si>
  <si>
    <t>NC:1-11;TM:12-33;CY:34-44;TM:45-69;NC:70-80;TM:81-103;CY:104-123;TM:124-145;NC:146-182;TM:183-206;CY:207-234;TM:235-256;NC:257-267;TM:268-290;CY:291-326</t>
  </si>
  <si>
    <t>ENSG00000163485</t>
  </si>
  <si>
    <t>ENSP00000308549;ENSP00000338435;ENSP00000356205</t>
  </si>
  <si>
    <t>148;159</t>
  </si>
  <si>
    <t>AWAAN[115]GSMGEPVIK</t>
  </si>
  <si>
    <t>P30542</t>
  </si>
  <si>
    <t>UniRef100_P30542;UniRef90_P25099;UniRef50_P25099</t>
  </si>
  <si>
    <t>Cytosol;Endosome;Extracellular space;Golgi apparatus;Lysosome;Mitochondrion;Nucleus;Peroxisome</t>
  </si>
  <si>
    <t>DB00201;DB00277;DB00640;DB00651;DB00806;DB00824;DB00996;DB01223;DB01303;DB01412;DB04932</t>
  </si>
  <si>
    <t>GRPR_HUMAN</t>
  </si>
  <si>
    <t>Gastrin-releasing peptide receptor</t>
  </si>
  <si>
    <t>GRPR</t>
  </si>
  <si>
    <t>NC:1-38;TM:39-64;CY:65-76;TM:77-97;NC:98-115;TM:116-136;CY:137-156;TM:157-177;NC:178-211;TM:212-232;CY:233-262;TM:263-286;NC:287-297;TM:298-325;CY:326-384</t>
  </si>
  <si>
    <t>ENSG00000126010</t>
  </si>
  <si>
    <t>ENSP00000369643</t>
  </si>
  <si>
    <t>20;58;190</t>
  </si>
  <si>
    <t>58;190</t>
  </si>
  <si>
    <t>UniRef100_P30550;UniRef90_P52500;UniRef50_P52500</t>
  </si>
  <si>
    <t>AGTR1_HUMAN</t>
  </si>
  <si>
    <t>Type-1 angiotensin II receptor</t>
  </si>
  <si>
    <t>AGTR1</t>
  </si>
  <si>
    <t>NC:1-32;TM:33-56;CY:57-64;TM:65-87;NC:88-103;TM:104-124;CY:125-142;TM:143-165;NC:166-199;TM:200-218;CY:219-237;TM:238-259;NC:260-281;TM:282-302;CY:303-359</t>
  </si>
  <si>
    <t>ENSG00000144891</t>
  </si>
  <si>
    <t>ENSP00000273430;ENSP00000385612;ENSP00000418851;ENSP00000418084;ENSP00000419783;ENSP00000419422</t>
  </si>
  <si>
    <t>4;176;188;329;344</t>
  </si>
  <si>
    <t>176;188</t>
  </si>
  <si>
    <t>MILN[115]SSTEDGIK</t>
  </si>
  <si>
    <t>P30556</t>
  </si>
  <si>
    <t>3D-structure;Cell membrane;Complete proteome;Disease mutation;Disulfide bond;G-protein coupled receptor;Glycoprotein;Lipoprotein;Membrane;Palmitate;Phosphoprotein;Polymorphism;Receptor;Reference proteome;Transducer;Transmembrane;Transmembrane helix</t>
  </si>
  <si>
    <t>UniRef100_P30556;UniRef90_P25095;UniRef50_P25095</t>
  </si>
  <si>
    <t>DB00177;DB00275;DB00678;DB00796;DB00876;DB00966;DB01029;DB01342;DB01347;DB01349;DB08822</t>
  </si>
  <si>
    <t>OXYR_HUMAN</t>
  </si>
  <si>
    <t>Oxytocin receptor</t>
  </si>
  <si>
    <t>OXTR</t>
  </si>
  <si>
    <t>NC:1-42;TM:43-64;CY:65-75;TM:76-94;NC:95-113;TM:114-135;CY:136-154;TM:155-175;NC:176-199;TM:200-223;CY:224-275;TM:276-297;NC:298-309;TM:310-332;CY:333-389</t>
  </si>
  <si>
    <t>ENSG00000180914</t>
  </si>
  <si>
    <t>ENSP00000324270</t>
  </si>
  <si>
    <t>8;15;26;367</t>
  </si>
  <si>
    <t>UniRef100_P30559;UniRef90_P70536;UniRef50_P70536</t>
  </si>
  <si>
    <t>DB00107;DB01282</t>
  </si>
  <si>
    <t>1B35_HUMAN</t>
  </si>
  <si>
    <t>HLA class I histocompatibility antigen, B-35 alpha chain</t>
  </si>
  <si>
    <t>UniRef100_P30685;UniRef90_P01889;UniRef50_P01892</t>
  </si>
  <si>
    <t>CTR1_HUMAN</t>
  </si>
  <si>
    <t>High affinity cationic amino acid transporter 1</t>
  </si>
  <si>
    <t>SLC7A1</t>
  </si>
  <si>
    <t>CY:1-34;TM:35-56;NC:57-63;TM:64-85;CY:86-96;TM:97-123;NC:124-165;TM:166-183;CY:184-191;TM:192-210;NC:211-247;TM:248-273;CY:274-284;TM:285-310;NC:311-336;TM:337-357;CY:358-384;TM:385-403;NC:404-410;TM:411-430;CY:431-493;TM:494-517;NC:518-524;TM:525-547;CY:548-558;TM:559-579;NC:580-584;TM:585-606;CY:607-629</t>
  </si>
  <si>
    <t>ENSG00000139514</t>
  </si>
  <si>
    <t>ENSP00000370128</t>
  </si>
  <si>
    <t>226;235;319;462;497</t>
  </si>
  <si>
    <t>NWQLTEEDFGN[115]TSGR;N[115]WQLTEEDFGN[115]TSGR;WQLTEEDFGN[115]TSGR;QLTEEDFGN[115]TSGR;LTEEDFGN[115]TSGR;TEEDFGN[115]TSGR;EEDFGN[115]TSGR;FGN[115]TSGR;LCLNN[115]DTK;LCLN[115]N[115]DTK;CLNN[115]DTK</t>
  </si>
  <si>
    <t>226;235</t>
  </si>
  <si>
    <t>P30825</t>
  </si>
  <si>
    <t>Amino-acid transport;Cell membrane;Complete proteome;Direct protein sequencing;Glycoprotein;Membrane;Receptor;Reference proteome;Transmembrane;Transmembrane helix;Transport</t>
  </si>
  <si>
    <t>UniRef100_P30825;UniRef90_P30825;UniRef50_P30825</t>
  </si>
  <si>
    <t>SSR1_HUMAN</t>
  </si>
  <si>
    <t>Somatostatin receptor type 1</t>
  </si>
  <si>
    <t>SSTR1</t>
  </si>
  <si>
    <t>NC:1-58;TM:59-84;CY:85-95;TM:96-119;NC:120-131;TM:132-154;CY:155-175;TM:176-196;NC:197-218;TM:219-248;CY:249-268;TM:269-289;NC:290-306;TM:307-326;CY:327-391</t>
  </si>
  <si>
    <t>ENSG00000139874</t>
  </si>
  <si>
    <t>ENSP00000267377</t>
  </si>
  <si>
    <t>4;44;48;381</t>
  </si>
  <si>
    <t>4;48;381</t>
  </si>
  <si>
    <t>UniRef100_P30872;UniRef90_P30872;UniRef50_P30872</t>
  </si>
  <si>
    <t>DB00104;DB06663</t>
  </si>
  <si>
    <t>SSR2_HUMAN</t>
  </si>
  <si>
    <t>Somatostatin receptor type 2</t>
  </si>
  <si>
    <t>SSTR2</t>
  </si>
  <si>
    <t>NC:1-45;TM:46-69;CY:70-80;TM:81-104;NC:105-123;TM:124-143;CY:144-163;TM:164-183;NC:184-202;TM:203-233;CY:234-253;TM:254-275;NC:276-287;TM:288-306;CY:307-369</t>
  </si>
  <si>
    <t>ENSG00000180616</t>
  </si>
  <si>
    <t>ENSP00000350198</t>
  </si>
  <si>
    <t>9;22;29;32;276;351</t>
  </si>
  <si>
    <t>32;351</t>
  </si>
  <si>
    <t>Cell membrane (Multi-pass membrane protein);Cytoplasm</t>
  </si>
  <si>
    <t>Alternative splicing;Cell membrane;Complete proteome;Cytoplasm;Disulfide bond;G-protein coupled receptor;Glycoprotein;Lipoprotein;Membrane;Palmitate;Phosphoprotein;Receptor;Reference proteome;Transducer;Transmembrane;Transmembrane helix</t>
  </si>
  <si>
    <t>UniRef100_P30874;UniRef90_P30874;UniRef50_P30874</t>
  </si>
  <si>
    <t>DB00104;DB04894;DB06663</t>
  </si>
  <si>
    <t>ACHB4_HUMAN</t>
  </si>
  <si>
    <t>Neuronal acetylcholine receptor subunit beta-4</t>
  </si>
  <si>
    <t>CHRNB4</t>
  </si>
  <si>
    <t>SP:1-26;NC:27-232;TM:233-256;CY:257-264;TM:265-286;NC:287-297;TM:298-319;CY:320-460;TM:461-482;NC:483-498</t>
  </si>
  <si>
    <t>ENSG00000117971</t>
  </si>
  <si>
    <t>ENSP00000261751</t>
  </si>
  <si>
    <t>36;93;138;166</t>
  </si>
  <si>
    <t>3D-structure;Alternative splicing;Cell junction;Cell membrane;Complete proteome;Disulfide bond;Glycoprotein;Ion channel;Ion transport;Ligand-gated ion channel;Membrane;Polymorphism;Postsynaptic cell membrane;Receptor;Reference proteome;Signal;Synapse;Transmembrane;Transmembrane helix;Transport</t>
  </si>
  <si>
    <t>UniRef100_P30926;UniRef90_P30926;UniRef50_P30926</t>
  </si>
  <si>
    <t>DB00184;DB00514;DB00674;DB01090;DB01227</t>
  </si>
  <si>
    <t>5HT1F_HUMAN</t>
  </si>
  <si>
    <t>5-hydroxytryptamine receptor 1F</t>
  </si>
  <si>
    <t>HTR1F</t>
  </si>
  <si>
    <t>NC:1-23;TM:24-50;CY:51-59;TM:60-86;NC:87-97;TM:98-119;CY:120-139;TM:140-161;NC:162-181;TM:182-204;CY:205-290;TM:291-311;NC:312-330;TM:331-350;CY:351-366</t>
  </si>
  <si>
    <t>ENSG00000179097</t>
  </si>
  <si>
    <t>ENSP00000322924</t>
  </si>
  <si>
    <t>5;10</t>
  </si>
  <si>
    <t>UniRef100_P30939;UniRef90_P30939;UniRef50_P28566</t>
  </si>
  <si>
    <t>DB00216;DB00247;DB00315;DB00669;DB00696;DB00952;DB00953;DB06148;DB01049;DB01221</t>
  </si>
  <si>
    <t>OR1E1_HUMAN</t>
  </si>
  <si>
    <t>Olfactory receptor 1E1</t>
  </si>
  <si>
    <t>OR1E1</t>
  </si>
  <si>
    <t>NC:1-27;TM:28-49;CY:50-59;TM:60-81;NC:82-100;TM:101-120;CY:121-138;TM:139-158;NC:159-196;TM:197-219;CY:220-236;TM:237-260;NC:261-271;TM:272-292;CY:293-314</t>
  </si>
  <si>
    <t>ENSG00000180016</t>
  </si>
  <si>
    <t>ENSP00000313384</t>
  </si>
  <si>
    <t>5;65;265</t>
  </si>
  <si>
    <t>UniRef100_P30953;UniRef90_P30953;UniRef50_P30953</t>
  </si>
  <si>
    <t>O10J1_HUMAN</t>
  </si>
  <si>
    <t>Olfactory receptor 10J1</t>
  </si>
  <si>
    <t>OR10J1</t>
  </si>
  <si>
    <t>NC:1-35;TM:36-59;CY:60-70;TM:71-90;NC:91-111;TM:112-131;CY:132-151;TM:152-173;NC:174-206;TM:207-231;CY:232-250;TM:251-270;NC:271-281;TM:282-302;CY:303-320</t>
  </si>
  <si>
    <t>ENSG00000196184</t>
  </si>
  <si>
    <t>ENSP00000399078</t>
  </si>
  <si>
    <t>9;16</t>
  </si>
  <si>
    <t>UniRef100_P30954;UniRef90_P30954;UniRef50_P30954</t>
  </si>
  <si>
    <t>GNRHR_HUMAN</t>
  </si>
  <si>
    <t>Gonadotropin-releasing hormone receptor</t>
  </si>
  <si>
    <t>GNRHR</t>
  </si>
  <si>
    <t>NC:1-36;TM:37-58;CY:59-77;TM:78-97;NC:98-116;TM:117-138;CY:139-158;TM:159-178;NC:179-209;TM:210-231;CY:232-275;TM:276-292;NC:293-303;TM:304-326;CY:327-328</t>
  </si>
  <si>
    <t>ENSG00000109163</t>
  </si>
  <si>
    <t>ENSP00000226413</t>
  </si>
  <si>
    <t>18;53;102;252</t>
  </si>
  <si>
    <t>Alternative splicing;Cell membrane;Complete proteome;Disease mutation;Disulfide bond;G-protein coupled receptor;Glycoprotein;Hypogonadotropic hypogonadism;Membrane;Receptor;Reference proteome;Transducer;Transmembrane;Transmembrane helix</t>
  </si>
  <si>
    <t>UniRef100_P30968;UniRef90_P30968;UniRef50_P30968</t>
  </si>
  <si>
    <t>DB00007;DB00014;DB00050;DB00106;DB00644;DB00666;DB01406;DB06699;DB06719</t>
  </si>
  <si>
    <t>CALCR_HUMAN</t>
  </si>
  <si>
    <t>Calcitonin receptor</t>
  </si>
  <si>
    <t>CALCR</t>
  </si>
  <si>
    <t>SP:1-42;NC:43-165;TM:166-191;CY:192-221;TM:222-239;NC:240-259;TM:260-283;CY:284-294;TM:295-318;NC:319-330;TM:331-354;CY:355-374;TM:375-396;NC:397-407;TM:408-428;CY:429-508</t>
  </si>
  <si>
    <t>ENSG00000004948</t>
  </si>
  <si>
    <t>ENSP00000377959;ENSP00000389295</t>
  </si>
  <si>
    <t>46;91;143;148;457</t>
  </si>
  <si>
    <t>Alternative promoter usage;Alternative splicing;Cell membrane;Complete proteome;Direct protein sequencing;Disulfide bond;G-protein coupled receptor;Glycoprotein;Membrane;Polymorphism;Receptor;Reference proteome;Signal;Transducer;Transmembrane;Transmembrane helix</t>
  </si>
  <si>
    <t>UniRef100_P30988;UniRef90_P30988;UniRef50_P30988</t>
  </si>
  <si>
    <t>DB00017;DB01278</t>
  </si>
  <si>
    <t>NTR1_HUMAN</t>
  </si>
  <si>
    <t>Neurotensin receptor type 1</t>
  </si>
  <si>
    <t>NTSR1</t>
  </si>
  <si>
    <t>NC:1-66;TM:67-89;CY:90-100;TM:101-122;NC:123-144;TM:145-168;CY:169-187;TM:188-207;NC:208-239;TM:240-259;CY:260-303;TM:304-321;NC:322-340;TM:341-364;CY:365-418</t>
  </si>
  <si>
    <t>ENSG00000101188</t>
  </si>
  <si>
    <t>ENSP00000359532</t>
  </si>
  <si>
    <t>4;37;41;211;405;411</t>
  </si>
  <si>
    <t>405;411</t>
  </si>
  <si>
    <t>AQAGLEEALLAPGFGN[115]ASGN[115]ASER;LLAPGFGN[115]ASGN[115]ASER;APGFGN[115]ASGN[115]ASER</t>
  </si>
  <si>
    <t>37;41</t>
  </si>
  <si>
    <t>P30989</t>
  </si>
  <si>
    <t>Cell membrane (Multi-pass membrane protein);Membrane raft</t>
  </si>
  <si>
    <t>UniRef100_P30989;UniRef90_P30989;UniRef50_P30989</t>
  </si>
  <si>
    <t>CD52_HUMAN</t>
  </si>
  <si>
    <t>CAMPATH-1 antigen</t>
  </si>
  <si>
    <t>CD52</t>
  </si>
  <si>
    <t>SP:1-24;NC:25-61</t>
  </si>
  <si>
    <t>ENSG00000169442</t>
  </si>
  <si>
    <t>ENSP00000363330</t>
  </si>
  <si>
    <t>27;40</t>
  </si>
  <si>
    <t>Cell membrane;Complete proteome;Direct protein sequencing;Glycoprotein;GPI-anchor;Lipoprotein;Membrane;Polymorphism;Reference proteome;Signal</t>
  </si>
  <si>
    <t>UniRef100_P31358;UniRef90_P31358;UniRef50_P31358</t>
  </si>
  <si>
    <t>DB00087</t>
  </si>
  <si>
    <t>SSR4_HUMAN</t>
  </si>
  <si>
    <t>Somatostatin receptor type 4</t>
  </si>
  <si>
    <t>SSTR4</t>
  </si>
  <si>
    <t>NC:1-47;TM:48-73;CY:74-84;TM:85-108;NC:109-123;TM:124-145;CY:146-164;TM:165-185;NC:186-208;TM:209-235;CY:236-256;TM:257-278;NC:279-294;TM:295-314;CY:315-388</t>
  </si>
  <si>
    <t>ENSG00000132671</t>
  </si>
  <si>
    <t>ENSP00000255008</t>
  </si>
  <si>
    <t>UniRef100_P31391;UniRef90_P31391;UniRef50_P30872</t>
  </si>
  <si>
    <t>SC5A2_HUMAN</t>
  </si>
  <si>
    <t>Sodium/glucose cotransporter 2</t>
  </si>
  <si>
    <t>SLC5A2</t>
  </si>
  <si>
    <t>CY:1-24;TM:25-43;NC:44-62;TM:63-86;CY:87-99;TM:100-123;NC:124-169;TM:170-191;CY:192-202;TM:203-221;NC:222-273;TM:274-292;CY:293-312;TM:313-334;NC:335-422;TM:423-443;CY:444-454;TM:455-477;NC:478-525;TM:526-549;CY:550-648;TM:649-671;NC:672-672</t>
  </si>
  <si>
    <t>ENSG00000140675</t>
  </si>
  <si>
    <t>ENSP00000327943</t>
  </si>
  <si>
    <t>250;399</t>
  </si>
  <si>
    <t>Alternative splicing;Complete proteome;Disease mutation;Glycoprotein;Ion transport;Membrane;Reference proteome;Sodium;Sodium transport;Sugar transport;Symport;Transmembrane;Transmembrane helix;Transport</t>
  </si>
  <si>
    <t>UniRef100_P31639;UniRef90_P31639;UniRef50_P31639</t>
  </si>
  <si>
    <t>DB06292;DB08907</t>
  </si>
  <si>
    <t>SC6A6_HUMAN</t>
  </si>
  <si>
    <t>Sodium- and chloride-dependent taurine transporter</t>
  </si>
  <si>
    <t>SLC6A6</t>
  </si>
  <si>
    <t>CY:1-48;TM:49-67;NC:68-78;TM:79-101;CY:102-121;TM:122-146;NC:147-216;TM:217-236;CY:237-244;TM:245-265;NC:266-295;TM:296-315;CY:316-326;TM:327-351;NC:352-380;TM:381-400;CY:401-429;TM:430-448;NC:449-459;TM:460-484;CY:485-504;TM:505-525;NC:526-543;TM:544-565;CY:566-620</t>
  </si>
  <si>
    <t>ENSG00000131389</t>
  </si>
  <si>
    <t>ENSP00000480890</t>
  </si>
  <si>
    <t>163;179;190;533</t>
  </si>
  <si>
    <t>ELPWAHCN[115]HSWNTPHCMEDTMR;ITISSTN[115]FTSPVIEFWER;ISSTN[115]FTSPVIEFWER;STN[115]FTSPVIEFWER</t>
  </si>
  <si>
    <t>163;190</t>
  </si>
  <si>
    <t>P31641</t>
  </si>
  <si>
    <t>Alternative splicing;Cell membrane;Complete proteome;Glycoprotein;Membrane;Neurotransmitter transport;Phosphoprotein;Polymorphism;Reference proteome;Symport;Transmembrane;Transmembrane helix;Transport</t>
  </si>
  <si>
    <t>UniRef100_P31641;UniRef90_P31641;UniRef50_P31641</t>
  </si>
  <si>
    <t>GBRA5_HUMAN</t>
  </si>
  <si>
    <t>Gamma-aminobutyric acid receptor subunit alpha-5</t>
  </si>
  <si>
    <t>GABRA5</t>
  </si>
  <si>
    <t>SP:1-31;NC:32-256;TM:257-280;CY:281-287;TM:288-307;NC:308-321;TM:322-344;CY:345-430;TM:431-448;NC:449-462</t>
  </si>
  <si>
    <t>ENSG00000186297</t>
  </si>
  <si>
    <t>ENSP00000335592;ENSP00000347557;ENSP00000382953</t>
  </si>
  <si>
    <t>23;45;145;207;236;371;399</t>
  </si>
  <si>
    <t>45;145;399</t>
  </si>
  <si>
    <t>Cell junction;Cell membrane;Chloride;Chloride channel;Complete proteome;Disulfide bond;Glycoprotein;Ion channel;Ion transport;Isopeptide bond;Ligand-gated ion channel;Membrane;Postsynaptic cell membrane;Receptor;Reference proteome;Signal;Synapse;Transmembrane;Transmembrane helix;Transport;Ubl conjugation</t>
  </si>
  <si>
    <t>UniRef100_P31644;UniRef90_P31644;UniRef50_P31644</t>
  </si>
  <si>
    <t>DB00231;DB00241;DB00306;DB00312;DB00371;DB00402;DB00418;DB00546;DB00599;DB00683;DB00690;DB00794;DB00801;DB00829;DB00842;DB00849;DB00897;DB01198;DB01205;DB01215;DB01351;DB01352;DB01353;DB01354;DB01355;DB01544;DB01558;DB01559;DB01567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</si>
  <si>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SC6A4_HUMAN</t>
  </si>
  <si>
    <t>Sodium-dependent serotonin transporter</t>
  </si>
  <si>
    <t>SLC6A4</t>
  </si>
  <si>
    <t>CY:1-86;TM:87-106;NC:107-116;TM:117-139;CY:140-159;TM:160-185;NC:186-250;TM:251-270;CY:271-279;TM:280-300;NC:301-328;TM:329-350;CY:351-361;TM:362-386;NC:387-413;TM:414-435;CY:436-464;TM:465-488;NC:489-499;TM:500-518;CY:519-538;TM:539-559;NC:560-571;TM:572-595;CY:596-630</t>
  </si>
  <si>
    <t>ENSG00000108576</t>
  </si>
  <si>
    <t>ENSP00000261707;ENSP00000385822</t>
  </si>
  <si>
    <t>208;217</t>
  </si>
  <si>
    <t>Cell membrane (Multi-pass membrane protein);Endomembrane system (Multi-pass membrane protein);Endosome membrane (Multi-pass membrane protein)</t>
  </si>
  <si>
    <t>Alternative splicing;Cell membrane;Complete proteome;Endosome;Glycoprotein;Membrane;Neurotransmitter transport;Phosphoprotein;Polymorphism;Reference proteome;Symport;Transmembrane;Transmembrane helix;Transport</t>
  </si>
  <si>
    <t>UniRef100_P31645;UniRef90_P31645;UniRef50_P31645</t>
  </si>
  <si>
    <t>Cytosol;Endosome;Plasma membrane</t>
  </si>
  <si>
    <t>DB00176;DB00182;DB00191;DB00193;DB00215;DB00285;DB00289;DB00321;DB00344;DB00370;DB00408;DB00422;DB00454;DB00458;DB00472;DB00476;DB00514;DB00540;DB00543;DB00579;DB00656;DB00661;DB00715;DB00726;DB00805;DB00852;DB00907;DB00988;DB01104;DB01105;DB01114;DB01142;DB01149;DB01151;DB01175;DB01191;DB01242;DB01363;DB01577;DB04896;DB06148;DB06204;DB06700;DB06701;DB08918;DB09016</t>
  </si>
  <si>
    <t>IL2RG_HUMAN</t>
  </si>
  <si>
    <t>Cytokine receptor common subunit gamma</t>
  </si>
  <si>
    <t>IL2RG</t>
  </si>
  <si>
    <t>SP:1-22;NC:23-257;TM:258-283;CY:284-369</t>
  </si>
  <si>
    <t>ENSG00000147168</t>
  </si>
  <si>
    <t>ENSP00000363318</t>
  </si>
  <si>
    <t>CD132</t>
  </si>
  <si>
    <t>24;71;75;84;159;249;306</t>
  </si>
  <si>
    <t>47;51;314;320;326;333;349;355</t>
  </si>
  <si>
    <t>LQNLVIPWAPEN[115]LTLHK</t>
  </si>
  <si>
    <t>P31785</t>
  </si>
  <si>
    <t>3D-structure;Alternative splicing;Complete proteome;Direct protein sequencing;Disease mutation;Disulfide bond;Glycoprotein;Host-virus interaction;Membrane;Phosphoprotein;Polymorphism;Receptor;Reference proteome;SCID;Signal;Transmembrane;Transmembrane helix</t>
  </si>
  <si>
    <t>UniRef100_P31785;UniRef90_P31785;UniRef50_P31785</t>
  </si>
  <si>
    <t>DB00004;DB00041</t>
  </si>
  <si>
    <t>FCG2B_HUMAN</t>
  </si>
  <si>
    <t>Low affinity immunoglobulin gamma Fc region receptor II-b</t>
  </si>
  <si>
    <t>FCGR2B</t>
  </si>
  <si>
    <t>SP:1-17;NC:18-222;TM:223-246;CY:247-310</t>
  </si>
  <si>
    <t>ENSG00000072694</t>
  </si>
  <si>
    <t>ENSP00000351497;ENSP00000404329</t>
  </si>
  <si>
    <t>106;180;187</t>
  </si>
  <si>
    <t>3D-structure;Alternative splicing;Cell membrane;Chromosomal rearrangement;Complete proteome;Disulfide bond;Glycoprotein;Host-virus interaction;IgG-binding protein;Immunoglobulin domain;Membrane;Phosphoprotein;Polymorphism;Proto-oncogene;Receptor;Reference proteome;Repeat;Signal;Systemic lupus erythematosus;Transmembrane;Transmembrane helix</t>
  </si>
  <si>
    <t>UniRef100_P31994;UniRef90_P31994;UniRef50_P08101</t>
  </si>
  <si>
    <t>DB00002;DB00005;DB00028;DB00051;DB00054;DB00056;DB00072;DB00073;DB00074;DB00075;DB00078;DB00081;DB00087;DB00092;DB00095;DB00098;DB00108;DB00110;DB00111;DB00112</t>
  </si>
  <si>
    <t>FCG2C_HUMAN</t>
  </si>
  <si>
    <t>Low affinity immunoglobulin gamma Fc region receptor II-c</t>
  </si>
  <si>
    <t>FCGR2C</t>
  </si>
  <si>
    <t>SP:1-17;NC:18-222;TM:223-246;CY:247-323</t>
  </si>
  <si>
    <t>106;180;187;255</t>
  </si>
  <si>
    <t>Cell membrane (Single-pass type I membrane protein);Cell membrane (Single-pass type I membrane protein);Cell membrane (Single-pass type I membrane protein);Cytoplasm</t>
  </si>
  <si>
    <t>3D-structure;Alternative splicing;Cell membrane;Complete proteome;Cytoplasm;Disulfide bond;Glycoprotein;IgG-binding protein;Immunoglobulin domain;Membrane;Phosphoprotein;Receptor;Reference proteome;Repeat;Signal;Transmembrane;Transmembrane helix</t>
  </si>
  <si>
    <t>UniRef100_P31995;UniRef90_P31995;UniRef50_P12318</t>
  </si>
  <si>
    <t>CEAM8_HUMAN</t>
  </si>
  <si>
    <t>Carcinoembryonic antigen-related cell adhesion molecule 8</t>
  </si>
  <si>
    <t>CEACAM8</t>
  </si>
  <si>
    <t>SP:1-34;NC:35-349</t>
  </si>
  <si>
    <t>ENSG00000124469</t>
  </si>
  <si>
    <t>ENSP00000244336</t>
  </si>
  <si>
    <t>CD66b</t>
  </si>
  <si>
    <t>104;111;115;152;173;197;224;256;274;288;309</t>
  </si>
  <si>
    <t>3D-structure;Cell membrane;Complete proteome;Disulfide bond;Glycoprotein;GPI-anchor;Immunoglobulin domain;Lipoprotein;Membrane;Polymorphism;Reference proteome;Repeat;Signal</t>
  </si>
  <si>
    <t>UniRef100_P31997;UniRef90_P31997;UniRef50_P13688-3</t>
  </si>
  <si>
    <t>L1CAM_HUMAN</t>
  </si>
  <si>
    <t>Neural cell adhesion molecule L1</t>
  </si>
  <si>
    <t>L1CAM</t>
  </si>
  <si>
    <t>SP:1-19;NC:20-1121;TM:1122-1143;CY:1144-1257</t>
  </si>
  <si>
    <t>ENSG00000198910</t>
  </si>
  <si>
    <t>ENSP00000359077</t>
  </si>
  <si>
    <t>CD171</t>
  </si>
  <si>
    <t>100;203;247;294;433;479;490;505;588;671;726;777;825;849;876;931;979;1022;1030;1071;1105;1241</t>
  </si>
  <si>
    <t>913;1018;1191;1194;1244</t>
  </si>
  <si>
    <t>QSPHSGSFTITGN[115]NSNFAQR;SGSFTITGN[115]NSNFAQR;SGSFTITGN[115]NSN[115]FAQR;SGSFTITGN[115]N[115]SNFAQR;TITGN[115]NSNFAQR;TITGN[115]NSN[115]FAQR;TITGN[115]N[115]SNFAQR;VTMGQNGNLYFANVLTSDN[115]HSDYICH;VTMGQNGNLYFANVLTSDN[115]HSDYICHAHFPGTR;VTMGQNGNLYFAN[115]VLTSDN[115]HSDYICHAHFPGTR;VTMGQN[115]GNLYFANVLTSDN[115]HSDYICHAHFPGTR;VLTSDN[115]HSDYICHAHFPGTR;TSDN[115]HSDYICHAHFPGTR;LLFPTN[115]SSSH;LLFPTN[115]SSSHLV;LLFPTN[115]SSSHLVAL;LLFPTN[115]SSSHLVALQGQPL;ILTADN[115]QTYMAVQGS;ILTADN[115]QTYMAVQGSTAY;ILTADN[115]QTYMAVQGSTAYLLCK;FFPYAN[115]GTLGIR;PYAN[115]GTLGIR;DLQAN[115]DTGR;LVIHSLDYSDQGN[115]YSCVASTELDVVESR;VPGN[115]QTSTTLK;PGN[115]QTSTTLK;GEGN[115]ETTNMVITWK;GEGN[115]ETTNMVITWKPLR;GEGN[115]ETTN[115]MVITWKPLR;GPWQEQIVSDPFLVVSN[115]TSTFVPYEIK;IVSDPFLVVSN[115]TSTFVPYEIK;LVVSN[115]TSTFVPYEIK;N[115]SSAVLVK;GYN[115]VTYWR;YN[115]VTYWR;DHVVVPAN[115]TTSVIL;DHVVVPAN[115]TTSVILSGLR;DHVVVPAN[115]TTSVILSGLRPY;GSGPASEFTFSTPEGVPGHPEALHLECQSN[115]TSLLLR;HLECQSN[115]TSLLLR;THN[115]LTDLSPH;THN[115]LTDLSPHLR;EGGTMALSGISDFGN[115]ISATAGEN[115]YSVVSWVPK;GGASLSPQYVSYN[115]QSSY</t>
  </si>
  <si>
    <t>100;203;247;433;479;490;588;671;726;777;825;849;876;931;979;1022;1030;1071</t>
  </si>
  <si>
    <t>P32004</t>
  </si>
  <si>
    <t>Alternative splicing;Cell adhesion;Cell membrane;Complete proteome;Developmental protein;Differentiation;Direct protein sequencing;Disease mutation;Disulfide bond;Glycoprotein;Hereditary spastic paraplegia;Hirschsprung disease;Immunoglobulin domain;Membrane;Mental retardation;Neurodegeneration;Neurogenesis;Phosphoprotein;Polymorphism;Reference proteome;Repeat;Signal;Transmembrane;Transmembrane helix</t>
  </si>
  <si>
    <t>UniRef100_P32004;UniRef90_P32004;UniRef50_P32004</t>
  </si>
  <si>
    <t>CCKAR_HUMAN</t>
  </si>
  <si>
    <t>Cholecystokinin receptor type A</t>
  </si>
  <si>
    <t>CCKAR</t>
  </si>
  <si>
    <t>NC:1-44;TM:45-67;CY:68-77;TM:78-99;NC:100-118;TM:119-137;CY:138-157;TM:158-179;NC:180-208;TM:209-232;CY:233-311;TM:312-332;NC:333-351;TM:352-372;CY:373-428</t>
  </si>
  <si>
    <t>ENSG00000163394</t>
  </si>
  <si>
    <t>ENSP00000295589</t>
  </si>
  <si>
    <t>10;13;24;190;299</t>
  </si>
  <si>
    <t>13;24;190</t>
  </si>
  <si>
    <t>3D-structure;Cell membrane;Complete proteome;Disulfide bond;G-protein coupled receptor;Glycoprotein;Lipoprotein;Membrane;Palmitate;Receptor;Reference proteome;Transducer;Transmembrane;Transmembrane helix</t>
  </si>
  <si>
    <t>UniRef100_P32238;UniRef90_P32238;UniRef50_P32238</t>
  </si>
  <si>
    <t>Cytoskeleton;Cytosol;Extracellular space;Golgi apparatus;Mitochondrion;Nucleus;Peroxisome</t>
  </si>
  <si>
    <t>DB00403</t>
  </si>
  <si>
    <t>GASR_HUMAN</t>
  </si>
  <si>
    <t>Gastrin/cholecystokinin type B receptor</t>
  </si>
  <si>
    <t>CCKBR</t>
  </si>
  <si>
    <t>NC:1-57;TM:58-80;CY:81-90;TM:91-112;NC:113-131;TM:132-150;CY:151-170;TM:171-191;NC:192-217;TM:218-241;CY:242-330;TM:331-351;NC:352-370;TM:371-392;CY:393-447</t>
  </si>
  <si>
    <t>ENSG00000110148</t>
  </si>
  <si>
    <t>ENSP00000335544</t>
  </si>
  <si>
    <t>7;30;36</t>
  </si>
  <si>
    <t>UniRef100_P32239;UniRef90_P32239;UniRef50_P32239</t>
  </si>
  <si>
    <t>DB00183</t>
  </si>
  <si>
    <t>VIPR1_HUMAN</t>
  </si>
  <si>
    <t>Vasoactive intestinal polypeptide receptor 1</t>
  </si>
  <si>
    <t>VIPR1</t>
  </si>
  <si>
    <t>SP:1-30;NC:31-146;TM:147-167;CY:168-178;TM:179-198;NC:199-219;TM:220-243;CY:244-254;TM:255-276;NC:277-294;TM:295-319;CY:320-339;TM:340-360;NC:361-371;TM:372-392;CY:393-457</t>
  </si>
  <si>
    <t>ENSG00000114812</t>
  </si>
  <si>
    <t>ENSP00000327246</t>
  </si>
  <si>
    <t>58;69;100;290</t>
  </si>
  <si>
    <t>58;69</t>
  </si>
  <si>
    <t>422;429</t>
  </si>
  <si>
    <t>MWDN[115]LTCWPATPR</t>
  </si>
  <si>
    <t>P32241</t>
  </si>
  <si>
    <t>3D-structure;Alternative splicing;Cell membrane;Complete proteome;Disulfide bond;G-protein coupled receptor;Glycoprotein;Membrane;Polymorphism;Receptor;Reference proteome;Signal;Transducer;Transmembrane;Transmembrane helix</t>
  </si>
  <si>
    <t>UniRef100_P32241;UniRef90_P32241;UniRef50_P32241</t>
  </si>
  <si>
    <t>MC4R_HUMAN</t>
  </si>
  <si>
    <t>Melanocortin receptor 4</t>
  </si>
  <si>
    <t>MC4R</t>
  </si>
  <si>
    <t>NC:1-49;TM:50-70;CY:71-78;TM:79-100;NC:101-123;TM:124-145;CY:146-165;TM:166-186;NC:187-191;TM:192-216;CY:217-244;TM:245-269;NC:270-283;TM:284-304;CY:305-332</t>
  </si>
  <si>
    <t>ENSG00000166603</t>
  </si>
  <si>
    <t>ENSP00000299766</t>
  </si>
  <si>
    <t>3;17;26;97;108</t>
  </si>
  <si>
    <t>3D-structure;Cell membrane;Complete proteome;Disease mutation;Disulfide bond;G-protein coupled receptor;Glycoprotein;Lipoprotein;Membrane;Obesity;Palmitate;Polymorphism;Receptor;Reference proteome;Transducer;Transmembrane;Transmembrane helix</t>
  </si>
  <si>
    <t>UniRef100_P32245;UniRef90_P32245;UniRef50_P32245</t>
  </si>
  <si>
    <t>CCR1_HUMAN</t>
  </si>
  <si>
    <t>C-C chemokine receptor type 1</t>
  </si>
  <si>
    <t>CCR1</t>
  </si>
  <si>
    <t>NC:1-39;TM:40-60;CY:61-71;TM:72-91;NC:92-110;TM:111-134;CY:135-145;TM:146-170;NC:171-204;TM:205-227;CY:228-238;TM:239-261;NC:262-283;TM:284-304;CY:305-355</t>
  </si>
  <si>
    <t>ENSG00000163823</t>
  </si>
  <si>
    <t>ENSP00000296140</t>
  </si>
  <si>
    <t>CD191</t>
  </si>
  <si>
    <t>5;67;256</t>
  </si>
  <si>
    <t>332;340;341;342;343;346</t>
  </si>
  <si>
    <t>3D-structure;Cell membrane;Complete proteome;Disulfide bond;G-protein coupled receptor;Glycoprotein;Membrane;Receptor;Reference proteome;Transducer;Transmembrane;Transmembrane helix</t>
  </si>
  <si>
    <t>UniRef100_P32246;UniRef90_P32246;UniRef50_P32246</t>
  </si>
  <si>
    <t>BRS3_HUMAN</t>
  </si>
  <si>
    <t>Bombesin receptor subtype-3</t>
  </si>
  <si>
    <t>BRS3</t>
  </si>
  <si>
    <t>NC:1-43;TM:44-69;CY:70-80;TM:81-104;NC:105-123;TM:124-143;CY:144-163;TM:164-185;NC:186-215;TM:216-239;CY:240-268;TM:269-293;NC:294-308;TM:309-333;CY:334-399</t>
  </si>
  <si>
    <t>ENSG00000102239</t>
  </si>
  <si>
    <t>ENSP00000359682</t>
  </si>
  <si>
    <t>10;18;197</t>
  </si>
  <si>
    <t>UniRef100_P32247;UniRef90_P32247;UniRef50_P32247</t>
  </si>
  <si>
    <t>CCR7_HUMAN</t>
  </si>
  <si>
    <t>C-C chemokine receptor type 7</t>
  </si>
  <si>
    <t>CCR7</t>
  </si>
  <si>
    <t>SP:1-24;NC:25-59;TM:60-85;CY:86-95;TM:96-117;NC:118-130;TM:131-151;CY:152-170;TM:171-192;NC:193-225;TM:226-249;CY:250-260;TM:261-279;NC:280-309;TM:310-331;CY:332-378</t>
  </si>
  <si>
    <t>ENSG00000126353</t>
  </si>
  <si>
    <t>ENSP00000246657</t>
  </si>
  <si>
    <t>CD197</t>
  </si>
  <si>
    <t>36;292</t>
  </si>
  <si>
    <t>357;364;365;367</t>
  </si>
  <si>
    <t>AQTVANFN[115]ITSSTCELSK;QTVANFN[115]ITSSTCELSK;TVANFN[115]ITSSTCELSK;VANFN[115]ITSSTCELSK;ANFN[115]ITSSTCELSK;NFN[115]ITSSTCELSK;FN[115]ITSSTCELSK</t>
  </si>
  <si>
    <t>P32248</t>
  </si>
  <si>
    <t>UniRef100_P32248;UniRef90_P32248;UniRef50_P47774</t>
  </si>
  <si>
    <t>GP183_HUMAN</t>
  </si>
  <si>
    <t>G-protein coupled receptor 183</t>
  </si>
  <si>
    <t>GPR183</t>
  </si>
  <si>
    <t>NC:1-35;TM:36-57;CY:58-72;TM:73-93;NC:94-105;TM:106-127;CY:128-147;TM:148-168;NC:169-193;TM:194-217;CY:218-242;TM:243-268;NC:269-287;TM:288-312;CY:313-361</t>
  </si>
  <si>
    <t>ENSG00000169508</t>
  </si>
  <si>
    <t>ENSP00000365596</t>
  </si>
  <si>
    <t>8;64</t>
  </si>
  <si>
    <t>Adaptive immunity;Cell membrane;Complete proteome;Disulfide bond;G-protein coupled receptor;Immunity;Membrane;Phosphoprotein;Polymorphism;Receptor;Reference proteome;Transducer;Transmembrane;Transmembrane helix</t>
  </si>
  <si>
    <t>UniRef100_P32249;UniRef90_P32249;UniRef50_P32249</t>
  </si>
  <si>
    <t>ACHA3_HUMAN</t>
  </si>
  <si>
    <t>Neuronal acetylcholine receptor subunit alpha-3</t>
  </si>
  <si>
    <t>CHRNA3</t>
  </si>
  <si>
    <t>SP:1-31;NC:32-241;TM:242-265;CY:266-272;TM:273-295;NC:296-306;TM:307-328;CY:329-477;TM:478-498;NC:499-505</t>
  </si>
  <si>
    <t>ENSG00000080644</t>
  </si>
  <si>
    <t>55;172;414;418</t>
  </si>
  <si>
    <t>IDVTYFPFDYQN[115]CTMK</t>
  </si>
  <si>
    <t>P32297</t>
  </si>
  <si>
    <t>Alternative splicing;Cell junction;Cell membrane;Complete proteome;Disulfide bond;Glycoprotein;Ion channel;Ion transport;Ligand-gated ion channel;Membrane;Phosphoprotein;Polymorphism;Postsynaptic cell membrane;Receptor;Reference proteome;Signal;Synapse;Transmembrane;Transmembrane helix;Transport</t>
  </si>
  <si>
    <t>UniRef100_P32297;UniRef90_P32297;UniRef50_P32297</t>
  </si>
  <si>
    <t>DB00184;DB00514;DB00674;DB01090;DB01156;DB01227;DB01273;DB09028</t>
  </si>
  <si>
    <t>CXCR5_HUMAN</t>
  </si>
  <si>
    <t>C-X-C chemokine receptor type 5</t>
  </si>
  <si>
    <t>CXCR5</t>
  </si>
  <si>
    <t>NC:1-52;TM:53-76;CY:77-87;TM:88-108;NC:109-130;TM:131-151;CY:152-162;TM:163-183;NC:184-219;TM:220-241;CY:242-259;TM:260-280;NC:281-300;TM:301-325;CY:326-372</t>
  </si>
  <si>
    <t>ENSG00000160683</t>
  </si>
  <si>
    <t>ENSP00000292174</t>
  </si>
  <si>
    <t>CD185</t>
  </si>
  <si>
    <t>28;196;297;365</t>
  </si>
  <si>
    <t>28;365</t>
  </si>
  <si>
    <t>LDNYN[115]DTSLVENH;LDNYN[115]DTSLVENHLCPATEGPL;LDNYN[115]DTSLVENHLCPATEGPLMAS;LDNYN[115]DTSLVENHLCPATEGPLMASFK;LDNYN[115]DTSLVEN[115]HLCPATEGPLMASFK;LDN[115]YN[115]DTSLVENH;VSQGHHN[115]NSLPR;VSQGHHN[115]N[115]SLPR;SQGHHN[115]NSLPR;SQGHHN[115]N[115]SLPR;GHHN[115]NSLPR</t>
  </si>
  <si>
    <t>28;196</t>
  </si>
  <si>
    <t>P32302</t>
  </si>
  <si>
    <t>Alternative splicing;B-cell activation;Cell membrane;Complete proteome;Disulfide bond;G-protein coupled receptor;Glycoprotein;Membrane;Polymorphism;Receptor;Reference proteome;Transducer;Transmembrane;Transmembrane helix</t>
  </si>
  <si>
    <t>UniRef100_P32302;UniRef90_P32302;UniRef50_P32302</t>
  </si>
  <si>
    <t>NAC1_HUMAN</t>
  </si>
  <si>
    <t>Sodium/calcium exchanger 1</t>
  </si>
  <si>
    <t>SLC8A1</t>
  </si>
  <si>
    <t>SP:1-35;NC:36-77;TM:78-96;CY:97-133;TM:134-154;NC:155-168;TM:169-191;CY:192-202;TM:203-225;NC:226-231;TM:232-252;CY:253-797;TM:798-819;NC:820-828;TM:829-848;CY:849-874;TM:875-895;NC:896-906;TM:907-927;CY:928-944;TM:945-964;NC:965-973</t>
  </si>
  <si>
    <t>ENSG00000183023</t>
  </si>
  <si>
    <t>ENSP00000332931;ENSP00000384763</t>
  </si>
  <si>
    <t>SLC;Other;SLC8</t>
  </si>
  <si>
    <t>44;131;136;160;619;869</t>
  </si>
  <si>
    <t>ETEMEGEGN[115]ETGECTGSYYCK</t>
  </si>
  <si>
    <t>P32418</t>
  </si>
  <si>
    <t>Alternative splicing;Antiport;Calcium;Calcium transport;Calmodulin-binding;Cell membrane;Complete proteome;Glycoprotein;Ion transport;Membrane;Metal-binding;Phosphoprotein;Polymorphism;Reference proteome;Repeat;Signal;Sodium;Sodium transport;Transmembrane;Transmembrane helix;Transport</t>
  </si>
  <si>
    <t>UniRef100_P32418;UniRef90_Q01728;UniRef50_Q01728</t>
  </si>
  <si>
    <t>DB00132;DB00159</t>
  </si>
  <si>
    <t>SSR3_HUMAN</t>
  </si>
  <si>
    <t>Somatostatin receptor type 3</t>
  </si>
  <si>
    <t>SSTR3</t>
  </si>
  <si>
    <t>NC:1-44;TM:45-70;CY:71-81;TM:82-102;NC:103-121;TM:122-143;CY:144-162;TM:163-184;NC:185-203;TM:204-230;CY:231-255;TM:256-277;NC:278-291;TM:292-316;CY:317-418</t>
  </si>
  <si>
    <t>ENSG00000278195</t>
  </si>
  <si>
    <t>ENSP00000480971;ENSP00000481325</t>
  </si>
  <si>
    <t>17;30</t>
  </si>
  <si>
    <t>Cell membrane;Complete proteome;Disulfide bond;G-protein coupled receptor;Glycoprotein;Membrane;Phosphoprotein;Polymorphism;Receptor;Reference proteome;Transducer;Transmembrane;Transmembrane helix</t>
  </si>
  <si>
    <t>UniRef100_P32745;UniRef90_P32745;UniRef50_P32745</t>
  </si>
  <si>
    <t>DB06663</t>
  </si>
  <si>
    <t>DSG3_HUMAN</t>
  </si>
  <si>
    <t>Desmoglein-3</t>
  </si>
  <si>
    <t>DSG3</t>
  </si>
  <si>
    <t>SP:1-26;NC:27-617;TM:618-639;CY:640-999</t>
  </si>
  <si>
    <t>ENSG00000134757</t>
  </si>
  <si>
    <t>ENSP00000257189</t>
  </si>
  <si>
    <t>StructuralAndAdhesion;CadherinOther</t>
  </si>
  <si>
    <t>110;180;459;545</t>
  </si>
  <si>
    <t>Cell junction, desmosome;Cell membrane (Single-pass type I membrane protein)</t>
  </si>
  <si>
    <t>Calcium;Cell adhesion;Cell junction;Cell membrane;Cleavage on pair of basic residues;Complete proteome;Glycoprotein;Membrane;Metal-binding;Polymorphism;Reference proteome;Repeat;Signal;Transmembrane;Transmembrane helix</t>
  </si>
  <si>
    <t>UniRef100_P32926;UniRef90_P32926;UniRef50_P32926</t>
  </si>
  <si>
    <t>IL3RB_HUMAN</t>
  </si>
  <si>
    <t>Cytokine receptor common subunit beta</t>
  </si>
  <si>
    <t>CSF2RB</t>
  </si>
  <si>
    <t>SP:1-16;NC:17-441;TM:442-463;CY:464-897</t>
  </si>
  <si>
    <t>ENSG00000100368</t>
  </si>
  <si>
    <t>ENSP00000384053</t>
  </si>
  <si>
    <t>CD131</t>
  </si>
  <si>
    <t>58;191;346;489</t>
  </si>
  <si>
    <t>LVN[115]VTLIR;SSVNIQMAPPSLN[115]VTK</t>
  </si>
  <si>
    <t>58;346</t>
  </si>
  <si>
    <t>P32927</t>
  </si>
  <si>
    <t>3D-structure;Alternative splicing;Complete proteome;Disulfide bond;Glycoprotein;Membrane;Phosphoprotein;Polymorphism;Receptor;Reference proteome;Repeat;Signal;Transmembrane;Transmembrane helix</t>
  </si>
  <si>
    <t>UniRef100_P32927;UniRef90_P32927;UniRef50_P32927</t>
  </si>
  <si>
    <t>ICAM3_HUMAN</t>
  </si>
  <si>
    <t>Intercellular adhesion molecule 3</t>
  </si>
  <si>
    <t>ICAM3</t>
  </si>
  <si>
    <t>SP:1-29;NC:30-485;TM:486-510;CY:511-547</t>
  </si>
  <si>
    <t>ENSG00000076662</t>
  </si>
  <si>
    <t>ENSP00000160262</t>
  </si>
  <si>
    <t>CD50</t>
  </si>
  <si>
    <t>52;84;87;101;110;134;206;264;295;308;320;363;389;453;457</t>
  </si>
  <si>
    <t>87;110;134;264;295;308;363;453;457</t>
  </si>
  <si>
    <t>VEPQNPVLSAGGSLFVN[115];VEPQNPVLSAGGSLFVN[115]C;VEPQNPVLSAGGSLFVN[115]CSTDCPSSEK;SAGGSLFVN[115]CSTDCPSSEK;AGGSLFVN[115]CSTDCPSSEK;GGSLFVN[115]CSTDCPSSEK;GSLFVN[115]CSTDCPSSEK;SLFVN[115]CSTDCPSSEK;LFVN[115]CSTDCPSSEK;FVN[115]CSTDCPSSEK;VN[115]CSTDCPSSEK;ELVASGMGWAAFNLSN[115]VTGN;ELVASGMGWAAFN[115]LSN[115]VTGN;ELVASGMGWAAFN[115]LSN[115]VTGNSR;SGMGWAAFN[115]LSNVTGNSR;SGMGWAAFN[115]LSN[115]VTGNSR;SGMGWAAFN[115]LSN[115]VTGN[115]SR;MGWAAFNLSN[115]VTGNSR;MGWAAFN[115]LSN[115]VTGNSR;MGWAAFN[115]LSN[115]VTGN[115]SR;GWAAFN[115]LSN[115]VTGNSR;WAAFN[115]LSN[115]VTGNSR;AAFNLSN[115]VTGNSR;AAFNLSN[115]VTGN[115]SR;AAFN[115]LSNVTGNSR;AAFN[115]LSN[115]VTGNSR;AAFN[115]LSN[115]VTGN[115]SR;AFNLSN[115]VTGNSR;AFNLSN[115]VTGN[115]SR;AFN[115]LSNVTGNSR;AFN[115]LSNVTGN[115]SR;AFN[115]LSN[115]VTGNSR;AFN[115]LSN[115]VTGN[115]SR;FNLSN[115]VTGNSR;FNLSN[115]VTGN[115]SR;FN[115]LSN[115]VTGNSR;NLSN[115]VTGNSR;NLSN[115]VTGN[115]SR;N[115]LSN[115]VTGNSR;LSN[115]VTGNSR;ILCSVYCN[115]GSQITGSSN[115]ITVYR;ILCSVYCN[115]GSQITGSSN[115]ITVYRLPER;SVYCN[115]GSQITGSSN[115]ITVYR;VYCN[115]GSQITGSSN[115]ITVYR;N[115]GSQITGSSN[115]ITVYR;GSQITGSSN[115]ITVYR;SQITGSSN[115]ITVYR;ITGSSN[115]ITVYR;TGSSN[115]ITVYR;LPERVELAPLPPWQPVGQN[115]FTLR;VELAPLPPWQPVGQN[115]F;VELAPLPPWQPVGQN[115]FT;VELAPLPPWQPVGQN[115]FTL;VELAPLPPWQPVGQN[115]FTLR;ELAPLPPWQPVGQN[115]FTLR;LAPLPPWQPVGQN[115]FTLR;APLPPWQPVGQN[115]FTLR;PLPPWQPVGQN[115]FTLR;PPWQPVGQN[115]FTLR;QPVGQN[115]FTLR;PVGQN[115]FTLR;VGQN[115]FTLR;TELDMQPQGLGLFVN[115]T;TELDMQPQGLGLFVN[115]TSAPR;QPQGLGLFVN[115]TSAPR;PQGLGLFVN[115]TSAPR;GLGLFVN[115]TSAPR;LGLFVN[115]TSAPR;GLFVN[115]TSAPR;LFVN[115]TSAPR;FVN[115]TSAPR;LALGDQMLN[115]ATVMNHGDTLTATATATAR;EIVCN[115]VTLGGER;EIVCN[115]VTLGGERR;IVCN[115]VTLGGER;VCN[115]VTLGGER;EN[115]LTVFSFLGPIVN[115]LSEPTAHEGSTVTVSCMAGAR;SFLGPIVN[115]LSEPTAHEGSTVTVSCMAGAR;LGPIVN[115]LSEPTAHEGSTVTVSCMAGAR;VQVTLDGVPAAAPGQPAQLQLN[115]ATESDDGR;TLDGVPAAAPGQPAQLQLN[115]ATESDDGR;LDGVPAAAPGQPAQLQLN[115]ATESDDGR;PAAAPGQPAQLQLN[115]ATESDDGR;AAPGQPAQLQLN[115]ATESDDGR;APGQPAQLQLN[115]ATESDDGR;PGQPAQLQLN[115]ATESDDGR;GQPAQLQLN[115]ATESDDGR;QPAQLQLN[115]ATESDDGR;PAQLQLN[115]ATESDDGR;AQLQLN[115]ATESDDGR;QLQLN[115]ATESDDGR;LQLN[115]ATESDDGR;QLN[115]ATESDDGR;LN[115]ATESDDGR;RN[115]SSVQLR;EVPVGIPFFVN[115]V;EVPVGIPFFVN[115]VTHN[115]GTY;EVPVGIPFFVN[115]VTHN[115]GTYQ;EVPVGIPFFVN[115]VTHN[115]GTYQCQASSSR;PVGIPFFVN[115]VTHN[115]GTYQCQASSSR;IPFFVN[115]VTHN[115]GTYQCQASSSR;FVN[115]VTHN[115]GTYQCQASSSR;VN[115]VTHN[115]GTYQCQASSSR;N[115]VTHN[115]GTYQCQASSSR;THN[115]GTYQCQASSSR</t>
  </si>
  <si>
    <t>P32942</t>
  </si>
  <si>
    <t>3D-structure;Cell adhesion;Complete proteome;Direct protein sequencing;Disulfide bond;Glycoprotein;Immunoglobulin domain;Membrane;Phosphoprotein;Polymorphism;Reference proteome;Repeat;Signal;Transmembrane;Transmembrane helix</t>
  </si>
  <si>
    <t>UniRef100_P32942;UniRef90_P32942;UniRef50_P32942</t>
  </si>
  <si>
    <t>CD70_HUMAN</t>
  </si>
  <si>
    <t>CD70 antigen</t>
  </si>
  <si>
    <t>CD70</t>
  </si>
  <si>
    <t>CY:1-20;TM:21-42;NC:43-193</t>
  </si>
  <si>
    <t>ENSG00000125726</t>
  </si>
  <si>
    <t>ENSP00000245903</t>
  </si>
  <si>
    <t>63;170</t>
  </si>
  <si>
    <t>FAQAQQQLPLESLGWDVAELQLN[115]HTGPQQDPR;AQAQQQLPLESLGWDVAELQLN[115]HTGPQQDPR;LESLGWDVAELQLN[115]HTGPQQDPR;ESLGWDVAELQLN[115]HTGPQQDPR;SLGWDVAELQLN[115]HTGPQQDPR;GWDVAELQLN[115]HTGPQQDPR;DVAELQLN[115]HTGPQQDPR;VAELQLN[115]HTGPQQDPR;AELQLN[115]HTGPQQDPR;ELQLN[115]HTGPQQDPR;LQLN[115]HTGPQQDPR;QLN[115]HTGPQQDPR;LN[115]HTGPQQDPR;GDTLCTN[115]LTGTLLPS;GDTLCTN[115]LTGTLLPSR;TLCTN[115]LTGTLLPSR</t>
  </si>
  <si>
    <t>P32970</t>
  </si>
  <si>
    <t>Alternative splicing;Complete proteome;Cytokine;Disulfide bond;Glycoprotein;Membrane;Reference proteome;Signal-anchor;Transmembrane;Transmembrane helix</t>
  </si>
  <si>
    <t>UniRef100_P32970;UniRef90_P32970;UniRef50_P32970</t>
  </si>
  <si>
    <t>TNFL8_HUMAN</t>
  </si>
  <si>
    <t>Tumor necrosis factor ligand superfamily member 8</t>
  </si>
  <si>
    <t>TNFSF8</t>
  </si>
  <si>
    <t>CY:1-37;TM:38-62;NC:63-234</t>
  </si>
  <si>
    <t>ENSG00000106952</t>
  </si>
  <si>
    <t>ENSP00000223795</t>
  </si>
  <si>
    <t>CD153</t>
  </si>
  <si>
    <t>81;109;153;189;201</t>
  </si>
  <si>
    <t>Complete proteome;Cytokine;Disulfide bond;Glycoprotein;Membrane;Reference proteome;Signal-anchor;Transmembrane;Transmembrane helix</t>
  </si>
  <si>
    <t>UniRef100_P32971;UniRef90_P32971;UniRef50_P32971</t>
  </si>
  <si>
    <t>MC5R_HUMAN</t>
  </si>
  <si>
    <t>Melanocortin receptor 5</t>
  </si>
  <si>
    <t>MC5R</t>
  </si>
  <si>
    <t>NC:1-37;TM:38-61;CY:62-70;TM:71-97;NC:98-117;TM:118-138;CY:139-158;TM:159-179;NC:180-184;TM:185-210;CY:211-236;TM:237-258;NC:259-276;TM:277-297;CY:298-325</t>
  </si>
  <si>
    <t>ENSG00000176136</t>
  </si>
  <si>
    <t>ENSP00000318077</t>
  </si>
  <si>
    <t>2;15;20;28</t>
  </si>
  <si>
    <t>Cell membrane;Complete proteome;G-protein coupled receptor;Glycoprotein;Lipoprotein;Membrane;Palmitate;Polymorphism;Receptor;Reference proteome;Transducer;Transmembrane;Transmembrane helix</t>
  </si>
  <si>
    <t>UniRef100_P33032;UniRef90_P33032;UniRef50_P32245</t>
  </si>
  <si>
    <t>CADH5_HUMAN</t>
  </si>
  <si>
    <t>Cadherin-5</t>
  </si>
  <si>
    <t>CDH5</t>
  </si>
  <si>
    <t>SP:1-26;NC:27-597;TM:598-620;CY:621-784</t>
  </si>
  <si>
    <t>ENSG00000179776</t>
  </si>
  <si>
    <t>ENSP00000344115</t>
  </si>
  <si>
    <t>CD144</t>
  </si>
  <si>
    <t>61;112;157;362;442;523;535</t>
  </si>
  <si>
    <t>LDREN[115]ISEYHLTAVIVDK;EVYPWYN[115]LTVEAK;LTDNHDNTAN[115]ITVK;HDNTAN[115]ITVK</t>
  </si>
  <si>
    <t>112;442;535</t>
  </si>
  <si>
    <t>P33151</t>
  </si>
  <si>
    <t>Cell junction;Cell membrane (Single-pass type I membrane protein)</t>
  </si>
  <si>
    <t>Alternative splicing;Calcium;Cell adhesion;Cell junction;Cell membrane;Cleavage on pair of basic residues;Complete proteome;Direct protein sequencing;Glycoprotein;Membrane;Metal-binding;Phosphoprotein;Polymorphism;Reference proteome;Repeat;Signal;Transmembrane;Transmembrane helix</t>
  </si>
  <si>
    <t>UniRef100_P33151;UniRef90_P33151;UniRef50_P33151</t>
  </si>
  <si>
    <t>DB00480</t>
  </si>
  <si>
    <t>MRP1_HUMAN</t>
  </si>
  <si>
    <t>Multidrug resistance-associated protein 1</t>
  </si>
  <si>
    <t>ABCC1</t>
  </si>
  <si>
    <t>NC:1-36;TM:37-56;CY:57-75;TM:76-94;NC:95-99;TM:100-124;CY:125-135;TM:136-153;NC:154-172;TM:173-191;CY:192-315;TM:316-335;NC:336-362;TM:363-385;CY:386-436;TM:437-459;NC:460-464;TM:465-485;CY:486-542;TM:543-571;NC:572-590;TM:591-611;CY:612-968;TM:969-991;NC:992-1023;TM:1024-1045;CY:1046-1089;TM:1090-1110;NC:1111-1115;TM:1116-1134;CY:1135-1199;TM:1200-1220;NC:1221-1226;TM:1227-1247;CY:1248-1531</t>
  </si>
  <si>
    <t>ENSG00000103222;ENSG00000278183</t>
  </si>
  <si>
    <t>ENSP00000382342;ENSP00000483316</t>
  </si>
  <si>
    <t>19;23;71;354;648;719;767;819;929;1006;1156;1314;1344;1429</t>
  </si>
  <si>
    <t>19;71;354;648;819;929;1006;1156;1314</t>
  </si>
  <si>
    <t>GFCSADGSDPLWDWN[115]VTWN[115]TSNPDFTK;N[115]VTWN[115]TSNPDFTK;WLSLWTDDPIVN[115]GTQEHTK;LSLWTDDPIVN[115]GTQEHTK;LWTDDPIVN[115]GTQEHTK;WTDDPIVN[115]GTQEHTK;TDDPIVN[115]GTQEHTK;DDPIVN[115]GTQEHTK;DPIVN[115]GTQEHTK;PIVN[115]GTQEHTK</t>
  </si>
  <si>
    <t>19;23;1006</t>
  </si>
  <si>
    <t>P33527</t>
  </si>
  <si>
    <t>3D-structure;Alternative splicing;ATP-binding;Cell membrane;Complete proteome;Glycoprotein;Hydrolase;Membrane;Nucleotide-binding;Phosphoprotein;Polymorphism;Reference proteome;Repeat;Transmembrane;Transmembrane helix;Transport</t>
  </si>
  <si>
    <t>UniRef100_P33527;UniRef90_P33527;UniRef50_P33527</t>
  </si>
  <si>
    <t>Cytoskeleton;Cytosol;Endoplasmic Reticulum;Endosome;Extracellular space;Lysosome;Mitochondrion;Peroxisome</t>
  </si>
  <si>
    <t>DB01138</t>
  </si>
  <si>
    <t>CD80_HUMAN</t>
  </si>
  <si>
    <t>T-lymphocyte activation antigen CD80</t>
  </si>
  <si>
    <t>CD80</t>
  </si>
  <si>
    <t>SP:1-34;NC:35-245;TM:246-268;CY:269-288</t>
  </si>
  <si>
    <t>ENSG00000121594</t>
  </si>
  <si>
    <t>ENSP00000264246;ENSP00000418364</t>
  </si>
  <si>
    <t>53;89;98;186;207;211;226;232</t>
  </si>
  <si>
    <t>66;84;175;231;247</t>
  </si>
  <si>
    <t>EVATLSCGHN[115]VSVEELAQ;EVATLSCGHN[115]VSVEELAQTR;ATLSCGHN[115]VSVEELAQTR;LSWLENGEELNAIN[115]TTVSQDPETELYAVSSK;LSWLEN[115]GEELNAIN[115]TTVSQDPETELYAVSSK;LDFN[115]MTTNHSFMCL;LDFN[115]MTTN[115]HSFMC;LDFN[115]MTTN[115]HSFMCL;LDFN[115]MTTN[115]HSFMCLIK;VN[115]QTFNWNTTK;VN[115]QTFNWN[115]TTK;VN[115]QTFN[115]WN[115]TTK</t>
  </si>
  <si>
    <t>53;186;207;211;226;232</t>
  </si>
  <si>
    <t>P33681</t>
  </si>
  <si>
    <t>3D-structure;Alternative splicing;Complete proteome;Direct protein sequencing;Disulfide bond;Glycoprotein;Host-virus interaction;Immunoglobulin domain;Membrane;Receptor;Reference proteome;Signal;Transmembrane;Transmembrane helix</t>
  </si>
  <si>
    <t>UniRef100_P33681;UniRef90_P33681;UniRef50_P33681</t>
  </si>
  <si>
    <t>DB01281;DB06681</t>
  </si>
  <si>
    <t>AA3R_HUMAN</t>
  </si>
  <si>
    <t>Adenosine receptor A3</t>
  </si>
  <si>
    <t>ADORA3</t>
  </si>
  <si>
    <t>NC:1-15;TM:16-37;CY:38-47;TM:48-73;NC:74-81;TM:82-106;CY:107-126;TM:127-148;NC:149-177;TM:178-203;CY:204-231;TM:232-256;NC:257-261;TM:262-284;CY:285-318</t>
  </si>
  <si>
    <t>ENSG00000121933</t>
  </si>
  <si>
    <t>ENSP00000241356</t>
  </si>
  <si>
    <t>3;4;12;160;211</t>
  </si>
  <si>
    <t>4;12;160</t>
  </si>
  <si>
    <t>3D-structure;Alternative splicing;Cell membrane;Complete proteome;Disulfide bond;G-protein coupled receptor;Glycoprotein;Lipoprotein;Membrane;Palmitate;Phosphoprotein;Polymorphism;Receptor;Reference proteome;Transducer;Transmembrane;Transmembrane helix</t>
  </si>
  <si>
    <t>UniRef100_P33765;UniRef90_P33765;UniRef50_P33765</t>
  </si>
  <si>
    <t>DB00640;DB00824;DB01223</t>
  </si>
  <si>
    <t>140;57413</t>
  </si>
  <si>
    <t>SDC2_HUMAN</t>
  </si>
  <si>
    <t>Syndecan-2</t>
  </si>
  <si>
    <t>SDC2</t>
  </si>
  <si>
    <t>SP:1-22;NC:23-144;TM:145-169;CY:170-201</t>
  </si>
  <si>
    <t>ENSG00000169439</t>
  </si>
  <si>
    <t>ENSP00000307046</t>
  </si>
  <si>
    <t>CD362</t>
  </si>
  <si>
    <t>Complete proteome;Differentiation;Glycoprotein;Heparan sulfate;Membrane;Neurogenesis;Phosphoprotein;Polymorphism;Proteoglycan;Reference proteome;Signal;Transmembrane;Transmembrane helix</t>
  </si>
  <si>
    <t>UniRef100_P34741;UniRef90_P34741;UniRef50_P34741</t>
  </si>
  <si>
    <t>CD68_HUMAN</t>
  </si>
  <si>
    <t>Macrosialin</t>
  </si>
  <si>
    <t>CD68</t>
  </si>
  <si>
    <t>SP:1-21;NC:22-319;TM:320-344;CY:345-354</t>
  </si>
  <si>
    <t>ENSG00000129226</t>
  </si>
  <si>
    <t>ENSP00000250092</t>
  </si>
  <si>
    <t>88;96;118;126;164;199;246;261;279</t>
  </si>
  <si>
    <t>80;88;96;118;126;164;199;246;261;279</t>
  </si>
  <si>
    <t>ETIGDYTWTN[115]GSQPCVH;ETIGDYTWTN[115]GSQPCVHLQAQ;VMYTTQGGGEAWGISVLNPN[115]KTK</t>
  </si>
  <si>
    <t>164;199</t>
  </si>
  <si>
    <t>P34810</t>
  </si>
  <si>
    <t>Endosome membrane (Single-pass type I membrane protein);Lysosome membrane (Single-pass type I membrane protein);Cell membrane (Single-pass type I membrane protein)</t>
  </si>
  <si>
    <t>Alternative splicing;Cell membrane;Complete proteome;Disulfide bond;Endosome;Glycoprotein;Lysosome;Membrane;Polymorphism;Reference proteome;Repeat;Signal;Transmembrane;Transmembrane helix</t>
  </si>
  <si>
    <t>UniRef100_P34810;UniRef90_P34810;UniRef50_P34810</t>
  </si>
  <si>
    <t>GBRA3_HUMAN</t>
  </si>
  <si>
    <t>Gamma-aminobutyric acid receptor subunit alpha-3</t>
  </si>
  <si>
    <t>GABRA3</t>
  </si>
  <si>
    <t>SP:1-28;NC:29-274;TM:275-298;CY:299-305;TM:306-325;NC:326-339;TM:340-362;CY:363-460;TM:461-478;NC:479-492</t>
  </si>
  <si>
    <t>ENSG00000011677</t>
  </si>
  <si>
    <t>ENSP00000359337;ENSP00000443527</t>
  </si>
  <si>
    <t>63;163;176;228</t>
  </si>
  <si>
    <t>63;163;176</t>
  </si>
  <si>
    <t>Cell junction;Cell membrane;Chloride;Chloride channel;Complete proteome;Disulfide bond;Glycoprotein;Ion channel;Ion transport;Ligand-gated ion channel;Membrane;Postsynaptic cell membrane;Receptor;Reference proteome;Signal;Synapse;Transmembrane;Transmembrane helix;Transport</t>
  </si>
  <si>
    <t>UniRef100_P34903;UniRef90_P34903;UniRef50_P31644</t>
  </si>
  <si>
    <t>DB00231;DB00241;DB00306;DB00312;DB00371;DB00402;DB00418;DB00425;DB00546;DB00599;DB00683;DB00690;DB00794;DB00801;DB00829;DB00842;DB00849;DB00897;DB01198;DB01215;DB01351;DB01352;DB01353;DB01354;DB01355;DB01544;DB01558;DB01559;DB01567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</si>
  <si>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EVI2B_HUMAN</t>
  </si>
  <si>
    <t>Protein EVI2B</t>
  </si>
  <si>
    <t>EVI2B</t>
  </si>
  <si>
    <t>SP:1-21;NC:22-202;TM:203-225;CY:226-448</t>
  </si>
  <si>
    <t>ENSG00000185862</t>
  </si>
  <si>
    <t>ENSP00000333779;ENSP00000462682</t>
  </si>
  <si>
    <t>CD361</t>
  </si>
  <si>
    <t>16;50;114;314;353;368;437</t>
  </si>
  <si>
    <t>16;50;314</t>
  </si>
  <si>
    <t>Alternative splicing;Complete proteome;Glycoprotein;Membrane;Phosphoprotein;Polymorphism;Proto-oncogene;Reference proteome;Signal;Transmembrane;Transmembrane helix</t>
  </si>
  <si>
    <t>UniRef100_P34910;UniRef90_P34910;UniRef50_P34910</t>
  </si>
  <si>
    <t>RYK_HUMAN</t>
  </si>
  <si>
    <t>Tyrosine-protein kinase RYK</t>
  </si>
  <si>
    <t>RYK</t>
  </si>
  <si>
    <t>SP:1-24;NC:25-224;TM:225-247;CY:248-604</t>
  </si>
  <si>
    <t>ENSG00000163785</t>
  </si>
  <si>
    <t>ENSP00000296084</t>
  </si>
  <si>
    <t>136;171;175;179;206;288</t>
  </si>
  <si>
    <t>171;179;288</t>
  </si>
  <si>
    <t>N[115]FTVLNFK;TSALDKN[115]TSR</t>
  </si>
  <si>
    <t>179;206</t>
  </si>
  <si>
    <t>P34925</t>
  </si>
  <si>
    <t>Cytoplasm;Membrane (Single-pass type I membrane protein);Nucleus</t>
  </si>
  <si>
    <t>Alternative splicing;ATP-binding;Complete proteome;Cytoplasm;Glycoprotein;Kinase;Membrane;Nucleotide-binding;Nucleus;Phosphoprotein;Polymorphism;Receptor;Reference proteome;Signal;Transferase;Transmembrane;Transmembrane helix;Tyrosine-protein kinase;Wnt signaling pathway</t>
  </si>
  <si>
    <t>UniRef100_P34925;UniRef90_P34925;UniRef50_P34925</t>
  </si>
  <si>
    <t>5HT7R_HUMAN</t>
  </si>
  <si>
    <t>5-hydroxytryptamine receptor 7</t>
  </si>
  <si>
    <t>HTR7</t>
  </si>
  <si>
    <t>NC:1-82;TM:83-109;CY:110-117;TM:118-138;NC:139-157;TM:158-178;CY:179-198;TM:199-219;NC:220-238;TM:239-260;CY:261-325;TM:326-348;NC:349-368;TM:369-387;CY:388-479</t>
  </si>
  <si>
    <t>ENSG00000148680</t>
  </si>
  <si>
    <t>ENSP00000337949</t>
  </si>
  <si>
    <t>5;66;304;315</t>
  </si>
  <si>
    <t>UniRef100_P34969;UniRef90_P34969;UniRef50_P32305</t>
  </si>
  <si>
    <t>DB00216;DB00246;DB00247;DB00248;DB00321;DB00334;DB00363;DB00370;DB00408;DB00458;DB00477;DB00543;DB00751;DB00934;DB00988;DB01200;DB01224;DB01238;DB04946;DB06148;DB06216;DB06288;DB08815;DB01049</t>
  </si>
  <si>
    <t>CNR2_HUMAN</t>
  </si>
  <si>
    <t>Cannabinoid receptor 2</t>
  </si>
  <si>
    <t>CNR2</t>
  </si>
  <si>
    <t>NC:1-34;TM:35-58;CY:59-69;TM:70-94;NC:95-105;TM:106-129;CY:130-149;TM:150-170;NC:171-190;TM:191-210;CY:211-245;TM:246-268;NC:269-279;TM:280-301;CY:302-360</t>
  </si>
  <si>
    <t>ENSG00000188822</t>
  </si>
  <si>
    <t>ENSP00000363596</t>
  </si>
  <si>
    <t>MEECWVTEIAN[115]GSK;VTEIAN[115]GSK</t>
  </si>
  <si>
    <t>P34972</t>
  </si>
  <si>
    <t>Cell membrane (Multi-pass membrane protein);Cell projection, dendrite;Perikaryon</t>
  </si>
  <si>
    <t>3D-structure;Cell membrane;Cell projection;Complete proteome;G-protein coupled receptor;Glycoprotein;Inflammatory response;Membrane;Phosphoprotein;Polymorphism;Receptor;Reference proteome;Transducer;Transmembrane;Transmembrane helix</t>
  </si>
  <si>
    <t>UniRef100_P34972;UniRef90_P34972;UniRef50_P34972</t>
  </si>
  <si>
    <t>DB00470;DB00486</t>
  </si>
  <si>
    <t>TRFR_HUMAN</t>
  </si>
  <si>
    <t>Thyrotropin-releasing hormone receptor</t>
  </si>
  <si>
    <t>TRHR</t>
  </si>
  <si>
    <t>NC:1-25;TM:26-50;CY:51-61;TM:62-82;NC:83-114;TM:115-133;CY:134-144;TM:145-163;NC:164-266;TM:267-288;CY:289-299;TM:300-320;NC:321-398</t>
  </si>
  <si>
    <t>ENSG00000174417</t>
  </si>
  <si>
    <t>ENSP00000309818;ENSP00000430711</t>
  </si>
  <si>
    <t>3;10;82;110;167;236;248;255;347;353</t>
  </si>
  <si>
    <t>3;10;82;255</t>
  </si>
  <si>
    <t>QYLGIN[115]ASSCSITAFTIER;CFN[115]STVSSRK</t>
  </si>
  <si>
    <t>P34981</t>
  </si>
  <si>
    <t>UniRef100_P34981;UniRef90_P34981;UniRef50_Q01717</t>
  </si>
  <si>
    <t>OR1D2_HUMAN</t>
  </si>
  <si>
    <t>Olfactory receptor 1D2</t>
  </si>
  <si>
    <t>OR1D2</t>
  </si>
  <si>
    <t>NC:1-25;TM:26-48;CY:49-58;TM:59-79;NC:80-98;TM:99-120;CY:121-139;TM:140-159;NC:160-197;TM:198-221;CY:222-240;TM:241-260;NC:261-271;TM:272-291;CY:292-312</t>
  </si>
  <si>
    <t>ENSG00000184166</t>
  </si>
  <si>
    <t>ENSP00000327585</t>
  </si>
  <si>
    <t>5;65;195</t>
  </si>
  <si>
    <t>Cell membrane;Chemotaxis;Complete proteome;Disulfide bond;Fertilization;G-protein coupled receptor;Glycoprotein;Membrane;Olfaction;Polymorphism;Receptor;Reference proteome;Sensory transduction;Transducer;Transmembrane;Transmembrane helix</t>
  </si>
  <si>
    <t>UniRef100_P34982;UniRef90_P34982;UniRef50_P34982</t>
  </si>
  <si>
    <t>PE2R1_HUMAN</t>
  </si>
  <si>
    <t>Prostaglandin E2 receptor EP1 subtype</t>
  </si>
  <si>
    <t>PTGER1</t>
  </si>
  <si>
    <t>NC:1-37;TM:38-58;CY:59-69;TM:70-96;NC:97-110;TM:111-133;CY:134-153;TM:154-174;NC:175-201;TM:202-230;CY:231-295;TM:296-321;NC:322-332;TM:333-354;CY:355-402</t>
  </si>
  <si>
    <t>ENSG00000160951</t>
  </si>
  <si>
    <t>ENSP00000292513</t>
  </si>
  <si>
    <t>8;25</t>
  </si>
  <si>
    <t>UniRef100_P34995;UniRef90_P34995;UniRef50_P34995</t>
  </si>
  <si>
    <t>DB00297;DB00429;DB00770;DB00905;DB00917;DB01088</t>
  </si>
  <si>
    <t>CRFR1_HUMAN</t>
  </si>
  <si>
    <t>Corticotropin-releasing factor receptor 1</t>
  </si>
  <si>
    <t>CRHR1</t>
  </si>
  <si>
    <t>SP:1-23;NC:24-117;TM:118-142;CY:143-181;TM:182-203;NC:204-227;TM:228-249;CY:250-257;TM:258-279;NC:280-299;TM:300-320;CY:321-340;TM:341-361;NC:362-372;TM:373-395;CY:396-444</t>
  </si>
  <si>
    <t>ENSG00000120088;ENSG00000278232;ENSG00000276191</t>
  </si>
  <si>
    <t>ENSP00000381333;ENSP00000484387;ENSP00000480396</t>
  </si>
  <si>
    <t>38;45;78;90;98;195</t>
  </si>
  <si>
    <t>Cell membrane (Multi-pass membrane protein);Endosome</t>
  </si>
  <si>
    <t>3D-structure;Alternative splicing;Cell membrane;Complete proteome;Direct protein sequencing;Disulfide bond;Endosome;G-protein coupled receptor;Glycoprotein;Membrane;Phosphoprotein;Receptor;Reference proteome;Signal;Transducer;Transmembrane;Transmembrane helix</t>
  </si>
  <si>
    <t>UniRef100_P34998;UniRef90_P34998;UniRef50_P47866</t>
  </si>
  <si>
    <t>GPC1_HUMAN</t>
  </si>
  <si>
    <t>Glypican-1</t>
  </si>
  <si>
    <t>GPC1</t>
  </si>
  <si>
    <t>SP:1-23;NC:24-558</t>
  </si>
  <si>
    <t>ENSG00000063660</t>
  </si>
  <si>
    <t>ENSP00000264039</t>
  </si>
  <si>
    <t>79;116</t>
  </si>
  <si>
    <t>ICPQGYTCCTSEMEENLAN[115]R;TCCTSEMEENLAN[115]R;TSEMEENLAN[115]R;SFDDHFQHLLN[115]DSER;FDDHFQHLLN[115]DSER;DDHFQHLLN[115]DSER</t>
  </si>
  <si>
    <t>P35052</t>
  </si>
  <si>
    <t>Cell membrane (Lipid-anchor, GPI-anchor|Extracellular side;Endosome;Secreted, extracellular space</t>
  </si>
  <si>
    <t>3D-structure;Alternative splicing;Cell membrane;Complete proteome;Copper;Direct protein sequencing;Disulfide bond;Endosome;Glycoprotein;GPI-anchor;Heparan sulfate;Lipoprotein;Membrane;Polymorphism;Proteoglycan;Reference proteome;S-nitrosylation;Secreted;Signal;Zinc</t>
  </si>
  <si>
    <t>UniRef100_P35052;UniRef90_P35052;UniRef50_P35052</t>
  </si>
  <si>
    <t>BTC_HUMAN</t>
  </si>
  <si>
    <t>Probetacellulin</t>
  </si>
  <si>
    <t>BTC</t>
  </si>
  <si>
    <t>SP:1-31;NC:32-118;TM:119-144;CY:145-178</t>
  </si>
  <si>
    <t>ENSG00000174808</t>
  </si>
  <si>
    <t>ENSP00000379092</t>
  </si>
  <si>
    <t>38;56;57;58;60;166</t>
  </si>
  <si>
    <t>3D-structure;Cell membrane;Complete proteome;Disulfide bond;EGF-like domain;Glycoprotein;Growth factor;Membrane;Mitogen;Polymorphism;Reference proteome;Secreted;Signal;Transmembrane;Transmembrane helix</t>
  </si>
  <si>
    <t>UniRef100_P35070;UniRef90_P35070;UniRef50_P35070</t>
  </si>
  <si>
    <t>CXA4_HUMAN</t>
  </si>
  <si>
    <t>Gap junction alpha-4 protein</t>
  </si>
  <si>
    <t>GJA4</t>
  </si>
  <si>
    <t>CY:1-19;TM:20-40;NC:41-77;TM:78-99;CY:100-149;TM:150-171;NC:172-207;TM:208-233;CY:234-333</t>
  </si>
  <si>
    <t>ENSG00000187513</t>
  </si>
  <si>
    <t>ENSP00000343676</t>
  </si>
  <si>
    <t>Cell junction;Cell membrane;Complete proteome;Gap junction;Membrane;Polymorphism;Reference proteome;Transmembrane;Transmembrane helix</t>
  </si>
  <si>
    <t>UniRef100_P35212;UniRef90_P35212;UniRef50_P35212</t>
  </si>
  <si>
    <t>SSR5_HUMAN</t>
  </si>
  <si>
    <t>Somatostatin receptor type 5</t>
  </si>
  <si>
    <t>SSTR5</t>
  </si>
  <si>
    <t>NC:1-43;TM:44-66;CY:67-77;TM:78-97;NC:98-119;TM:120-139;CY:140-157;TM:158-178;NC:179-196;TM:197-225;CY:226-247;TM:248-271;NC:272-284;TM:285-307;CY:308-364</t>
  </si>
  <si>
    <t>ENSG00000162009</t>
  </si>
  <si>
    <t>ENSP00000293897</t>
  </si>
  <si>
    <t>13;26;187</t>
  </si>
  <si>
    <t>Cell membrane;Complete proteome;Disulfide bond;G-protein coupled receptor;Glycoprotein;Lipoprotein;Membrane;Palmitate;Phosphoprotein;Polymorphism;Receptor;Reference proteome;Transducer;Transmembrane;Transmembrane helix</t>
  </si>
  <si>
    <t>UniRef100_P35346;UniRef90_P35346;UniRef50_P30874</t>
  </si>
  <si>
    <t>ADA1A_HUMAN</t>
  </si>
  <si>
    <t>Alpha-1A adrenergic receptor</t>
  </si>
  <si>
    <t>ADRA1A</t>
  </si>
  <si>
    <t>NC:1-26;TM:27-52;CY:53-63;TM:64-86;NC:87-100;TM:101-122;CY:123-142;TM:143-164;NC:165-183;TM:184-209;CY:210-272;TM:273-295;NC:296-309;TM:310-328;CY:329-466</t>
  </si>
  <si>
    <t>ENSG00000120907</t>
  </si>
  <si>
    <t>ENSP00000276393;ENSP00000369947</t>
  </si>
  <si>
    <t>7;13;22</t>
  </si>
  <si>
    <t>402;413;418;421;442</t>
  </si>
  <si>
    <t>Cell membrane (Multi-pass membrane protein);Nucleus membrane (Multi-pass membrane protein)</t>
  </si>
  <si>
    <t>Alternative splicing;Cell membrane;Complete proteome;Disulfide bond;G-protein coupled receptor;Glycoprotein;Lipoprotein;Membrane;Nucleus;Palmitate;Phosphoprotein;Polymorphism;Receptor;Reference proteome;Transducer;Transmembrane;Transmembrane helix</t>
  </si>
  <si>
    <t>UniRef100_P35348;UniRef90_P35348;UniRef50_P35348</t>
  </si>
  <si>
    <t>DB00211;DB00215;DB00246;DB00248;DB00298;DB00321;DB00334;DB00346;DB00363;DB00368;DB00370;DB00388;DB00397;DB00408;DB00420;DB00449;DB00450;DB00457;DB00458;DB00477;DB00540;DB00543;DB00575;DB00590;DB00610;DB00622;DB00656;DB00668;DB00679;DB00692;DB00696;DB00699;DB00706;DB00723;DB00726;DB00734;DB00751;DB00777;DB00797;DB00800;DB00831;DB00852;DB00865;DB00875;DB00925;DB00935;DB00964;DB01069;DB01136;DB01142;DB01149;DB01162;DB01175;DB01186;DB01200;DB01224;DB01238;DB01253;DB01267;DB01295;DB01364;DB01403;DB01576;DB01579;DB01614;DB01622;DB01624;DB04855;DB04946;DB06144;DB06207;DB06216;DB06262;DB06694;DB06706;DB06707;DB06711;DB00370;DB00477;DB00543;DB00598;DB00934;DB01049;DB01151;DB06148;DB00182;DB01365</t>
  </si>
  <si>
    <t>HRH1_HUMAN</t>
  </si>
  <si>
    <t>Histamine H1 receptor</t>
  </si>
  <si>
    <t>HRH1</t>
  </si>
  <si>
    <t>NC:1-27;TM:28-52;CY:53-63;TM:64-89;NC:90-100;TM:101-123;CY:124-143;TM:144-167;NC:168-187;TM:188-210;CY:211-416;TM:417-440;NC:441-451;TM:452-471;CY:472-487</t>
  </si>
  <si>
    <t>ENSG00000196639</t>
  </si>
  <si>
    <t>ENSP00000380247;ENSP00000397028;ENSP00000406705</t>
  </si>
  <si>
    <t>5;18;228;325;460</t>
  </si>
  <si>
    <t>18;460</t>
  </si>
  <si>
    <t>277;363;366;367</t>
  </si>
  <si>
    <t>3D-structure;Cell membrane;Complete proteome;Disulfide bond;G-protein coupled receptor;Glycoprotein;Membrane;Phosphoprotein;Polymorphism;Receptor;Reference proteome;Transducer;Transmembrane;Transmembrane helix</t>
  </si>
  <si>
    <t>UniRef100_P35367;UniRef90_P35367;UniRef50_P35367</t>
  </si>
  <si>
    <t>DB00215;DB00245;DB00246;DB00283;DB00321;DB00334;DB00341;DB00354;DB00363;DB00366;DB00370;DB00405;DB00408;DB00420;DB00427;DB00434;DB00455;DB00458;DB00477;DB00540;DB00543;DB00557;DB00568;DB00637;DB00656;DB00667;DB00719;DB00726;DB00734;DB00737;DB00748;DB00751;DB00768;DB00777;DB00792;DB00797;DB00835;DB00902;DB00920;DB00934;DB00950;DB00967;DB00972;DB00985;DB01069;DB01071;DB01075;DB01084;DB01106;DB01114;DB01142;DB01146;DB01151;DB01173;DB01175;DB01176;DB01224;DB01237;DB01238;DB01239;DB01246;DB01267;DB01403;DB01615;DB01619;DB01620;DB01624;DB04837;DB04841;DB04890;DB04946;DB06148;DB06216;DB06691;DB06698;DB06766;DB08799;DB08800;DB08801;DB08802;DB08936;DB09016</t>
  </si>
  <si>
    <t>ADA1B_HUMAN</t>
  </si>
  <si>
    <t>Alpha-1B adrenergic receptor</t>
  </si>
  <si>
    <t>ADRA1B</t>
  </si>
  <si>
    <t>NC:1-44;TM:45-71;CY:72-81;TM:82-105;NC:106-119;TM:120-141;CY:142-161;TM:162-182;NC:183-201;TM:202-226;CY:227-294;TM:295-316;NC:317-328;TM:329-349;CY:350-520</t>
  </si>
  <si>
    <t>ENSG00000170214</t>
  </si>
  <si>
    <t>ENSP00000306662</t>
  </si>
  <si>
    <t>10;24;29;34</t>
  </si>
  <si>
    <t>24;29;34</t>
  </si>
  <si>
    <t>Cell membrane;Complete proteome;Disulfide bond;G-protein coupled receptor;Glycoprotein;Lipoprotein;Membrane;Nucleus;Palmitate;Polymorphism;Receptor;Reference proteome;Transducer;Transmembrane;Transmembrane helix</t>
  </si>
  <si>
    <t>UniRef100_P35368;UniRef90_P35368;UniRef50_P35368</t>
  </si>
  <si>
    <t>DB00211;DB00246;DB00248;DB00298;DB00321;DB00334;DB00346;DB00363;DB00368;DB00388;DB00408;DB00420;DB00457;DB00458;DB00477;DB00540;DB00575;DB00590;DB00622;DB00668;DB00679;DB00696;DB00706;DB00723;DB00726;DB00734;DB00745;DB00777;DB00800;DB00925;DB00935;DB01136;DB01142;DB01149;DB01162;DB01186;DB01200;DB01224;DB01238;DB01255;DB01267;DB01403;DB01576;DB01579;DB01608;DB01614;DB01622;DB04855;DB06144;DB06207;DB06262;DB06694;DB00370;DB00477;DB00543;DB00598;DB00934;DB01049;DB01151;DB06148;DB00182;DB01365</t>
  </si>
  <si>
    <t>OPRM_HUMAN</t>
  </si>
  <si>
    <t>Mu-type opioid receptor</t>
  </si>
  <si>
    <t>OPRM1</t>
  </si>
  <si>
    <t>NC:1-68;TM:69-96;CY:97-106;TM:107-128;NC:129-149;TM:150-169;CY:170-189;TM:190-208;NC:209-232;TM:233-259;CY:260-279;TM:280-304;NC:305-317;TM:318-341;CY:342-400</t>
  </si>
  <si>
    <t>ENSG00000112038</t>
  </si>
  <si>
    <t>ENSP00000328264</t>
  </si>
  <si>
    <t>9;12;33;40;48;364</t>
  </si>
  <si>
    <t>12;48;364</t>
  </si>
  <si>
    <t>Alternative splicing;Cell membrane;Complete proteome;Cytoplasm;Disulfide bond;G-protein coupled receptor;Glycoprotein;Lipoprotein;Membrane;Palmitate;Phosphoprotein;Polymorphism;Receptor;Reference proteome;Transducer;Transmembrane;Transmembrane helix;Ubl conjugation</t>
  </si>
  <si>
    <t>UniRef100_P35372;UniRef90_P33535;UniRef50_P33535</t>
  </si>
  <si>
    <t>DB00193;DB00295;DB00318;DB00321;DB00327;DB00333;DB00454;DB00497;DB00504;DB00514;DB00611;DB00647;DB00652;DB00704;DB00708;DB00802;DB00813;DB00836;DB00844;DB00854;DB00899;DB00904;DB00913;DB00921;DB00956;DB01081;DB01183;DB01192;DB01209;DB01221;DB01227;DB01433;DB01452;DB01466;DB06204;DB06274;DB06738;DB06800</t>
  </si>
  <si>
    <t>PE2R4_HUMAN</t>
  </si>
  <si>
    <t>Prostaglandin E2 receptor EP4 subtype</t>
  </si>
  <si>
    <t>PTGER4</t>
  </si>
  <si>
    <t>NC:1-20;TM:21-42;CY:43-53;TM:54-77;NC:78-95;TM:96-115;CY:116-134;TM:135-157;NC:158-186;TM:187-211;CY:212-266;TM:267-294;NC:295-313;TM:314-332;CY:333-488</t>
  </si>
  <si>
    <t>ENSG00000171522</t>
  </si>
  <si>
    <t>ENSP00000302846</t>
  </si>
  <si>
    <t>7;177;482</t>
  </si>
  <si>
    <t>Cell membrane;Complete proteome;Disulfide bond;G-protein coupled receptor;Glycoprotein;Membrane;Phosphoprotein;Receptor;Reference proteome;Transducer;Transmembrane;Transmembrane helix</t>
  </si>
  <si>
    <t>UniRef100_P35408;UniRef90_P35408;UniRef50_P35408</t>
  </si>
  <si>
    <t>DB00917;DB00929</t>
  </si>
  <si>
    <t>MAS1L_HUMAN</t>
  </si>
  <si>
    <t>Mas-related G-protein coupled receptor MRG</t>
  </si>
  <si>
    <t>MAS1L</t>
  </si>
  <si>
    <t>NC:1-81;TM:82-101;CY:102-109;TM:110-133;NC:134-149;TM:150-168;CY:169-187;TM:188-210;NC:211-228;TM:229-251;CY:252-261;TM:262-285;NC:286-296;TM:297-317;CY:318-378</t>
  </si>
  <si>
    <t>ENSG00000204687;ENSG00000206470;ENSG00000206515;ENSG00000233141;ENSG00000234954;ENSG00000228377;ENSG00000228515;ENSG00000237284</t>
  </si>
  <si>
    <t>ENSP00000366331;ENSP00000373041;ENSP00000373139;ENSP00000405164;ENSP00000410649;ENSP00000405030;ENSP00000399042;ENSP00000392071</t>
  </si>
  <si>
    <t>54;57;93;306</t>
  </si>
  <si>
    <t>UniRef100_P35410;UniRef90_P35410;UniRef50_P35410</t>
  </si>
  <si>
    <t>Cytoskeleton;Cytoskeleton;Cytoskeleton;Extracellular space;Extracellular space;Extracellular space</t>
  </si>
  <si>
    <t>APJ_HUMAN</t>
  </si>
  <si>
    <t>Apelin receptor</t>
  </si>
  <si>
    <t>APLNR</t>
  </si>
  <si>
    <t>NC:1-31;TM:32-54;CY:55-65;TM:66-86;NC:87-105;TM:106-125;CY:126-144;TM:145-166;NC:167-201;TM:202-225;CY:226-245;TM:246-266;NC:267-285;TM:286-311;CY:312-380</t>
  </si>
  <si>
    <t>ENSG00000134817</t>
  </si>
  <si>
    <t>ENSP00000257254;ENSP00000475344;ENSP00000477818</t>
  </si>
  <si>
    <t>15;175</t>
  </si>
  <si>
    <t>TTGDLEN[115]TTK</t>
  </si>
  <si>
    <t>P35414</t>
  </si>
  <si>
    <t>3D-structure;Cell membrane;Complete proteome;Developmental protein;G-protein coupled receptor;Gastrulation;Glycoprotein;Membrane;Polymorphism;Receptor;Reference proteome;Transducer;Transmembrane;Transmembrane helix</t>
  </si>
  <si>
    <t>UniRef100_P35414;UniRef90_P35414;UniRef50_Q9JHG3</t>
  </si>
  <si>
    <t>DRD3_HUMAN</t>
  </si>
  <si>
    <t>D(3) dopamine receptor</t>
  </si>
  <si>
    <t>DRD3</t>
  </si>
  <si>
    <t>NC:1-30;TM:31-55;CY:56-65;TM:66-87;NC:88-105;TM:106-129;CY:130-149;TM:150-170;NC:171-189;TM:190-213;CY:214-329;TM:330-350;NC:351-368;TM:369-388;CY:389-400</t>
  </si>
  <si>
    <t>ENSG00000151577</t>
  </si>
  <si>
    <t>ENSP00000373169;ENSP00000419402;ENSP00000420662</t>
  </si>
  <si>
    <t>12;19;97;173</t>
  </si>
  <si>
    <t>12;19;173</t>
  </si>
  <si>
    <t>308;309</t>
  </si>
  <si>
    <t>3D-structure;Alternative splicing;Cell membrane;Complete proteome;Disulfide bond;G-protein coupled receptor;Glycoprotein;Membrane;Polymorphism;Receptor;Reference proteome;Transducer;Transmembrane;Transmembrane helix</t>
  </si>
  <si>
    <t>UniRef100_P35462;UniRef90_P35462;UniRef50_P35462</t>
  </si>
  <si>
    <t>DB00246;DB00248;DB00268;DB00334;DB00363;DB00370;DB00391;DB00408;DB00409;DB00413;DB00477;DB00502;DB00543;DB00589;DB00714;DB00734;DB00988;DB01100;DB01184;DB01186;DB01200;DB01224;DB01235;DB01238;DB01239;DB01267;DB01392;DB01403;DB04946;DB05271;DB06148;DB06216;DB06288;DB09014</t>
  </si>
  <si>
    <t>SCN1A_HUMAN</t>
  </si>
  <si>
    <t>Sodium channel protein type 1 subunit alpha</t>
  </si>
  <si>
    <t>SCN1A</t>
  </si>
  <si>
    <t>CY:1-123;TM:124-147;NC:148-158;TM:159-178;CY:179-189;TM:190-207;NC:208-218;TM:219-238;CY:239-249;TM:250-270;NC:271-398;TM:399-424;CY:425-762;TM:763-787;NC:788-798;TM:799-820;CY:821-831;TM:832-850;NC:851-861;TM:862-880;CY:881-888;TM:889-909;NC:910-963;TM:964-991;CY:992-1217;TM:1218-1238;NC:1239-1257;TM:1258-1276;CY:1277-1282;TM:1283-1304;NC:1305-1309;TM:1310-1327;CY:1328-1347;TM:1348-1370;NC:1371-1458;TM:1459-1483;CY:1484-1541;TM:1542-1560;NC:1561-1571;TM:1572-1592;CY:1593-1601;TM:1602-1622;NC:1623-1632;TM:1633-1650;CY:1651-1669;TM:1670-1693;NC:1694-1761;TM:1762-1784;CY:1785-2009</t>
  </si>
  <si>
    <t>ENSG00000144285</t>
  </si>
  <si>
    <t>ENSP00000303540;ENSP00000407030</t>
  </si>
  <si>
    <t>Channels;Voltage_gated_ion_channels;SodiumChannels</t>
  </si>
  <si>
    <t>211;284;295;301;306;338;601;621;681;892;1064;1080;1146;1378;1392;1403;1788</t>
  </si>
  <si>
    <t>Alternative splicing;Complete proteome;Disease mutation;Epilepsy;Glycoprotein;Ion channel;Ion transport;Membrane;Phosphoprotein;Polymorphism;Reference proteome;Repeat;Sodium;Sodium channel;Sodium transport;Transmembrane;Transmembrane helix;Transport;Voltage-gated channel</t>
  </si>
  <si>
    <t>UniRef100_P35498;UniRef90_P35498;UniRef50_P35498</t>
  </si>
  <si>
    <t>DB00252;DB00273;DB00909;DB01121;DB01438;DB01595;DB04855;DB04930;DB00313</t>
  </si>
  <si>
    <t>SCN4A_HUMAN</t>
  </si>
  <si>
    <t>Sodium channel protein type 4 subunit alpha</t>
  </si>
  <si>
    <t>SCN4A</t>
  </si>
  <si>
    <t>CY:1-126;TM:127-150;NC:151-161;TM:162-181;CY:182-192;TM:193-210;NC:211-221;TM:222-241;CY:242-252;TM:253-272;NC:273-422;TM:423-449;CY:450-573;TM:574-597;NC:598-608;TM:609-630;CY:631-641;TM:642-660;NC:661-671;TM:672-690;CY:691-697;TM:698-719;NC:720-773;TM:774-802;CY:803-1030;TM:1031-1051;NC:1052-1070;TM:1071-1089;CY:1090-1095;TM:1096-1117;NC:1118-1122;TM:1123-1140;CY:1141-1160;TM:1161-1183;NC:1184-1270;TM:1271-1295;CY:1296-1353;TM:1354-1372;NC:1373-1383;TM:1384-1402;CY:1403-1413;TM:1414-1433;NC:1434-1444;TM:1445-1462;CY:1463-1481;TM:1482-1505;NC:1506-1571;TM:1572-1596;CY:1597-1836</t>
  </si>
  <si>
    <t>ENSG00000007314</t>
  </si>
  <si>
    <t>ENSP00000396320</t>
  </si>
  <si>
    <t>214;288;291;297;303;315;321;333;362;507;702;961;1191;1205;1376;1786</t>
  </si>
  <si>
    <t>288;291;297;303;321;333;702;1191</t>
  </si>
  <si>
    <t>Complete proteome;Congenital myasthenic syndrome;Disease mutation;Glycoprotein;Ion channel;Ion transport;Membrane;Phosphoprotein;Polymorphism;Reference proteome;Repeat;Sodium;Sodium channel;Sodium transport;Transmembrane;Transmembrane helix;Transport;Voltage-gated channel</t>
  </si>
  <si>
    <t>UniRef100_P35499;UniRef90_P35499;UniRef50_P35498</t>
  </si>
  <si>
    <t>DB00586;DB00818;DB00909;DB01195;DB00313</t>
  </si>
  <si>
    <t>TIE1_HUMAN</t>
  </si>
  <si>
    <t>Tyrosine-protein kinase receptor Tie-1</t>
  </si>
  <si>
    <t>TIE1</t>
  </si>
  <si>
    <t>SP:1-22;NC:23-760;TM:761-786;CY:787-1138</t>
  </si>
  <si>
    <t>ENSG00000066056</t>
  </si>
  <si>
    <t>ENSP00000361554</t>
  </si>
  <si>
    <t>83;161;503;596;709;1026;1119;1125</t>
  </si>
  <si>
    <t>503;1125</t>
  </si>
  <si>
    <t>REN[115]VSSPQAR</t>
  </si>
  <si>
    <t>P35590</t>
  </si>
  <si>
    <t>Alternative splicing;Angiogenesis;ATP-binding;Cell membrane;Complete proteome;Direct protein sequencing;Disulfide bond;EGF-like domain;Glycoprotein;Immunoglobulin domain;Kinase;Membrane;Nucleotide-binding;Phosphoprotein;Polymorphism;Receptor;Reference proteome;Repeat;Signal;Transferase;Transmembrane;Transmembrane helix;Tyrosine-protein kinase</t>
  </si>
  <si>
    <t>UniRef100_P35590;UniRef90_P35590;UniRef50_P35590</t>
  </si>
  <si>
    <t>BASI_HUMAN</t>
  </si>
  <si>
    <t>Basigin</t>
  </si>
  <si>
    <t>BSG</t>
  </si>
  <si>
    <t>SP:1-21;NC:22-323;TM:324-345;CY:346-385</t>
  </si>
  <si>
    <t>ENSG00000172270</t>
  </si>
  <si>
    <t>ENSP00000333769</t>
  </si>
  <si>
    <t>CD147</t>
  </si>
  <si>
    <t>64;160;268;302;383</t>
  </si>
  <si>
    <t>KILLTCSLN[115]DSATEVTGHR;ILLTCSLN[115]DSATEV;ILLTCSLN[115]DSATEVTGH;ILLTCSLN[115]DSATEVTGHR;LLTCSLN[115]DSATEVTGHR;LTCSLN[115]DSATEVTGHR;TCSLN[115]DSATEVTGHR;CSLN[115]DSATEVTGHR;SLN[115]DSATEVTGHR;LN[115]DSATEVTGHR;N[115]DSATEVTGHR;KITDSEDKALMN[115]GSESR;ITDSEDKALMN[115]GS;ITDSEDKALMN[115]GSES;ITDSEDKALMN[115]GSESR;TDSEDKALMN[115]GSESR;DSEDKALMN[115]GSESR;SEDKALMN[115]GSESR;EDKALMN[115]GSESR;DKALMN[115]GSESR;KALMN[115]GSESR;ALMN[115]GSESR;LMN[115]GSESR;MN[115]GSESR;SELHIENLNMEADPGQYRCN[115]GTSSK</t>
  </si>
  <si>
    <t>160;268;302</t>
  </si>
  <si>
    <t>P35613</t>
  </si>
  <si>
    <t>Cell membrane (Single-pass type I membrane protein);Melanosome</t>
  </si>
  <si>
    <t>3D-structure;Alternative promoter usage;Alternative splicing;Blood group antigen;Cell membrane;Complete proteome;Direct protein sequencing;Disulfide bond;Glycoprotein;Immunoglobulin domain;Lectin;Mannose-binding;Membrane;Phosphoprotein;Polymorphism;Reference proteome;Signal;Transmembrane;Transmembrane helix</t>
  </si>
  <si>
    <t>UniRef100_P35613;UniRef90_P35613;UniRef50_P35613</t>
  </si>
  <si>
    <t>Cytoskeleton;Cytosol;Endoplasmic Reticulum;Endosome;Extracellular space;Lysosome;Nucleus;Peroxisome</t>
  </si>
  <si>
    <t>VGFR3_HUMAN</t>
  </si>
  <si>
    <t>Vascular endothelial growth factor receptor 3</t>
  </si>
  <si>
    <t>FLT4</t>
  </si>
  <si>
    <t>SP:1-24;NC:25-775;TM:776-798;CY:799-1363</t>
  </si>
  <si>
    <t>ENSG00000037280</t>
  </si>
  <si>
    <t>ENSP00000377016</t>
  </si>
  <si>
    <t>33;104;166;251;299;411;515;527;594;683;690;758;934;1271</t>
  </si>
  <si>
    <t>70;562;565;977;986;988;1190;1191;1193;1194;1235;1246;1250;1352;1356</t>
  </si>
  <si>
    <t>LVIQNAN[115]VSAMYK;LVIQN[115]AN[115]VSAMYK</t>
  </si>
  <si>
    <t>P35916</t>
  </si>
  <si>
    <t>Cell membrane (Single-pass type I membrane protein);Cytoplasm;Nucleus;Cell membrane (Single-pass type I membrane protein);Cell membrane (Single-pass type I membrane protein);Cytoplasm;Secreted</t>
  </si>
  <si>
    <t>3D-structure;Alternative splicing;Angiogenesis;ATP-binding;Cell membrane;Complete proteome;Cytoplasm;Direct protein sequencing;Disease mutation;Disulfide bond;Glycoprotein;Immunoglobulin domain;Kinase;Membrane;Nucleotide-binding;Nucleus;Phosphoprotein;Polymorphism;Receptor;Reference proteome;Repeat;Secreted;Signal;Transferase;Transmembrane;Transmembrane helix;Tyrosine-protein kinase</t>
  </si>
  <si>
    <t>UniRef100_P35916;UniRef90_P35916;UniRef50_P35916</t>
  </si>
  <si>
    <t>VGFR2_HUMAN</t>
  </si>
  <si>
    <t>Vascular endothelial growth factor receptor 2</t>
  </si>
  <si>
    <t>KDR</t>
  </si>
  <si>
    <t>SP:1-19;NC:20-764;TM:765-786;CY:787-1356</t>
  </si>
  <si>
    <t>ENSG00000128052</t>
  </si>
  <si>
    <t>ENSP00000263923</t>
  </si>
  <si>
    <t>CD309</t>
  </si>
  <si>
    <t>46;66;96;143;158;245;318;374;395;511;523;580;613;619;631;675;704;721;923;1256;1300</t>
  </si>
  <si>
    <t>26;28;940;965;967;968;969;971;972;974;975;1181;1190;1193;1196;1197;1200;1231;1235;1281;1296;1299;1302;1303;1339</t>
  </si>
  <si>
    <t>Cell junction;Cell membrane (Single-pass type I membrane protein);Cytoplasm;Cytoplasmic vesicle;Early endosome;Nucleus;Secreted;Secreted</t>
  </si>
  <si>
    <t>3D-structure;Alternative splicing;Angiogenesis;ATP-binding;Cell junction;Cell membrane;Complete proteome;Cytoplasm;Cytoplasmic vesicle;Developmental protein;Differentiation;Disulfide bond;Endosome;Glycoprotein;Host-virus interaction;Immunoglobulin domain;Kinase;Membrane;Nucleotide-binding;Nucleus;Phosphoprotein;Polymorphism;Receptor;Reference proteome;Repeat;Secreted;Signal;Transferase;Transmembrane;Transmembrane helix;Tyrosine-protein kinase;Ubl conjugation</t>
  </si>
  <si>
    <t>UniRef100_P35968;UniRef90_P35968;UniRef50_P35968</t>
  </si>
  <si>
    <t>Endosome;Extracellular space;Nucleus;Plasma membrane</t>
  </si>
  <si>
    <t>DB00398;DB01268;DB06589;DB06626;DB08875;DB08896;DB08901</t>
  </si>
  <si>
    <t>ACHA7_HUMAN</t>
  </si>
  <si>
    <t>Neuronal acetylcholine receptor subunit alpha-7</t>
  </si>
  <si>
    <t>CHRNA7</t>
  </si>
  <si>
    <t>SP:1-22;NC:23-230;TM:231-254;CY:255-261;TM:262-283;NC:284-294;TM:295-317;CY:318-469;TM:470-490;NC:491-502</t>
  </si>
  <si>
    <t>ENSG00000175344;ENSG00000274542</t>
  </si>
  <si>
    <t>ENSP00000303727;ENSP00000405989</t>
  </si>
  <si>
    <t>46;90;133</t>
  </si>
  <si>
    <t>3D-structure;Alternative splicing;Cell junction;Cell membrane;Complete proteome;Disulfide bond;Glycoprotein;Ion channel;Ion transport;Ligand-gated ion channel;Membrane;Postsynaptic cell membrane;Receptor;Reference proteome;Signal;Synapse;Transmembrane;Transmembrane helix;Transport</t>
  </si>
  <si>
    <t>UniRef100_P36544;UniRef90_Q05941;UniRef50_Q05941</t>
  </si>
  <si>
    <t>DB00184;DB00237;DB00241;DB00306;DB00312;DB00418;DB00514;DB00599;DB00674;DB00794;DB00849;DB01174;DB01273;DB01351;DB01352;DB01353;DB01354;DB01355;DB09028</t>
  </si>
  <si>
    <t>1139;89832</t>
  </si>
  <si>
    <t>FLT3_HUMAN</t>
  </si>
  <si>
    <t>Receptor-type tyrosine-protein kinase FLT3</t>
  </si>
  <si>
    <t>FLT3</t>
  </si>
  <si>
    <t>SP:1-27;NC:28-541;TM:542-563;CY:564-993</t>
  </si>
  <si>
    <t>ENSG00000122025</t>
  </si>
  <si>
    <t>ENSP00000241453</t>
  </si>
  <si>
    <t>CD135</t>
  </si>
  <si>
    <t>43;100;151;250;306;323;351;354;473;502;541;626;722;734;938</t>
  </si>
  <si>
    <t>ALEEGNYFEMSTYSTN[115]R;N[115]DTGYYTCSSSK;SPN[115]CTEEITEGVWNR;VFGQWVSSSTLN[115]MSEAIK;SSTLN[115]MSEAIK</t>
  </si>
  <si>
    <t>306;323;473;502</t>
  </si>
  <si>
    <t>P36888</t>
  </si>
  <si>
    <t>Endoplasmic reticulum lumen;Membrane (Single-pass type I membrane protein)</t>
  </si>
  <si>
    <t>3D-structure;Alternative splicing;ATP-binding;Complete proteome;Disease mutation;Disulfide bond;Endoplasmic reticulum;Glycoprotein;Immunoglobulin domain;Kinase;Membrane;Nucleotide-binding;Phosphoprotein;Polymorphism;Proto-oncogene;Receptor;Reference proteome;Signal;Transferase;Transmembrane;Transmembrane helix;Tyrosine-protein kinase;Ubl conjugation</t>
  </si>
  <si>
    <t>UniRef100_P36888;UniRef90_P36888;UniRef50_P36888</t>
  </si>
  <si>
    <t>DB00398;DB01268;DB08901</t>
  </si>
  <si>
    <t>BMR1A_HUMAN</t>
  </si>
  <si>
    <t>Bone morphogenetic protein receptor type-1A</t>
  </si>
  <si>
    <t>BMPR1A</t>
  </si>
  <si>
    <t>SP:1-23;NC:24-152;TM:153-177;CY:178-532</t>
  </si>
  <si>
    <t>ENSG00000107779</t>
  </si>
  <si>
    <t>ENSP00000361107</t>
  </si>
  <si>
    <t>CD292</t>
  </si>
  <si>
    <t>73;314;373</t>
  </si>
  <si>
    <t>213;216</t>
  </si>
  <si>
    <t>3D-structure;ATP-binding;Complete proteome;Disease mutation;Disulfide bond;Glycoprotein;Kinase;Magnesium;Manganese;Membrane;Metal-binding;Nucleotide-binding;Polymorphism;Receptor;Reference proteome;Serine/threonine-protein kinase;Signal;Transferase;Transmembrane;Transmembrane helix</t>
  </si>
  <si>
    <t>UniRef100_P36894;UniRef90_P36895;UniRef50_P36895</t>
  </si>
  <si>
    <t>ACV1B_HUMAN</t>
  </si>
  <si>
    <t>Activin receptor type-1B</t>
  </si>
  <si>
    <t>ACVR1B</t>
  </si>
  <si>
    <t>SP:1-23;NC:24-126;TM:127-151;CY:152-505</t>
  </si>
  <si>
    <t>ENSG00000135503</t>
  </si>
  <si>
    <t>ENSP00000257963</t>
  </si>
  <si>
    <t>43;272</t>
  </si>
  <si>
    <t>110;189</t>
  </si>
  <si>
    <t>Alternative splicing;ATP-binding;Cell membrane;Complete proteome;Glycoprotein;Kinase;Magnesium;Manganese;Membrane;Metal-binding;Nucleotide-binding;Phosphoprotein;Polymorphism;Receptor;Reference proteome;Serine/threonine-protein kinase;Signal;Transferase;Transmembrane;Transmembrane helix;Ubl conjugation</t>
  </si>
  <si>
    <t>UniRef100_P36896;UniRef90_P36896;UniRef50_P36896</t>
  </si>
  <si>
    <t>DB00171</t>
  </si>
  <si>
    <t>TGFR1_HUMAN</t>
  </si>
  <si>
    <t>TGF-beta receptor type-1</t>
  </si>
  <si>
    <t>TGFBR1</t>
  </si>
  <si>
    <t>SP:1-33;NC:34-125;TM:126-147;CY:148-503</t>
  </si>
  <si>
    <t>ENSG00000106799</t>
  </si>
  <si>
    <t>ENSP00000364133</t>
  </si>
  <si>
    <t>45;150;270;344</t>
  </si>
  <si>
    <t>113;114;165;172;176;187</t>
  </si>
  <si>
    <t>Cell junction, tight junction;Cell membrane (Single-pass type I membrane protein)</t>
  </si>
  <si>
    <t>3D-structure;Alternative splicing;Aortic aneurysm;Apoptosis;ATP-binding;Cell junction;Cell membrane;Complete proteome;Craniosynostosis;Differentiation;Direct protein sequencing;Disease mutation;Disulfide bond;Glycoprotein;Growth regulation;Isopeptide bond;Kinase;Magnesium;Manganese;Membrane;Metal-binding;Nucleotide-binding;Phosphoprotein;Polymorphism;Receptor;Reference proteome;Serine/threonine-protein kinase;Signal;Tight junction;Transferase;Transmembrane;Transmembrane helix;Ubl conjugation</t>
  </si>
  <si>
    <t>UniRef100_P36897;UniRef90_P36897;UniRef50_P36897</t>
  </si>
  <si>
    <t>TNR3_HUMAN</t>
  </si>
  <si>
    <t>Tumor necrosis factor receptor superfamily member 3</t>
  </si>
  <si>
    <t>LTBR</t>
  </si>
  <si>
    <t>SP:1-27;NC:28-224;TM:225-248;CY:249-435</t>
  </si>
  <si>
    <t>ENSG00000111321</t>
  </si>
  <si>
    <t>ENSP00000228918</t>
  </si>
  <si>
    <t>40;177</t>
  </si>
  <si>
    <t>277;298;302;305;306;339;421;423</t>
  </si>
  <si>
    <t>AGHFQN[115]TSSPSA;AGHFQN[115]TSSPSAR;GHFQN[115]TSSPSAR;HFQN[115]TSSPSAR;FQN[115]TSSPSAR</t>
  </si>
  <si>
    <t>P36941</t>
  </si>
  <si>
    <t>3D-structure;Alternative splicing;Apoptosis;Complete proteome;Disulfide bond;Glycoprotein;Host-virus interaction;Membrane;Phosphoprotein;Polymorphism;Receptor;Reference proteome;Repeat;Signal;Transmembrane;Transmembrane helix</t>
  </si>
  <si>
    <t>UniRef100_P36941;UniRef90_P36941;UniRef50_P36941</t>
  </si>
  <si>
    <t>ACVL1_HUMAN</t>
  </si>
  <si>
    <t>Serine/threonine-protein kinase receptor R3</t>
  </si>
  <si>
    <t>ACVRL1</t>
  </si>
  <si>
    <t>SP:1-21;NC:22-118;TM:119-141;CY:142-503</t>
  </si>
  <si>
    <t>ENSG00000139567</t>
  </si>
  <si>
    <t>ENSP00000373574</t>
  </si>
  <si>
    <t>98;268</t>
  </si>
  <si>
    <t>98;268;475</t>
  </si>
  <si>
    <t>106;110</t>
  </si>
  <si>
    <t>3D-structure;Angiogenesis;ATP-binding;Complete proteome;Disease mutation;Disulfide bond;Glycoprotein;Kinase;Magnesium;Manganese;Membrane;Metal-binding;Nucleotide-binding;Phosphoprotein;Polymorphism;Receptor;Reference proteome;Serine/threonine-protein kinase;Signal;Transferase;Transmembrane;Transmembrane helix</t>
  </si>
  <si>
    <t>UniRef100_P37023;UniRef90_P37023;UniRef50_P37023</t>
  </si>
  <si>
    <t>SCNNA_HUMAN</t>
  </si>
  <si>
    <t>Amiloride-sensitive sodium channel subunit alpha</t>
  </si>
  <si>
    <t>SCNN1A</t>
  </si>
  <si>
    <t>CY:1-84;TM:85-106;NC:107-555;TM:556-579;CY:580-669</t>
  </si>
  <si>
    <t>ENSG00000111319</t>
  </si>
  <si>
    <t>ENSP00000228916</t>
  </si>
  <si>
    <t>64;65;232;293;312;397;511</t>
  </si>
  <si>
    <t>64;65;511</t>
  </si>
  <si>
    <t>219;555</t>
  </si>
  <si>
    <t>Apical cell membrane (Multi-pass membrane protein);Cell projection, cilium</t>
  </si>
  <si>
    <t>3D-structure;Alternative splicing;Cell membrane;Cell projection;Complete proteome;Disease mutation;Glycoprotein;Ion channel;Ion transport;Membrane;Polymorphism;Reference proteome;Sensory transduction;Sodium;Sodium channel;Sodium transport;Taste;Transmembrane;Transmembrane helix;Transport;Ubl conjugation</t>
  </si>
  <si>
    <t>UniRef100_P37088;UniRef90_P37088;UniRef50_P37088</t>
  </si>
  <si>
    <t>DB00384;DB00594</t>
  </si>
  <si>
    <t>TGFR2_HUMAN</t>
  </si>
  <si>
    <t>TGF-beta receptor type-2</t>
  </si>
  <si>
    <t>TGFBR2</t>
  </si>
  <si>
    <t>SP:1-21;NC:22-162;TM:163-189;CY:190-567</t>
  </si>
  <si>
    <t>ENSG00000163513</t>
  </si>
  <si>
    <t>ENSP00000295754</t>
  </si>
  <si>
    <t>70;94;154;266;564</t>
  </si>
  <si>
    <t>94;564</t>
  </si>
  <si>
    <t>39;230;551</t>
  </si>
  <si>
    <t>SCMSN[115]CSITSICEKPQEVCVAVWR;KNDEN[115]ITLETVCHDPK;NDEN[115]ITLETVCHDPK</t>
  </si>
  <si>
    <t>70;94</t>
  </si>
  <si>
    <t>P37173</t>
  </si>
  <si>
    <t>3D-structure;Alternative splicing;Aortic aneurysm;Apoptosis;ATP-binding;Cell membrane;Complete proteome;Differentiation;Direct protein sequencing;Disease mutation;Disulfide bond;Glycoprotein;Growth regulation;Hereditary nonpolyposis colorectal cancer;Kinase;Magnesium;Manganese;Membrane;Metal-binding;Nucleotide-binding;Phosphoprotein;Polymorphism;Receptor;Reference proteome;Serine/threonine-protein kinase;Signal;Transferase;Transmembrane;Transmembrane helix</t>
  </si>
  <si>
    <t>UniRef100_P37173;UniRef90_P37173;UniRef50_P37173</t>
  </si>
  <si>
    <t>V1AR_HUMAN</t>
  </si>
  <si>
    <t>Vasopressin V1a receptor</t>
  </si>
  <si>
    <t>AVPR1A</t>
  </si>
  <si>
    <t>NC:1-54;TM:55-76;CY:77-87;TM:88-106;NC:107-127;TM:128-148;CY:149-168;TM:169-189;NC:190-218;TM:219-244;CY:245-291;TM:292-314;NC:315-328;TM:329-350;CY:351-418</t>
  </si>
  <si>
    <t>ENSG00000166148</t>
  </si>
  <si>
    <t>ENSP00000299178</t>
  </si>
  <si>
    <t>14;27;69;196;391;396</t>
  </si>
  <si>
    <t>196;327;396</t>
  </si>
  <si>
    <t>3D-structure;Cell membrane;Complete proteome;Disulfide bond;G-protein coupled receptor;Glycoprotein;Lipoprotein;Membrane;Palmitate;Phosphoprotein;Polymorphism;Receptor;Reference proteome;Transducer;Transmembrane;Transmembrane helix</t>
  </si>
  <si>
    <t>UniRef100_P37288;UniRef90_P37288;UniRef50_P37288</t>
  </si>
  <si>
    <t>DB00035;DB00067;DB00093;DB00872;DB02638;DB06212</t>
  </si>
  <si>
    <t>INGR2_HUMAN</t>
  </si>
  <si>
    <t>Interferon gamma receptor 2</t>
  </si>
  <si>
    <t>IFNGR2</t>
  </si>
  <si>
    <t>SP:1-21;NC:22-247;TM:248-271;CY:272-337</t>
  </si>
  <si>
    <t>ENSG00000159128;ENSG00000262795</t>
  </si>
  <si>
    <t>ENSP00000290219;ENSP00000458487</t>
  </si>
  <si>
    <t>56;85;110;137;219;231</t>
  </si>
  <si>
    <t>56;85;110;137</t>
  </si>
  <si>
    <t>Complete proteome;Disease mutation;Glycoprotein;Membrane;Polymorphism;Receptor;Reference proteome;Repeat;Signal;Transmembrane;Transmembrane helix</t>
  </si>
  <si>
    <t>UniRef100_P38484;UniRef90_P38484;UniRef50_P38484</t>
  </si>
  <si>
    <t>HYALP_HUMAN</t>
  </si>
  <si>
    <t>Hyaluronidase PH-20</t>
  </si>
  <si>
    <t>SPAM1</t>
  </si>
  <si>
    <t>SP:1-39;NC:40-509</t>
  </si>
  <si>
    <t>ENSG00000106304</t>
  </si>
  <si>
    <t>ENSP00000223028;ENSP00000402123;ENSP00000417934</t>
  </si>
  <si>
    <t>82;166;235;254;368;393;483</t>
  </si>
  <si>
    <t>Alternative splicing;Cell adhesion;Cell membrane;Complete proteome;Disulfide bond;Glycoprotein;Glycosidase;GPI-anchor;Hydrolase;Lipoprotein;Membrane;Polymorphism;Reference proteome;Signal</t>
  </si>
  <si>
    <t>UniRef100_P38567;UniRef90_P38567;UniRef50_P38567</t>
  </si>
  <si>
    <t>ITAE_HUMAN</t>
  </si>
  <si>
    <t>Integrin alpha-E</t>
  </si>
  <si>
    <t>ITGAE</t>
  </si>
  <si>
    <t>SP:1-20;NC:21-1126;TM:1127-1147;CY:1148-1179</t>
  </si>
  <si>
    <t>ENSG00000083457</t>
  </si>
  <si>
    <t>ENSP00000263087</t>
  </si>
  <si>
    <t>CD103</t>
  </si>
  <si>
    <t>49;271;321;444;726;782;857;934;954;1065;1096</t>
  </si>
  <si>
    <t>49;271;321;327;444;726;782;855;857;873;934;945;954;1065;1096</t>
  </si>
  <si>
    <t>VQN[115]ITQVGSVTK</t>
  </si>
  <si>
    <t>P38570</t>
  </si>
  <si>
    <t>Calcium;Cell adhesion;Cleavage on pair of basic residues;Complete proteome;Direct protein sequencing;Disulfide bond;Glycoprotein;Integrin;Magnesium;Membrane;Metal-binding;Polymorphism;Receptor;Reference proteome;Repeat;Signal;Transmembrane;Transmembrane helix</t>
  </si>
  <si>
    <t>UniRef100_P38570;UniRef90_P38570;UniRef50_P38570</t>
  </si>
  <si>
    <t>GRIK1_HUMAN</t>
  </si>
  <si>
    <t>Glutamate receptor ionotropic, kainate 1</t>
  </si>
  <si>
    <t>GRIK1</t>
  </si>
  <si>
    <t>SP:1-20;NC:21-577;TM:578-597;CY:598-651;TM:652-674;NC:675-834;TM:835-858;CY:859-918</t>
  </si>
  <si>
    <t>ENSG00000171189</t>
  </si>
  <si>
    <t>ENSP00000382791</t>
  </si>
  <si>
    <t>68;74;276;379;428;439;446;561;620;766;886</t>
  </si>
  <si>
    <t>3D-structure;Alternative splicing;Cell junction;Cell membrane;Complete proteome;Glycoprotein;Ion channel;Ion transport;Ligand-gated ion channel;Membrane;Phosphoprotein;Polymorphism;Postsynaptic cell membrane;Receptor;Reference proteome;RNA editing;Signal;Synapse;Transmembrane;Transmembrane helix;Transport</t>
  </si>
  <si>
    <t>UniRef100_P39086;UniRef90_P22756-3;UniRef50_P42260</t>
  </si>
  <si>
    <t>DB00273</t>
  </si>
  <si>
    <t>TYRP2_HUMAN</t>
  </si>
  <si>
    <t>L-dopachrome tautomerase</t>
  </si>
  <si>
    <t>DCT</t>
  </si>
  <si>
    <t>SP:1-23;NC:24-470;TM:471-493;CY:494-519</t>
  </si>
  <si>
    <t>ENSG00000080166</t>
  </si>
  <si>
    <t>ENSP00000366227</t>
  </si>
  <si>
    <t>5.3.3</t>
  </si>
  <si>
    <t>170;178;237;300;342;377</t>
  </si>
  <si>
    <t>170;300;342;377</t>
  </si>
  <si>
    <t>FDNPPFFQN[115]STF</t>
  </si>
  <si>
    <t>P40126</t>
  </si>
  <si>
    <t>3D-structure;Alternative splicing;Complete proteome;Glycoprotein;Isomerase;Melanin biosynthesis;Membrane;Metal-binding;Reference proteome;Signal;Transmembrane;Transmembrane helix;Zinc</t>
  </si>
  <si>
    <t>UniRef100_P40126;UniRef90_P40126;UniRef50_P29812</t>
  </si>
  <si>
    <t>IL6RB_HUMAN</t>
  </si>
  <si>
    <t>Interleukin-6 receptor subunit beta</t>
  </si>
  <si>
    <t>IL6ST</t>
  </si>
  <si>
    <t>SP:1-22;NC:23-619;TM:620-641;CY:642-918</t>
  </si>
  <si>
    <t>ENSG00000134352</t>
  </si>
  <si>
    <t>ENSP00000338799;ENSP00000370698;ENSP00000462158</t>
  </si>
  <si>
    <t>CD130</t>
  </si>
  <si>
    <t>43;83;131;157;227;379;383;390;553;564;687;747;752;818</t>
  </si>
  <si>
    <t>43;83;131;157;227;246;379;383;390;553;564;687;747;752;818</t>
  </si>
  <si>
    <t>327;331;670;725;726;732;735;736;737;740;742;743;744;749;755;765;773;780;783;829;834;853;859;897</t>
  </si>
  <si>
    <t>310;440</t>
  </si>
  <si>
    <t>EQYTIIN[115]R;ETHLETN[115]FTLK;THLETN[115]FTLK;VKPNPPHN[115]LSVINSEELSSILK;SHLQN[115]YTVNATK;SHLQN[115]YTVN[115]ATK;LTVN[115]LTNDR;LTVN[115]LTN[115]DR;N[115]YTIFYR;TIIGN[115]ETAVNVDSSHTEY;TIIGN[115]ETAVNVDSSHTEYTLSSLTSDTLYMVR</t>
  </si>
  <si>
    <t>83;157;227;379;383;390;553;564</t>
  </si>
  <si>
    <t>P40189</t>
  </si>
  <si>
    <t>3D-structure;Alternative splicing;Cell membrane;Complete proteome;Direct protein sequencing;Disulfide bond;Glycoprotein;Host-virus interaction;Immunoglobulin domain;Membrane;Phosphoprotein;Polymorphism;Receptor;Reference proteome;Repeat;Secreted;Signal;Transmembrane;Transmembrane helix</t>
  </si>
  <si>
    <t>UniRef100_P40189;UniRef90_P40189;UniRef50_P40189</t>
  </si>
  <si>
    <t>GPV_HUMAN</t>
  </si>
  <si>
    <t>Platelet glycoprotein V</t>
  </si>
  <si>
    <t>GP5</t>
  </si>
  <si>
    <t>SP:1-18;NC:19-521;TM:522-545;CY:546-560</t>
  </si>
  <si>
    <t>ENSG00000178732</t>
  </si>
  <si>
    <t>ENSP00000383931</t>
  </si>
  <si>
    <t>CD42d</t>
  </si>
  <si>
    <t>51;181;243;267;298;312;385;499</t>
  </si>
  <si>
    <t>51;181;267;298</t>
  </si>
  <si>
    <t>ISALGLPTN[115]LTH;LLDLSGNN[115]LTHLPK</t>
  </si>
  <si>
    <t>51;181</t>
  </si>
  <si>
    <t>P40197</t>
  </si>
  <si>
    <t>Blood coagulation;Cell adhesion;Complete proteome;Direct protein sequencing;Glycoprotein;Hemostasis;Leucine-rich repeat;Membrane;Reference proteome;Repeat;Signal;Transmembrane;Transmembrane helix</t>
  </si>
  <si>
    <t>UniRef100_P40197;UniRef90_P40197;UniRef50_P40197</t>
  </si>
  <si>
    <t>CEAM3_HUMAN</t>
  </si>
  <si>
    <t>Carcinoembryonic antigen-related cell adhesion molecule 3</t>
  </si>
  <si>
    <t>CEACAM3</t>
  </si>
  <si>
    <t>SP:1-34;NC:35-151;TM:152-176;CY:177-252</t>
  </si>
  <si>
    <t>ENSG00000170956</t>
  </si>
  <si>
    <t>ENSP00000349971</t>
  </si>
  <si>
    <t>CD66d</t>
  </si>
  <si>
    <t>104;111</t>
  </si>
  <si>
    <t>Alternative splicing;Complete proteome;Glycoprotein;Immunoglobulin domain;Membrane;Phosphoprotein;Polymorphism;Reference proteome;Signal;Transmembrane;Transmembrane helix</t>
  </si>
  <si>
    <t>UniRef100_P40198;UniRef90_P40198;UniRef50_P40198</t>
  </si>
  <si>
    <t>CEAM6_HUMAN</t>
  </si>
  <si>
    <t>Carcinoembryonic antigen-related cell adhesion molecule 6</t>
  </si>
  <si>
    <t>CEACAM6</t>
  </si>
  <si>
    <t>SP:1-34;NC:35-344</t>
  </si>
  <si>
    <t>ENSG00000086548</t>
  </si>
  <si>
    <t>ENSP00000199764</t>
  </si>
  <si>
    <t>CD66c</t>
  </si>
  <si>
    <t>104;111;115;152;173;197;224;256;274;288;292;309</t>
  </si>
  <si>
    <t>LQLSNGN[115]MTLTLLSVK;LQLSN[115]GN[115]MTLTLLSVK</t>
  </si>
  <si>
    <t>P40199</t>
  </si>
  <si>
    <t>Cell membrane;Complete proteome;Direct protein sequencing;Disulfide bond;Glycoprotein;GPI-anchor;Immunoglobulin domain;Lipoprotein;Membrane;Polymorphism;Reference proteome;Repeat;Signal</t>
  </si>
  <si>
    <t>UniRef100_P40199;UniRef90_P40199;UniRef50_P40199</t>
  </si>
  <si>
    <t>TACT_HUMAN</t>
  </si>
  <si>
    <t>T-cell surface protein tactile</t>
  </si>
  <si>
    <t>CD96</t>
  </si>
  <si>
    <t>SP:1-21;NC:22-519;TM:520-540;CY:541-585</t>
  </si>
  <si>
    <t>ENSG00000153283</t>
  </si>
  <si>
    <t>ENSP00000283285</t>
  </si>
  <si>
    <t>42;97;107;148;156;166;183;200;215;277;278;300;350;368;428;435;497;573</t>
  </si>
  <si>
    <t>42;148;156;200;215;278;300;350;428</t>
  </si>
  <si>
    <t>405;449;459;463;468;484</t>
  </si>
  <si>
    <t>TFTETPEN[115]GSK;N[115]MSCSVSGR;NHLISN[115]STLLK;VFAKPEIPVIVENN[115]STDVLVER;VFAKPEIPVIVEN[115]N[115]STDVLVER;IVENN[115]STDVLVER;IVEN[115]N[115]STDVLVER;VWN[115]ISSEK</t>
  </si>
  <si>
    <t>97;107;215;277;278;368</t>
  </si>
  <si>
    <t>P40200</t>
  </si>
  <si>
    <t>Alternative splicing;Cell adhesion;Chromosomal rearrangement;Complete proteome;Craniosynostosis;Disease mutation;Disulfide bond;Glycoprotein;Immunoglobulin domain;Membrane;Polymorphism;Reference proteome;Repeat;Signal;Transmembrane;Transmembrane helix</t>
  </si>
  <si>
    <t>UniRef100_P40200;UniRef90_P40200;UniRef50_P40200</t>
  </si>
  <si>
    <t>TPOR_HUMAN</t>
  </si>
  <si>
    <t>Thrombopoietin receptor</t>
  </si>
  <si>
    <t>MPL</t>
  </si>
  <si>
    <t>SP:1-25;NC:26-489;TM:490-513;CY:514-635</t>
  </si>
  <si>
    <t>ENSG00000117400</t>
  </si>
  <si>
    <t>ENSP00000361548</t>
  </si>
  <si>
    <t>CD110</t>
  </si>
  <si>
    <t>117;178;298;358;623</t>
  </si>
  <si>
    <t>117;178;298</t>
  </si>
  <si>
    <t>575;578</t>
  </si>
  <si>
    <t>269;474</t>
  </si>
  <si>
    <t>Alternative splicing;Complete proteome;Disease mutation;Disulfide bond;Glycoprotein;Isopeptide bond;Membrane;Polymorphism;Receptor;Reference proteome;Repeat;Signal;Transmembrane;Transmembrane helix;Ubl conjugation</t>
  </si>
  <si>
    <t>UniRef100_P40238;UniRef90_P40238;UniRef50_P40238</t>
  </si>
  <si>
    <t>DB05332;DB06210</t>
  </si>
  <si>
    <t>CD79B_HUMAN</t>
  </si>
  <si>
    <t>B-cell antigen receptor complex-associated protein beta chain</t>
  </si>
  <si>
    <t>CD79B</t>
  </si>
  <si>
    <t>SP:1-28;NC:29-160;TM:161-181;CY:182-229</t>
  </si>
  <si>
    <t>ENSG00000007312</t>
  </si>
  <si>
    <t>ENSP00000006750</t>
  </si>
  <si>
    <t>CD79b</t>
  </si>
  <si>
    <t>73;101;127;128</t>
  </si>
  <si>
    <t>MHCYMNSASGN[115]VSWLWK;MHCYMN[115]SASGN[115]VSWLWK;MNSASGN[115]VSWLWK;MN[115]SASGN[115]VSWLWK;SASGN[115]VSWLWK;ASGN[115]VSWLWK;SGN[115]VSWLWK;GRMEESQN[115]ESLATLTIQGIR;MEESQN[115]ESLATL;MEESQN[115]ESLATLTIQGIR;EESQN[115]ESLATLTIQGIR;FEDNGIYFCQQKCN[115]NTSEVYQGCGTELR;FEDNGIYFCQQKCN[115]N[115]TSEVYQGCGTELR;FEDN[115]GIYFCQQKCN[115]NTSEVYQGCGTELR;CNN[115]TSEVYQGCGTELR;CN[115]NTSEVYQGCGTELR;CN[115]N[115]TSEVYQGCGTELR;N[115]N[115]TSEVYQGCGTELR</t>
  </si>
  <si>
    <t>P40259</t>
  </si>
  <si>
    <t>3D-structure;Adaptive immunity;Alternative splicing;Cell membrane;Complete proteome;Direct protein sequencing;Disease mutation;Disulfide bond;Glycoprotein;Immunity;Immunoglobulin domain;Membrane;Phosphoprotein;Reference proteome;Signal;Transmembrane;Transmembrane helix</t>
  </si>
  <si>
    <t>UniRef100_P40259;UniRef90_P40259;UniRef50_P40259</t>
  </si>
  <si>
    <t>S26A3_HUMAN</t>
  </si>
  <si>
    <t>Chloride anion exchanger</t>
  </si>
  <si>
    <t>SLC26A3</t>
  </si>
  <si>
    <t>CY:1-72;TM:73-97;NC:98-102;TM:103-120;CY:121-127;TM:128-149;NC:150-174;TM:175-195;CY:196-200;TM:201-223;NC:224-257;TM:258-275;CY:276-286;TM:287-305;NC:306-343;TM:344-363;CY:364-374;TM:375-392;NC:393-411;TM:412-432;CY:433-438;TM:439-458;NC:459-469;TM:470-494;CY:495-644;TM:645-664;NC:665-703;TM:704-722;CY:723-764</t>
  </si>
  <si>
    <t>ENSG00000091138</t>
  </si>
  <si>
    <t>ENSP00000345873</t>
  </si>
  <si>
    <t>153;161;164;165;621</t>
  </si>
  <si>
    <t>Apical cell membrane (Multi-pass membrane protein);Membrane (Multi-pass membrane protein)</t>
  </si>
  <si>
    <t>Antiport;Cell membrane;Chloride;Complete proteome;Disease mutation;Glycoprotein;Membrane;Polymorphism;Reference proteome;Transmembrane;Transmembrane helix;Transport</t>
  </si>
  <si>
    <t>UniRef100_P40879;UniRef90_P40879;UniRef50_P40879</t>
  </si>
  <si>
    <t>PMEL_HUMAN</t>
  </si>
  <si>
    <t>Melanocyte protein PMEL</t>
  </si>
  <si>
    <t>PMEL</t>
  </si>
  <si>
    <t>SP:1-23;NC:24-595;TM:596-616;CY:617-661</t>
  </si>
  <si>
    <t>ENSG00000185664</t>
  </si>
  <si>
    <t>ENSP00000447374;ENSP00000448828;ENSP00000449690</t>
  </si>
  <si>
    <t>81;106;111;321;568</t>
  </si>
  <si>
    <t>VSNDGPTLIGAN[115]ASF</t>
  </si>
  <si>
    <t>P40967</t>
  </si>
  <si>
    <t>Endoplasmic reticulum membrane (Single-pass type I membrane protein);Endosome, multivesicular body;Golgi apparatus;Melanosome;Secreted</t>
  </si>
  <si>
    <t>3D-structure;Alternative splicing;Cleavage on pair of basic residues;Complete proteome;Direct protein sequencing;Disulfide bond;Endoplasmic reticulum;Endosome;Glycoprotein;Golgi apparatus;Melanin biosynthesis;Membrane;Polymorphism;Reference proteome;Repeat;Secreted;Sialic acid;Signal;Transmembrane;Transmembrane helix</t>
  </si>
  <si>
    <t>UniRef100_P40967;UniRef90_P40967;UniRef50_P40967</t>
  </si>
  <si>
    <t>OPRD_HUMAN</t>
  </si>
  <si>
    <t>Delta-type opioid receptor</t>
  </si>
  <si>
    <t>OPRD1</t>
  </si>
  <si>
    <t>NC:1-45;TM:46-74;CY:75-85;TM:86-106;NC:107-128;TM:129-148;CY:149-167;TM:168-188;NC:189-211;TM:212-238;CY:239-258;TM:259-286;NC:287-297;TM:298-321;CY:322-372</t>
  </si>
  <si>
    <t>ENSG00000116329</t>
  </si>
  <si>
    <t>ENSP00000234961</t>
  </si>
  <si>
    <t>18;33;310</t>
  </si>
  <si>
    <t>UniRef100_P41143;UniRef90_P41143;UniRef50_P35372-3</t>
  </si>
  <si>
    <t>DB00193;DB00295;DB00318;DB00321;DB00327;DB00333;DB00497;DB00514;DB00611;DB00647;DB00704;DB00708;DB00813;DB00836;DB00844;DB00854;DB00899;DB00921;DB00956;DB01081;DB01183;DB01192;DB01221;DB01452;DB06204;DB06274;DB06738</t>
  </si>
  <si>
    <t>OPRK_HUMAN</t>
  </si>
  <si>
    <t>Kappa-type opioid receptor</t>
  </si>
  <si>
    <t>OPRK1</t>
  </si>
  <si>
    <t>NC:1-57;TM:58-85;CY:86-96;TM:97-119;NC:120-138;TM:139-157;CY:158-177;TM:178-197;NC:198-223;TM:224-251;CY:252-271;TM:272-296;NC:297-310;TM:311-333;CY:334-380</t>
  </si>
  <si>
    <t>ENSG00000082556</t>
  </si>
  <si>
    <t>ENSP00000265572;ENSP00000429706</t>
  </si>
  <si>
    <t>25;39;322</t>
  </si>
  <si>
    <t>3D-structure;Alternative splicing;Behavior;Cell membrane;Complete proteome;Disulfide bond;G-protein coupled receptor;Glycoprotein;Lipoprotein;Membrane;Palmitate;Polymorphism;Receptor;Reference proteome;Transducer;Transmembrane;Transmembrane helix</t>
  </si>
  <si>
    <t>UniRef100_P41145;UniRef90_P41145;UniRef50_P35372-3</t>
  </si>
  <si>
    <t>DB00193;DB00295;DB00318;DB00321;DB00327;DB00370;DB00396;DB00454;DB00497;DB00514;DB00611;DB00647;DB00652;DB00704;DB00708;DB00813;DB00825;DB00836;DB00844;DB00854;DB00899;DB00921;DB01183;DB01209;DB01221;DB01452;DB06148;DB06204;DB06274;DB06738;DB06800</t>
  </si>
  <si>
    <t>OPRX_HUMAN</t>
  </si>
  <si>
    <t>Nociceptin receptor</t>
  </si>
  <si>
    <t>OPRL1</t>
  </si>
  <si>
    <t>NC:1-54;TM:55-77;CY:78-88;TM:89-107;NC:108-128;TM:129-150;CY:151-170;TM:171-191;NC:192-210;TM:211-238;CY:239-260;TM:261-285;NC:286-298;TM:299-322;CY:323-370</t>
  </si>
  <si>
    <t>ENSG00000125510</t>
  </si>
  <si>
    <t>ENSP00000336843;ENSP00000336764;ENSP00000347848</t>
  </si>
  <si>
    <t>21;28;39</t>
  </si>
  <si>
    <t>3D-structure;Alternative splicing;Behavior;Cell membrane;Complete proteome;Cytoplasmic vesicle;Disulfide bond;G-protein coupled receptor;Glycoprotein;Lipoprotein;Membrane;Palmitate;Phosphoprotein;Receptor;Reference proteome;Transducer;Transmembrane;Transmembrane helix</t>
  </si>
  <si>
    <t>UniRef100_P41146;UniRef90_P41146;UniRef50_P41146</t>
  </si>
  <si>
    <t>CASR_HUMAN</t>
  </si>
  <si>
    <t>Extracellular calcium-sensing receptor</t>
  </si>
  <si>
    <t>CASR</t>
  </si>
  <si>
    <t>SP:1-19;NC:20-612;TM:613-637;CY:638-649;TM:650-670;NC:671-681;TM:682-703;CY:704-723;TM:724-744;NC:745-770;TM:771-792;CY:793-803;TM:804-826;NC:827-837;TM:838-859;CY:860-1078</t>
  </si>
  <si>
    <t>ENSG00000036828</t>
  </si>
  <si>
    <t>ENSP00000296154;ENSP00000418685</t>
  </si>
  <si>
    <t>82;90;130;261;287;386;400;446;468;488;541;594;893;991</t>
  </si>
  <si>
    <t>90;261;287;468;594;991</t>
  </si>
  <si>
    <t>Alternative splicing;Cell membrane;Complete proteome;Disease mutation;Epilepsy;G-protein coupled receptor;Glycoprotein;Membrane;Polymorphism;Receptor;Reference proteome;Signal;Transducer;Transmembrane;Transmembrane helix;Ubl conjugation</t>
  </si>
  <si>
    <t>UniRef100_P41180;UniRef90_P41180;UniRef50_P41180</t>
  </si>
  <si>
    <t>DB01012</t>
  </si>
  <si>
    <t>AQP2_HUMAN</t>
  </si>
  <si>
    <t>Aquaporin-2</t>
  </si>
  <si>
    <t>AQP2</t>
  </si>
  <si>
    <t>CY:1-11;TM:12-34;NC:35-39;TM:40-60;CY:61-85;TM:86-106;NC:107-126;TM:127-148;CY:149-159;TM:160-179;NC:180-201;TM:202-224;CY:225-271</t>
  </si>
  <si>
    <t>ENSG00000167580</t>
  </si>
  <si>
    <t>ENSP00000199280</t>
  </si>
  <si>
    <t>Apical cell membrane (Multi-pass membrane protein);Basolateral cell membrane (Multi-pass membrane protein);Cytoplasmic vesicle membrane (Multi- pass membrane protein);Golgi apparatus, trans-Golgi network membrane (Multi-pass membrane protein)</t>
  </si>
  <si>
    <t>3D-structure;Cell membrane;Complete proteome;Cytoplasmic vesicle;Diabetes insipidus;Disease mutation;Glycoprotein;Golgi apparatus;Membrane;Phosphoprotein;Polymorphism;Reference proteome;Repeat;Transmembrane;Transmembrane helix;Transport</t>
  </si>
  <si>
    <t>UniRef100_P41181;UniRef90_P41181;UniRef50_P41181</t>
  </si>
  <si>
    <t>OX2G_HUMAN</t>
  </si>
  <si>
    <t>OX-2 membrane glycoprotein</t>
  </si>
  <si>
    <t>CD200</t>
  </si>
  <si>
    <t>SP:1-32;NC:33-233;TM:234-259;CY:260-278</t>
  </si>
  <si>
    <t>ENSG00000091972</t>
  </si>
  <si>
    <t>95;103;110;157;181;190</t>
  </si>
  <si>
    <t>FSEDHLN[115]ITCSAT;FSEDHLN[115]ITCSATA;FSEDHLN[115]ITCSATAR;SGIEN[115]STVTLSHPN[115]GTTSVT;SGIEN[115]STVTLSHPN[115]GTTSVTSILH;SGIEN[115]STVTLSHPN[115]GTTSVTSILHIK;SGIEN[115]STVTLSHPN[115]GTTSVTSILHIKDPK;N[115]STVTLSHPN[115]GTTSVTSILHIK</t>
  </si>
  <si>
    <t>157;181;190</t>
  </si>
  <si>
    <t>P41217</t>
  </si>
  <si>
    <t>Alternative splicing;Cell membrane;Complete proteome;Disulfide bond;Glycoprotein;Immunoglobulin domain;Membrane;Polymorphism;Reference proteome;Signal;Transmembrane;Transmembrane helix</t>
  </si>
  <si>
    <t>UniRef100_P41217;UniRef90_P41217;UniRef50_P41217</t>
  </si>
  <si>
    <t>P2RY2_HUMAN</t>
  </si>
  <si>
    <t>P2Y purinoceptor 2</t>
  </si>
  <si>
    <t>P2RY2</t>
  </si>
  <si>
    <t>NC:1-37;TM:38-59;CY:60-70;TM:71-93;NC:94-112;TM:113-133;CY:134-152;TM:153-172;NC:173-195;TM:196-221;CY:222-243;TM:244-263;NC:264-290;TM:291-309;CY:310-377</t>
  </si>
  <si>
    <t>ENSG00000175591</t>
  </si>
  <si>
    <t>ENSP00000310305;ENSP00000377221;ENSP00000377222</t>
  </si>
  <si>
    <t>9;13;66</t>
  </si>
  <si>
    <t>9;13</t>
  </si>
  <si>
    <t>3D-structure;Cell membrane;Complete proteome;Disulfide bond;G-protein coupled receptor;Glycoprotein;Membrane;Polymorphism;Receptor;Reference proteome;Transducer;Transmembrane;Transmembrane helix</t>
  </si>
  <si>
    <t>UniRef100_P41231;UniRef90_P41231;UniRef50_P41232</t>
  </si>
  <si>
    <t>Cytoskeleton;Cytosol;Endoplasmic Reticulum;Extracellular space;Golgi apparatus;Nucleus;Peroxisome</t>
  </si>
  <si>
    <t>DB04786</t>
  </si>
  <si>
    <t>S19A1_HUMAN</t>
  </si>
  <si>
    <t>Folate transporter 1</t>
  </si>
  <si>
    <t>SLC19A1</t>
  </si>
  <si>
    <t>CY:1-27;TM:28-48;NC:49-67;TM:68-87;CY:88-94;TM:95-116;NC:117-123;TM:124-144;CY:145-155;TM:156-178;NC:179-184;TM:185-203;CY:204-270;TM:271-292;NC:293-303;TM:304-327;CY:328-335;TM:336-355;NC:356-360;TM:361-383;CY:384-394;TM:395-418;NC:419-433;TM:434-455;CY:456-591</t>
  </si>
  <si>
    <t>ENSG00000173638</t>
  </si>
  <si>
    <t>ENSP00000308895</t>
  </si>
  <si>
    <t>270;331</t>
  </si>
  <si>
    <t>LLGPDKN[115]FTR;LGPDKN[115]FTR;GPDKN[115]FTR;PDKN[115]FTR</t>
  </si>
  <si>
    <t>P41440</t>
  </si>
  <si>
    <t>Acetylation;Alternative splicing;Complete proteome;Folate-binding;Glycoprotein;Membrane;Phosphoprotein;Polymorphism;Reference proteome;Transmembrane;Transmembrane helix;Transport</t>
  </si>
  <si>
    <t>UniRef100_P41440;UniRef90_P41440;UniRef50_P41440</t>
  </si>
  <si>
    <t>PACR_HUMAN</t>
  </si>
  <si>
    <t>Pituitary adenylate cyclase-activating polypeptide type I receptor</t>
  </si>
  <si>
    <t>ADCYAP1R1</t>
  </si>
  <si>
    <t>SP:1-23;NC:24-154;TM:155-176;CY:177-187;TM:188-209;NC:210-230;TM:231-254;CY:255-265;TM:266-287;NC:288-306;TM:307-332;CY:333-350;TM:351-371;NC:372-382;TM:383-404;CY:405-468</t>
  </si>
  <si>
    <t>ENSG00000078549</t>
  </si>
  <si>
    <t>ENSP00000306620</t>
  </si>
  <si>
    <t>48;60;117;300;343;375</t>
  </si>
  <si>
    <t>3D-structure;Alternative splicing;Cell membrane;Complete proteome;Developmental protein;Differentiation;Disulfide bond;G-protein coupled receptor;Glycoprotein;Membrane;Receptor;Reference proteome;Signal;Spermatogenesis;Transducer;Transmembrane;Transmembrane helix</t>
  </si>
  <si>
    <t>UniRef100_P41586;UniRef90_P32215-5;UniRef50_P32215</t>
  </si>
  <si>
    <t>VIPR2_HUMAN</t>
  </si>
  <si>
    <t>Vasoactive intestinal polypeptide receptor 2</t>
  </si>
  <si>
    <t>VIPR2</t>
  </si>
  <si>
    <t>SP:1-20;NC:21-127;TM:128-151;CY:152-159;TM:160-178;NC:179-205;TM:206-228;CY:229-240;TM:241-262;NC:263-281;TM:282-306;CY:307-329;TM:330-351;NC:352-356;TM:357-378;CY:379-438</t>
  </si>
  <si>
    <t>ENSG00000106018</t>
  </si>
  <si>
    <t>ENSP00000262178</t>
  </si>
  <si>
    <t>58;88;92;413</t>
  </si>
  <si>
    <t>58;92</t>
  </si>
  <si>
    <t>UniRef100_P41587;UniRef90_P41587;UniRef50_P41587</t>
  </si>
  <si>
    <t>GRM5_HUMAN</t>
  </si>
  <si>
    <t>Metabotropic glutamate receptor 5</t>
  </si>
  <si>
    <t>GRM5</t>
  </si>
  <si>
    <t>SP:1-20;NC:21-580;TM:581-604;CY:605-615;TM:616-638;NC:639-644;TM:645-664;CY:665-690;TM:691-714;NC:715-739;TM:740-759;CY:760-770;TM:771-793;NC:794-798;TM:799-824;CY:825-1212</t>
  </si>
  <si>
    <t>ENSG00000168959</t>
  </si>
  <si>
    <t>ENSP00000306138</t>
  </si>
  <si>
    <t>88;210;378;382;445;734;944;1071</t>
  </si>
  <si>
    <t>88;210;378;445;734;944</t>
  </si>
  <si>
    <t>3D-structure;Alternative splicing;Cell membrane;Complete proteome;Disulfide bond;G-protein coupled receptor;Glycoprotein;Membrane;Receptor;Reference proteome;Signal;Transducer;Transmembrane;Transmembrane helix</t>
  </si>
  <si>
    <t>UniRef100_P41594;UniRef90_P31424;UniRef50_P31424</t>
  </si>
  <si>
    <t>DB00659;DB06201</t>
  </si>
  <si>
    <t>5HT2B_HUMAN</t>
  </si>
  <si>
    <t>5-hydroxytryptamine receptor 2B</t>
  </si>
  <si>
    <t>HTR2B</t>
  </si>
  <si>
    <t>NC:1-55;TM:56-79;CY:80-90;TM:91-117;NC:118-129;TM:130-151;CY:152-171;TM:172-192;NC:193-217;TM:218-242;CY:243-324;TM:325-348;NC:349-362;TM:363-383;CY:384-481</t>
  </si>
  <si>
    <t>ENSG00000135914</t>
  </si>
  <si>
    <t>ENSP00000258400</t>
  </si>
  <si>
    <t>30;204;344;354;384</t>
  </si>
  <si>
    <t>265;266;306;450;451;452;456;457</t>
  </si>
  <si>
    <t>GIETDVDNPNN[115]ITCVLTK</t>
  </si>
  <si>
    <t>P41595</t>
  </si>
  <si>
    <t>Cell junction, synapse, synaptosome;Cell membrane (Multi-pass membrane protein)</t>
  </si>
  <si>
    <t>3D-structure;Behavior;Cell junction;Cell membrane;Complete proteome;Disulfide bond;G-protein coupled receptor;Glycoprotein;Lipoprotein;Membrane;Palmitate;Polymorphism;Receptor;Reference proteome;Synapse;Synaptosome;Transducer;Transmembrane;Transmembrane helix</t>
  </si>
  <si>
    <t>UniRef100_P41595;UniRef90_P41595;UniRef50_P41595</t>
  </si>
  <si>
    <t>DB00216;DB00247;DB00248;DB00268;DB00320;DB00334;DB00370;DB00413;DB00508;DB00543;DB00589;DB00714;DB00805;DB01142;DB01186;DB01200;DB01239;DB01242;DB01392;DB06148;DB06216;DB01049;DB00477;DB01221</t>
  </si>
  <si>
    <t>CCR2_HUMAN</t>
  </si>
  <si>
    <t>C-C chemokine receptor type 2</t>
  </si>
  <si>
    <t>CCR2</t>
  </si>
  <si>
    <t>NC:1-47;TM:48-68;CY:69-79;TM:80-99;NC:100-118;TM:119-141;CY:142-152;TM:153-177;NC:178-206;TM:207-229;CY:230-241;TM:242-265;NC:266-288;TM:289-308;CY:309-374</t>
  </si>
  <si>
    <t>ENSG00000121807</t>
  </si>
  <si>
    <t>ENSP00000292301;ENSP00000383681</t>
  </si>
  <si>
    <t>CD192</t>
  </si>
  <si>
    <t>5;347</t>
  </si>
  <si>
    <t>3D-structure;Alternative splicing;Cell membrane;Complete proteome;Disulfide bond;G-protein coupled receptor;Glycoprotein;Host-virus interaction;Membrane;Phosphoprotein;Polymorphism;Receptor;Reference proteome;Sulfation;Transducer;Transmembrane;Transmembrane helix</t>
  </si>
  <si>
    <t>UniRef100_P41597;UniRef90_P41597;UniRef50_P51683</t>
  </si>
  <si>
    <t>TSN7_HUMAN</t>
  </si>
  <si>
    <t>Tetraspanin-7</t>
  </si>
  <si>
    <t>TSPAN7</t>
  </si>
  <si>
    <t>CY:1-19;TM:20-40;NC:41-58;TM:59-78;CY:79-89;TM:90-112;NC:113-213;TM:214-237;CY:238-249</t>
  </si>
  <si>
    <t>ENSG00000156298</t>
  </si>
  <si>
    <t>ENSP00000367743</t>
  </si>
  <si>
    <t>CD231</t>
  </si>
  <si>
    <t>54;155;158;177;188</t>
  </si>
  <si>
    <t>Complete proteome;Disease mutation;Glycoprotein;Host-virus interaction;Membrane;Mental retardation;Reference proteome;Transmembrane;Transmembrane helix</t>
  </si>
  <si>
    <t>UniRef100_P41732;UniRef90_P41732;UniRef50_P41732</t>
  </si>
  <si>
    <t>MC3R_HUMAN</t>
  </si>
  <si>
    <t>Melanocortin receptor 3</t>
  </si>
  <si>
    <t>MC3R</t>
  </si>
  <si>
    <t>NC:1-43;TM:44-64;CY:65-73;TM:74-100;NC:101-118;TM:119-140;CY:141-160;TM:161-181;NC:182-186;TM:187-212;CY:213-241;TM:242-266;NC:267-280;TM:281-301;CY:302-323</t>
  </si>
  <si>
    <t>ENSG00000124089</t>
  </si>
  <si>
    <t>ENSP00000243911</t>
  </si>
  <si>
    <t>2;16;28</t>
  </si>
  <si>
    <t>UniRef100_P41968;UniRef90_P41968;UniRef50_P41968</t>
  </si>
  <si>
    <t>CD86_HUMAN</t>
  </si>
  <si>
    <t>T-lymphocyte activation antigen CD86</t>
  </si>
  <si>
    <t>CD86</t>
  </si>
  <si>
    <t>SP:1-25;NC:26-245;TM:246-268;CY:269-329</t>
  </si>
  <si>
    <t>ENSG00000114013</t>
  </si>
  <si>
    <t>ENSP00000332049</t>
  </si>
  <si>
    <t>33;47;135;146;154;177;192;213</t>
  </si>
  <si>
    <t>179;230;317;320;321</t>
  </si>
  <si>
    <t>57;93;248;268;270</t>
  </si>
  <si>
    <t>IQAYFN[115]ETADLPCQF;IQAYFN[115]ETADLPCQFAN;VYIN[115]LTCSSIHGYPEPK;TKN[115]STIEY</t>
  </si>
  <si>
    <t>33;154;177</t>
  </si>
  <si>
    <t>P42081</t>
  </si>
  <si>
    <t>3D-structure;Adaptive immunity;Alternative splicing;Cell membrane;Complete proteome;Disulfide bond;Glycoprotein;Host-virus interaction;Immunity;Immunoglobulin domain;Membrane;Polymorphism;Receptor;Reference proteome;Signal;Transmembrane;Transmembrane helix;Ubl conjugation</t>
  </si>
  <si>
    <t>UniRef100_P42081;UniRef90_P42081;UniRef50_P42081</t>
  </si>
  <si>
    <t>DB00098;DB01281;DB06681</t>
  </si>
  <si>
    <t>GRIA1_HUMAN</t>
  </si>
  <si>
    <t>Glutamate receptor 1</t>
  </si>
  <si>
    <t>GRIA1</t>
  </si>
  <si>
    <t>SP:1-18;NC:19-536;TM:537-557;CY:558-584;IM:585-600;IM:601-603;CY:604-609;TM:610-630;NC:631-805;TM:806-826;CY:827-906</t>
  </si>
  <si>
    <t>ENSG00000155511</t>
  </si>
  <si>
    <t>ENSP00000285900</t>
  </si>
  <si>
    <t>63;249;257;363;401;406</t>
  </si>
  <si>
    <t>Cell junction, synapse, postsynaptic cell membrane (Multi-pass membrane protein);Cell junction, synapse, postsynaptic cell membrane, postsynaptic density;Cell membrane (Multi-pass membrane protein);Cell projection, dendrite;Cell projection, dendritic spine;Endoplasmic reticulum membrane (Multi-pass membrane protein)</t>
  </si>
  <si>
    <t>Alternative splicing;Cell junction;Cell membrane;Cell projection;Complete proteome;Disulfide bond;Endoplasmic reticulum;Glycoprotein;Ion channel;Ion transport;Ligand-gated ion channel;Lipoprotein;Membrane;Palmitate;Phosphoprotein;Polymorphism;Postsynaptic cell membrane;Receptor;Reference proteome;Signal;Synapse;Transmembrane;Transmembrane helix;Transport</t>
  </si>
  <si>
    <t>UniRef100_P42261;UniRef90_P19490;UniRef50_P19490</t>
  </si>
  <si>
    <t>DB00228;DB00753;DB01028;DB01189;DB01236;DB08883</t>
  </si>
  <si>
    <t>GRIA2_HUMAN</t>
  </si>
  <si>
    <t>Glutamate receptor 2</t>
  </si>
  <si>
    <t>GRIA2</t>
  </si>
  <si>
    <t>SP:1-24;NC:25-543;TM:544-564;CY:565-591;IM:592-607;IM:608-610;CY:611-616;TM:617-637;NC:638-812;TM:813-833;CY:834-883</t>
  </si>
  <si>
    <t>ENSG00000120251</t>
  </si>
  <si>
    <t>ENSP00000264426</t>
  </si>
  <si>
    <t>256;370;406;413</t>
  </si>
  <si>
    <t>Cell junction, synapse, postsynaptic cell membrane (Multi-pass membrane protein);Cell membrane (Multi-pass membrane protein);Endoplasmic reticulum membrane (Multi-pass membrane protein)</t>
  </si>
  <si>
    <t>3D-structure;Alternative splicing;Cell junction;Cell membrane;Complete proteome;Disulfide bond;Endoplasmic reticulum;Glycoprotein;Ion channel;Ion transport;Ligand-gated ion channel;Lipoprotein;Membrane;Palmitate;Phosphoprotein;Polymorphism;Postsynaptic cell membrane;Receptor;Reference proteome;RNA editing;Signal;Synapse;Transmembrane;Transmembrane helix;Transport</t>
  </si>
  <si>
    <t>UniRef100_P42262;UniRef90_P19491;UniRef50_P19491</t>
  </si>
  <si>
    <t>DB00237;DB00241;DB00306;DB00312;DB00418;DB00599;DB00794;DB00849;DB01174;DB01346;DB01351;DB01352;DB01353;DB01354;DB01355</t>
  </si>
  <si>
    <t>GRIA3_HUMAN</t>
  </si>
  <si>
    <t>Glutamate receptor 3</t>
  </si>
  <si>
    <t>GRIA3</t>
  </si>
  <si>
    <t>SP:1-28;NC:29-552;TM:553-573;CY:574-602;IM:603-618;IM:619-621;CY:622-627;TM:628-648;NC:649-823;TM:824-844;CY:845-894</t>
  </si>
  <si>
    <t>ENSG00000125675</t>
  </si>
  <si>
    <t>ENSP00000446440;ENSP00000481554</t>
  </si>
  <si>
    <t>63;266;380;415;422</t>
  </si>
  <si>
    <t>Alternative splicing;Cell junction;Cell membrane;Complete proteome;Disease mutation;Disulfide bond;Glycoprotein;Ion channel;Ion transport;Ligand-gated ion channel;Lipoprotein;Membrane;Mental retardation;Palmitate;Phosphoprotein;Polymorphism;Postsynaptic cell membrane;Receptor;Reference proteome;Signal;Synapse;Transmembrane;Transmembrane helix;Transport</t>
  </si>
  <si>
    <t>UniRef100_P42263;UniRef90_P19492;UniRef50_P19492</t>
  </si>
  <si>
    <t>DB01356</t>
  </si>
  <si>
    <t>DPP6_HUMAN</t>
  </si>
  <si>
    <t>Dipeptidyl aminopeptidase-like protein 6</t>
  </si>
  <si>
    <t>DPP6</t>
  </si>
  <si>
    <t>CY:1-95;TM:96-118;NC:119-865</t>
  </si>
  <si>
    <t>ENSG00000130226</t>
  </si>
  <si>
    <t>ENSP00000367001</t>
  </si>
  <si>
    <t>13;173;319;404;471;535;566;813</t>
  </si>
  <si>
    <t>3D-structure;Alternative splicing;Complete proteome;Disulfide bond;Glycoprotein;Membrane;Neurodegeneration;Polymorphism;Reference proteome;Signal-anchor;Transmembrane;Transmembrane helix</t>
  </si>
  <si>
    <t>UniRef100_P42658;UniRef90_P42658;UniRef50_P42658</t>
  </si>
  <si>
    <t>I12R1_HUMAN</t>
  </si>
  <si>
    <t>Interleukin-12 receptor subunit beta-1</t>
  </si>
  <si>
    <t>IL12RB1</t>
  </si>
  <si>
    <t>SP:1-26;NC:27-545;TM:546-569;CY:570-662</t>
  </si>
  <si>
    <t>ENSG00000096996</t>
  </si>
  <si>
    <t>ENSP00000472165;ENSP00000470788</t>
  </si>
  <si>
    <t>CD212</t>
  </si>
  <si>
    <t>121;329;346;352;442;456</t>
  </si>
  <si>
    <t>Alternative splicing;Complete proteome;Disease mutation;Disulfide bond;Glycoprotein;Membrane;Polymorphism;Receptor;Reference proteome;Repeat;Signal;Transmembrane;Transmembrane helix</t>
  </si>
  <si>
    <t>UniRef100_P42701;UniRef90_P42701;UniRef50_P42701</t>
  </si>
  <si>
    <t>LIFR_HUMAN</t>
  </si>
  <si>
    <t>Leukemia inhibitory factor receptor</t>
  </si>
  <si>
    <t>LIFR</t>
  </si>
  <si>
    <t>SP:1-44;NC:45-833;TM:834-859;CY:860-1097</t>
  </si>
  <si>
    <t>ENSG00000113594</t>
  </si>
  <si>
    <t>ENSP00000263409;ENSP00000398368</t>
  </si>
  <si>
    <t>CD118</t>
  </si>
  <si>
    <t>64;85;131;143;191;243;303;390;407;426;445;481;489;572;652;663;680;729;787;1010</t>
  </si>
  <si>
    <t>235;519;542</t>
  </si>
  <si>
    <t>LVTHN[115]TTLNGK;LVTHN[115]TTLN[115]GK;VTHN[115]TTLNGK;VTHN[115]TTLN[115]GK;SQSTILVN[115]ITEK;GVEN[115]SSYLVALDK;ILSYN[115]VSCSSDEETQSLSEIPDPQHK;KVPSN[115]STETVIESDEFRPGIR;VPSN[115]STETVIESDEFRPGIR;VKN[115]ITDISQK</t>
  </si>
  <si>
    <t>191;426;489;572;680;787</t>
  </si>
  <si>
    <t>P42702</t>
  </si>
  <si>
    <t>3D-structure;Alternative splicing;Cell membrane;Chromosomal rearrangement;Complete proteome;Disease mutation;Disulfide bond;Glycoprotein;Membrane;Phosphoprotein;Polymorphism;Receptor;Reference proteome;Repeat;Secreted;Signal;Transmembrane;Transmembrane helix</t>
  </si>
  <si>
    <t>UniRef100_P42702;UniRef90_P42702;UniRef50_P42702</t>
  </si>
  <si>
    <t>ECE1_HUMAN</t>
  </si>
  <si>
    <t>Endothelin-converting enzyme 1</t>
  </si>
  <si>
    <t>ECE1</t>
  </si>
  <si>
    <t>CY:1-68;TM:69-91;NC:92-770</t>
  </si>
  <si>
    <t>ENSG00000117298</t>
  </si>
  <si>
    <t>ENSP00000364028</t>
  </si>
  <si>
    <t>166;187;210;270;316;362;383;539;632;651</t>
  </si>
  <si>
    <t>HLLEN[115]STASVSEAER;HLLEN[115]STASVSEAERK;ACMN[115]ETR;LGGWN[115]ITGPWA;LGGWN[115]ITGPWAK;DYYLN[115]KTENEK;YLN[115]KTENEK;LLGGGDEEAIRPQMQQILDFETALAN[115]ITIPQEK;QILDFETALAN[115]ITIPQEK;ILDFETALAN[115]ITIPQEK;LNTIFYPVEIN[115]ESEPIVVYDK;TIFYPVEIN[115]ESEPIVVYDK;IFYPVEIN[115]ESEPIVVYDK;PVEIN[115]ESEPIVVYDK;EIN[115]ESEPIVVYDK;EYLEQISTLIN[115]TTDR;STLIN[115]TTDR;FFN[115]FSWR;N[115]SSVEAFK;N[115]SSVEAFKR</t>
  </si>
  <si>
    <t>166;187;210;270;316;362;383;539;632</t>
  </si>
  <si>
    <t>P42892</t>
  </si>
  <si>
    <t>3D-structure;Alternative splicing;Cell membrane;Complete proteome;Disease mutation;Disulfide bond;Glycoprotein;Hirschsprung disease;Hydrolase;Membrane;Metal-binding;Metalloprotease;Phosphoprotein;Polymorphism;Protease;Reference proteome;Signal-anchor;Transmembrane;Transmembrane helix;Zinc</t>
  </si>
  <si>
    <t>UniRef100_P42892;UniRef90_P42892;UniRef50_P42892</t>
  </si>
  <si>
    <t>EAA1_HUMAN</t>
  </si>
  <si>
    <t>Excitatory amino acid transporter 1</t>
  </si>
  <si>
    <t>SLC1A3</t>
  </si>
  <si>
    <t>CY:1-47;TM:48-68;NC:69-89;TM:90-111;CY:112-122;TM:123-145;NC:146-239;TM:240-258;CY:259-277;TM:278-302;NC:303-313;TM:314-339;CY:340-542</t>
  </si>
  <si>
    <t>ENSG00000079215</t>
  </si>
  <si>
    <t>ENSP00000265113</t>
  </si>
  <si>
    <t>35;206;216;530</t>
  </si>
  <si>
    <t>SFKVPIQAN[115]ETLVGAVINN[115]VSEAMETLTR;VPIQAN[115]ETLVGAVINN[115]VSEAMET;VPIQAN[115]ETLVGAVINN[115]VSEAMETLT;VPIQAN[115]ETLVGAVINN[115]VSEAMETLTR;VPIQAN[115]ETLVGAVIN[115]NVSEAMETLT;VPIQAN[115]ETLVGAVIN[115]NVSEAMETLTR;VPIQAN[115]ETLVGAVIN[115]N[115]VSEAMETLTR;PIQAN[115]ETLVGAVINN[115]VSEAMETLTR;VINN[115]VSEAMETLTR;N[115]VSEAMETLTR</t>
  </si>
  <si>
    <t>206;216</t>
  </si>
  <si>
    <t>P43003</t>
  </si>
  <si>
    <t>Alternative splicing;Complete proteome;Disease mutation;Glycoprotein;Membrane;Polymorphism;Reference proteome;Symport;Transmembrane;Transmembrane helix;Transport</t>
  </si>
  <si>
    <t>UniRef100_P43003;UniRef90_P56564;UniRef50_P56564</t>
  </si>
  <si>
    <t>Cytoskeleton;Cytosol;Endoplasmic Reticulum;Endosome;Golgi apparatus;Lysosome;Nucleus;Peroxisome</t>
  </si>
  <si>
    <t>EAA2_HUMAN</t>
  </si>
  <si>
    <t>Excitatory amino acid transporter 2</t>
  </si>
  <si>
    <t>SLC1A2</t>
  </si>
  <si>
    <t>CY:1-44;TM:45-67;NC:68-87;TM:88-108;CY:109-120;TM:121-143;NC:144-239;TM:240-259;CY:260-279;TM:280-302;NC:303-313;TM:314-339;CY:340-402;TM:403-423;NC:424-436;TM:437-459;CY:460-574</t>
  </si>
  <si>
    <t>ENSG00000110436</t>
  </si>
  <si>
    <t>ENSP00000278379</t>
  </si>
  <si>
    <t>Alternative splicing;Complete proteome;Glycoprotein;Lipoprotein;Membrane;Palmitate;Phosphoprotein;Reference proteome;Symport;Transmembrane;Transmembrane helix;Transport</t>
  </si>
  <si>
    <t>UniRef100_P43004;UniRef90_P43006;UniRef50_P43006</t>
  </si>
  <si>
    <t>EAA3_HUMAN</t>
  </si>
  <si>
    <t>Excitatory amino acid transporter 3</t>
  </si>
  <si>
    <t>SLC1A1</t>
  </si>
  <si>
    <t>CY:1-19;TM:20-38;NC:39-57;TM:58-82;CY:83-93;TM:94-116;NC:117-208;TM:209-229;CY:230-249;TM:250-271;NC:272-284;TM:285-308;CY:309-315;TM:316-337;NC:338-356;TM:357-382;CY:383-389;TM:390-411;NC:412-416;TM:417-442;CY:443-524</t>
  </si>
  <si>
    <t>ENSG00000106688</t>
  </si>
  <si>
    <t>ENSP00000262352</t>
  </si>
  <si>
    <t>43;85;178;195</t>
  </si>
  <si>
    <t>178;195</t>
  </si>
  <si>
    <t>Complete proteome;Glycoprotein;Membrane;Polymorphism;Reference proteome;Schizophrenia;Symport;Transmembrane;Transmembrane helix;Transport</t>
  </si>
  <si>
    <t>UniRef100_P43005;UniRef90_P43005;UniRef50_P43005</t>
  </si>
  <si>
    <t>DB00128</t>
  </si>
  <si>
    <t>SATT_HUMAN</t>
  </si>
  <si>
    <t>Neutral amino acid transporter A</t>
  </si>
  <si>
    <t>SLC1A4</t>
  </si>
  <si>
    <t>CY:1-42;TM:43-65;NC:66-84;TM:85-105;CY:106-116;TM:117-139;NC:140-219;TM:220-237;CY:238-257;TM:258-277;NC:278-296;TM:297-320;CY:321-327;TM:328-349;NC:350-368;TM:369-394;CY:395-414;TM:415-438;NC:439-532</t>
  </si>
  <si>
    <t>ENSG00000115902</t>
  </si>
  <si>
    <t>ENSP00000234256</t>
  </si>
  <si>
    <t>5;201;206</t>
  </si>
  <si>
    <t>TYATDYKVVTQNSSSGN[115]VTHEK;TYATDYKVVTQN[115]SSSGN[115]VTHEK;TDYKVVTQN[115]SSSGN[115]VTHEK;KVVTQNSSSGN[115]VTHEK;KVVTQN[115]SSSGN[115]VTHEK;VVTQNSSSGN[115]VTHEK;VVTQN[115]SSSGNVTHE;VVTQN[115]SSSGNVTHEK;VVTQN[115]SSSGN[115]VTH;VVTQN[115]SSSGN[115]VTHE;VVTQN[115]SSSGN[115]VTHEK;VTQNSSSGN[115]VTHEK;VTQN[115]SSSGN[115]VTHEK;TQNSSSGN[115]VTHEK;TQN[115]SSSGNVTHEK;TQN[115]SSSGN[115]VTHEK;QN[115]SSSGN[115]VTHEK;N[115]SSSGN[115]VTHEK;SSSGN[115]VTHEK;SGN[115]VTHEK</t>
  </si>
  <si>
    <t>201;206</t>
  </si>
  <si>
    <t>P43007</t>
  </si>
  <si>
    <t>Melanosome;Membrane (Multi-pass membrane protein)</t>
  </si>
  <si>
    <t>Acetylation;Alternative splicing;Complete proteome;Glycoprotein;Membrane;Phosphoprotein;Polymorphism;Reference proteome;Symport;Transmembrane;Transmembrane helix;Transport</t>
  </si>
  <si>
    <t>UniRef100_P43007;UniRef90_P43007;UniRef50_P43007</t>
  </si>
  <si>
    <t>DB00160</t>
  </si>
  <si>
    <t>PF2R_HUMAN</t>
  </si>
  <si>
    <t>Prostaglandin F2-alpha receptor</t>
  </si>
  <si>
    <t>PTGFR</t>
  </si>
  <si>
    <t>NC:1-29;TM:30-52;CY:53-65;TM:66-92;NC:93-105;TM:106-131;CY:132-151;TM:152-172;NC:173-200;TM:201-228;CY:229-247;TM:248-268;NC:269-286;TM:287-307;CY:308-359</t>
  </si>
  <si>
    <t>ENSG00000122420</t>
  </si>
  <si>
    <t>ENSP00000359793;ENSP00000359794</t>
  </si>
  <si>
    <t>4;19;277</t>
  </si>
  <si>
    <t>329;336;337;348</t>
  </si>
  <si>
    <t>UniRef100_P43088;UniRef90_P43088;UniRef50_P43088</t>
  </si>
  <si>
    <t>DB00287;DB00654;DB00905;DB01160;DB08819</t>
  </si>
  <si>
    <t>PE2R3_HUMAN</t>
  </si>
  <si>
    <t>Prostaglandin E2 receptor EP3 subtype</t>
  </si>
  <si>
    <t>PTGER3</t>
  </si>
  <si>
    <t>NC:1-51;TM:52-73;CY:74-87;TM:88-115;NC:116-131;TM:132-153;CY:154-173;TM:174-196;NC:197-227;TM:228-252;CY:253-283;TM:284-307;NC:308-326;TM:327-349;CY:350-390</t>
  </si>
  <si>
    <t>ENSG00000050628</t>
  </si>
  <si>
    <t>ENSP00000302313;ENSP00000280208;ENSP00000359969</t>
  </si>
  <si>
    <t>18;36;217;308</t>
  </si>
  <si>
    <t>36;217;308</t>
  </si>
  <si>
    <t>LN[115]HSYTGMWAPER</t>
  </si>
  <si>
    <t>P43115</t>
  </si>
  <si>
    <t>Alternative splicing;Cell membrane;Complete proteome;G-protein coupled receptor;Glycoprotein;Lipoprotein;Membrane;Palmitate;Polymorphism;Receptor;Reference proteome;Transducer;Transmembrane;Transmembrane helix</t>
  </si>
  <si>
    <t>UniRef100_P43115;UniRef90_P43115;UniRef50_P43115</t>
  </si>
  <si>
    <t>DB00905;DB00917;DB00929</t>
  </si>
  <si>
    <t>PE2R2_HUMAN</t>
  </si>
  <si>
    <t>Prostaglandin E2 receptor EP2 subtype</t>
  </si>
  <si>
    <t>PTGER2</t>
  </si>
  <si>
    <t>NC:1-25;TM:26-46;CY:47-66;TM:67-91;NC:92-110;TM:111-132;CY:133-152;TM:153-173;NC:174-198;TM:199-223;CY:224-262;TM:263-286;NC:287-298;TM:299-318;CY:319-358</t>
  </si>
  <si>
    <t>ENSG00000125384</t>
  </si>
  <si>
    <t>ENSP00000245457</t>
  </si>
  <si>
    <t>3;6;96;215;287</t>
  </si>
  <si>
    <t>96;287</t>
  </si>
  <si>
    <t>GNASN[115]DSQSEDCETR;GN[115]ASN[115]DSQSEDCETR;N[115]QTLVALAPESR</t>
  </si>
  <si>
    <t>3;6;96</t>
  </si>
  <si>
    <t>P43116</t>
  </si>
  <si>
    <t>UniRef100_P43116;UniRef90_P43116;UniRef50_P43116</t>
  </si>
  <si>
    <t>DB00770;DB00917;DB00929</t>
  </si>
  <si>
    <t>PI2R_HUMAN</t>
  </si>
  <si>
    <t>Prostacyclin receptor</t>
  </si>
  <si>
    <t>PTGIR</t>
  </si>
  <si>
    <t>NC:1-19;TM:20-38;CY:39-48;TM:49-75;NC:76-94;TM:95-115;CY:116-135;TM:136-158;NC:159-183;TM:184-211;CY:212-236;TM:237-257;NC:258-276;TM:277-295;CY:296-386</t>
  </si>
  <si>
    <t>ENSG00000160013</t>
  </si>
  <si>
    <t>ENSP00000291294</t>
  </si>
  <si>
    <t>7;78;203</t>
  </si>
  <si>
    <t>337;363;366</t>
  </si>
  <si>
    <t>N[115]SSLLGLAR</t>
  </si>
  <si>
    <t>P43119</t>
  </si>
  <si>
    <t>Cell membrane;Complete proteome;Disulfide bond;G-protein coupled receptor;Glycoprotein;Lipoprotein;Membrane;Methylation;Palmitate;Polymorphism;Prenylation;Receptor;Reference proteome;Transducer;Transmembrane;Transmembrane helix</t>
  </si>
  <si>
    <t>UniRef100_P43119;UniRef90_P43119;UniRef50_P43119</t>
  </si>
  <si>
    <t>DB00374;DB01088;DB01160;DB01240</t>
  </si>
  <si>
    <t>MUC18_HUMAN</t>
  </si>
  <si>
    <t>Cell surface glycoprotein MUC18</t>
  </si>
  <si>
    <t>MCAM</t>
  </si>
  <si>
    <t>SP:1-23;NC:24-559;TM:560-583;CY:584-646</t>
  </si>
  <si>
    <t>ENSG00000076706</t>
  </si>
  <si>
    <t>ENSP00000264036</t>
  </si>
  <si>
    <t>CD146</t>
  </si>
  <si>
    <t>56;418;449;467;508;518;527;544</t>
  </si>
  <si>
    <t>418;467;518;527;544</t>
  </si>
  <si>
    <t>CGLSQSQGN[115]LSHVDWFSVHK;GLSQSQGN[115]LSHVDWFSVHK;SQGN[115]LSHVDWFSVHK;CVASVPSIPGLN[115]R;ENMVLNLSCEASGHPRPTISWN[115]VN[115]GTASEQDQDPQR;ENMVLN[115]LSCEASGHPR;ENMVLN[115]LSCEASGHPRPT;ENMVLN[115]LSCEASGHPRPTISWNVN[115]GTASEQDQDPQR;EN[115]MVLN[115]LSCEASGHPR;PTISWNVN[115]GTASEQDQDPQR;PTISWN[115]VN[115]GTASEQDQDPQR;ISWNVN[115]GTASEQDQDPQR;WNVN[115]GTASEQDQDPQR;NVN[115]GTASEQDQDPQR;VN[115]GTASEQDQDPQR</t>
  </si>
  <si>
    <t>56;418;449;467</t>
  </si>
  <si>
    <t>P43121</t>
  </si>
  <si>
    <t>Alternative splicing;Cell adhesion;Complete proteome;Direct protein sequencing;Disulfide bond;Glycoprotein;Immunoglobulin domain;Membrane;Phosphoprotein;Polymorphism;Reference proteome;Repeat;Signal;Transmembrane;Transmembrane helix</t>
  </si>
  <si>
    <t>UniRef100_P43121;UniRef90_P43121;UniRef50_P43121</t>
  </si>
  <si>
    <t>DCC_HUMAN</t>
  </si>
  <si>
    <t>Netrin receptor DCC</t>
  </si>
  <si>
    <t>DCC</t>
  </si>
  <si>
    <t>SP:1-27;NC:28-1097;TM:1098-1122;CY:1123-1447</t>
  </si>
  <si>
    <t>ENSG00000187323</t>
  </si>
  <si>
    <t>ENSP00000389140</t>
  </si>
  <si>
    <t>94;299;318;478;628;702</t>
  </si>
  <si>
    <t>3D-structure;Apoptosis;Complete proteome;Developmental protein;Disulfide bond;Glycoprotein;Immunoglobulin domain;Membrane;Phosphoprotein;Polymorphism;Receptor;Reference proteome;Repeat;Signal;Transmembrane;Transmembrane helix;Tumor suppressor;Ubl conjugation</t>
  </si>
  <si>
    <t>UniRef100_P43146;UniRef90_P43146;UniRef50_P43146</t>
  </si>
  <si>
    <t>GLP1R_HUMAN</t>
  </si>
  <si>
    <t>Glucagon-like peptide 1 receptor</t>
  </si>
  <si>
    <t>GLP1R</t>
  </si>
  <si>
    <t>SP:1-21;NC:22-141;TM:142-167;CY:168-178;TM:179-196;NC:197-228;TM:229-253;CY:254-263;TM:264-287;NC:288-306;TM:307-332;CY:333-352;TM:353-370;NC:371-383;TM:384-405;CY:406-463</t>
  </si>
  <si>
    <t>ENSG00000112164</t>
  </si>
  <si>
    <t>ENSP00000362353</t>
  </si>
  <si>
    <t>63;82;115</t>
  </si>
  <si>
    <t>440;441;442</t>
  </si>
  <si>
    <t>3D-structure;ADP-ribosylation;Cell membrane;Complete proteome;Disulfide bond;G-protein coupled receptor;Glycoprotein;Membrane;Polymorphism;Receptor;Reference proteome;Signal;Transducer;Transmembrane;Transmembrane helix</t>
  </si>
  <si>
    <t>UniRef100_P43220;UniRef90_P32301;UniRef50_P32301</t>
  </si>
  <si>
    <t>DB00040;DB01276;DB06655</t>
  </si>
  <si>
    <t>SSRA_HUMAN</t>
  </si>
  <si>
    <t>Translocon-associated protein subunit alpha</t>
  </si>
  <si>
    <t>SSR1</t>
  </si>
  <si>
    <t>SP:1-21;NC:22-207;TM:208-229;CY:230-286</t>
  </si>
  <si>
    <t>ENSG00000124783</t>
  </si>
  <si>
    <t>ENSP00000244763</t>
  </si>
  <si>
    <t>136;191</t>
  </si>
  <si>
    <t>YPQDYQFYIQN[115]FTALPLNTVVPPQR;IQN[115]FTALPLNTVVPPQR;DLNGNVFQDAVFN[115]QTVTVIER;DLNGN[115]VFQDAVFN[115]QTVTVIER;DLN[115]GNVFQDAVFN[115]QTVTVIER;VFQDAVFN[115]QTVTVIER;AVFN[115]QTVTVIER;VFN[115]QTVTVIER;N[115]QTVTVIER</t>
  </si>
  <si>
    <t>P43307</t>
  </si>
  <si>
    <t>Alternative splicing;Calcium;Complete proteome;Direct protein sequencing;Endoplasmic reticulum;Glycoprotein;Membrane;Phosphoprotein;Polymorphism;Reference proteome;Signal;Transmembrane;Transmembrane helix</t>
  </si>
  <si>
    <t>UniRef100_P43307;UniRef90_P43307;UniRef50_P43307</t>
  </si>
  <si>
    <t>TNR4_HUMAN</t>
  </si>
  <si>
    <t>Tumor necrosis factor receptor superfamily member 4</t>
  </si>
  <si>
    <t>TNFRSF4</t>
  </si>
  <si>
    <t>SP:1-28;NC:29-213;TM:214-240;CY:241-277</t>
  </si>
  <si>
    <t>ENSG00000186827</t>
  </si>
  <si>
    <t>ENSP00000368538</t>
  </si>
  <si>
    <t>CD134</t>
  </si>
  <si>
    <t>146;160</t>
  </si>
  <si>
    <t>162;174;179;192;198;199;203;204</t>
  </si>
  <si>
    <t>3D-structure;Complete proteome;Disease mutation;Disulfide bond;Glycoprotein;Membrane;Polymorphism;Receptor;Reference proteome;Repeat;Signal;Transmembrane;Transmembrane helix</t>
  </si>
  <si>
    <t>UniRef100_P43489;UniRef90_P43489;UniRef50_P43489</t>
  </si>
  <si>
    <t>KI2L1_HUMAN</t>
  </si>
  <si>
    <t>Killer cell immunoglobulin-like receptor 2DL1</t>
  </si>
  <si>
    <t>KIR2DL1</t>
  </si>
  <si>
    <t>SP:1-21;NC:22-243;TM:244-264;CY:265-348</t>
  </si>
  <si>
    <t>ENSG00000125498;ENSG00000278738;ENSG00000273794;ENSG00000278821;ENSG00000276625;ENSG00000277833;ENSG00000278495</t>
  </si>
  <si>
    <t>ENSP00000291633;ENSP00000478232;ENSP00000482120;ENSP00000484559;ENSP00000484361;ENSP00000478263;ENSP00000479363</t>
  </si>
  <si>
    <t>CD158a</t>
  </si>
  <si>
    <t>IG;KIR</t>
  </si>
  <si>
    <t>67;84;144;178;284</t>
  </si>
  <si>
    <t>67;144;178;284</t>
  </si>
  <si>
    <t>3D-structure;Alternative splicing;Cell membrane;Complete proteome;Direct protein sequencing;Disulfide bond;Glycoprotein;Immunoglobulin domain;Membrane;Polymorphism;Receptor;Reference proteome;Repeat;Signal;Transmembrane;Transmembrane helix</t>
  </si>
  <si>
    <t>UniRef100_P43626;UniRef90_P43626;UniRef50_P43626</t>
  </si>
  <si>
    <t>KI2L2_HUMAN</t>
  </si>
  <si>
    <t>Killer cell immunoglobulin-like receptor 2DL2</t>
  </si>
  <si>
    <t>KIR2DL2</t>
  </si>
  <si>
    <t>ENSG00000275546;ENSG00000276731;ENSG00000278731;ENSG00000275914;ENSG00000275407;ENSG00000276011</t>
  </si>
  <si>
    <t>ENSP00000482519;ENSP00000483373;ENSP00000482201;ENSP00000480161;ENSP00000481907;ENSP00000483052</t>
  </si>
  <si>
    <t>CD158b1</t>
  </si>
  <si>
    <t>84;178;211;284</t>
  </si>
  <si>
    <t>3D-structure;Cell membrane;Complete proteome;Disulfide bond;Glycoprotein;Immunoglobulin domain;Membrane;Polymorphism;Receptor;Reference proteome;Repeat;Signal;Transmembrane;Transmembrane helix</t>
  </si>
  <si>
    <t>UniRef100_P43627;UniRef90_P43626;UniRef50_P43626</t>
  </si>
  <si>
    <t>KI2L3_HUMAN</t>
  </si>
  <si>
    <t>Killer cell immunoglobulin-like receptor 2DL3</t>
  </si>
  <si>
    <t>KIR2DL3</t>
  </si>
  <si>
    <t>SP:1-21;NC:22-243;TM:244-265;CY:266-341</t>
  </si>
  <si>
    <t>ENSG00000243772;ENSG00000274830;ENSG00000276218;ENSG00000277484;ENSG00000276590;ENSG00000278327;ENSG00000277554;ENSG00000275658;ENSG00000273887;ENSG00000274952;ENSG00000274410;ENSG00000275008;ENSG00000274108;ENSG00000275623;ENSG00000274402;ENSG00000277317;ENSG00000277924;ENSG00000276459</t>
  </si>
  <si>
    <t>ENSP00000342215;ENSP00000478848;ENSP00000478657;ENSP00000483975;ENSP00000484459;ENSP00000479121;ENSP00000481237;ENSP00000483551;ENSP00000478136;ENSP00000481159;ENSP00000483883;ENSP00000481478;ENSP00000483192;ENSP00000481355;ENSP00000480464;ENSP00000480087;ENSP00000483419;ENSP00000482830</t>
  </si>
  <si>
    <t>CD158b2</t>
  </si>
  <si>
    <t>84;178;211;285</t>
  </si>
  <si>
    <t>178;285</t>
  </si>
  <si>
    <t>UniRef100_P43628;UniRef90_P43626;UniRef50_P43626</t>
  </si>
  <si>
    <t>KI3L1_HUMAN</t>
  </si>
  <si>
    <t>Killer cell immunoglobulin-like receptor 3DL1</t>
  </si>
  <si>
    <t>KIR3DL1</t>
  </si>
  <si>
    <t>SP:1-18;NC:19-338;TM:339-363;CY:364-444</t>
  </si>
  <si>
    <t>ENSG00000167633;ENSG00000274036;ENSG00000275288;ENSG00000276423</t>
  </si>
  <si>
    <t>ENSP00000375608;ENSP00000484488;ENSP00000484036;ENSP00000481802;ENSP00000484972;ENSP00000479009</t>
  </si>
  <si>
    <t>CD158e</t>
  </si>
  <si>
    <t>81;92;179;273;380</t>
  </si>
  <si>
    <t>92;273;380</t>
  </si>
  <si>
    <t>UniRef100_P43629;UniRef90_P43629;UniRef50_Q99706</t>
  </si>
  <si>
    <t>KI3L2_HUMAN</t>
  </si>
  <si>
    <t>Killer cell immunoglobulin-like receptor 3DL2</t>
  </si>
  <si>
    <t>KIR3DL2</t>
  </si>
  <si>
    <t>SP:1-24;NC:25-338;TM:339-361;CY:362-455</t>
  </si>
  <si>
    <t>ENSG00000240403;ENSG00000278809;ENSG00000278474;ENSG00000277181;ENSG00000274722;ENSG00000278442;ENSG00000275566;ENSG00000276357;ENSG00000275083;ENSG00000278361;ENSG00000276739;ENSG00000275626;ENSG00000275416;ENSG00000276004</t>
  </si>
  <si>
    <t>ENSP00000325525;ENSP00000479903;ENSP00000481662;ENSP00000482301;ENSP00000482565;ENSP00000479299;ENSP00000482110;ENSP00000481209;ENSP00000481579;ENSP00000478251;ENSP00000479772;ENSP00000477519;ENSP00000479425;ENSP00000477516</t>
  </si>
  <si>
    <t>CD158k</t>
  </si>
  <si>
    <t>179;239;273;306</t>
  </si>
  <si>
    <t>239;273</t>
  </si>
  <si>
    <t>Alternative splicing;Cell membrane;Complete proteome;Disulfide bond;Glycoprotein;Immunoglobulin domain;Membrane;Polymorphism;Receptor;Reference proteome;Repeat;Signal;Transmembrane;Transmembrane helix</t>
  </si>
  <si>
    <t>UniRef100_P43630;UniRef90_P43630;UniRef50_Q99706</t>
  </si>
  <si>
    <t>KI2S2_HUMAN</t>
  </si>
  <si>
    <t>Killer cell immunoglobulin-like receptor 2DS2</t>
  </si>
  <si>
    <t>KIR2DS2</t>
  </si>
  <si>
    <t>SP:1-21;NC:22-243;TM:244-265;CY:266-304</t>
  </si>
  <si>
    <t>ENSG00000277885;ENSG00000276425;ENSG00000274438;ENSG00000274518;ENSG00000275253;ENSG00000276139;ENSG00000275452;ENSG00000278300;ENSG00000275583;ENSG00000275737;ENSG00000275735;ENSG00000276258;ENSG00000278152</t>
  </si>
  <si>
    <t>ENSP00000484281;ENSP00000484082;ENSP00000478509;ENSP00000482725;ENSP00000482770;ENSP00000483792;ENSP00000482637;ENSP00000484771;ENSP00000478014;ENSP00000479980;ENSP00000477892;ENSP00000483804;ENSP00000479565;ENSP00000484400;ENSP00000481307</t>
  </si>
  <si>
    <t>CD158j</t>
  </si>
  <si>
    <t>UniRef100_P43631;UniRef90_P43626;UniRef50_P43626</t>
  </si>
  <si>
    <t>100132285;115653;3804</t>
  </si>
  <si>
    <t>KI2S4_HUMAN</t>
  </si>
  <si>
    <t>Killer cell immunoglobulin-like receptor 2DS4</t>
  </si>
  <si>
    <t>KIR2DS4</t>
  </si>
  <si>
    <t>ENSG00000276885;ENSG00000274957;ENSG00000276634;ENSG00000275731;ENSG00000276395;ENSG00000275353;ENSG00000274947;ENSG00000274406;ENSG00000276154</t>
  </si>
  <si>
    <t>ENSP00000484123;ENSP00000481753;ENSP00000483112;ENSP00000481319;ENSP00000477744;ENSP00000483274;ENSP00000478241;ENSP00000480062;ENSP00000479843</t>
  </si>
  <si>
    <t>CD158i</t>
  </si>
  <si>
    <t>67;84;144;178;211;285</t>
  </si>
  <si>
    <t>67;144;178;285</t>
  </si>
  <si>
    <t>FN[115]NTLHLIGEHHDGVSK;AN[115]FSIGPMMPVLAGTYR</t>
  </si>
  <si>
    <t>67;84</t>
  </si>
  <si>
    <t>P43632</t>
  </si>
  <si>
    <t>UniRef100_P43632;UniRef90_P43632;UniRef50_P43632</t>
  </si>
  <si>
    <t>LPAR6_HUMAN</t>
  </si>
  <si>
    <t>Lysophosphatidic acid receptor 6</t>
  </si>
  <si>
    <t>LPAR6</t>
  </si>
  <si>
    <t>NC:1-17;TM:18-44;CY:45-54;TM:55-76;NC:77-93;TM:94-113;CY:114-132;TM:133-154;NC:155-182;TM:183-207;CY:208-227;TM:228-252;NC:253-271;TM:272-294;CY:295-344</t>
  </si>
  <si>
    <t>ENSG00000139679</t>
  </si>
  <si>
    <t>ENSP00000344353;ENSP00000367691;ENSP00000482660</t>
  </si>
  <si>
    <t>5;12;50;163;200;223;262;306;340</t>
  </si>
  <si>
    <t>Cell membrane;Complete proteome;Disease mutation;Disulfide bond;G-protein coupled receptor;Glycoprotein;Hypotrichosis;Lipoprotein;Membrane;Palmitate;Polymorphism;Receptor;Reference proteome;Transducer;Transmembrane;Transmembrane helix</t>
  </si>
  <si>
    <t>UniRef100_P43657;UniRef90_P43657;UniRef50_P43657</t>
  </si>
  <si>
    <t>ACHA4_HUMAN</t>
  </si>
  <si>
    <t>Neuronal acetylcholine receptor subunit alpha-4</t>
  </si>
  <si>
    <t>CHRNA4</t>
  </si>
  <si>
    <t>SP:1-28;NC:29-243;TM:244-267;CY:268-274;TM:275-297;NC:298-308;TM:309-330;CY:331-600;TM:601-620;NC:621-627</t>
  </si>
  <si>
    <t>ENSG00000101204</t>
  </si>
  <si>
    <t>ENSP00000359285</t>
  </si>
  <si>
    <t>57;107;174</t>
  </si>
  <si>
    <t>107;174</t>
  </si>
  <si>
    <t>Cell junction, synapse, postsynaptic cell membrane (Multi-pass membrane protein);Cell membrane (Lipid-anchor);Cell membrane (Multi-pass membrane protein)</t>
  </si>
  <si>
    <t>3D-structure;Alternative splicing;Cell junction;Cell membrane;Complete proteome;Disease mutation;Disulfide bond;Epilepsy;Glycoprotein;Ion channel;Ion transport;Ligand-gated ion channel;Lipoprotein;Membrane;Palmitate;Polymorphism;Postsynaptic cell membrane;Receptor;Reference proteome;Signal;Synapse;Transmembrane;Transmembrane helix;Transport</t>
  </si>
  <si>
    <t>UniRef100_P43681;UniRef90_P43681;UniRef50_P43681</t>
  </si>
  <si>
    <t>S15A1_HUMAN</t>
  </si>
  <si>
    <t>Solute carrier family 15 member 1</t>
  </si>
  <si>
    <t>SLC15A1</t>
  </si>
  <si>
    <t>CY:1-6;TM:7-24;NC:25-53;TM:54-74;CY:75-82;TM:83-103;NC:104-118;TM:119-140;CY:141-162;TM:163-184;NC:185-199;TM:200-221;CY:222-278;TM:279-297;NC:298-327;TM:328-349;CY:350-360;TM:361-380;NC:381-586;TM:587-607;CY:608-617;TM:618-640;NC:641-646;TM:647-669;CY:670-708</t>
  </si>
  <si>
    <t>ENSG00000088386</t>
  </si>
  <si>
    <t>ENSP00000365686</t>
  </si>
  <si>
    <t>SLC;MFS;SLC15</t>
  </si>
  <si>
    <t>50;354;404;408;439;509;514;562</t>
  </si>
  <si>
    <t>354;404</t>
  </si>
  <si>
    <t>Complete proteome;Glycoprotein;Membrane;Peptide transport;Polymorphism;Protein transport;Reference proteome;Symport;Transmembrane;Transmembrane helix;Transport</t>
  </si>
  <si>
    <t>UniRef100_P46059;UniRef90_P46059;UniRef50_P46059</t>
  </si>
  <si>
    <t>GPR3_HUMAN</t>
  </si>
  <si>
    <t>G-protein coupled receptor 3</t>
  </si>
  <si>
    <t>GPR3</t>
  </si>
  <si>
    <t>NC:1-41;TM:42-66;CY:67-75;TM:76-99;NC:100-109;TM:110-132;CY:133-152;TM:153-175;NC:176-194;TM:195-214;CY:215-245;TM:246-265;NC:266-276;TM:277-299;CY:300-330</t>
  </si>
  <si>
    <t>ENSG00000181773</t>
  </si>
  <si>
    <t>ENSP00000363136</t>
  </si>
  <si>
    <t>Cell membrane;Complete proteome;G-protein coupled receptor;Glycoprotein;Lipoprotein;Membrane;Palmitate;Phosphoprotein;Polymorphism;Receptor;Reference proteome;Transducer;Transmembrane;Transmembrane helix</t>
  </si>
  <si>
    <t>UniRef100_P46089;UniRef90_P46089;UniRef50_P46089</t>
  </si>
  <si>
    <t>GPR1_HUMAN</t>
  </si>
  <si>
    <t>G-protein coupled receptor 1</t>
  </si>
  <si>
    <t>GPR1</t>
  </si>
  <si>
    <t>NC:1-37;TM:38-62;CY:63-73;TM:74-95;NC:96-114;TM:115-134;CY:135-153;TM:154-175;NC:176-210;TM:211-233;CY:234-244;TM:245-265;NC:266-284;TM:285-307;CY:308-355</t>
  </si>
  <si>
    <t>ENSG00000183671</t>
  </si>
  <si>
    <t>ENSP00000384345;ENSP00000397535;ENSP00000480405;ENSP00000483003</t>
  </si>
  <si>
    <t>14;183</t>
  </si>
  <si>
    <t>UniRef100_P46091;UniRef90_P46091;UniRef50_P46091</t>
  </si>
  <si>
    <t>CCR10_HUMAN</t>
  </si>
  <si>
    <t>C-C chemokine receptor type 10</t>
  </si>
  <si>
    <t>CCR10</t>
  </si>
  <si>
    <t>NC:1-48;TM:49-69;CY:70-80;TM:81-103;NC:104-117;TM:118-139;CY:140-159;TM:160-179;NC:180-207;TM:208-230;CY:231-245;TM:246-269;NC:270-289;TM:290-314;CY:315-362</t>
  </si>
  <si>
    <t>ENSG00000184451</t>
  </si>
  <si>
    <t>ENSP00000332504</t>
  </si>
  <si>
    <t>Cell membrane;Complete proteome;Disulfide bond;G-protein coupled receptor;Membrane;Receptor;Reference proteome;Transducer;Transmembrane;Transmembrane helix</t>
  </si>
  <si>
    <t>UniRef100_P46092;UniRef90_P46092;UniRef50_Q9JL21</t>
  </si>
  <si>
    <t>GPR4_HUMAN</t>
  </si>
  <si>
    <t>G-protein coupled receptor 4</t>
  </si>
  <si>
    <t>GPR4</t>
  </si>
  <si>
    <t>NC:1-22;TM:23-43;CY:44-53;TM:54-73;NC:74-92;TM:93-113;CY:114-133;TM:134-154;NC:155-182;TM:183-204;CY:205-224;TM:225-245;NC:246-266;TM:267-289;CY:290-362</t>
  </si>
  <si>
    <t>ENSG00000177464</t>
  </si>
  <si>
    <t>ENSP00000319744</t>
  </si>
  <si>
    <t>3;58;164;318;332</t>
  </si>
  <si>
    <t>3;164;332</t>
  </si>
  <si>
    <t>UniRef100_P46093;UniRef90_P46093;UniRef50_P46093</t>
  </si>
  <si>
    <t>XCR1_HUMAN</t>
  </si>
  <si>
    <t>Chemokine XC receptor 1</t>
  </si>
  <si>
    <t>XCR1</t>
  </si>
  <si>
    <t>NC:1-26;TM:27-57;CY:58-67;TM:68-88;NC:89-106;TM:107-126;CY:127-145;TM:146-167;NC:168-187;TM:188-209;CY:210-224;TM:225-247;NC:248-266;TM:267-291;CY:292-333</t>
  </si>
  <si>
    <t>ENSG00000173578</t>
  </si>
  <si>
    <t>ENSP00000310405</t>
  </si>
  <si>
    <t>UniRef100_P46094;UniRef90_P46094;UniRef50_P46094</t>
  </si>
  <si>
    <t>GPR6_HUMAN</t>
  </si>
  <si>
    <t>G-protein coupled receptor 6</t>
  </si>
  <si>
    <t>GPR6</t>
  </si>
  <si>
    <t>NC:1-74;TM:75-97;CY:98-107;TM:108-133;NC:134-140;TM:141-162;CY:163-182;TM:183-206;NC:207-226;TM:227-246;CY:247-278;TM:279-303;NC:304-308;TM:309-331;CY:332-362</t>
  </si>
  <si>
    <t>ENSG00000146360</t>
  </si>
  <si>
    <t>ENSP00000275169</t>
  </si>
  <si>
    <t>2;9;51</t>
  </si>
  <si>
    <t>Alternative splicing;Cell membrane;Complete proteome;G-protein coupled receptor;Glycoprotein;Lipoprotein;Membrane;Palmitate;Phosphoprotein;Receptor;Reference proteome;Transducer;Transmembrane;Transmembrane helix</t>
  </si>
  <si>
    <t>UniRef100_P46095;UniRef90_P46095;UniRef50_Q6YNI2</t>
  </si>
  <si>
    <t>5HT3A_HUMAN</t>
  </si>
  <si>
    <t>5-hydroxytryptamine receptor 3A</t>
  </si>
  <si>
    <t>HTR3A</t>
  </si>
  <si>
    <t>SP:1-19;NC:20-242;TM:243-266;CY:267-273;TM:274-292;NC:293-303;TM:304-327;CY:328-451;TM:452-475;NC:476-478</t>
  </si>
  <si>
    <t>ENSG00000166736</t>
  </si>
  <si>
    <t>ENSP00000424189</t>
  </si>
  <si>
    <t>28;104;170;186</t>
  </si>
  <si>
    <t>28;104</t>
  </si>
  <si>
    <t>Alternative splicing;Cell junction;Cell membrane;Complete proteome;Disulfide bond;Glycoprotein;Ion channel;Ion transport;Ligand-gated ion channel;Membrane;Polymorphism;Postsynaptic cell membrane;Receptor;Reference proteome;Signal;Synapse;Transmembrane;Transmembrane helix;Transport</t>
  </si>
  <si>
    <t>UniRef100_P46098;UniRef90_P46098;UniRef50_P46098</t>
  </si>
  <si>
    <t>DB00246;DB00333;DB00334;DB00363;DB00370;DB00377;DB00408;DB00543;DB00604;DB00721;DB00726;DB00728;DB00757;DB00889;DB00904;DB00969;DB01043;DB01161;DB01199;DB01224;DB01233;DB01238;DB06204;DB01049</t>
  </si>
  <si>
    <t>NOTC1_HUMAN</t>
  </si>
  <si>
    <t>Neurogenic locus notch homolog protein 1</t>
  </si>
  <si>
    <t>NOTCH1</t>
  </si>
  <si>
    <t>SP:1-18;NC:19-1735;TM:1736-1756;CY:1757-2555</t>
  </si>
  <si>
    <t>ENSG00000148400</t>
  </si>
  <si>
    <t>ENSP00000277541</t>
  </si>
  <si>
    <t>Other_receptors;Notch</t>
  </si>
  <si>
    <t>41;959;982;1179;1241;1489;1587;1799;1922;2295;2528</t>
  </si>
  <si>
    <t>30;43;65;66;73;94;100;108;116;121;123;146;161;169;174;194;201;209;225;232;240;250;311;341;349;356;366;378;385;402;405;435;445;458;466;496;497;521;534;535;559;561;579;586;588;596;602;609;617;633;634;647;648;652;654;671;673;692;701;712;715;748;759;767;784;790;797;805;822;825;836;859;865;876;883;900;906;921;940;951;976;990;991;997;1014;1016;1035;1042;1052;1065;1066;1087;1098;1100;1138;1140;1152;1159;1189;1197;1213;1233;1235;1243;1273;1281;1306;1321;1326;1344;1351;1354;1362;1365;1369;1371;1379;1388;1389;1402;1406;1407;1431;1493;1501;1507;1511;1541;1573;1651;1657;1674;1689;1697;1708;1711;1723;1725;1779;1791;1801;1838;1856;1861;1889;1919;1924;1951;1986;1997;2121;2132;2134;2136;2141;2148;2162;2163;2183;2193;2194;2198;2202;2205;2211;2215;2221;2226;2228;2268;2274;2280;2282;2283;2284;2288;2289;2290;2297;2301;2302;2303;2316;2329;2336;2337;2341;2357;2360;2364;2370;2371;2375;2382;2407;2422;2423;2426;2432;2435;2439;2449;2450;2455;2461;2466;2467;2470;2471;2477;2483;2486;2489;2491;2492;2499;2511;2513;2522;2523;2524;2527;2530;2537;2538</t>
  </si>
  <si>
    <t>133;287;327;745;861;1062;1075;1089;1474;1487;1497;1556;1638;1768;1813;1843;2034;2310;2520;2532</t>
  </si>
  <si>
    <t>N[115]SSFHFLR</t>
  </si>
  <si>
    <t>P46531</t>
  </si>
  <si>
    <t>Cell membrane (Single-pass type I membrane protein);Nucleus</t>
  </si>
  <si>
    <t>3D-structure;Activator;Angiogenesis;ANK repeat;Calcium;Cell membrane;Complete proteome;Developmental protein;Differentiation;Direct protein sequencing;Disulfide bond;EGF-like domain;Glycoprotein;Hydroxylation;Isopeptide bond;Membrane;Metal-binding;Notch signaling pathway;Nucleus;Phosphoprotein;Polymorphism;Receptor;Reference proteome;Repeat;Signal;Transcription;Transcription regulation;Transmembrane;Transmembrane helix;Ubl conjugation</t>
  </si>
  <si>
    <t>UniRef100_P46531;UniRef90_P46531;UniRef50_Q01705</t>
  </si>
  <si>
    <t>BKRB1_HUMAN</t>
  </si>
  <si>
    <t>B1 bradykinin receptor</t>
  </si>
  <si>
    <t>BDKRB1</t>
  </si>
  <si>
    <t>NC:1-41;TM:42-63;CY:64-74;TM:75-94;NC:95-111;TM:112-132;CY:133-153;TM:154-175;NC:176-207;TM:208-229;CY:230-249;TM:250-270;NC:271-295;TM:296-318;CY:319-353</t>
  </si>
  <si>
    <t>ENSG00000100739</t>
  </si>
  <si>
    <t>ENSP00000216629;ENSP00000479276</t>
  </si>
  <si>
    <t>14;22;185;304</t>
  </si>
  <si>
    <t>22;185</t>
  </si>
  <si>
    <t>5;33;93;98;103;162;198;263;286;324;351</t>
  </si>
  <si>
    <t>UniRef100_P46663;UniRef90_P46663;UniRef50_P97583</t>
  </si>
  <si>
    <t>SO1A2_HUMAN</t>
  </si>
  <si>
    <t>Solute carrier organic anion transporter family member 1A2</t>
  </si>
  <si>
    <t>SLCO1A2</t>
  </si>
  <si>
    <t>CY:1-20;TM:21-40;NC:41-58;TM:59-80;CY:81-86;TM:87-107;NC:108-156;TM:157-181;CY:182-201;TM:202-222;NC:223-241;TM:242-266;CY:267-316;TM:317-338;NC:339-354;TM:355-376;CY:377-387;TM:388-408;NC:409-511;TM:512-535;CY:536-546;TM:547-568;NC:569-599;TM:600-623;CY:624-670</t>
  </si>
  <si>
    <t>ENSG00000084453</t>
  </si>
  <si>
    <t>ENSP00000305974</t>
  </si>
  <si>
    <t>62;124;135;412;419;483;492;632</t>
  </si>
  <si>
    <t>Alternative splicing;Cell membrane;Complete proteome;Disulfide bond;Glycoprotein;Ion transport;Membrane;Polymorphism;Reference proteome;Transmembrane;Transmembrane helix;Transport</t>
  </si>
  <si>
    <t>UniRef100_P46721;UniRef90_P46721;UniRef50_P70502</t>
  </si>
  <si>
    <t>GALR1_HUMAN</t>
  </si>
  <si>
    <t>Galanin receptor type 1</t>
  </si>
  <si>
    <t>GALR1</t>
  </si>
  <si>
    <t>NC:1-33;TM:34-59;CY:60-70;TM:71-93;NC:94-110;TM:111-131;CY:132-151;TM:152-172;NC:173-198;TM:199-224;CY:225-244;TM:245-266;NC:267-272;TM:273-293;CY:294-349</t>
  </si>
  <si>
    <t>ENSG00000166573</t>
  </si>
  <si>
    <t>ENSP00000299727</t>
  </si>
  <si>
    <t>7;12;76;183;233;295;345</t>
  </si>
  <si>
    <t>UniRef100_P47211;UniRef90_P47211;UniRef50_P47211</t>
  </si>
  <si>
    <t>GPR12_HUMAN</t>
  </si>
  <si>
    <t>G-protein coupled receptor 12</t>
  </si>
  <si>
    <t>GPR12</t>
  </si>
  <si>
    <t>NC:1-46;TM:47-70;CY:71-78;TM:79-103;NC:104-114;TM:115-135;CY:136-155;TM:156-179;NC:180-198;TM:199-218;CY:219-250;TM:251-273;NC:274-280;TM:281-302;CY:303-334</t>
  </si>
  <si>
    <t>ENSG00000132975</t>
  </si>
  <si>
    <t>ENSP00000370844;ENSP00000384932</t>
  </si>
  <si>
    <t>8;24</t>
  </si>
  <si>
    <t>Cell membrane;Complete proteome;G-protein coupled receptor;Glycoprotein;Lipoprotein;Membrane;Palmitate;Phosphoprotein;Receptor;Reference proteome;Transducer;Transmembrane;Transmembrane helix</t>
  </si>
  <si>
    <t>UniRef100_P47775;UniRef90_P47775;UniRef50_P35412</t>
  </si>
  <si>
    <t>RGR_HUMAN</t>
  </si>
  <si>
    <t>RPE-retinal G protein-coupled receptor</t>
  </si>
  <si>
    <t>RGR</t>
  </si>
  <si>
    <t>NC:1-16;TM:17-41;CY:42-52;TM:53-73;NC:74-92;TM:93-113;CY:114-126;TM:127-149;NC:150-174;TM:175-198;CY:199-218;TM:219-236;NC:237-247;TM:248-267;CY:268-291</t>
  </si>
  <si>
    <t>ENSG00000148604</t>
  </si>
  <si>
    <t>172;212</t>
  </si>
  <si>
    <t>Alternative splicing;Chromophore;Complete proteome;Disease mutation;Disulfide bond;G-protein coupled receptor;Glycoprotein;Membrane;Photoreceptor protein;Polymorphism;Receptor;Reference proteome;Retinal protein;Retinitis pigmentosa;Sensory transduction;Transducer;Transmembrane;Transmembrane helix;Vision</t>
  </si>
  <si>
    <t>UniRef100_P47804;UniRef90_P47804;UniRef50_P47804</t>
  </si>
  <si>
    <t>GBRA2_HUMAN</t>
  </si>
  <si>
    <t>Gamma-aminobutyric acid receptor subunit alpha-2</t>
  </si>
  <si>
    <t>GABRA2</t>
  </si>
  <si>
    <t>SP:1-28;NC:29-249;TM:250-273;CY:274-280;TM:281-300;NC:301-314;TM:315-337;CY:338-422;TM:423-441;NC:442-451</t>
  </si>
  <si>
    <t>ENSG00000151834</t>
  </si>
  <si>
    <t>ENSP00000348897;ENSP00000371033;ENSP00000421828;ENSP00000421300</t>
  </si>
  <si>
    <t>38;138;201;377</t>
  </si>
  <si>
    <t>NIQEDEAKNN[115]ITIFTR</t>
  </si>
  <si>
    <t>P47869</t>
  </si>
  <si>
    <t>UniRef100_P47869;UniRef90_P47869;UniRef50_P31644</t>
  </si>
  <si>
    <t>DB00231;DB00241;DB00306;DB00312;DB00371;DB00402;DB00418;DB00425;DB00546;DB00599;DB00683;DB00690;DB00794;DB00801;DB00829;DB00842;DB00849;DB00897;DB01198;DB01215;DB01346;DB01351;DB01352;DB01353;DB01354;DB01355;DB01544;DB01558;DB01559;DB01567;DB01588;DB01589;DB01594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</si>
  <si>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GBRB2_HUMAN</t>
  </si>
  <si>
    <t>Gamma-aminobutyric acid receptor subunit beta-2</t>
  </si>
  <si>
    <t>GABRB2</t>
  </si>
  <si>
    <t>SP:1-24;NC:25-241;TM:242-265;CY:266-271;TM:272-292;NC:293-307;TM:308-330;CY:331-492;TM:493-510;NC:511-512</t>
  </si>
  <si>
    <t>ENSG00000145864</t>
  </si>
  <si>
    <t>ENSP00000274546;ENSP00000429320</t>
  </si>
  <si>
    <t>32;104;173;368;381</t>
  </si>
  <si>
    <t>104;173;368</t>
  </si>
  <si>
    <t>Alternative splicing;Cell junction;Cell membrane;Chloride;Chloride channel;Complete proteome;Disulfide bond;Glycoprotein;Ion channel;Ion transport;Isopeptide bond;Ligand-gated ion channel;Membrane;Phosphoprotein;Postsynaptic cell membrane;Receptor;Reference proteome;Signal;Synapse;Transmembrane;Transmembrane helix;Transport;Ubl conjugation</t>
  </si>
  <si>
    <t>UniRef100_P47870;UniRef90_P47870;UniRef50_P28472</t>
  </si>
  <si>
    <t>DB00231;DB00546;DB00683;DB00690;DB00801;DB00818;DB00829;DB00842;DB00897;DB01215;DB01381;DB01558;DB01559;DB01567;DB01588;DB01594;DB01595;DB06716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</si>
  <si>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GLR_HUMAN</t>
  </si>
  <si>
    <t>Glucagon receptor</t>
  </si>
  <si>
    <t>GCGR</t>
  </si>
  <si>
    <t>SP:1-25;NC:26-143;TM:144-166;CY:167-177;TM:178-198;NC:199-223;TM:224-244;CY:245-263;TM:264-284;NC:285-304;TM:305-329;CY:330-349;TM:350-368;NC:369-381;TM:382-403;CY:404-477</t>
  </si>
  <si>
    <t>ENSG00000215644</t>
  </si>
  <si>
    <t>ENSP00000383558</t>
  </si>
  <si>
    <t>46;59;74;78;429</t>
  </si>
  <si>
    <t>436;437;438</t>
  </si>
  <si>
    <t>3D-structure;Cell membrane;Complete proteome;Diabetes mellitus;Disulfide bond;G-protein coupled receptor;Glycoprotein;Membrane;Phosphoprotein;Polymorphism;Receptor;Reference proteome;Signal;Transducer;Transmembrane;Transmembrane helix</t>
  </si>
  <si>
    <t>UniRef100_P47871;UniRef90_P47871;UniRef50_P47871</t>
  </si>
  <si>
    <t>DB00040</t>
  </si>
  <si>
    <t>SCTR_HUMAN</t>
  </si>
  <si>
    <t>Secretin receptor</t>
  </si>
  <si>
    <t>SCTR</t>
  </si>
  <si>
    <t>SP:1-27;NC:28-144;TM:145-167;CY:168-175;TM:176-194;NC:195-220;TM:221-245;CY:246-256;TM:257-276;NC:277-295;TM:296-320;CY:321-339;TM:340-360;NC:361-369;TM:370-391;CY:392-440</t>
  </si>
  <si>
    <t>ENSG00000080293</t>
  </si>
  <si>
    <t>ENSP00000019103</t>
  </si>
  <si>
    <t>72;100;106;128;229;291;421</t>
  </si>
  <si>
    <t>106;421</t>
  </si>
  <si>
    <t>Cell membrane;Complete proteome;G-protein coupled receptor;Glycoprotein;Membrane;Polymorphism;Receptor;Reference proteome;Signal;Transducer;Transmembrane;Transmembrane helix</t>
  </si>
  <si>
    <t>UniRef100_P47872;UniRef90_P47872;UniRef50_P47872</t>
  </si>
  <si>
    <t>DB00021</t>
  </si>
  <si>
    <t>OR3A1_HUMAN</t>
  </si>
  <si>
    <t>Olfactory receptor 3A1</t>
  </si>
  <si>
    <t>OR3A1</t>
  </si>
  <si>
    <t>NC:1-28;TM:29-53;CY:54-62;TM:63-85;NC:86-104;TM:105-123;CY:124-144;TM:145-165;NC:166-199;TM:200-228;CY:229-240;TM:241-263;NC:264-275;TM:276-295;CY:296-315</t>
  </si>
  <si>
    <t>ENSG00000180090</t>
  </si>
  <si>
    <t>ENSP00000313803</t>
  </si>
  <si>
    <t>8;45;68</t>
  </si>
  <si>
    <t>UniRef100_P47881;UniRef90_P47881;UniRef50_P47883</t>
  </si>
  <si>
    <t>OR3A4_HUMAN</t>
  </si>
  <si>
    <t>Putative olfactory receptor 3A4</t>
  </si>
  <si>
    <t>OR3A4P</t>
  </si>
  <si>
    <t>NC:1-27;TM:28-53;CY:54-62;TM:63-85;NC:86-104;TM:105-124;CY:125-142;TM:143-162;NC:163-200;TM:201-228;CY:229-239;TM:240-263;NC:264-276;TM:277-295;CY:296-348</t>
  </si>
  <si>
    <t>UniRef100_P47883;UniRef90_P47883;UniRef50_P47883</t>
  </si>
  <si>
    <t>OR1D4_HUMAN</t>
  </si>
  <si>
    <t>Olfactory receptor 1D4</t>
  </si>
  <si>
    <t>OR1D4</t>
  </si>
  <si>
    <t>NC:1-25;TM:26-48;CY:49-59;TM:60-79;NC:80-98;TM:99-120;CY:121-139;TM:140-163;NC:164-193;TM:194-218;CY:219-238;TM:239-260;NC:261-271;TM:272-291;CY:292-311</t>
  </si>
  <si>
    <t>UniRef100_P47884;UniRef90_P58170;UniRef50_P34982</t>
  </si>
  <si>
    <t>OR1E2_HUMAN</t>
  </si>
  <si>
    <t>Olfactory receptor 1E2</t>
  </si>
  <si>
    <t>OR1E2</t>
  </si>
  <si>
    <t>NC:1-27;TM:28-49;CY:50-58;TM:59-81;NC:82-100;TM:101-121;CY:122-145;TM:146-167;NC:168-205;TM:206-228;CY:229-245;TM:246-269;NC:270-280;TM:281-301;CY:302-323</t>
  </si>
  <si>
    <t>ENSG00000127780</t>
  </si>
  <si>
    <t>ENSP00000248384</t>
  </si>
  <si>
    <t>5;65;274</t>
  </si>
  <si>
    <t>UniRef100_P47887;UniRef90_P30953;UniRef50_P30953</t>
  </si>
  <si>
    <t>OR3A3_HUMAN</t>
  </si>
  <si>
    <t>Olfactory receptor 3A3</t>
  </si>
  <si>
    <t>OR3A3</t>
  </si>
  <si>
    <t>NC:1-34;TM:35-59;CY:60-68;TM:69-91;NC:92-110;TM:111-129;CY:130-150;TM:151-171;NC:172-205;TM:206-234;CY:235-245;TM:246-269;NC:270-282;TM:283-301;CY:302-321</t>
  </si>
  <si>
    <t>ENSG00000159961</t>
  </si>
  <si>
    <t>ENSP00000291231</t>
  </si>
  <si>
    <t>14;51;74</t>
  </si>
  <si>
    <t>UniRef100_P47888;UniRef90_P47888;UniRef50_P47883</t>
  </si>
  <si>
    <t>OR1G1_HUMAN</t>
  </si>
  <si>
    <t>Olfactory receptor 1G1</t>
  </si>
  <si>
    <t>OR1G1</t>
  </si>
  <si>
    <t>NC:1-27;TM:28-50;CY:51-59;TM:60-79;NC:80-100;TM:101-123;CY:124-135;TM:136-158;NC:159-196;TM:197-220;CY:221-237;TM:238-261;NC:262-272;TM:273-292;CY:293-313</t>
  </si>
  <si>
    <t>ENSG00000183024</t>
  </si>
  <si>
    <t>ENSP00000331545</t>
  </si>
  <si>
    <t>UniRef100_P47890;UniRef90_P47890;UniRef50_Q8NH92</t>
  </si>
  <si>
    <t>OR3A2_HUMAN</t>
  </si>
  <si>
    <t>Olfactory receptor 3A2</t>
  </si>
  <si>
    <t>OR3A2</t>
  </si>
  <si>
    <t>NC:1-34;TM:35-59;CY:60-68;TM:69-91;NC:92-110;TM:111-129;CY:130-150;TM:151-171;NC:172-205;TM:206-234;CY:235-246;TM:247-267;NC:268-281;TM:282-301;CY:302-321</t>
  </si>
  <si>
    <t>ENSG00000221882</t>
  </si>
  <si>
    <t>ENSP00000386180</t>
  </si>
  <si>
    <t>UniRef100_P47893;UniRef90_P47888;UniRef50_P47883</t>
  </si>
  <si>
    <t>5HT5A_HUMAN</t>
  </si>
  <si>
    <t>5-hydroxytryptamine receptor 5A</t>
  </si>
  <si>
    <t>HTR5A</t>
  </si>
  <si>
    <t>NC:1-36;TM:37-66;CY:67-77;TM:78-96;NC:97-115;TM:116-137;CY:138-156;TM:157-180;NC:181-199;TM:200-221;CY:222-282;TM:283-303;NC:304-321;TM:322-341;CY:342-357</t>
  </si>
  <si>
    <t>ENSG00000157219</t>
  </si>
  <si>
    <t>ENSP00000287907</t>
  </si>
  <si>
    <t>6;21;131</t>
  </si>
  <si>
    <t>6;131</t>
  </si>
  <si>
    <t>UniRef100_P47898;UniRef90_P47898;UniRef50_P35364</t>
  </si>
  <si>
    <t>DB00334;DB00408;DB06216</t>
  </si>
  <si>
    <t>P2RY1_HUMAN</t>
  </si>
  <si>
    <t>P2Y purinoceptor 1</t>
  </si>
  <si>
    <t>P2RY1</t>
  </si>
  <si>
    <t>NC:1-54;TM:55-77;CY:78-88;TM:89-111;NC:112-128;TM:129-147;CY:148-167;TM:168-189;NC:190-213;TM:214-240;CY:241-259;TM:260-278;NC:279-308;TM:309-328;CY:329-373</t>
  </si>
  <si>
    <t>ENSG00000169860</t>
  </si>
  <si>
    <t>ENSP00000304767</t>
  </si>
  <si>
    <t>11;27;113;197</t>
  </si>
  <si>
    <t>24;352</t>
  </si>
  <si>
    <t>3D-structure;Blood coagulation;Cell membrane;Complete proteome;Disulfide bond;G-protein coupled receptor;Glycoprotein;Hemostasis;Membrane;Receptor;Reference proteome;Transducer;Transmembrane;Transmembrane helix</t>
  </si>
  <si>
    <t>UniRef100_P47900;UniRef90_P49651;UniRef50_P49651</t>
  </si>
  <si>
    <t>Cytosol;Endoplasmic Reticulum;Endosome;Extracellular space;Golgi apparatus;Lysosome;Nucleus;Peroxisome</t>
  </si>
  <si>
    <t>V1BR_HUMAN</t>
  </si>
  <si>
    <t>Vasopressin V1b receptor</t>
  </si>
  <si>
    <t>AVPR1B</t>
  </si>
  <si>
    <t>NC:1-37;TM:38-59;CY:60-70;TM:71-90;NC:91-109;TM:110-130;CY:131-150;TM:151-172;NC:173-198;TM:199-222;CY:223-282;TM:283-306;NC:307-317;TM:318-341;CY:342-424</t>
  </si>
  <si>
    <t>ENSG00000198049</t>
  </si>
  <si>
    <t>ENSP00000356094</t>
  </si>
  <si>
    <t>10;21</t>
  </si>
  <si>
    <t>244;303</t>
  </si>
  <si>
    <t>UniRef100_P47901;UniRef90_P47901;UniRef50_P30560</t>
  </si>
  <si>
    <t>DB00035;DB00067;DB02638</t>
  </si>
  <si>
    <t>TNFL6_HUMAN</t>
  </si>
  <si>
    <t>Tumor necrosis factor ligand superfamily member 6</t>
  </si>
  <si>
    <t>FASLG</t>
  </si>
  <si>
    <t>CY:1-80;TM:81-105;NC:106-281</t>
  </si>
  <si>
    <t>ENSG00000117560</t>
  </si>
  <si>
    <t>ENSP00000356694</t>
  </si>
  <si>
    <t>CD178</t>
  </si>
  <si>
    <t>76;184;250;260</t>
  </si>
  <si>
    <t>34;35</t>
  </si>
  <si>
    <t>Cell membrane (Single-pass type II membrane protein);Cytoplasmic vesicle lumen;Lysosome lumen;Nucleus;Secreted</t>
  </si>
  <si>
    <t>3D-structure;Alternative splicing;Apoptosis;Cell membrane;Complete proteome;Cytokine;Cytoplasmic vesicle;Disulfide bond;Glycoprotein;Lysosome;Membrane;Nucleus;Polymorphism;Reference proteome;Repressor;Secreted;Signal-anchor;Transcription;Transcription regulation;Transmembrane;Transmembrane helix;Ubl conjugation</t>
  </si>
  <si>
    <t>UniRef100_P48023;UniRef90_P48023;UniRef50_P48023</t>
  </si>
  <si>
    <t>Lysosome;Nucleus;Plasma membrane</t>
  </si>
  <si>
    <t>Cytoskeleton;Cytosol;Endoplasmic Reticulum;Endosome;Golgi apparatus;Mitochondrion;Peroxisome</t>
  </si>
  <si>
    <t>SC6A8_HUMAN</t>
  </si>
  <si>
    <t>Sodium- and chloride-dependent creatine transporter 1</t>
  </si>
  <si>
    <t>SLC6A8</t>
  </si>
  <si>
    <t>CY:1-60;TM:61-79;NC:80-89;TM:90-112;CY:113-132;TM:133-159;NC:160-229;TM:230-250;CY:251-268;TM:269-293;NC:294-311;TM:312-330;CY:331-341;TM:342-366;NC:367-393;TM:394-415;CY:416-444;TM:445-464;NC:465-481;TM:482-500;CY:501-520;TM:521-541;NC:542-560;TM:561-581;CY:582-635</t>
  </si>
  <si>
    <t>ENSG00000130821</t>
  </si>
  <si>
    <t>ENSP00000253122</t>
  </si>
  <si>
    <t>192;197;548</t>
  </si>
  <si>
    <t>HEDCAN[115]ASLANLTCDQLADR;HEDCAN[115]ASLAN[115]LTCDQLADR;HEDCAN[115]ASLAN[115]LTCDQLADRR</t>
  </si>
  <si>
    <t>192;197</t>
  </si>
  <si>
    <t>P48029</t>
  </si>
  <si>
    <t>Alternative splicing;Complete proteome;Disease mutation;Glycoprotein;Ion transport;Membrane;Mental retardation;Phosphoprotein;Polymorphism;Reference proteome;Sodium;Sodium transport;Symport;Transmembrane;Transmembrane helix;Transport</t>
  </si>
  <si>
    <t>UniRef100_P48029;UniRef90_P48029;UniRef50_P48029</t>
  </si>
  <si>
    <t>DB00148</t>
  </si>
  <si>
    <t>MTR1A_HUMAN</t>
  </si>
  <si>
    <t>Melatonin receptor type 1A</t>
  </si>
  <si>
    <t>MTNR1A</t>
  </si>
  <si>
    <t>NC:1-24;TM:25-52;CY:53-61;TM:62-82;NC:83-101;TM:102-123;CY:124-143;TM:144-163;NC:164-185;TM:186-213;CY:214-235;TM:236-261;NC:262-275;TM:276-298;CY:299-350</t>
  </si>
  <si>
    <t>ENSG00000168412</t>
  </si>
  <si>
    <t>ENSP00000302811</t>
  </si>
  <si>
    <t>4;10;117</t>
  </si>
  <si>
    <t>UniRef100_P48039;UniRef90_P48039;UniRef50_P48039</t>
  </si>
  <si>
    <t>DB00980;DB01065;DB06594</t>
  </si>
  <si>
    <t>KCNJ4_HUMAN</t>
  </si>
  <si>
    <t>Inward rectifier potassium channel 4</t>
  </si>
  <si>
    <t>KCNJ4</t>
  </si>
  <si>
    <t>CY:1-55;TM:56-80;NC:81-120;IM:121-132;IM:133-139;NC:140-148;TM:149-170;CY:171-445</t>
  </si>
  <si>
    <t>ENSG00000168135</t>
  </si>
  <si>
    <t>ENSP00000306497</t>
  </si>
  <si>
    <t>Channels;Voltage_gated_ion_channels;InwardlyRectifyingKchannel</t>
  </si>
  <si>
    <t>34;37;436</t>
  </si>
  <si>
    <t>Cell junction, synapse, postsynaptic cell membrane (Multi-pass membrane protein);Cell membrane (Multi-pass membrane protein);Cytoplasmic vesicle membrane</t>
  </si>
  <si>
    <t>3D-structure;Cell junction;Cell membrane;Complete proteome;Cytoplasmic vesicle;Ion channel;Ion transport;Membrane;Postsynaptic cell membrane;Potassium;Potassium transport;Reference proteome;Synapse;Transmembrane;Transmembrane helix;Transport;Voltage-gated channel</t>
  </si>
  <si>
    <t>UniRef100_P48050;UniRef90_P48050;UniRef50_P48050</t>
  </si>
  <si>
    <t>GRIA4_HUMAN</t>
  </si>
  <si>
    <t>Glutamate receptor 4</t>
  </si>
  <si>
    <t>GRIA4</t>
  </si>
  <si>
    <t>SP:1-20;NC:21-544;TM:545-565;CY:566-592;IM:593-608;IM:609-611;CY:612-617;TM:618-638;NC:639-813;TM:814-834;CY:835-902</t>
  </si>
  <si>
    <t>ENSG00000152578</t>
  </si>
  <si>
    <t>ENSP00000282499;ENSP00000435775</t>
  </si>
  <si>
    <t>52;56;258;371;407;414</t>
  </si>
  <si>
    <t>Cell junction, synapse, postsynaptic cell membrane (Multi-pass membrane protein);Cell membrane (Multi-pass membrane protein);Cell projection, dendrite</t>
  </si>
  <si>
    <t>Alternative splicing;Cell junction;Cell membrane;Cell projection;Complete proteome;Disulfide bond;Glycoprotein;Ion channel;Ion transport;Ligand-gated ion channel;Lipoprotein;Membrane;Palmitate;Phosphoprotein;Postsynaptic cell membrane;Receptor;Reference proteome;Signal;Synapse;Transmembrane;Transmembrane helix;Transport</t>
  </si>
  <si>
    <t>UniRef100_P48058;UniRef90_P19493;UniRef50_P19493</t>
  </si>
  <si>
    <t>GLIP1_HUMAN</t>
  </si>
  <si>
    <t>Glioma pathogenesis-related protein 1</t>
  </si>
  <si>
    <t>GLIPR1</t>
  </si>
  <si>
    <t>SP:1-21;NC:22-233;TM:234-255;CY:256-266</t>
  </si>
  <si>
    <t>ENSG00000139278</t>
  </si>
  <si>
    <t>ENSP00000266659</t>
  </si>
  <si>
    <t>17;92</t>
  </si>
  <si>
    <t>3D-structure;Alternative splicing;Complete proteome;Membrane;Polymorphism;Reference proteome;Signal;Transmembrane;Transmembrane helix</t>
  </si>
  <si>
    <t>UniRef100_P48060;UniRef90_P48060;UniRef50_P48060</t>
  </si>
  <si>
    <t>S6A12_HUMAN</t>
  </si>
  <si>
    <t>Sodium- and chloride-dependent betaine transporter</t>
  </si>
  <si>
    <t>SLC6A12</t>
  </si>
  <si>
    <t>CY:1-43;TM:44-63;NC:64-74;TM:75-96;CY:97-116;TM:117-142;NC:143-209;TM:210-229;CY:230-237;TM:238-258;NC:259-288;TM:289-308;CY:309-319;TM:320-343;NC:344-373;TM:374-393;CY:394-422;TM:423-441;NC:442-452;TM:453-476;CY:477-496;TM:497-518;NC:519-537;TM:538-559;CY:560-614</t>
  </si>
  <si>
    <t>ENSG00000111181</t>
  </si>
  <si>
    <t>ENSP00000352702;ENSP00000380464;ENSP00000399136;ENSP00000444268</t>
  </si>
  <si>
    <t>171;183</t>
  </si>
  <si>
    <t>Complete proteome;Glycoprotein;Membrane;Neurotransmitter transport;Polymorphism;Reference proteome;Symport;Transmembrane;Transmembrane helix;Transport</t>
  </si>
  <si>
    <t>UniRef100_P48065;UniRef90_P48065;UniRef50_Q9NSD5-2</t>
  </si>
  <si>
    <t>S6A11_HUMAN</t>
  </si>
  <si>
    <t>Sodium- and chloride-dependent GABA transporter 3</t>
  </si>
  <si>
    <t>SLC6A11</t>
  </si>
  <si>
    <t>CY:1-57;TM:58-76;NC:77-87;TM:88-108;CY:109-131;TM:132-156;NC:157-224;TM:225-244;CY:245-252;TM:253-273;NC:274-303;TM:304-323;CY:324-334;TM:335-359;NC:360-388;TM:389-408;CY:409-437;TM:438-457;NC:458-467;TM:468-491;CY:492-510;TM:511-533;NC:534-552;TM:553-574;CY:575-632</t>
  </si>
  <si>
    <t>ENSG00000132164</t>
  </si>
  <si>
    <t>ENSP00000254488</t>
  </si>
  <si>
    <t>187;190;198</t>
  </si>
  <si>
    <t>LN[115]VSN[115]YSH</t>
  </si>
  <si>
    <t>187;190</t>
  </si>
  <si>
    <t>P48066</t>
  </si>
  <si>
    <t>Alternative splicing;Complete proteome;Glycoprotein;Membrane;Neurotransmitter transport;Reference proteome;Symport;Transmembrane;Transmembrane helix;Transport</t>
  </si>
  <si>
    <t>UniRef100_P48066;UniRef90_P31647;UniRef50_P31647</t>
  </si>
  <si>
    <t>SC6A9_HUMAN</t>
  </si>
  <si>
    <t>Sodium- and chloride-dependent glycine transporter 1</t>
  </si>
  <si>
    <t>SLC6A9</t>
  </si>
  <si>
    <t>CY:1-106;TM:107-126;NC:127-137;TM:138-156;CY:157-182;TM:183-208;NC:209-286;TM:287-306;CY:307-314;TM:315-335;NC:336-366;TM:367-385;CY:386-405;TM:406-427;NC:428-446;TM:447-470;CY:471-501;TM:502-525;NC:526-530;TM:531-551;CY:552-570;TM:571-593;NC:594-606;TM:607-629;CY:630-706</t>
  </si>
  <si>
    <t>ENSG00000196517</t>
  </si>
  <si>
    <t>ENSP00000353791</t>
  </si>
  <si>
    <t>237;240;250;256;646;696</t>
  </si>
  <si>
    <t>237;646</t>
  </si>
  <si>
    <t>PAALPSN[115]LSHLLN[115]HSLQR;LLN[115]HSLQR</t>
  </si>
  <si>
    <t>250;256</t>
  </si>
  <si>
    <t>P48067</t>
  </si>
  <si>
    <t>Alternative splicing;Amino-acid transport;Complete proteome;Membrane;Neurotransmitter transport;Reference proteome;Symport;Transmembrane;Transmembrane helix;Transport</t>
  </si>
  <si>
    <t>UniRef100_P48067;UniRef90_P28571;UniRef50_P28571</t>
  </si>
  <si>
    <t>DB00145</t>
  </si>
  <si>
    <t>NPBW1_HUMAN</t>
  </si>
  <si>
    <t>Neuropeptides B/W receptor type 1</t>
  </si>
  <si>
    <t>NPBWR1</t>
  </si>
  <si>
    <t>NC:1-37;TM:38-63;CY:64-74;TM:75-97;NC:98-117;TM:118-137;CY:138-156;TM:157-177;NC:178-204;TM:205-228;CY:229-248;TM:249-268;NC:269-280;TM:281-299;CY:300-328</t>
  </si>
  <si>
    <t>ENSG00000183729</t>
  </si>
  <si>
    <t>ENSP00000330284</t>
  </si>
  <si>
    <t>3;13;25</t>
  </si>
  <si>
    <t>UniRef100_P48145;UniRef90_P48145;UniRef50_P48145</t>
  </si>
  <si>
    <t>NPBW2_HUMAN</t>
  </si>
  <si>
    <t>Neuropeptides B/W receptor type 2</t>
  </si>
  <si>
    <t>NPBWR2</t>
  </si>
  <si>
    <t>NC:1-44;TM:45-71;CY:72-82;TM:83-103;NC:104-125;TM:126-145;CY:146-164;TM:165-187;NC:188-213;TM:214-236;CY:237-257;TM:258-278;NC:279-289;TM:290-308;CY:309-333</t>
  </si>
  <si>
    <t>ENSG00000125522;ENSG00000277339</t>
  </si>
  <si>
    <t>ENSP00000358783;ENSP00000484253</t>
  </si>
  <si>
    <t>UniRef100_P48146;UniRef90_P48146;UniRef50_P48145</t>
  </si>
  <si>
    <t>GLRB_HUMAN</t>
  </si>
  <si>
    <t>Glycine receptor subunit beta</t>
  </si>
  <si>
    <t>GLRB</t>
  </si>
  <si>
    <t>SP:1-20;NC:21-267;TM:268-289;CY:290-298;TM:299-319;NC:320-330;TM:331-350;CY:351-474;TM:475-495;NC:496-497</t>
  </si>
  <si>
    <t>ENSG00000109738</t>
  </si>
  <si>
    <t>ENSP00000264428;ENSP00000427186</t>
  </si>
  <si>
    <t>54;242;387</t>
  </si>
  <si>
    <t>Alternative splicing;Cell junction;Cell membrane;Chloride;Chloride channel;Complete proteome;Disease mutation;Disulfide bond;Glycoprotein;Ion channel;Ion transport;Ligand-gated ion channel;Membrane;Postsynaptic cell membrane;Receptor;Reference proteome;Signal;Synapse;Transmembrane;Transmembrane helix;Transport</t>
  </si>
  <si>
    <t>UniRef100_P48167;UniRef90_P48168;UniRef50_P48168</t>
  </si>
  <si>
    <t>DB00145;DB00431;DB00228</t>
  </si>
  <si>
    <t>GBRA4_HUMAN</t>
  </si>
  <si>
    <t>Gamma-aminobutyric acid receptor subunit alpha-4</t>
  </si>
  <si>
    <t>GABRA4</t>
  </si>
  <si>
    <t>SP:1-27;NC:28-256;TM:257-280;CY:281-288;TM:289-308;NC:309-320;TM:321-344;CY:345-522;TM:523-542;NC:543-554</t>
  </si>
  <si>
    <t>ENSG00000109158</t>
  </si>
  <si>
    <t>ENSP00000264318</t>
  </si>
  <si>
    <t>31;47;144;157;402;408</t>
  </si>
  <si>
    <t>47;144;157;402</t>
  </si>
  <si>
    <t>Cell junction;Cell membrane;Chloride;Chloride channel;Complete proteome;Disulfide bond;Glycoprotein;Ion channel;Ion transport;Ligand-gated ion channel;Membrane;Polymorphism;Postsynaptic cell membrane;Receptor;Reference proteome;Signal;Synapse;Transmembrane;Transmembrane helix;Transport</t>
  </si>
  <si>
    <t>UniRef100_P48169;UniRef90_P48169;UniRef50_P48169</t>
  </si>
  <si>
    <t>DB00231;DB00241;DB00306;DB00312;DB00371;DB00418;DB00599;DB00683;DB00690;DB00794;DB00842;DB00849;DB00897;DB01351;DB01352;DB01353;DB01354;DB01355;DB01544;DB01558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</si>
  <si>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T4S4_HUMAN</t>
  </si>
  <si>
    <t>Transmembrane 4 L6 family member 4</t>
  </si>
  <si>
    <t>TM4SF4</t>
  </si>
  <si>
    <t>CY:1-9;TM:10-31;NC:32-45;TM:46-68;CY:69-88;TM:89-113;NC:114-156;TM:157-176;CY:177-202</t>
  </si>
  <si>
    <t>ENSG00000169903</t>
  </si>
  <si>
    <t>ENSP00000305852</t>
  </si>
  <si>
    <t>124;156</t>
  </si>
  <si>
    <t>UniRef100_P48230;UniRef90_P48230;UniRef50_P48230</t>
  </si>
  <si>
    <t>LEPR_HUMAN</t>
  </si>
  <si>
    <t>Leptin receptor</t>
  </si>
  <si>
    <t>LEPR</t>
  </si>
  <si>
    <t>SP:1-21;NC:22-840;TM:841-862;CY:863-1165</t>
  </si>
  <si>
    <t>ENSG00000116678</t>
  </si>
  <si>
    <t>ENSP00000330393</t>
  </si>
  <si>
    <t>CD295</t>
  </si>
  <si>
    <t>23;41;56;73;81;98;187;206;276;347;397;433;516;624;659;670;688;697;728;750;880;963;1006;1026</t>
  </si>
  <si>
    <t>58;927;945;946;956;973;996;1008;1015;1023;1025;1028;1048;1084;1090;1098;1101</t>
  </si>
  <si>
    <t>319;622</t>
  </si>
  <si>
    <t>YSEN[115]STTVIR;VTFFNLN[115]ETKPR</t>
  </si>
  <si>
    <t>276;397</t>
  </si>
  <si>
    <t>P48357</t>
  </si>
  <si>
    <t>3D-structure;Alternative splicing;Cell membrane;Complete proteome;Direct protein sequencing;Disulfide bond;Glycoprotein;Immunoglobulin domain;Membrane;Obesity;Phosphoprotein;Polymorphism;Receptor;Reference proteome;Repeat;Secreted;Signal;Transmembrane;Transmembrane helix</t>
  </si>
  <si>
    <t>UniRef100_P48357;UniRef90_P48357;UniRef50_P48356</t>
  </si>
  <si>
    <t>CD151_HUMAN</t>
  </si>
  <si>
    <t>CD151 antigen</t>
  </si>
  <si>
    <t>CD151</t>
  </si>
  <si>
    <t>CY:1-20;TM:21-43;NC:44-57;TM:58-81;CY:82-91;TM:92-115;NC:116-221;TM:222-245;CY:246-253</t>
  </si>
  <si>
    <t>ENSG00000177697</t>
  </si>
  <si>
    <t>ENSP00000324101;ENSP00000380565;ENSP00000380566;ENSP00000432385</t>
  </si>
  <si>
    <t>YHQPGHEAVTSAVDQLQQEFHCCGSN[115]NSQDWR;VTSAVDQLQQEFHCCGSN[115]NSQDWR;TSAVDQLQQEFHCCGSN[115]NSQDWR;AVDQLQQEFHCCGSN[115]NSQDWR;VDQLQQEFHCCGSN[115]NSQDWR;DQLQQEFHCCGSN[115]NSQDWR;HCCGSN[115]NSQDWR;CCGSN[115]NSQDWR;GSN[115]NSQDWR</t>
  </si>
  <si>
    <t>P48509</t>
  </si>
  <si>
    <t>Blood group antigen;Complete proteome;Deafness;Epidermolysis bullosa;Glycoprotein;Lipoprotein;Membrane;Palmitate;Polymorphism;Reference proteome;Transmembrane;Transmembrane helix</t>
  </si>
  <si>
    <t>UniRef100_P48509;UniRef90_P48509;UniRef50_P48509</t>
  </si>
  <si>
    <t>GIPR_HUMAN</t>
  </si>
  <si>
    <t>Gastric inhibitory polypeptide receptor</t>
  </si>
  <si>
    <t>GIPR</t>
  </si>
  <si>
    <t>SP:1-25;NC:26-138;TM:139-161;CY:162-170;TM:171-189;NC:190-227;TM:228-247;CY:248-258;TM:259-279;NC:280-296;TM:297-319;CY:320-338;TM:339-360;NC:361-374;TM:375-395;CY:396-466</t>
  </si>
  <si>
    <t>ENSG00000010310</t>
  </si>
  <si>
    <t>ENSP00000467494</t>
  </si>
  <si>
    <t>62;77;230</t>
  </si>
  <si>
    <t>UniRef100_P48546;UniRef90_P48546;UniRef50_P48546</t>
  </si>
  <si>
    <t>KCNJ3_HUMAN</t>
  </si>
  <si>
    <t>G protein-activated inward rectifier potassium channel 1</t>
  </si>
  <si>
    <t>KCNJ3</t>
  </si>
  <si>
    <t>CY:1-80;TM:81-105;NC:106-129;IM:130-141;IM:142-148;NC:149-157;TM:158-179;CY:180-501</t>
  </si>
  <si>
    <t>ENSG00000162989</t>
  </si>
  <si>
    <t>ENSP00000295101</t>
  </si>
  <si>
    <t>Alternative splicing;Complete proteome;Glycoprotein;Ion channel;Ion transport;Membrane;Polymorphism;Potassium;Potassium transport;Reference proteome;Transmembrane;Transmembrane helix;Transport;Voltage-gated channel</t>
  </si>
  <si>
    <t>UniRef100_P48549;UniRef90_P48549;UniRef50_P48549</t>
  </si>
  <si>
    <t>INAR2_HUMAN</t>
  </si>
  <si>
    <t>Interferon alpha/beta receptor 2</t>
  </si>
  <si>
    <t>IFNAR2</t>
  </si>
  <si>
    <t>SP:1-26;NC:27-243;TM:244-267;CY:268-515</t>
  </si>
  <si>
    <t>ENSG00000159110</t>
  </si>
  <si>
    <t>ENSP00000343957</t>
  </si>
  <si>
    <t>58;87;116;188;192</t>
  </si>
  <si>
    <t>N[115]HSIVPTHY;N[115]HSIVPTHYTLLYTIMSKPEDLK;GNMSGN[115]FTYIIDK;GN[115]MSGN[115]FTYIIDK</t>
  </si>
  <si>
    <t>58;188;192</t>
  </si>
  <si>
    <t>P48551</t>
  </si>
  <si>
    <t>Membrane (Single-pass type I membrane protein);Membrane (Single-pass type I membrane protein);Secreted</t>
  </si>
  <si>
    <t>3D-structure;Alternative splicing;Complete proteome;Direct protein sequencing;Disulfide bond;Glycoprotein;Membrane;Phosphoprotein;Polymorphism;Receptor;Reference proteome;Secreted;Signal;Transmembrane;Transmembrane helix</t>
  </si>
  <si>
    <t>UniRef100_P48551;UniRef90_P48551;UniRef50_P48551</t>
  </si>
  <si>
    <t>DB00008;DB00011;DB00018;DB00022;DB00034;DB00060;DB00068;DB00069;DB00105</t>
  </si>
  <si>
    <t>EAA4_HUMAN</t>
  </si>
  <si>
    <t>Excitatory amino acid transporter 4</t>
  </si>
  <si>
    <t>SLC1A6</t>
  </si>
  <si>
    <t>CY:1-56;TM:57-77;NC:78-98;TM:99-119;CY:120-130;TM:131-153;NC:154-264;TM:265-283;CY:284-303;TM:304-327;NC:328-338;TM:339-364;CY:365-371;TM:372-394;NC:395-415;TM:416-442;CY:443-453;TM:454-472;NC:473-476;TM:477-500;CY:501-564</t>
  </si>
  <si>
    <t>ENSG00000105143</t>
  </si>
  <si>
    <t>ENSP00000221742</t>
  </si>
  <si>
    <t>216;232;239;560</t>
  </si>
  <si>
    <t>232;239</t>
  </si>
  <si>
    <t>Alternative splicing;Complete proteome;Glycoprotein;Membrane;Reference proteome;Symport;Transmembrane;Transmembrane helix;Transport</t>
  </si>
  <si>
    <t>UniRef100_P48664;UniRef90_P48664;UniRef50_P43003-2</t>
  </si>
  <si>
    <t>SL9A3_HUMAN</t>
  </si>
  <si>
    <t>Sodium/hydrogen exchanger 3</t>
  </si>
  <si>
    <t>SLC9A3</t>
  </si>
  <si>
    <t>CY:1-12;IM:13-24;CY:25-54;IM:55-73;CY:74-79;TM:80-99;NC:100-112;TM:113-133;CY:134-139;TM:140-160;NC:161-180;TM:181-202;CY:203-210;TM:211-232;NC:233-252;TM:253-274;CY:275-290;TM:291-309;NC:310-340;TM:341-362;CY:363-369;TM:370-390;NC:391-405;IM:406-426;NC:427-435;TM:436-456;CY:457-834</t>
  </si>
  <si>
    <t>ENSG00000066230</t>
  </si>
  <si>
    <t>ENSP00000264938</t>
  </si>
  <si>
    <t>241;326;590;691;707</t>
  </si>
  <si>
    <t>Apical cell membrane (Multi-pass membrane protein)</t>
  </si>
  <si>
    <t>Alternative splicing;Antiport;Cell membrane;Complete proteome;Glycoprotein;Ion transport;Membrane;Phosphoprotein;Polymorphism;Reference proteome;Sodium;Sodium transport;Transmembrane;Transmembrane helix;Transport</t>
  </si>
  <si>
    <t>UniRef100_P48764;UniRef90_P48764;UniRef50_P26433</t>
  </si>
  <si>
    <t>CD97_HUMAN</t>
  </si>
  <si>
    <t>CD97 antigen</t>
  </si>
  <si>
    <t>CD97</t>
  </si>
  <si>
    <t>SP:1-20;NC:21-549;TM:550-572;CY:573-582;TM:583-601;NC:602-617;TM:618-642;CY:643-653;TM:654-674;NC:675-693;TM:694-716;CY:717-736;TM:737-760;NC:761-765;TM:766-789;CY:790-835</t>
  </si>
  <si>
    <t>ENSG00000123146</t>
  </si>
  <si>
    <t>ENSP00000242786</t>
  </si>
  <si>
    <t>33;38;108;203;371;406;413;453;520;823</t>
  </si>
  <si>
    <t>811;815;816;817;818</t>
  </si>
  <si>
    <t>GCARWCPQNSSCVN[115]ATACR;GCARWCPQN[115]SSCVN[115]ATACR;WCPQNSSCVN[115]ATACR;WCPQN[115]SSCVNATACR;WCPQN[115]SSCVN[115]ATACR;CPQNSSCVN[115]ATACR;CPQN[115]SSCVN[115]ATACR;PQNSSCVN[115]ATACR;PQN[115]SSCVN[115]ATACR;NSSCVN[115]ATACR;N[115]SSCVN[115]ATACR;GDKN[115]VTMGQ;GDKN[115]VTMGQSS;GDKN[115]VTMGQSSA;GDKN[115]VTMGQSSAR;DKN[115]VTMGQSSAR;N[115]VTMGQSSAR;LAN[115]ASLNLHSK;RLSAVNSIFLSHN[115]NTK;RLSAVN[115]SIFLSHN[115]NTK;LSAVNSIFLSHN[115]NT;LSAVNSIFLSHN[115]NTK;LSAVNSIFLSHN[115]N[115]TK;LSAVN[115]SIFLSHN[115]NTK;SAVNSIFLSHN[115]NTK;SAVN[115]SIFLSHN[115]NTK;AVNSIFLSHN[115]NTK;AVN[115]SIFLSHN[115]NTK;VNSIFLSHN[115]NTK;NSIFLSHN[115]NTK;NSIFLSHN[115]N[115]TK;N[115]SIFLSHN[115]NTK;SIFLSHN[115]NTK;IFLSHN[115]NTK;FLSHN[115]NTK;N[115]GSTTCQCSHL</t>
  </si>
  <si>
    <t>33;38;371;413;453;520</t>
  </si>
  <si>
    <t>P48960</t>
  </si>
  <si>
    <t>Cell membrane (Multi-pass membrane protein);Secreted, extracellular space</t>
  </si>
  <si>
    <t>Alternative splicing;Calcium;Cell adhesion;Cell membrane;Complete proteome;Disulfide bond;EGF-like domain;G-protein coupled receptor;Glycoprotein;Membrane;Phosphoprotein;Polymorphism;Receptor;Reference proteome;Repeat;Secreted;Signal;Transducer;Transmembrane;Transmembrane helix</t>
  </si>
  <si>
    <t>UniRef100_P48960;UniRef90_P48960;UniRef50_P48960</t>
  </si>
  <si>
    <t>HCAR3_HUMAN</t>
  </si>
  <si>
    <t>Hydroxycarboxylic acid receptor 3</t>
  </si>
  <si>
    <t>HCAR3</t>
  </si>
  <si>
    <t>NC:1-32;TM:33-53;CY:54-64;TM:65-84;NC:85-102;TM:103-127;CY:128-138;TM:139-163;NC:164-191;TM:192-212;CY:213-232;TM:233-255;NC:256-273;TM:274-296;CY:297-387</t>
  </si>
  <si>
    <t>ENSG00000255398</t>
  </si>
  <si>
    <t>ENSP00000436714</t>
  </si>
  <si>
    <t>141;171;324;336;364</t>
  </si>
  <si>
    <t>141;336</t>
  </si>
  <si>
    <t>Cell membrane;Complete proteome;Disulfide bond;G-protein coupled receptor;Membrane;Polymorphism;Receptor;Reference proteome;Transducer;Transmembrane;Transmembrane helix</t>
  </si>
  <si>
    <t>UniRef100_P49019;UniRef90_Q8TDS4;UniRef50_Q8TDS4</t>
  </si>
  <si>
    <t>DB00627</t>
  </si>
  <si>
    <t>NPY2R_HUMAN</t>
  </si>
  <si>
    <t>Neuropeptide Y receptor type 2</t>
  </si>
  <si>
    <t>NPY2R</t>
  </si>
  <si>
    <t>NC:1-50;TM:51-76;CY:77-87;TM:88-110;NC:111-126;TM:127-146;CY:147-165;TM:166-186;NC:187-216;TM:217-239;CY:240-268;TM:269-291;NC:292-304;TM:305-326;CY:327-381</t>
  </si>
  <si>
    <t>ENSG00000185149</t>
  </si>
  <si>
    <t>ENSP00000332591;ENSP00000426366</t>
  </si>
  <si>
    <t>11;372</t>
  </si>
  <si>
    <t>UniRef100_P49146;UniRef90_P49146;UniRef50_P49146</t>
  </si>
  <si>
    <t>DB00847</t>
  </si>
  <si>
    <t>PTH2R_HUMAN</t>
  </si>
  <si>
    <t>Parathyroid hormone 2 receptor</t>
  </si>
  <si>
    <t>PTH2R</t>
  </si>
  <si>
    <t>SP:1-22;NC:23-144;TM:145-169;CY:170-177;TM:178-196;NC:197-234;TM:235-255;CY:256-274;TM:275-296;NC:297-315;TM:316-337;CY:338-364;TM:365-387;NC:388-398;TM:399-417;CY:418-550</t>
  </si>
  <si>
    <t>ENSG00000144407</t>
  </si>
  <si>
    <t>ENSP00000272847</t>
  </si>
  <si>
    <t>51;106;116;121;432</t>
  </si>
  <si>
    <t>51;106;116</t>
  </si>
  <si>
    <t>Cell membrane;Complete proteome;G-protein coupled receptor;Glycoprotein;Membrane;Receptor;Reference proteome;Signal;Transducer;Transmembrane;Transmembrane helix</t>
  </si>
  <si>
    <t>UniRef100_P49190;UniRef90_P49190;UniRef50_P49190</t>
  </si>
  <si>
    <t>DB05829</t>
  </si>
  <si>
    <t>CX3C1_HUMAN</t>
  </si>
  <si>
    <t>CX3C chemokine receptor 1</t>
  </si>
  <si>
    <t>CX3CR1</t>
  </si>
  <si>
    <t>NC:1-32;TM:33-56;CY:57-67;TM:68-88;NC:89-106;TM:107-125;CY:126-145;TM:146-166;NC:167-196;TM:197-214;CY:215-231;TM:232-253;NC:254-272;TM:273-296;CY:297-355</t>
  </si>
  <si>
    <t>ENSG00000168329</t>
  </si>
  <si>
    <t>ENSP00000382166;ENSP00000439140;ENSP00000444928</t>
  </si>
  <si>
    <t>140;341</t>
  </si>
  <si>
    <t>326;327;329</t>
  </si>
  <si>
    <t>Age-related macular degeneration;Alternative splicing;Cell membrane;Complete proteome;Disulfide bond;G-protein coupled receptor;Host-virus interaction;Membrane;Polymorphism;Receptor;Reference proteome;Transducer;Transmembrane;Transmembrane helix</t>
  </si>
  <si>
    <t>UniRef100_P49238;UniRef90_P49238;UniRef50_P49238</t>
  </si>
  <si>
    <t>NRAM1_HUMAN</t>
  </si>
  <si>
    <t>Natural resistance-associated macrophage protein 1</t>
  </si>
  <si>
    <t>SLC11A1</t>
  </si>
  <si>
    <t>CY:1-57;TM:58-76;NC:77-84;TM:85-106;CY:107-137;TM:138-162;NC:163-167;TM:168-187;CY:188-196;TM:197-216;NC:217-240;TM:241-263;CY:264-283;TM:284-307;NC:308-344;TM:345-370;CY:371-398;TM:399-418;NC:419-432;TM:433-455;CY:456-466;TM:467-488;NC:489-494;TM:495-516;CY:517-550</t>
  </si>
  <si>
    <t>ENSG00000018280</t>
  </si>
  <si>
    <t>ENSP00000233202</t>
  </si>
  <si>
    <t>SLC;Other;SLC11</t>
  </si>
  <si>
    <t>324;338</t>
  </si>
  <si>
    <t>14;19;20;22;23;25;26</t>
  </si>
  <si>
    <t>Alternative splicing;Complete proteome;Glycoprotein;Ion transport;Iron;Iron transport;Membrane;Polymorphism;Reference proteome;Transmembrane;Transmembrane helix;Transport</t>
  </si>
  <si>
    <t>UniRef100_P49279;UniRef90_P49279;UniRef50_P49281</t>
  </si>
  <si>
    <t>NRAM2_HUMAN</t>
  </si>
  <si>
    <t>Natural resistance-associated macrophage protein 2</t>
  </si>
  <si>
    <t>SLC11A2</t>
  </si>
  <si>
    <t>CY:1-68;TM:69-85;NC:86-97;TM:98-118;CY:119-148;TM:149-174;NC:175-179;TM:180-199;CY:200-208;TM:209-227;NC:228-255;TM:256-276;CY:277-295;TM:296-319;NC:320-358;TM:359-382;CY:383-408;TM:409-429;NC:430-447;TM:448-466;CY:467-477;TM:478-500;NC:501-505;TM:506-527;CY:528-568</t>
  </si>
  <si>
    <t>ENSG00000110911</t>
  </si>
  <si>
    <t>ENSP00000262051;ENSP00000449008;ENSP00000446769</t>
  </si>
  <si>
    <t>336;349</t>
  </si>
  <si>
    <t>33;336;349</t>
  </si>
  <si>
    <t>TNEQVVEVCTN[115]TSSPH;TNEQVVEVCTN[115]TSSPHAGLFPK;VEVCTN[115]TSSPHAGLFPK;DN[115]STLAVDIYK</t>
  </si>
  <si>
    <t>P49281</t>
  </si>
  <si>
    <t>Endosome membrane (Multi-pass membrane protein);Mitochondrion outer membrane (Multi-pass membrane protein)</t>
  </si>
  <si>
    <t>Alternative splicing;Complete proteome;Disease mutation;Endosome;Glycoprotein;Ion transport;Iron;Iron transport;Membrane;Mitochondrion;Mitochondrion outer membrane;Phosphoprotein;Polymorphism;Reference proteome;Transmembrane;Transmembrane helix;Transport;Ubl conjugation</t>
  </si>
  <si>
    <t>UniRef100_P49281;UniRef90_P49281;UniRef50_P49281</t>
  </si>
  <si>
    <t>MTR1B_HUMAN</t>
  </si>
  <si>
    <t>Melatonin receptor type 1B</t>
  </si>
  <si>
    <t>MTNR1B</t>
  </si>
  <si>
    <t>NC:1-39;TM:40-65;CY:66-76;TM:77-103;NC:104-114;TM:115-137;CY:138-157;TM:158-178;NC:179-200;TM:201-225;CY:226-249;TM:250-276;NC:277-288;TM:289-311;CY:312-362</t>
  </si>
  <si>
    <t>ENSG00000134640</t>
  </si>
  <si>
    <t>ENSP00000257068</t>
  </si>
  <si>
    <t>4;130</t>
  </si>
  <si>
    <t>UniRef100_P49286;UniRef90_P49286;UniRef50_P49286</t>
  </si>
  <si>
    <t>CXCR3_HUMAN</t>
  </si>
  <si>
    <t>C-X-C chemokine receptor type 3</t>
  </si>
  <si>
    <t>CXCR3</t>
  </si>
  <si>
    <t>NC:1-57;TM:58-79;CY:80-90;TM:91-110;NC:111-128;TM:129-147;CY:148-167;TM:168-190;NC:191-215;TM:216-236;CY:237-255;TM:256-276;NC:277-304;TM:305-325;CY:326-368</t>
  </si>
  <si>
    <t>ENSG00000186810</t>
  </si>
  <si>
    <t>ENSP00000362797</t>
  </si>
  <si>
    <t>CD183</t>
  </si>
  <si>
    <t>22;32;199</t>
  </si>
  <si>
    <t>LN[115]ATHCQY;LN[115]ATHCQYNFPQVGR</t>
  </si>
  <si>
    <t>P49682</t>
  </si>
  <si>
    <t>Cell membrane (Multi-pass membrane protein);Cell membrane (Multi-pass membrane protein)</t>
  </si>
  <si>
    <t>Alternative splicing;Angiogenesis;Apoptosis;Cell membrane;Chemotaxis;Complete proteome;Disulfide bond;G-protein coupled receptor;Glycoprotein;Membrane;Polymorphism;Receptor;Reference proteome;Sulfation;Transducer;Transmembrane;Transmembrane helix</t>
  </si>
  <si>
    <t>UniRef100_P49682;UniRef90_P49682;UniRef50_P49682</t>
  </si>
  <si>
    <t>PRLHR_HUMAN</t>
  </si>
  <si>
    <t>Prolactin-releasing peptide receptor</t>
  </si>
  <si>
    <t>PRLHR</t>
  </si>
  <si>
    <t>NC:1-61;TM:62-86;CY:87-97;TM:98-121;NC:122-126;TM:127-151;CY:152-174;TM:175-196;NC:197-223;TM:224-246;CY:247-276;TM:277-296;NC:297-313;TM:314-338;CY:339-370</t>
  </si>
  <si>
    <t>ENSG00000119973</t>
  </si>
  <si>
    <t>ENSP00000239032</t>
  </si>
  <si>
    <t>27;36;93;363</t>
  </si>
  <si>
    <t>93;363</t>
  </si>
  <si>
    <t>UniRef100_P49683;UniRef90_P49683;UniRef50_P49683</t>
  </si>
  <si>
    <t>GPR15_HUMAN</t>
  </si>
  <si>
    <t>G-protein coupled receptor 15</t>
  </si>
  <si>
    <t>GPR15</t>
  </si>
  <si>
    <t>NC:1-34;TM:35-58;CY:59-67;TM:68-90;NC:91-119;TM:120-139;CY:140-148;TM:149-170;NC:171-193;TM:194-218;CY:219-238;TM:239-259;NC:260-285;TM:286-305;CY:306-360</t>
  </si>
  <si>
    <t>ENSG00000154165</t>
  </si>
  <si>
    <t>ENSP00000284311</t>
  </si>
  <si>
    <t>Cell membrane;Complete proteome;G-protein coupled receptor;Membrane;Polymorphism;Receptor;Reference proteome;Transducer;Transmembrane;Transmembrane helix</t>
  </si>
  <si>
    <t>UniRef100_P49685;UniRef90_P49685;UniRef50_P49685</t>
  </si>
  <si>
    <t>PSN1_HUMAN</t>
  </si>
  <si>
    <t>Presenilin-1</t>
  </si>
  <si>
    <t>PSEN1</t>
  </si>
  <si>
    <t>CY:1-82;TM:83-103;NC:104-132;TM:133-153;CY:154-160;TM:161-181;NC:182-190;TM:191-211;CY:212-220;TM:221-241;NC:242-243;TM:244-264;CY:265-380;TM:381-401;NC:402-407;TM:408-428;CY:429-432;IM:433-453;CY:454-467</t>
  </si>
  <si>
    <t>ENSG00000080815</t>
  </si>
  <si>
    <t>ENSP00000326366</t>
  </si>
  <si>
    <t>279;405</t>
  </si>
  <si>
    <t>Cell surface;Endoplasmic reticulum membrane (Multi-pass membrane protein);Golgi apparatus membrane (Multi-pass membrane protein)</t>
  </si>
  <si>
    <t>3D-structure;Alternative splicing;Alzheimer disease;Amyloidosis;Apoptosis;Cardiomyopathy;Cell adhesion;Complete proteome;Direct protein sequencing;Disease mutation;Endoplasmic reticulum;Golgi apparatus;Hydrolase;Membrane;Neurodegeneration;Notch signaling pathway;Phosphoprotein;Polymorphism;Protease;Reference proteome;Transmembrane;Transmembrane helix</t>
  </si>
  <si>
    <t>UniRef100_P49768;UniRef90_P49768;UniRef50_P49768</t>
  </si>
  <si>
    <t>Cytoskeleton;Endoplasmic Reticulum;Golgi apparatus;Nucleus;Plasma membrane</t>
  </si>
  <si>
    <t>Cytosol;Endosome;Extracellular space;Peroxisome</t>
  </si>
  <si>
    <t>FLT3L_HUMAN</t>
  </si>
  <si>
    <t>Fms-related tyrosine kinase 3 ligand</t>
  </si>
  <si>
    <t>FLT3LG</t>
  </si>
  <si>
    <t>SP:1-26;NC:27-185;TM:186-206;CY:207-235</t>
  </si>
  <si>
    <t>ENSG00000090554</t>
  </si>
  <si>
    <t>ENSP00000469613;ENSP00000468977;ENSP00000470453</t>
  </si>
  <si>
    <t>126;149</t>
  </si>
  <si>
    <t>3D-structure;Alternative splicing;Cell membrane;Complete proteome;Cytokine;Disulfide bond;Glycoprotein;Membrane;Reference proteome;Secreted;Signal;Transmembrane;Transmembrane helix</t>
  </si>
  <si>
    <t>UniRef100_P49771;UniRef90_P49771;UniRef50_P49772</t>
  </si>
  <si>
    <t>PSN2_HUMAN</t>
  </si>
  <si>
    <t>Presenilin-2</t>
  </si>
  <si>
    <t>PSEN2</t>
  </si>
  <si>
    <t>CY:1-87;TM:88-108;NC:109-138;TM:139-159;CY:160-166;TM:167-187;NC:188-200;TM:201-221;CY:222-223;TM:224-244;NC:245-249;TM:250-270;CY:271-361;TM:362-382;NC:383-388;TM:389-409;CY:410-413;IM:414-434;CY:435-448</t>
  </si>
  <si>
    <t>ENSG00000143801</t>
  </si>
  <si>
    <t>ENSP00000355747</t>
  </si>
  <si>
    <t>Endoplasmic reticulum membrane (Multi-pass membrane protein);Golgi apparatus membrane (Multi-pass membrane protein)</t>
  </si>
  <si>
    <t>Alternative splicing;Alzheimer disease;Amyloidosis;Cardiomyopathy;Complete proteome;Disease mutation;Endoplasmic reticulum;Golgi apparatus;Hydrolase;Membrane;Neurodegeneration;Notch signaling pathway;Phosphoprotein;Protease;Reference proteome;Transmembrane;Transmembrane helix</t>
  </si>
  <si>
    <t>UniRef100_P49810;UniRef90_Q61144;UniRef50_Q61144</t>
  </si>
  <si>
    <t>Cytoskeleton;Endoplasmic Reticulum;Golgi apparatus;Nucleus</t>
  </si>
  <si>
    <t>Endosome;Extracellular space;Peroxisome</t>
  </si>
  <si>
    <t>ENTP1_HUMAN</t>
  </si>
  <si>
    <t>Ectonucleoside triphosphate diphosphohydrolase 1</t>
  </si>
  <si>
    <t>ENTPD1</t>
  </si>
  <si>
    <t>CY:1-15;TM:16-37;NC:38-476;TM:477-499;CY:500-510</t>
  </si>
  <si>
    <t>ENSG00000138185</t>
  </si>
  <si>
    <t>ENSP00000360248</t>
  </si>
  <si>
    <t>CD39</t>
  </si>
  <si>
    <t>73;227;292;334;371;457</t>
  </si>
  <si>
    <t>73;227;371;457</t>
  </si>
  <si>
    <t>WPAEKEN[115]DTGVVHQVEECR;PAEKEN[115]DTGVVHQVEECR;AEKEN[115]DTGVVHQVEECR;EN[115]DTGVVHQVEECR;DLGGASTQVTFVPQN[115]QTIESPDNALQFR;KVVN[115]VSDLYK;VVN[115]VSDLYK;FLN[115]LTSEK</t>
  </si>
  <si>
    <t>73;227;292;371</t>
  </si>
  <si>
    <t>P49961</t>
  </si>
  <si>
    <t>Alternative splicing;ATP-binding;Calcium;Complete proteome;Direct protein sequencing;Disease mutation;Disulfide bond;Glycoprotein;Hereditary spastic paraplegia;Hydrolase;Lipoprotein;Magnesium;Membrane;Neurodegeneration;Nucleotide-binding;Palmitate;Polymorphism;Reference proteome;Transmembrane;Transmembrane helix</t>
  </si>
  <si>
    <t>UniRef100_P49961;UniRef90_P49961;UniRef50_P49961</t>
  </si>
  <si>
    <t>AGTR2_HUMAN</t>
  </si>
  <si>
    <t>Type-2 angiotensin II receptor</t>
  </si>
  <si>
    <t>AGTR2</t>
  </si>
  <si>
    <t>NC:1-48;TM:49-70;CY:71-81;TM:82-102;NC:103-119;TM:120-140;CY:141-159;TM:160-181;NC:182-210;TM:211-234;CY:235-253;TM:254-275;NC:276-297;TM:298-321;CY:322-363</t>
  </si>
  <si>
    <t>ENSG00000180772</t>
  </si>
  <si>
    <t>ENSP00000360973</t>
  </si>
  <si>
    <t>4;13;24;29;34</t>
  </si>
  <si>
    <t>353;354</t>
  </si>
  <si>
    <t>MKGN[115]STLATTSK</t>
  </si>
  <si>
    <t>P50052</t>
  </si>
  <si>
    <t>UniRef100_P50052;UniRef90_P35351;UniRef50_P35351</t>
  </si>
  <si>
    <t>DB01349</t>
  </si>
  <si>
    <t>MMP14_HUMAN</t>
  </si>
  <si>
    <t>Matrix metalloproteinase-14</t>
  </si>
  <si>
    <t>MMP14</t>
  </si>
  <si>
    <t>SP:1-23;NC:24-538;TM:539-562;CY:563-582</t>
  </si>
  <si>
    <t>ENSG00000157227</t>
  </si>
  <si>
    <t>ENSP00000308208</t>
  </si>
  <si>
    <t>130;311</t>
  </si>
  <si>
    <t>291;299;300;301;304;313</t>
  </si>
  <si>
    <t>Cytoplasm;Melanosome;Membrane (Single-pass type I membrane protein)</t>
  </si>
  <si>
    <t>3D-structure;Calcium;Cleavage on pair of basic residues;Complete proteome;Cytoplasm;Direct protein sequencing;Disease mutation;Disulfide bond;Hydrolase;Membrane;Metal-binding;Metalloprotease;Phosphoprotein;Polymorphism;Protease;Reference proteome;Repeat;Signal;Transmembrane;Transmembrane helix;Zinc;Zymogen</t>
  </si>
  <si>
    <t>UniRef100_P50281;UniRef90_P50281;UniRef50_P50281</t>
  </si>
  <si>
    <t>DB00786</t>
  </si>
  <si>
    <t>NPY4R_HUMAN</t>
  </si>
  <si>
    <t>Neuropeptide Y receptor type 4</t>
  </si>
  <si>
    <t>NPY4R</t>
  </si>
  <si>
    <t>NC:1-39;TM:40-63;CY:64-83;TM:84-104;NC:105-115;TM:116-137;CY:138-156;TM:157-176;NC:177-212;TM:213-237;CY:238-262;TM:263-282;NC:283-301;TM:302-325;CY:326-375</t>
  </si>
  <si>
    <t>ENSG00000204174</t>
  </si>
  <si>
    <t>ENSP00000363431;ENSP00000379066;ENSP00000480883</t>
  </si>
  <si>
    <t>2;19;29;74;187</t>
  </si>
  <si>
    <t>74;145</t>
  </si>
  <si>
    <t>UniRef100_P50391;UniRef90_P50391;UniRef50_P50391</t>
  </si>
  <si>
    <t>100996758;5540</t>
  </si>
  <si>
    <t>5HT6R_HUMAN</t>
  </si>
  <si>
    <t>5-hydroxytryptamine receptor 6</t>
  </si>
  <si>
    <t>HTR6</t>
  </si>
  <si>
    <t>NC:1-28;TM:29-51;CY:52-62;TM:63-84;NC:85-99;TM:100-122;CY:123-142;TM:143-165;NC:166-184;TM:185-209;CY:210-262;TM:263-285;NC:286-303;TM:304-323;CY:324-440</t>
  </si>
  <si>
    <t>ENSG00000158748</t>
  </si>
  <si>
    <t>ENSP00000289753</t>
  </si>
  <si>
    <t>10;59;312</t>
  </si>
  <si>
    <t>10;312</t>
  </si>
  <si>
    <t>UniRef100_P50406;UniRef90_P50406;UniRef50_P31388</t>
  </si>
  <si>
    <t>DB00246;DB00321;DB00334;DB00363;DB00408;DB00458;DB00477;DB00540;DB00543;DB01142;DB01224;DB01238;DB04946;DB06144;DB06148;DB06216;DB01049</t>
  </si>
  <si>
    <t>S26A2_HUMAN</t>
  </si>
  <si>
    <t>Sulfate transporter</t>
  </si>
  <si>
    <t>SLC26A2</t>
  </si>
  <si>
    <t>CY:1-107;TM:108-132;NC:133-137;TM:138-154;CY:155-159;TM:160-176;NC:177-216;TM:217-238;CY:239-245;TM:246-266;NC:267-297;TM:298-317;CY:318-328;TM:329-349;NC:350-377;TM:378-398;CY:399-418;TM:419-441;NC:442-454;TM:455-476;CY:477-523;TM:524-546;NC:547-645;TM:646-665;CY:666-739</t>
  </si>
  <si>
    <t>ENSG00000155850</t>
  </si>
  <si>
    <t>ENSP00000286298</t>
  </si>
  <si>
    <t>10;20;199;205;357</t>
  </si>
  <si>
    <t>205;687</t>
  </si>
  <si>
    <t>AGYDNAHSAPSLGMVSN[115]GSTLLNHTSDR;AGYDNAHSAPSLGMVSN[115]GSTLLN[115]H;AGYDNAHSAPSLGMVSN[115]GSTLLN[115]HTSDR;AGYDN[115]AHSAPSLGMVSN[115]GSTLLN[115]HTSDR;SAPSLGMVSN[115]GSTLLN[115]HTSDR;APSLGMVSN[115]GSTLLN[115]HTSDR;MVSN[115]GSTLLN[115]HTSDR;VSN[115]GSTLLN[115]HTSDR;GSTLLN[115]HTSDR;LHENYN[115]SSIAGHIPTGFMPPK</t>
  </si>
  <si>
    <t>199;205;357</t>
  </si>
  <si>
    <t>P50443</t>
  </si>
  <si>
    <t>Complete proteome;Disease mutation;Dwarfism;Glycoprotein;Membrane;Phosphoprotein;Polymorphism;Reference proteome;Transmembrane;Transmembrane helix;Transport</t>
  </si>
  <si>
    <t>UniRef100_P50443;UniRef90_P50443;UniRef50_P50443</t>
  </si>
  <si>
    <t>BCAM_HUMAN</t>
  </si>
  <si>
    <t>Basal cell adhesion molecule</t>
  </si>
  <si>
    <t>BCAM</t>
  </si>
  <si>
    <t>SP:1-31;NC:32-547;TM:548-571;CY:572-628</t>
  </si>
  <si>
    <t>ENSG00000187244</t>
  </si>
  <si>
    <t>ENSP00000270233</t>
  </si>
  <si>
    <t>CD239</t>
  </si>
  <si>
    <t>321;377;383;419;439</t>
  </si>
  <si>
    <t>EGN[115]LTLEGVTR;VLSLPLN[115]SSAVVN[115]CSVH;VLSLPLN[115]SSAVVN[115]CSVHGLPTPALR;TQN[115]FTLLVQGSPELK</t>
  </si>
  <si>
    <t>321;377;383;439</t>
  </si>
  <si>
    <t>P50895</t>
  </si>
  <si>
    <t>3D-structure;Blood group antigen;Cell adhesion;Complete proteome;Direct protein sequencing;Disulfide bond;Glycoprotein;Immunoglobulin domain;Membrane;Phosphoprotein;Polymorphism;Receptor;Reference proteome;Repeat;Signal;Transmembrane;Transmembrane helix</t>
  </si>
  <si>
    <t>UniRef100_P50895;UniRef90_P50895;UniRef50_P50895</t>
  </si>
  <si>
    <t>AT1A2_HUMAN</t>
  </si>
  <si>
    <t>Sodium/potassium-transporting ATPase subunit alpha-2</t>
  </si>
  <si>
    <t>ATP1A2</t>
  </si>
  <si>
    <t>CY:1-93;TM:94-112;NC:113-127;TM:128-147;CY:148-288;TM:289-310;NC:311-316;TM:317-342;CY:343-772;TM:773-793;NC:794-798;TM:799-822;CY:823-845;TM:846-869;NC:870-909;TM:910-929;CY:930-949;TM:950-968;NC:969-981;TM:982-998;CY:999-1020</t>
  </si>
  <si>
    <t>ENSG00000018625</t>
  </si>
  <si>
    <t>ENSP00000354490</t>
  </si>
  <si>
    <t>213;437;481;635;681;717</t>
  </si>
  <si>
    <t>ATP-binding;Cell membrane;Complete proteome;Disease mutation;Hydrolase;Ion transport;Magnesium;Membrane;Metal-binding;Nucleotide-binding;Phosphoprotein;Potassium;Potassium transport;Reference proteome;Sodium;Sodium transport;Sodium/potassium transport;Transmembrane;Transmembrane helix;Transport</t>
  </si>
  <si>
    <t>UniRef100_P50993;UniRef90_P50993;UniRef50_P06685</t>
  </si>
  <si>
    <t>ATP4B_HUMAN</t>
  </si>
  <si>
    <t>Potassium-transporting ATPase subunit beta</t>
  </si>
  <si>
    <t>ATP4B</t>
  </si>
  <si>
    <t>CY:1-37;TM:38-63;NC:64-291</t>
  </si>
  <si>
    <t>ENSG00000186009</t>
  </si>
  <si>
    <t>ENSP00000334216</t>
  </si>
  <si>
    <t>99;103;130;146;161;193;222</t>
  </si>
  <si>
    <t>Cell adhesion;Cell membrane;Complete proteome;Disulfide bond;Glycoprotein;Hydrogen ion transport;Ion transport;Membrane;Potassium;Potassium transport;Reference proteome;Signal-anchor;Transmembrane;Transmembrane helix;Transport</t>
  </si>
  <si>
    <t>UniRef100_P51164;UniRef90_P51164;UniRef50_P18597</t>
  </si>
  <si>
    <t>SCNNB_HUMAN</t>
  </si>
  <si>
    <t>Amiloride-sensitive sodium channel subunit beta</t>
  </si>
  <si>
    <t>SCNN1B</t>
  </si>
  <si>
    <t>CY:1-49;TM:50-71;NC:72-525;TM:526-550;CY:551-640</t>
  </si>
  <si>
    <t>ENSG00000168447</t>
  </si>
  <si>
    <t>ENSP00000345751</t>
  </si>
  <si>
    <t>99;135;141;146;199;207;260;364;378;449;484</t>
  </si>
  <si>
    <t>135;146;199;207;260;378;449;484</t>
  </si>
  <si>
    <t>Alternative splicing;Cell membrane;Complete proteome;Disease mutation;Glycoprotein;Ion channel;Ion transport;Membrane;Phosphoprotein;Polymorphism;Reference proteome;Sensory transduction;Sodium;Sodium channel;Sodium transport;Taste;Transmembrane;Transmembrane helix;Transport</t>
  </si>
  <si>
    <t>UniRef100_P51168;UniRef90_P51168;UniRef50_P51168</t>
  </si>
  <si>
    <t>SCNNG_HUMAN</t>
  </si>
  <si>
    <t>Amiloride-sensitive sodium channel subunit gamma</t>
  </si>
  <si>
    <t>SCNN1G</t>
  </si>
  <si>
    <t>CY:1-53;TM:54-79;NC:80-535;TM:536-560;CY:561-649</t>
  </si>
  <si>
    <t>ENSG00000166828</t>
  </si>
  <si>
    <t>ENSP00000300061</t>
  </si>
  <si>
    <t>209;248;271;291;497</t>
  </si>
  <si>
    <t>Cell membrane;Complete proteome;Glycoprotein;Ion channel;Ion transport;Membrane;Phosphoprotein;Polymorphism;Reference proteome;Sensory transduction;Sodium;Sodium channel;Sodium transport;Taste;Transmembrane;Transmembrane helix;Transport;Ubl conjugation</t>
  </si>
  <si>
    <t>UniRef100_P51170;UniRef90_P51170;UniRef50_P51170</t>
  </si>
  <si>
    <t>SCNND_HUMAN</t>
  </si>
  <si>
    <t>Amiloride-sensitive sodium channel subunit delta</t>
  </si>
  <si>
    <t>SCNN1D</t>
  </si>
  <si>
    <t>CY:1-87;TM:88-107;NC:108-524;TM:525-547;CY:548-638</t>
  </si>
  <si>
    <t>ENSG00000162572</t>
  </si>
  <si>
    <t>ENSP00000339504;ENSP00000383717</t>
  </si>
  <si>
    <t>66;166;211;333;384</t>
  </si>
  <si>
    <t>ENIDSLYN[115]VN[115]LSKGR</t>
  </si>
  <si>
    <t>P51172</t>
  </si>
  <si>
    <t>Alternative splicing;Cell membrane;Complete proteome;Glycoprotein;Ion channel;Ion transport;Membrane;Polymorphism;Reference proteome;Sensory transduction;Sodium;Sodium channel;Sodium transport;Taste;Transmembrane;Transmembrane helix;Transport</t>
  </si>
  <si>
    <t>UniRef100_P51172;UniRef90_P51172;UniRef50_P51172</t>
  </si>
  <si>
    <t>MMP16_HUMAN</t>
  </si>
  <si>
    <t>Matrix metalloproteinase-16</t>
  </si>
  <si>
    <t>MMP16</t>
  </si>
  <si>
    <t>SP:1-36;NC:37-563;TM:564-585;CY:586-607</t>
  </si>
  <si>
    <t>ENSG00000156103</t>
  </si>
  <si>
    <t>ENSP00000286614</t>
  </si>
  <si>
    <t>83;138;161</t>
  </si>
  <si>
    <t>Cell membrane (Single-pass type I membrane protein|Extracellular side;Cell surface;Secreted, extracellular space, extracellular matrix</t>
  </si>
  <si>
    <t>3D-structure;Alternative splicing;Calcium;Cell membrane;Cleavage on pair of basic residues;Collagen degradation;Complete proteome;Disulfide bond;Extracellular matrix;Glycoprotein;Hydrolase;Membrane;Metal-binding;Metalloprotease;Protease;Reference proteome;Repeat;Secreted;Signal;Transmembrane;Transmembrane helix;Zinc;Zymogen</t>
  </si>
  <si>
    <t>UniRef100_P51512;UniRef90_P51512;UniRef50_Q9R0S2</t>
  </si>
  <si>
    <t>P2RX1_HUMAN</t>
  </si>
  <si>
    <t>P2X purinoceptor 1</t>
  </si>
  <si>
    <t>P2RX1</t>
  </si>
  <si>
    <t>CY:1-30;TM:31-50;NC:51-334;TM:335-357;CY:358-399</t>
  </si>
  <si>
    <t>ENSG00000108405</t>
  </si>
  <si>
    <t>ENSP00000225538</t>
  </si>
  <si>
    <t>153;184;242;284;300</t>
  </si>
  <si>
    <t>HFVEN[115]GTNYR</t>
  </si>
  <si>
    <t>P51575</t>
  </si>
  <si>
    <t>Apoptosis;Complete proteome;Disease mutation;Disulfide bond;Glycoprotein;Ion channel;Ion transport;Ligand-gated ion channel;Membrane;Phosphoprotein;Polymorphism;Receptor;Reference proteome;Transmembrane;Transmembrane helix;Transport</t>
  </si>
  <si>
    <t>UniRef100_P51575;UniRef90_P51575;UniRef50_P51575</t>
  </si>
  <si>
    <t>P2RY4_HUMAN</t>
  </si>
  <si>
    <t>P2Y purinoceptor 4</t>
  </si>
  <si>
    <t>P2RY4</t>
  </si>
  <si>
    <t>NC:1-38;TM:39-61;CY:62-72;TM:73-95;NC:96-114;TM:115-133;CY:134-150;TM:151-173;NC:174-198;TM:199-223;CY:224-243;TM:244-264;NC:265-289;TM:290-309;CY:310-365</t>
  </si>
  <si>
    <t>ENSG00000186912</t>
  </si>
  <si>
    <t>ENSP00000363643</t>
  </si>
  <si>
    <t>3D-structure;Cell membrane;Complete proteome;Disulfide bond;G-protein coupled receptor;Membrane;Phosphoprotein;Polymorphism;Receptor;Reference proteome;Transducer;Transmembrane;Transmembrane helix</t>
  </si>
  <si>
    <t>UniRef100_P51582;UniRef90_P51582;UniRef50_P51582</t>
  </si>
  <si>
    <t>GPC3_HUMAN</t>
  </si>
  <si>
    <t>Glypican-3</t>
  </si>
  <si>
    <t>GPC3</t>
  </si>
  <si>
    <t>SP:1-24;NC:25-580</t>
  </si>
  <si>
    <t>ENSG00000147257</t>
  </si>
  <si>
    <t>ENSP00000359854</t>
  </si>
  <si>
    <t>124;241;418</t>
  </si>
  <si>
    <t>Alternative splicing;Cell membrane;Complete proteome;Disease mutation;Glycoprotein;GPI-anchor;Heparan sulfate;Lipoprotein;Membrane;Protease inhibitor;Proteoglycan;Reference proteome;Secreted;Signal</t>
  </si>
  <si>
    <t>UniRef100_P51654;UniRef90_Q8CFZ4;UniRef50_Q8CFZ4</t>
  </si>
  <si>
    <t>GPM6A_HUMAN</t>
  </si>
  <si>
    <t>Neuronal membrane glycoprotein M6-a</t>
  </si>
  <si>
    <t>GPM6A</t>
  </si>
  <si>
    <t>CY:1-20;TM:21-43;NC:44-82;TM:83-105;CY:106-125;TM:126-149;NC:150-210;TM:211-234;CY:235-278</t>
  </si>
  <si>
    <t>ENSG00000150625</t>
  </si>
  <si>
    <t>ENSP00000280187;ENSP00000377268</t>
  </si>
  <si>
    <t>164;208</t>
  </si>
  <si>
    <t>Cell membrane (Multi-pass membrane protein);Cell projection, axon;Cell projection, dendritic spine;Cell projection, filopodium</t>
  </si>
  <si>
    <t>Acetylation;Alternative splicing;Cell membrane;Cell projection;Complete proteome;Disulfide bond;Glycoprotein;Membrane;Neurogenesis;Polymorphism;Reference proteome;Transmembrane;Transmembrane helix</t>
  </si>
  <si>
    <t>UniRef100_P51674;UniRef90_Q812E9;UniRef50_Q812E9</t>
  </si>
  <si>
    <t>CCR3_HUMAN</t>
  </si>
  <si>
    <t>C-C chemokine receptor type 3</t>
  </si>
  <si>
    <t>CCR3</t>
  </si>
  <si>
    <t>NC:1-39;TM:40-60;CY:61-71;TM:72-91;NC:92-110;TM:111-134;CY:135-145;TM:146-169;NC:170-201;TM:202-225;CY:226-238;TM:239-261;NC:262-280;TM:281-304;CY:305-355</t>
  </si>
  <si>
    <t>ENSG00000183625</t>
  </si>
  <si>
    <t>ENSP00000350003;ENSP00000379271;ENSP00000379273</t>
  </si>
  <si>
    <t>CD193</t>
  </si>
  <si>
    <t>341;346</t>
  </si>
  <si>
    <t>Alternative splicing;Cell membrane;Complete proteome;Disulfide bond;G-protein coupled receptor;Host-virus interaction;Membrane;Polymorphism;Receptor;Reference proteome;Transducer;Transmembrane;Transmembrane helix</t>
  </si>
  <si>
    <t>UniRef100_P51677;UniRef90_P51677;UniRef50_P32246</t>
  </si>
  <si>
    <t>CCR4_HUMAN</t>
  </si>
  <si>
    <t>C-C chemokine receptor type 4</t>
  </si>
  <si>
    <t>CCR4</t>
  </si>
  <si>
    <t>NC:1-44;TM:45-65;CY:66-76;TM:77-99;NC:100-111;TM:112-133;CY:134-150;TM:151-174;NC:175-205;TM:206-225;CY:226-242;TM:243-264;NC:265-283;TM:284-307;CY:308-360</t>
  </si>
  <si>
    <t>ENSG00000183813</t>
  </si>
  <si>
    <t>ENSP00000332659</t>
  </si>
  <si>
    <t>CD194</t>
  </si>
  <si>
    <t>183;194</t>
  </si>
  <si>
    <t>2;183;194</t>
  </si>
  <si>
    <t>339;344;345;346</t>
  </si>
  <si>
    <t>YSLN[115]STTWK</t>
  </si>
  <si>
    <t>P51679</t>
  </si>
  <si>
    <t>UniRef100_P51679;UniRef90_P51679;UniRef50_P51679</t>
  </si>
  <si>
    <t>CCR5_HUMAN</t>
  </si>
  <si>
    <t>C-C chemokine receptor type 5</t>
  </si>
  <si>
    <t>CCR5</t>
  </si>
  <si>
    <t>NC:1-35;TM:36-56;CY:57-67;TM:68-87;NC:88-105;TM:106-128;CY:129-141;TM:142-166;NC:167-197;TM:198-221;CY:222-233;TM:234-257;NC:258-279;TM:280-300;CY:301-352</t>
  </si>
  <si>
    <t>ENSG00000160791</t>
  </si>
  <si>
    <t>ENSP00000292303;ENSP00000404881</t>
  </si>
  <si>
    <t>CD195</t>
  </si>
  <si>
    <t>336;337</t>
  </si>
  <si>
    <t>3D-structure;Cell membrane;Complete proteome;Diabetes mellitus;Disulfide bond;G-protein coupled receptor;Glycoprotein;Host-virus interaction;Lipoprotein;Membrane;Palmitate;Phosphoprotein;Polymorphism;Receptor;Reference proteome;Sulfation;Transducer;Transmembrane;Transmembrane helix</t>
  </si>
  <si>
    <t>UniRef100_P51681;UniRef90_P51681;UniRef50_P51681</t>
  </si>
  <si>
    <t>DB04835</t>
  </si>
  <si>
    <t>CCR6_HUMAN</t>
  </si>
  <si>
    <t>C-C chemokine receptor type 6</t>
  </si>
  <si>
    <t>CCR6</t>
  </si>
  <si>
    <t>NC:1-50;TM:51-73;CY:74-83;TM:84-104;NC:105-123;TM:124-145;CY:146-165;TM:166-185;NC:186-216;TM:217-240;CY:241-253;TM:254-279;NC:280-299;TM:300-319;CY:320-374</t>
  </si>
  <si>
    <t>ENSG00000112486;ENSG00000272980</t>
  </si>
  <si>
    <t>ENSP00000343952;ENSP00000339393;ENSP00000383715</t>
  </si>
  <si>
    <t>CD196</t>
  </si>
  <si>
    <t>7;23;115;285;355;368</t>
  </si>
  <si>
    <t>UniRef100_P51684;UniRef90_P51684;UniRef50_P51684</t>
  </si>
  <si>
    <t>CCR8_HUMAN</t>
  </si>
  <si>
    <t>C-C chemokine receptor type 8</t>
  </si>
  <si>
    <t>CCR8</t>
  </si>
  <si>
    <t>NC:1-36;TM:37-62;CY:63-72;TM:73-94;NC:95-110;TM:111-130;CY:131-150;TM:151-172;NC:173-201;TM:202-219;CY:220-238;TM:239-260;NC:261-279;TM:280-303;CY:304-355</t>
  </si>
  <si>
    <t>ENSG00000179934</t>
  </si>
  <si>
    <t>ENSP00000326432</t>
  </si>
  <si>
    <t>CDw198</t>
  </si>
  <si>
    <t>Alternative splicing;Cell membrane;Complete proteome;Disulfide bond;G-protein coupled receptor;Membrane;Polymorphism;Receptor;Reference proteome;Transducer;Transmembrane;Transmembrane helix</t>
  </si>
  <si>
    <t>UniRef100_P51685;UniRef90_P51685;UniRef50_P51685</t>
  </si>
  <si>
    <t>CCR9_HUMAN</t>
  </si>
  <si>
    <t>C-C chemokine receptor type 9</t>
  </si>
  <si>
    <t>CCR9</t>
  </si>
  <si>
    <t>NC:1-53;TM:54-75;CY:76-85;TM:86-108;NC:109-127;TM:128-147;CY:148-166;TM:167-186;NC:187-218;TM:219-241;CY:242-253;TM:254-277;NC:278-299;TM:300-320;CY:321-369</t>
  </si>
  <si>
    <t>ENSG00000173585</t>
  </si>
  <si>
    <t>ENSP00000350256</t>
  </si>
  <si>
    <t>CDw199</t>
  </si>
  <si>
    <t>UniRef100_P51686;UniRef90_P51686;UniRef50_P51686</t>
  </si>
  <si>
    <t>APLP1_HUMAN</t>
  </si>
  <si>
    <t>Amyloid-like protein 1</t>
  </si>
  <si>
    <t>APLP1</t>
  </si>
  <si>
    <t>SP:1-35;NC:36-581;TM:582-603;CY:604-650</t>
  </si>
  <si>
    <t>ENSG00000105290</t>
  </si>
  <si>
    <t>337;461;551</t>
  </si>
  <si>
    <t>VN[115]QSLGLLDQNPH;KVN[115]ASVPR</t>
  </si>
  <si>
    <t>461;551</t>
  </si>
  <si>
    <t>P51693</t>
  </si>
  <si>
    <t>3D-structure;Alternative splicing;Apoptosis;Cell adhesion;Cell membrane;Complete proteome;Copper;Cytoplasm;Endocytosis;Glycoprotein;Heparin-binding;Membrane;Metal-binding;Neurodegeneration;Reference proteome;Signal;Transmembrane;Transmembrane helix;Zinc</t>
  </si>
  <si>
    <t>UniRef100_P51693;UniRef90_P51693;UniRef50_P51693</t>
  </si>
  <si>
    <t>CLCKB_HUMAN</t>
  </si>
  <si>
    <t>Chloride channel protein ClC-Kb</t>
  </si>
  <si>
    <t>CLCNKB</t>
  </si>
  <si>
    <t>CY:1-49;TM:50-70;NC:71-89;TM:90-110;CY:111-160;TM:161-180;NC:181-199;TM:200-224;CY:225-235;TM:236-256;NC:257-281;TM:282-305;CY:306-324;TM:325-343;NC:344-395;TM:396-416;CY:417-422;TM:423-440;NC:441-452;TM:453-475;CY:476-484;TM:485-511;NC:512-687</t>
  </si>
  <si>
    <t>ENSG00000184908</t>
  </si>
  <si>
    <t>ENSP00000364831</t>
  </si>
  <si>
    <t>Channels;Chloride_channels;CLC</t>
  </si>
  <si>
    <t>193;364;373;552;679</t>
  </si>
  <si>
    <t>234;388</t>
  </si>
  <si>
    <t>Alternative splicing;Bartter syndrome;Calcium;CBS domain;Cell membrane;Chloride;Chloride channel;Complete proteome;Deafness;Disease mutation;Glycoprotein;Ion channel;Ion transport;Membrane;Metal-binding;Polymorphism;Reference proteome;Repeat;Transmembrane;Transmembrane helix;Transport;Voltage-gated channel</t>
  </si>
  <si>
    <t>UniRef100_P51801;UniRef90_P51801;UniRef50_P51801</t>
  </si>
  <si>
    <t>PLXA3_HUMAN</t>
  </si>
  <si>
    <t>Plexin-A3</t>
  </si>
  <si>
    <t>PLXNA3</t>
  </si>
  <si>
    <t>SP:1-19;NC:20-1219;TM:1220-1242;CY:1243-1871</t>
  </si>
  <si>
    <t>ENSG00000130827</t>
  </si>
  <si>
    <t>ENSP00000358696</t>
  </si>
  <si>
    <t>59;548;637;738;746;1009;1036;1073;1115;1162</t>
  </si>
  <si>
    <t>AN[115]ISSPGLIYTYTQDPTVTR</t>
  </si>
  <si>
    <t>P51805</t>
  </si>
  <si>
    <t>Cell membrane;Complete proteome;Disulfide bond;Glycoprotein;Membrane;Polymorphism;Receptor;Reference proteome;Repeat;Signal;Transmembrane;Transmembrane helix</t>
  </si>
  <si>
    <t>UniRef100_P51805;UniRef90_P70208;UniRef50_Q80UG2</t>
  </si>
  <si>
    <t>GP143_HUMAN</t>
  </si>
  <si>
    <t>G-protein coupled receptor 143</t>
  </si>
  <si>
    <t>GPR143</t>
  </si>
  <si>
    <t>NC:1-27;TM:28-49;CY:50-74;TM:75-95;NC:96-120;TM:121-143;CY:144-154;TM:155-176;NC:177-194;TM:195-213;CY:214-245;TM:246-270;NC:271-289;TM:290-314;CY:315-404</t>
  </si>
  <si>
    <t>ENSG00000101850</t>
  </si>
  <si>
    <t>ENSP00000417161</t>
  </si>
  <si>
    <t>GPCR;Other</t>
  </si>
  <si>
    <t>106;263</t>
  </si>
  <si>
    <t>Apical cell membrane (Multi-pass membrane protein);Golgi apparatus;Lysosome membrane (Multi-pass membrane protein);Melanosome membrane (Multi- pass membrane protein)</t>
  </si>
  <si>
    <t>Albinism;Cell membrane;Complete proteome;Disease mutation;G-protein coupled receptor;Glycoprotein;Golgi apparatus;Lysosome;Membrane;Receptor;Reference proteome;Transducer;Transmembrane;Transmembrane helix</t>
  </si>
  <si>
    <t>UniRef100_P51810;UniRef90_P51810;UniRef50_P51810</t>
  </si>
  <si>
    <t>ADCY7_HUMAN</t>
  </si>
  <si>
    <t>Adenylate cyclase type 7</t>
  </si>
  <si>
    <t>ADCY7</t>
  </si>
  <si>
    <t>CY:1-33;TM:34-54;NC:55-63;TM:64-85;CY:86-91;TM:92-116;NC:117-121;TM:122-140;CY:141-146;TM:147-169;NC:170-175;TM:176-196;CY:197-595;TM:596-614;NC:615-619;TM:620-641;CY:642-665;TM:666-689;NC:690-718;TM:719-738;CY:739-744;TM:745-762;NC:763-799;TM:800-819;CY:820-1080</t>
  </si>
  <si>
    <t>ENSG00000121281</t>
  </si>
  <si>
    <t>ENSP00000254235;ENSP00000378187</t>
  </si>
  <si>
    <t>191;277;701;760;776;781</t>
  </si>
  <si>
    <t>QVPELPVGN[115]ETGLLAASSK</t>
  </si>
  <si>
    <t>P51828</t>
  </si>
  <si>
    <t>ATP-binding;cAMP biosynthesis;Complete proteome;Glycoprotein;Lyase;Magnesium;Membrane;Metal-binding;Nucleotide-binding;Reference proteome;Repeat;Transmembrane;Transmembrane helix</t>
  </si>
  <si>
    <t>UniRef100_P51828;UniRef90_P51828;UniRef50_P51828</t>
  </si>
  <si>
    <t>CTR2_HUMAN</t>
  </si>
  <si>
    <t>Cationic amino acid transporter 2</t>
  </si>
  <si>
    <t>SLC7A2</t>
  </si>
  <si>
    <t>CY:1-38;TM:39-56;NC:57-67;TM:68-87;CY:88-98;TM:99-125;NC:126-163;TM:164-184;CY:185-192;TM:193-211;NC:212-250;TM:251-275;CY:276-286;TM:287-313;NC:314-338;TM:339-359;CY:360-386;TM:387-406;NC:407-412;TM:413-433;CY:434-492;TM:493-513;NC:514-523;TM:524-545;CY:546-554;TM:555-577;NC:578-582;TM:583-603;CY:604-658</t>
  </si>
  <si>
    <t>ENSG00000003989</t>
  </si>
  <si>
    <t>ENSP00000419140;ENSP00000430464</t>
  </si>
  <si>
    <t>157;227;239;644</t>
  </si>
  <si>
    <t>157;239</t>
  </si>
  <si>
    <t>ISEEFLKN[115]ISASAR;EPPSEN[115]GTSIYGAGGFMPY</t>
  </si>
  <si>
    <t>227;239</t>
  </si>
  <si>
    <t>P52569</t>
  </si>
  <si>
    <t>Alternative splicing;Amino-acid transport;Cell membrane;Complete proteome;Glycoprotein;Membrane;Phosphoprotein;Polymorphism;Reference proteome;Transmembrane;Transmembrane helix;Transport</t>
  </si>
  <si>
    <t>UniRef100_P52569;UniRef90_P52569;UniRef50_P18581</t>
  </si>
  <si>
    <t>DB00123;DB00129</t>
  </si>
  <si>
    <t>EFNA3_HUMAN</t>
  </si>
  <si>
    <t>Ephrin-A3</t>
  </si>
  <si>
    <t>EFNA3</t>
  </si>
  <si>
    <t>SP:1-22;NC:23-238</t>
  </si>
  <si>
    <t>ENSG00000143590</t>
  </si>
  <si>
    <t>ENSP00000357393</t>
  </si>
  <si>
    <t>38;67;100</t>
  </si>
  <si>
    <t>Alternative splicing;Cell membrane;Complete proteome;Disulfide bond;Glycoprotein;GPI-anchor;Lipoprotein;Membrane;Polymorphism;Reference proteome;Signal</t>
  </si>
  <si>
    <t>UniRef100_P52797;UniRef90_P52797;UniRef50_P52797</t>
  </si>
  <si>
    <t>EFNA4_HUMAN</t>
  </si>
  <si>
    <t>Ephrin-A4</t>
  </si>
  <si>
    <t>EFNA4</t>
  </si>
  <si>
    <t>SP:1-22;NC:23-201</t>
  </si>
  <si>
    <t>ENSG00000243364</t>
  </si>
  <si>
    <t>ENSP00000357394</t>
  </si>
  <si>
    <t>HVVYWN[115]SSNPR</t>
  </si>
  <si>
    <t>P52798</t>
  </si>
  <si>
    <t>Cell membrane (Lipid-anchor, GPI- anchor);Secreted</t>
  </si>
  <si>
    <t>Alternative splicing;Cell membrane;Complete proteome;Direct protein sequencing;Disulfide bond;Glycoprotein;GPI-anchor;Lipoprotein;Membrane;Reference proteome;Secreted;Signal</t>
  </si>
  <si>
    <t>UniRef100_P52798;UniRef90_P52798;UniRef50_P52798</t>
  </si>
  <si>
    <t>EFNB2_HUMAN</t>
  </si>
  <si>
    <t>Ephrin-B2</t>
  </si>
  <si>
    <t>EFNB2</t>
  </si>
  <si>
    <t>SP:1-25;NC:26-225;TM:226-250;CY:251-333</t>
  </si>
  <si>
    <t>ENSG00000125266</t>
  </si>
  <si>
    <t>ENSP00000245323</t>
  </si>
  <si>
    <t>Ligand;EphB</t>
  </si>
  <si>
    <t>36;139;282</t>
  </si>
  <si>
    <t>170;193;194;195;196;197;207;265;266</t>
  </si>
  <si>
    <t>SIVLEPIYWN[115]SSNSK;SIVLEPIYWN[115]SSN[115]SK;NKDYYIISTSN[115]GSLEGLDNQEGGVCQTR;DYYIISTSN[115]GSLEGLDNQEGGVCQTR</t>
  </si>
  <si>
    <t>36;139</t>
  </si>
  <si>
    <t>P52799</t>
  </si>
  <si>
    <t>3D-structure;Angiogenesis;Complete proteome;Developmental protein;Differentiation;Disulfide bond;Glycoprotein;Host-virus interaction;Membrane;Neurogenesis;Phosphoprotein;Reference proteome;Signal;Transmembrane;Transmembrane helix</t>
  </si>
  <si>
    <t>UniRef100_P52799;UniRef90_P52800;UniRef50_P52800</t>
  </si>
  <si>
    <t>EFNA5_HUMAN</t>
  </si>
  <si>
    <t>Ephrin-A5</t>
  </si>
  <si>
    <t>EFNA5</t>
  </si>
  <si>
    <t>SP:1-20;NC:21-228</t>
  </si>
  <si>
    <t>ENSG00000184349</t>
  </si>
  <si>
    <t>ENSP00000328777</t>
  </si>
  <si>
    <t>195;199</t>
  </si>
  <si>
    <t>YAVYWN[115]SSNPR</t>
  </si>
  <si>
    <t>P52803</t>
  </si>
  <si>
    <t>Cell membrane (Lipid-anchor, GPI-anchor);Membrane, caveola (Lipid-anchor, GPI-anchor)</t>
  </si>
  <si>
    <t>3D-structure;Cell membrane;Complete proteome;Developmental protein;Differentiation;Disulfide bond;Glycoprotein;GPI-anchor;Lipoprotein;Membrane;Neurogenesis;Polymorphism;Reference proteome;Signal</t>
  </si>
  <si>
    <t>UniRef100_P52803;UniRef90_O08543;UniRef50_O08543</t>
  </si>
  <si>
    <t>NAR1_HUMAN</t>
  </si>
  <si>
    <t>GPI-linked NAD(P)(+)--arginine ADP-ribosyltransferase 1</t>
  </si>
  <si>
    <t>ART1</t>
  </si>
  <si>
    <t>SP:1-24;NC:25-327</t>
  </si>
  <si>
    <t>ENSG00000129744</t>
  </si>
  <si>
    <t>ENSP00000250693</t>
  </si>
  <si>
    <t>CD296</t>
  </si>
  <si>
    <t>2.4.2</t>
  </si>
  <si>
    <t>65;253</t>
  </si>
  <si>
    <t>Sarcoplasmic reticulum membrane (Lipid- anchor, GPI-anchor)</t>
  </si>
  <si>
    <t>Complete proteome;Disulfide bond;Glycoprotein;Glycosyltransferase;GPI-anchor;Lipoprotein;Membrane;NAD;NADP;Polymorphism;Reference proteome;Sarcoplasmic reticulum;Signal;Transferase</t>
  </si>
  <si>
    <t>UniRef100_P52961;UniRef90_P52961;UniRef50_P52961</t>
  </si>
  <si>
    <t>ITA8_HUMAN</t>
  </si>
  <si>
    <t>Integrin alpha-8</t>
  </si>
  <si>
    <t>ITGA8</t>
  </si>
  <si>
    <t>SP:1-38;NC:39-1009;TM:1010-1034;CY:1035-1063</t>
  </si>
  <si>
    <t>ENSG00000077943</t>
  </si>
  <si>
    <t>ENSP00000367316</t>
  </si>
  <si>
    <t>81;122;177;239;302;311;504;601;605;719;737;753;780;896;923;1005</t>
  </si>
  <si>
    <t>IRVN[115]GTKEPIEFK;VN[115]GTKEPIEFK;SVADIIAN[115]YSFK</t>
  </si>
  <si>
    <t>122;239</t>
  </si>
  <si>
    <t>P53708</t>
  </si>
  <si>
    <t>Cell membrane;Membrane (Single-pass type I membrane protein)</t>
  </si>
  <si>
    <t>Calcium;Cell adhesion;Cell membrane;Cleavage on pair of basic residues;Complete proteome;Developmental protein;Differentiation;Disease mutation;Disulfide bond;Glycoprotein;Integrin;Membrane;Metal-binding;Neurogenesis;Polymorphism;Receptor;Reference proteome;Repeat;Signal;Transmembrane;Transmembrane helix</t>
  </si>
  <si>
    <t>UniRef100_P53708;UniRef90_P53708;UniRef50_P53708</t>
  </si>
  <si>
    <t>SC5A3_HUMAN</t>
  </si>
  <si>
    <t>Sodium/myo-inositol cotransporter</t>
  </si>
  <si>
    <t>SLC5A3</t>
  </si>
  <si>
    <t>NC:1-11;TM:12-29;CY:30-39;TM:40-61;NC:62-81;TM:82-102;CY:103-121;TM:122-143;NC:144-156;TM:157-182;CY:183-188;TM:189-209;NC:210-301;TM:302-323;CY:324-357;TM:358-376;NC:377-408;TM:409-432;CY:433-443;TM:444-462;NC:463-510;TM:511-532;CY:533-695;TM:696-716;NC:717-718</t>
  </si>
  <si>
    <t>ENSG00000198743</t>
  </si>
  <si>
    <t>ENSP00000370543</t>
  </si>
  <si>
    <t>32;232;240;557;579</t>
  </si>
  <si>
    <t>253;579</t>
  </si>
  <si>
    <t>YMLASPDVTSILLTYN[115]LSNTNSCNVSPK;YMLASPDVTSILLTYN[115]LSNTNSCN[115]VSPK;YMLASPDVTSILLTYN[115]LSNTNSCN[115]VSPKK;YMLASPDVTSILLTYN[115]LSNTN[115]SCNVSPK;YMLASPDVTSILLTYN[115]LSN[115]TNSCNVSPK;LTYN[115]LSNTNSCNVSPK;LTYN[115]LSNTNSCN[115]VSPK;TYN[115]LSNTNSCNVSPK;TYN[115]LSNTNSCN[115]VSPK;TYN[115]LSNTN[115]SCNVSPK;N[115]LSNTNSCN[115]VSPK;N[115]LSNTN[115]SCNVSPK</t>
  </si>
  <si>
    <t>232;240</t>
  </si>
  <si>
    <t>P53794</t>
  </si>
  <si>
    <t>Complete proteome;Glycoprotein;Ion transport;Membrane;Polymorphism;Reference proteome;Sodium;Sodium transport;Symport;Transmembrane;Transmembrane helix;Transport</t>
  </si>
  <si>
    <t>UniRef100_P53794;UniRef90_P53794;UniRef50_P53794</t>
  </si>
  <si>
    <t>PTTG_HUMAN</t>
  </si>
  <si>
    <t>Pituitary tumor-transforming gene 1 protein-interacting protein</t>
  </si>
  <si>
    <t>PTTG1IP</t>
  </si>
  <si>
    <t>SP:1-32;NC:33-96;TM:97-121;CY:122-180</t>
  </si>
  <si>
    <t>ENSG00000183255</t>
  </si>
  <si>
    <t>ENSP00000328325</t>
  </si>
  <si>
    <t>45;54</t>
  </si>
  <si>
    <t>PPGAACSQNTN[115]K;N[115]VSCLWCNTNK</t>
  </si>
  <si>
    <t>P53801</t>
  </si>
  <si>
    <t>Coiled coil;Complete proteome;Cytoplasm;Glycoprotein;Membrane;Nucleus;Phosphoprotein;Reference proteome;Signal;Transmembrane;Transmembrane helix</t>
  </si>
  <si>
    <t>UniRef100_P53801;UniRef90_P53801;UniRef50_P53801</t>
  </si>
  <si>
    <t>MOT1_HUMAN</t>
  </si>
  <si>
    <t>Monocarboxylate transporter 1</t>
  </si>
  <si>
    <t>SLC16A1</t>
  </si>
  <si>
    <t>CY:1-17;TM:18-36;NC:37-58;TM:59-80;CY:81-86;TM:87-105;NC:106-110;TM:111-132;CY:133-143;TM:144-164;NC:165-169;TM:170-192;CY:193-262;TM:263-287;NC:288-298;TM:299-319;CY:320-329;TM:330-347;NC:348-352;TM:353-375;CY:376-386;TM:387-409;NC:410-420;TM:421-443;CY:444-500</t>
  </si>
  <si>
    <t>ENSG00000155380</t>
  </si>
  <si>
    <t>ENSP00000358640;ENSP00000441065</t>
  </si>
  <si>
    <t>Alternative splicing;Cell membrane;Complete proteome;Disease mutation;Membrane;Phosphoprotein;Polymorphism;Reference proteome;Symport;Transmembrane;Transmembrane helix;Transport</t>
  </si>
  <si>
    <t>UniRef100_P53985;UniRef90_P53985;UniRef50_P53985</t>
  </si>
  <si>
    <t>VMAT1_HUMAN</t>
  </si>
  <si>
    <t>Chromaffin granule amine transporter</t>
  </si>
  <si>
    <t>SLC18A1</t>
  </si>
  <si>
    <t>CY:1-20;TM:21-45;NC:46-137;TM:138-157;CY:158-167;TM:168-188;NC:189-197;TM:198-219;CY:220-230;TM:231-251;NC:252-256;TM:257-279;CY:280-299;TM:300-319;NC:320-338;TM:339-359;CY:360-365;TM:366-387;NC:388-396;TM:397-417;CY:418-424;TM:425-444;NC:445-450;TM:451-474;CY:475-525</t>
  </si>
  <si>
    <t>ENSG00000036565</t>
  </si>
  <si>
    <t>ENSP00000276373;ENSP00000387549</t>
  </si>
  <si>
    <t>SLC;MFS;SLC18</t>
  </si>
  <si>
    <t>58;87;104</t>
  </si>
  <si>
    <t>Cytoplasmic vesicle membrane (Multi-pass membrane protein);Endoplasmic reticulum membrane (Multi-pass membrane protein)</t>
  </si>
  <si>
    <t>Alternative splicing;Complete proteome;Cytoplasmic vesicle;Endoplasmic reticulum;Glycoprotein;Membrane;Neurotransmitter transport;Polymorphism;Reference proteome;Transmembrane;Transmembrane helix;Transport</t>
  </si>
  <si>
    <t>UniRef100_P54219;UniRef90_P54219;UniRef50_P54219</t>
  </si>
  <si>
    <t>DB00206;DB00368;DB01363;DB01577</t>
  </si>
  <si>
    <t>AT1B3_HUMAN</t>
  </si>
  <si>
    <t>Sodium/potassium-transporting ATPase subunit beta-3</t>
  </si>
  <si>
    <t>ATP1B3</t>
  </si>
  <si>
    <t>CY:1-37;TM:38-61;NC:62-279</t>
  </si>
  <si>
    <t>ENSG00000069849</t>
  </si>
  <si>
    <t>ENSP00000286371</t>
  </si>
  <si>
    <t>CD298</t>
  </si>
  <si>
    <t>10;124;240</t>
  </si>
  <si>
    <t>22;124;240</t>
  </si>
  <si>
    <t>FLKPYTLEEQKN[115]LTVCPDGALFEQ;FLKPYTLEEQKN[115]LTVCPDGALFEQK;FLKPYTLEEQKN[115]LTVCPDGALFEQKG;LKPYTLEEQKN[115]LTVCPDGALFEQK;PYTLEEQKN[115]LTVCPDGALFEQK;TLEEQKN[115]LTVCPDGALFEQK;LEEQKN[115]LTVCPDGALFEQK;EEQKN[115]LTVCPDGALFEQK;N[115]LTVCPDGALF;N[115]LTVCPDGALFEQK;N[115]LTVCPDGALFEQKG;LHVGYLQPLVAVQVSFAPN[115]NTGK;LQPLVAVQVSFAPN[115]NTGK;LVAVQVSFAPN[115]NTGK;VAVQVSFAPN[115]NTGK;VAVQVSFAPN[115]N[115]TGK;AVQVSFAPN[115]NTGK;VQVSFAPN[115]NTGK;VQVSFAPN[115]N[115]TGK;QVSFAPN[115]NTGK;VSFAPN[115]NTGK;VSFAPN[115]NTGKEVTVECK;SFAPN[115]NTGK;SFAPN[115]N[115]TGK;FAPN[115]NTGKEVTVECK</t>
  </si>
  <si>
    <t>124;240</t>
  </si>
  <si>
    <t>P54709</t>
  </si>
  <si>
    <t>Cell membrane (Single-pass type II membrane protein);Melanosome</t>
  </si>
  <si>
    <t>Alternative splicing;Cell membrane;Complete proteome;Disulfide bond;Glycoprotein;Ion transport;Membrane;Potassium;Potassium transport;Reference proteome;Signal-anchor;Sodium;Sodium transport;Sodium/potassium transport;Transmembrane;Transmembrane helix;Transport</t>
  </si>
  <si>
    <t>UniRef100_P54709;UniRef90_P54709;UniRef50_P54709</t>
  </si>
  <si>
    <t>EPHB3_HUMAN</t>
  </si>
  <si>
    <t>Ephrin type-B receptor 3</t>
  </si>
  <si>
    <t>EPHB3</t>
  </si>
  <si>
    <t>SP:1-37;NC:38-558;TM:559-582;CY:583-998</t>
  </si>
  <si>
    <t>ENSG00000182580</t>
  </si>
  <si>
    <t>ENSP00000332118</t>
  </si>
  <si>
    <t>351;445;991</t>
  </si>
  <si>
    <t>YAAVN[115]ITTNQAAPSEVPTLR</t>
  </si>
  <si>
    <t>P54753</t>
  </si>
  <si>
    <t>Cell membrane (Single-pass type I membrane protein);Cell projection, dendrite</t>
  </si>
  <si>
    <t>3D-structure;Angiogenesis;ATP-binding;Cell membrane;Cell projection;Complete proteome;Developmental protein;Disulfide bond;Glycoprotein;Kinase;Membrane;Neurogenesis;Nucleotide-binding;Phosphoprotein;Polymorphism;Receptor;Reference proteome;Repeat;Signal;Transferase;Transmembrane;Transmembrane helix;Tyrosine-protein kinase</t>
  </si>
  <si>
    <t>UniRef100_P54753;UniRef90_P54754;UniRef50_P54754</t>
  </si>
  <si>
    <t>EPHA5_HUMAN</t>
  </si>
  <si>
    <t>Ephrin type-A receptor 5</t>
  </si>
  <si>
    <t>EPHA5</t>
  </si>
  <si>
    <t>SP:1-29;NC:30-571;TM:572-595;CY:596-1037</t>
  </si>
  <si>
    <t>ENSG00000145242</t>
  </si>
  <si>
    <t>ENSP00000273854</t>
  </si>
  <si>
    <t>264;299;369;423;436;461;758;947</t>
  </si>
  <si>
    <t>264;299;369;423;436;461;758;938;947</t>
  </si>
  <si>
    <t>HLAVFPDTITGADSSQLLEVSGSCVN[115]HSVTDEPPK;AGYEEKN[115]GTCQVCR</t>
  </si>
  <si>
    <t>264;299</t>
  </si>
  <si>
    <t>P54756</t>
  </si>
  <si>
    <t>3D-structure;Alternative splicing;ATP-binding;Cell membrane;Cell projection;Complete proteome;Glycoprotein;Kinase;Membrane;Neurogenesis;Nucleotide-binding;Phosphoprotein;Polymorphism;Receptor;Reference proteome;Repeat;Signal;Transferase;Transmembrane;Transmembrane helix;Tyrosine-protein kinase</t>
  </si>
  <si>
    <t>UniRef100_P54756;UniRef90_P54756;UniRef50_O09127</t>
  </si>
  <si>
    <t>EPHB4_HUMAN</t>
  </si>
  <si>
    <t>Ephrin type-B receptor 4</t>
  </si>
  <si>
    <t>EPHB4</t>
  </si>
  <si>
    <t>SP:1-15;NC:16-537;TM:538-563;CY:564-987</t>
  </si>
  <si>
    <t>ENSG00000196411</t>
  </si>
  <si>
    <t>ENSP00000350896</t>
  </si>
  <si>
    <t>203;335;426;768</t>
  </si>
  <si>
    <t>CAQLTVN[115]LTR;LN[115]GSSLHLEWSAPLESGGR;TALNGVSSLATGPVPFEPVN[115]VTTDR;TALN[115]GVSSLATGPVPFEPVN[115]VTTDR;ALNGVSSLATGPVPFEPVN[115]VTTDR;ALN[115]GVSSLATGPVPFEPVN[115]VTTDR;ATGPVPFEPVN[115]VTTDR</t>
  </si>
  <si>
    <t>203;335;426</t>
  </si>
  <si>
    <t>P54760</t>
  </si>
  <si>
    <t>3D-structure;Alternative splicing;Angiogenesis;ATP-binding;Cell membrane;Complete proteome;Developmental protein;Disulfide bond;Glycoprotein;Kinase;Membrane;Nucleotide-binding;Phosphoprotein;Polymorphism;Receptor;Reference proteome;Repeat;Signal;Transferase;Transmembrane;Transmembrane helix;Tyrosine-protein kinase</t>
  </si>
  <si>
    <t>UniRef100_P54760;UniRef90_P54760;UniRef50_P54754</t>
  </si>
  <si>
    <t>EPHB1_HUMAN</t>
  </si>
  <si>
    <t>Ephrin type-B receptor 1</t>
  </si>
  <si>
    <t>EPHB1</t>
  </si>
  <si>
    <t>SP:1-17;NC:18-540;TM:541-562;CY:563-984</t>
  </si>
  <si>
    <t>ENSG00000154928</t>
  </si>
  <si>
    <t>ENSP00000381097</t>
  </si>
  <si>
    <t>334;426;480</t>
  </si>
  <si>
    <t>EHNEFN[115]SSMAR;EHN[115]EFN[115]SSMAR</t>
  </si>
  <si>
    <t>P54762</t>
  </si>
  <si>
    <t>Cell membrane (Single-pass type I membrane protein);Cell projection, dendrite;Early endosome membrane</t>
  </si>
  <si>
    <t>3D-structure;Alternative splicing;ATP-binding;Cell adhesion;Cell membrane;Cell projection;Complete proteome;Direct protein sequencing;Endosome;Glycoprotein;Kinase;Membrane;Neurogenesis;Nucleotide-binding;Phosphoprotein;Polymorphism;Receptor;Reference proteome;Repeat;Signal;Transferase;Transmembrane;Transmembrane helix;Tyrosine-protein kinase;Ubl conjugation</t>
  </si>
  <si>
    <t>UniRef100_P54762;UniRef90_P54762;UniRef50_P54763</t>
  </si>
  <si>
    <t>EPHA4_HUMAN</t>
  </si>
  <si>
    <t>Ephrin type-A receptor 4</t>
  </si>
  <si>
    <t>EPHA4</t>
  </si>
  <si>
    <t>SP:1-19;NC:20-547;TM:548-569;CY:570-986</t>
  </si>
  <si>
    <t>ENSG00000116106</t>
  </si>
  <si>
    <t>ENSP00000281821;ENSP00000386829</t>
  </si>
  <si>
    <t>235;340;408;545;704;931</t>
  </si>
  <si>
    <t>GSCVN[115]NSEEKDVPK</t>
  </si>
  <si>
    <t>P54764</t>
  </si>
  <si>
    <t>Cell junction, synapse, postsynaptic cell membrane, postsynaptic density;Cell membrane (Single-pass type I membrane protein);Cell projection, axon;Cell projection, dendrite;Early endosome</t>
  </si>
  <si>
    <t>3D-structure;Alternative splicing;ATP-binding;Cell adhesion;Cell junction;Cell membrane;Cell projection;Complete proteome;Developmental protein;Endosome;Glycoprotein;Kinase;Membrane;Neurogenesis;Nucleotide-binding;Phosphoprotein;Polymorphism;Postsynaptic cell membrane;Receptor;Reference proteome;Repeat;Signal;Synapse;Transferase;Transmembrane;Transmembrane helix;Tyrosine-protein kinase</t>
  </si>
  <si>
    <t>UniRef100_P54764;UniRef90_Q03137;UniRef50_P29317</t>
  </si>
  <si>
    <t>Cytosol;Endoplasmic Reticulum;Extracellular space;Golgi apparatus;Lysosome;Mitochondrion;Nucleus;Peroxisome</t>
  </si>
  <si>
    <t>GAS1_HUMAN</t>
  </si>
  <si>
    <t>Growth arrest-specific protein 1</t>
  </si>
  <si>
    <t>GAS1</t>
  </si>
  <si>
    <t>SP:1-14;NC:15-345</t>
  </si>
  <si>
    <t>ENSG00000180447</t>
  </si>
  <si>
    <t>ENSP00000298743</t>
  </si>
  <si>
    <t>151;255;303;317;318</t>
  </si>
  <si>
    <t>Cell cycle;Cell membrane;Complete proteome;Glycoprotein;GPI-anchor;Growth arrest;Lipoprotein;Membrane;Reference proteome;Signal</t>
  </si>
  <si>
    <t>UniRef100_P54826;UniRef90_P54826;UniRef50_Q01721</t>
  </si>
  <si>
    <t>EMP1_HUMAN</t>
  </si>
  <si>
    <t>Epithelial membrane protein 1</t>
  </si>
  <si>
    <t>EMP1</t>
  </si>
  <si>
    <t>CY:1-6;TM:7-25;NC:26-64;TM:65-87;CY:88-94;TM:95-116;NC:117-131;TM:132-154;CY:155-157</t>
  </si>
  <si>
    <t>ENSG00000134531</t>
  </si>
  <si>
    <t>ENSP00000256951</t>
  </si>
  <si>
    <t>StructuralAndAdhesion;EMP-PMP22-LIM</t>
  </si>
  <si>
    <t>43;46</t>
  </si>
  <si>
    <t>28;41;106;138</t>
  </si>
  <si>
    <t>NCTN[115]ISCSDSLSYASEDALK;N[115]CTNISCSDSLSYASEDALK;N[115]CTN[115]ISCSDSLSYASEDALK</t>
  </si>
  <si>
    <t>P54849</t>
  </si>
  <si>
    <t>UniRef100_P54849;UniRef90_P54849;UniRef50_P54849</t>
  </si>
  <si>
    <t>EMP2_HUMAN</t>
  </si>
  <si>
    <t>Epithelial membrane protein 2</t>
  </si>
  <si>
    <t>EMP2</t>
  </si>
  <si>
    <t>SP:1-16;NC:17-62;TM:63-84;CY:85-94;TM:95-116;NC:117-140;TM:141-163;CY:164-167</t>
  </si>
  <si>
    <t>ENSG00000213853</t>
  </si>
  <si>
    <t>ENSP00000352540;ENSP00000445712</t>
  </si>
  <si>
    <t>44;47;52</t>
  </si>
  <si>
    <t>28;29;39;147</t>
  </si>
  <si>
    <t>ICTNN[115]TN[115]CTVINDSFQEY;ICTN[115]NTN[115]CTVINDSF;ICTN[115]NTN[115]CTVINDSFQEY;ICTN[115]NTN[115]CTVIN[115]DSF</t>
  </si>
  <si>
    <t>P54851</t>
  </si>
  <si>
    <t>Apical cell membrane;Cell membrane;Cytoplasm;Golgi apparatus membrane (Multi-pass membrane protein);Membrane raft;Nucleus</t>
  </si>
  <si>
    <t>Cell membrane;Complete proteome;Cytoplasm;Disease mutation;Glycoprotein;Golgi apparatus;Membrane;Nucleus;Reference proteome;Transmembrane;Transmembrane helix</t>
  </si>
  <si>
    <t>UniRef100_P54851;UniRef90_P54851;UniRef50_P54851</t>
  </si>
  <si>
    <t>EMP3_HUMAN</t>
  </si>
  <si>
    <t>Epithelial membrane protein 3</t>
  </si>
  <si>
    <t>EMP3</t>
  </si>
  <si>
    <t>SP:1-26;NC:27-64;TM:65-88;CY:89-95;TM:96-120;NC:121-134;TM:135-159;CY:160-163</t>
  </si>
  <si>
    <t>ENSG00000142227</t>
  </si>
  <si>
    <t>ENSP00000270221;ENSP00000469194</t>
  </si>
  <si>
    <t>47;56</t>
  </si>
  <si>
    <t>28;29;40;45;52;62;143</t>
  </si>
  <si>
    <t>ESLNLWYDCTWNN[115]DTK;ESLNLWYDCTWN[115]N[115]DTK;ESLN[115]LWYDCTWNN[115]DTK;ESLN[115]LWYDCTWN[115]N[115]DTK;LNLWYDCTWNN[115]DTK;NLWYDCTWNN[115]DTK;N[115]LWYDCTWNN[115]DTK;N[115]LWYDCTWN[115]N[115]DTK;LWYDCTWNN[115]DTK;LWYDCTWN[115]N[115]DTK;WYDCTWNN[115]DTK;YDCTWNN[115]DTK;DCTWNN[115]DTK;TWNN[115]DTK</t>
  </si>
  <si>
    <t>P54852</t>
  </si>
  <si>
    <t>UniRef100_P54852;UniRef90_P54852;UniRef50_P54852</t>
  </si>
  <si>
    <t>S12A2_HUMAN</t>
  </si>
  <si>
    <t>Solute carrier family 12 member 2</t>
  </si>
  <si>
    <t>SLC12A2</t>
  </si>
  <si>
    <t>CY:1-290;TM:291-310;NC:311-316;TM:317-343;CY:344-363;TM:364-387;NC:388-408;TM:409-428;CY:429-435;TM:436-456;NC:457-486;TM:487-509;CY:510-520;TM:521-541;NC:542-593;TM:594-617;CY:618-653;TM:654-675;NC:676-680;TM:681-699;CY:700-719;TM:720-748;NC:749-901;TM:902-922;CY:923-1212</t>
  </si>
  <si>
    <t>ENSG00000064651</t>
  </si>
  <si>
    <t>ENSP00000262461</t>
  </si>
  <si>
    <t>168;506;553;562;690</t>
  </si>
  <si>
    <t>553;562</t>
  </si>
  <si>
    <t>DATGNVN[115]DTIVTELTNCTSAACK;DATGNVN[115]DTIVTELTN[115]CTSAACK;DATGN[115]VNDTIVTELTN[115]CTSAACK;TN[115]CTSAACK</t>
  </si>
  <si>
    <t>P55011</t>
  </si>
  <si>
    <t>Acetylation;Alternative splicing;Complete proteome;Ion transport;Membrane;Phosphoprotein;Potassium;Potassium transport;Reference proteome;Sodium;Sodium transport;Symport;Transmembrane;Transmembrane helix;Transport</t>
  </si>
  <si>
    <t>UniRef100_P55011;UniRef90_P55011;UniRef50_P55011</t>
  </si>
  <si>
    <t>DB00761;DB00887;DB01325</t>
  </si>
  <si>
    <t>S12A3_HUMAN</t>
  </si>
  <si>
    <t>Solute carrier family 12 member 3</t>
  </si>
  <si>
    <t>SLC12A3</t>
  </si>
  <si>
    <t>CY:1-136;TM:137-156;NC:157-161;TM:162-182;CY:183-216;TM:217-239;NC:240-259;TM:260-279;CY:280-286;TM:287-306;NC:307-338;TM:339-361;CY:362-374;TM:375-395;NC:396-452;TM:453-474;CY:475-508;TM:509-528;NC:529-533;TM:534-552;CY:553-572;TM:573-604;NC:605-657;TM:658-679;CY:680-1021</t>
  </si>
  <si>
    <t>ENSG00000070915</t>
  </si>
  <si>
    <t>ENSP00000456149</t>
  </si>
  <si>
    <t>72;359;406;426;544;668;781</t>
  </si>
  <si>
    <t>72;406;426</t>
  </si>
  <si>
    <t>Alternative splicing;Cell membrane;Complete proteome;Disease mutation;Glycoprotein;Ion transport;Membrane;Polymorphism;Reference proteome;Sodium;Sodium transport;Symport;Transmembrane;Transmembrane helix;Transport;Ubl conjugation</t>
  </si>
  <si>
    <t>UniRef100_P55017;UniRef90_P55017;UniRef50_P55017</t>
  </si>
  <si>
    <t>DB00436;DB00524;DB00562;DB00880;DB00999;DB01119;DB01324;DB01325</t>
  </si>
  <si>
    <t>AQP5_HUMAN</t>
  </si>
  <si>
    <t>Aquaporin-5</t>
  </si>
  <si>
    <t>AQP5</t>
  </si>
  <si>
    <t>CY:1-8;TM:9-30;NC:31-40;TM:41-61;CY:62-86;TM:87-109;NC:110-128;TM:129-149;CY:150-160;TM:161-180;NC:181-203;TM:204-226;CY:227-265</t>
  </si>
  <si>
    <t>ENSG00000161798</t>
  </si>
  <si>
    <t>ENSP00000293599</t>
  </si>
  <si>
    <t>124;125</t>
  </si>
  <si>
    <t>3D-structure;Complete proteome;Disease mutation;Glycoprotein;Membrane;Palmoplantar keratoderma;Reference proteome;Repeat;Transmembrane;Transmembrane helix;Transport</t>
  </si>
  <si>
    <t>UniRef100_P55064;UniRef90_P55064;UniRef50_P55064</t>
  </si>
  <si>
    <t>MFAP3_HUMAN</t>
  </si>
  <si>
    <t>Microfibril-associated glycoprotein 3</t>
  </si>
  <si>
    <t>MFAP3</t>
  </si>
  <si>
    <t>SP:1-21;NC:22-148;TM:149-170;CY:171-362</t>
  </si>
  <si>
    <t>ENSG00000037749</t>
  </si>
  <si>
    <t>ENSP00000322956</t>
  </si>
  <si>
    <t>36;41;110;166</t>
  </si>
  <si>
    <t>SSYN[115]ASFPSSFELSASSHSDDDVIIAK;WLVSDNFLN[115]ITNVAFDDR;SDNFLN[115]ITNVAFDDR</t>
  </si>
  <si>
    <t>41;110</t>
  </si>
  <si>
    <t>P55082</t>
  </si>
  <si>
    <t>UniRef100_P55082;UniRef90_P55082;UniRef50_P55082</t>
  </si>
  <si>
    <t>PAR2_HUMAN</t>
  </si>
  <si>
    <t>Proteinase-activated receptor 2</t>
  </si>
  <si>
    <t>F2RL1</t>
  </si>
  <si>
    <t>SP:1-23;NC:24-76;TM:77-101;CY:102-110;TM:111-130;NC:131-149;TM:150-171;CY:172-188;TM:189-211;NC:212-240;TM:241-265;CY:266-284;TM:285-312;NC:313-323;TM:324-347;CY:348-397</t>
  </si>
  <si>
    <t>ENSG00000164251</t>
  </si>
  <si>
    <t>ENSP00000296677</t>
  </si>
  <si>
    <t>30;222</t>
  </si>
  <si>
    <t>33;46;373;376;388;389</t>
  </si>
  <si>
    <t>Cell membrane;Complete proteome;Disulfide bond;G-protein coupled receptor;Glycoprotein;Immunity;Inflammatory response;Innate immunity;Lipoprotein;Membrane;Palmitate;Phosphoprotein;Polymorphism;Receptor;Reference proteome;Signal;Transducer;Transmembrane;Transmembrane helix;Ubl conjugation</t>
  </si>
  <si>
    <t>UniRef100_P55085;UniRef90_P55085;UniRef50_P55085</t>
  </si>
  <si>
    <t>AQP4_HUMAN</t>
  </si>
  <si>
    <t>Aquaporin-4</t>
  </si>
  <si>
    <t>AQP4</t>
  </si>
  <si>
    <t>CY:1-33;TM:34-58;NC:59-69;TM:70-89;CY:90-115;TM:116-136;NC:137-155;TM:156-177;CY:178-187;TM:188-209;NC:210-230;TM:231-252;CY:253-323</t>
  </si>
  <si>
    <t>ENSG00000171885</t>
  </si>
  <si>
    <t>ENSP00000372654</t>
  </si>
  <si>
    <t>153;206;283</t>
  </si>
  <si>
    <t>3D-structure;Alternative splicing;Complete proteome;Glycoprotein;Membrane;Phosphoprotein;Reference proteome;Repeat;Transmembrane;Transmembrane helix;Transport</t>
  </si>
  <si>
    <t>UniRef100_P55087;UniRef90_P47863;UniRef50_P47863</t>
  </si>
  <si>
    <t>GP2_HUMAN</t>
  </si>
  <si>
    <t>Pancreatic secretory granule membrane major glycoprotein GP2</t>
  </si>
  <si>
    <t>GP2</t>
  </si>
  <si>
    <t>SP:1-28;NC:29-537</t>
  </si>
  <si>
    <t>ENSG00000169347</t>
  </si>
  <si>
    <t>ENSP00000370767</t>
  </si>
  <si>
    <t>65;88;122;134;204;216;260;291;342;362;512</t>
  </si>
  <si>
    <t>Alternative splicing;Cell membrane;Complete proteome;Disulfide bond;EGF-like domain;Glycoprotein;GPI-anchor;Lipoprotein;Membrane;Reference proteome;Secreted;Signal</t>
  </si>
  <si>
    <t>UniRef100_P55259;UniRef90_P55259;UniRef50_P55259</t>
  </si>
  <si>
    <t>CADH4_HUMAN</t>
  </si>
  <si>
    <t>Cadherin-4</t>
  </si>
  <si>
    <t>CDH4</t>
  </si>
  <si>
    <t>SP:1-19;NC:20-733;TM:734-756;CY:757-916</t>
  </si>
  <si>
    <t>ENSG00000179242</t>
  </si>
  <si>
    <t>ENSP00000484928</t>
  </si>
  <si>
    <t>283;412;557;632;661;702;884</t>
  </si>
  <si>
    <t>VETVVAN[115]LTVMDR;KN[115]WTITR</t>
  </si>
  <si>
    <t>412;661</t>
  </si>
  <si>
    <t>P55283</t>
  </si>
  <si>
    <t>UniRef100_P55283;UniRef90_P55283;UniRef50_P15116</t>
  </si>
  <si>
    <t>CADH6_HUMAN</t>
  </si>
  <si>
    <t>Cadherin-6</t>
  </si>
  <si>
    <t>CDH6</t>
  </si>
  <si>
    <t>SP:1-21;NC:22-614;TM:615-636;CY:637-790</t>
  </si>
  <si>
    <t>ENSG00000113361</t>
  </si>
  <si>
    <t>ENSP00000265071</t>
  </si>
  <si>
    <t>49;255;399;437;455;536;723</t>
  </si>
  <si>
    <t>EDAQIN[115]TTIGSVTAQDPDAAR;EDAQIN[115]TTIGSVTAQDPDAARNPVK;IFNIDSGN[115]GSIFTSK;ETLLWHN[115]ITVIATEINNPK;AVDKDDPYSGHQFSFSLAPEAASGSN[115]FTIQDNK;SLAPEAASGSN[115]FTIQDNK;SLAPEAASGSN[115]FTIQDNKDNTAGILTR</t>
  </si>
  <si>
    <t>399;437;455;536</t>
  </si>
  <si>
    <t>P55285</t>
  </si>
  <si>
    <t>Alternative splicing;Calcium;Cell adhesion;Cell membrane;Cleavage on pair of basic residues;Complete proteome;Glycoprotein;Membrane;Metal-binding;Reference proteome;Repeat;Signal;Transmembrane;Transmembrane helix</t>
  </si>
  <si>
    <t>UniRef100_P55285;UniRef90_P55285;UniRef50_P55285</t>
  </si>
  <si>
    <t>CADH8_HUMAN</t>
  </si>
  <si>
    <t>Cadherin-8</t>
  </si>
  <si>
    <t>CDH8</t>
  </si>
  <si>
    <t>SP:1-29;NC:30-620;TM:621-644;CY:645-799</t>
  </si>
  <si>
    <t>ENSG00000150394</t>
  </si>
  <si>
    <t>ENSP00000462701</t>
  </si>
  <si>
    <t>33;57;188;463;473;544</t>
  </si>
  <si>
    <t>ELSVWHN[115]ITIIATEIR</t>
  </si>
  <si>
    <t>P55286</t>
  </si>
  <si>
    <t>Calcium;Cell adhesion;Cell membrane;Cleavage on pair of basic residues;Complete proteome;Glycoprotein;Membrane;Metal-binding;Reference proteome;Repeat;Signal;Transmembrane;Transmembrane helix</t>
  </si>
  <si>
    <t>UniRef100_P55286;UniRef90_P55286;UniRef50_P55287-2</t>
  </si>
  <si>
    <t>CAD11_HUMAN</t>
  </si>
  <si>
    <t>Cadherin-11</t>
  </si>
  <si>
    <t>CDH11</t>
  </si>
  <si>
    <t>SP:1-22;NC:23-617;TM:618-639;CY:640-796</t>
  </si>
  <si>
    <t>ENSG00000140937</t>
  </si>
  <si>
    <t>ENSP00000268603</t>
  </si>
  <si>
    <t>455;540</t>
  </si>
  <si>
    <t>FIFSLPPEIIHNPN[115]FTVR</t>
  </si>
  <si>
    <t>P55287</t>
  </si>
  <si>
    <t>Alternative splicing;Calcium;Cell adhesion;Cell membrane;Chromosomal rearrangement;Cleavage on pair of basic residues;Complete proteome;Glycoprotein;Membrane;Metal-binding;Polymorphism;Reference proteome;Repeat;Signal;Transmembrane;Transmembrane helix</t>
  </si>
  <si>
    <t>UniRef100_P55287;UniRef90_P55287;UniRef50_P55287</t>
  </si>
  <si>
    <t>CAD12_HUMAN</t>
  </si>
  <si>
    <t>Cadherin-12</t>
  </si>
  <si>
    <t>CDH12</t>
  </si>
  <si>
    <t>SP:1-25;NC:26-614;TM:615-637;CY:638-794</t>
  </si>
  <si>
    <t>ENSG00000154162</t>
  </si>
  <si>
    <t>ENSP00000371689;ENSP00000423577;ENSP00000480493</t>
  </si>
  <si>
    <t>256;456;537;545</t>
  </si>
  <si>
    <t>UniRef100_P55289;UniRef90_P55289;UniRef50_P55285</t>
  </si>
  <si>
    <t>CAD13_HUMAN</t>
  </si>
  <si>
    <t>Cadherin-13</t>
  </si>
  <si>
    <t>CDH13</t>
  </si>
  <si>
    <t>SP:1-22;NC:23-713</t>
  </si>
  <si>
    <t>ENSG00000140945</t>
  </si>
  <si>
    <t>ENSP00000479395</t>
  </si>
  <si>
    <t>52;86;382;500;530;598;638;671</t>
  </si>
  <si>
    <t>QEDLSVGSVLLTVN[115]ATDPDSLQHQTIR;VLLTVN[115]ATDPDSLQHQTIR;LTVN[115]ATDPDSLQHQTIR;TVN[115]ATDPDSLQHQTIR;VN[115]ATDPDSLQHQTIR;N[115]ATDPDSLQHQTIR;YSVYKDPAGWLNINPIN[115]GTVDTTAVLDR;DPAGWLNINPIN[115]GTVDTTAVLDR;PAGWLNINPIN[115]GTVDTTAVLDR;AGWLNINPIN[115]GTVDTTAVLDR;WLNINPIN[115]GTVDTTAVLDR;LNINPIN[115]GTVDTTAVLDR;NINPIN[115]GTVDTTAVLDR;INPIN[115]GTVDTTAVLDR;PIN[115]GTVDTTAVLDR;N[115]LSVVILGASDK;N[115]LSVVILGASDKDLHPNTDPFK;IN[115]NTHALVSL;IN[115]NTHALVSLL;IN[115]NTHALVSLLQNL;IN[115]NTHALVSLLQNLN;IN[115]NTHALVSLLQNLNK;IN[115]NTHALVSLLQN[115]LNK;IN[115]N[115]THALVSLLQNLNK;ANYNLPIMVTDSGKPPMTN[115]ITDLR;ANYN[115]LPIMVTDSGKPPMTN[115]ITDLR;AN[115]YNLPIMVTDSGKPPMTN[115]ITDLR;MVTDSGKPPMTN[115]ITDLR;VTDSGKPPMTN[115]ITDLR;DSGKPPMTN[115]ITDLR</t>
  </si>
  <si>
    <t>500;530;598;638;671</t>
  </si>
  <si>
    <t>P55290</t>
  </si>
  <si>
    <t>3D-structure;Alternative splicing;Calcium;Cell adhesion;Cell membrane;Cleavage on pair of basic residues;Complete proteome;Direct protein sequencing;Glycoprotein;GPI-anchor;Lipoprotein;Membrane;Metal-binding;Polymorphism;Reference proteome;Repeat;Signal</t>
  </si>
  <si>
    <t>UniRef100_P55290;UniRef90_P55290;UniRef50_P55290</t>
  </si>
  <si>
    <t>CAD15_HUMAN</t>
  </si>
  <si>
    <t>Cadherin-15</t>
  </si>
  <si>
    <t>CDH15</t>
  </si>
  <si>
    <t>SP:1-19;NC:20-603;TM:604-626;CY:627-814</t>
  </si>
  <si>
    <t>ENSG00000129910</t>
  </si>
  <si>
    <t>ENSP00000289746</t>
  </si>
  <si>
    <t>227;531;538;576</t>
  </si>
  <si>
    <t>EQPLN[115]VTVCR</t>
  </si>
  <si>
    <t>P55291</t>
  </si>
  <si>
    <t>Calcium;Cell adhesion;Cell membrane;Chromosomal rearrangement;Cleavage on pair of basic residues;Complete proteome;Disease mutation;Glycoprotein;Membrane;Mental retardation;Metal-binding;Reference proteome;Repeat;Signal;Transmembrane;Transmembrane helix</t>
  </si>
  <si>
    <t>UniRef100_P55291;UniRef90_P55291;UniRef50_P55291</t>
  </si>
  <si>
    <t>LMIP_HUMAN</t>
  </si>
  <si>
    <t>Lens fiber membrane intrinsic protein</t>
  </si>
  <si>
    <t>LIM2</t>
  </si>
  <si>
    <t>CY:1-6;TM:7-25;NC:26-65;TM:66-87;CY:88-98;TM:99-120;NC:121-139;TM:140-161;CY:162-173</t>
  </si>
  <si>
    <t>ENSG00000105370</t>
  </si>
  <si>
    <t>ENSP00000472090</t>
  </si>
  <si>
    <t>13;28;43;61;134;138;144</t>
  </si>
  <si>
    <t>Alternative splicing;Cataract;Complete proteome;Direct protein sequencing;Disease mutation;Disulfide bond;Eye lens protein;Glycoprotein;Membrane;Phosphoprotein;Reference proteome;Transmembrane;Transmembrane helix</t>
  </si>
  <si>
    <t>UniRef100_P55344;UniRef90_P20274;UniRef50_P20274</t>
  </si>
  <si>
    <t>FCGRN_HUMAN</t>
  </si>
  <si>
    <t>IgG receptor FcRn large subunit p51</t>
  </si>
  <si>
    <t>FCGRT</t>
  </si>
  <si>
    <t>SP:1-23;NC:24-297;TM:298-321;CY:322-365</t>
  </si>
  <si>
    <t>ENSG00000104870</t>
  </si>
  <si>
    <t>ENSP00000221466;ENSP00000410798</t>
  </si>
  <si>
    <t>GPYTLQGLLGCELGPDN[115]TSVPTAK;GLLGCELGPDN[115]TSVPTAK</t>
  </si>
  <si>
    <t>P55899</t>
  </si>
  <si>
    <t>3D-structure;Cell membrane;Complete proteome;Direct protein sequencing;Disulfide bond;Glycoprotein;IgG-binding protein;Immunoglobulin domain;Membrane;Receptor;Reference proteome;Signal;Transmembrane;Transmembrane helix</t>
  </si>
  <si>
    <t>UniRef100_P55899;UniRef90_P55899;UniRef50_P55899</t>
  </si>
  <si>
    <t>GFRA1_HUMAN</t>
  </si>
  <si>
    <t>GDNF family receptor alpha-1</t>
  </si>
  <si>
    <t>GFRA1</t>
  </si>
  <si>
    <t>SP:1-18;NC:19-465</t>
  </si>
  <si>
    <t>ENSG00000151892</t>
  </si>
  <si>
    <t>ENSP00000347591;ENSP00000358237</t>
  </si>
  <si>
    <t>59;347;406</t>
  </si>
  <si>
    <t>ETN[115]FSLASGLEAK;SN[115]VSGNTHLC;SN[115]VSGNTHLCISNGNYEK;SN[115]VSGNTHLCISN[115]GNYEK</t>
  </si>
  <si>
    <t>59;406</t>
  </si>
  <si>
    <t>P56159</t>
  </si>
  <si>
    <t>Alternative splicing;Cell membrane;Complete proteome;Disulfide bond;Glycoprotein;GPI-anchor;Lipoprotein;Membrane;Polymorphism;Receptor;Reference proteome;Repeat;Signal</t>
  </si>
  <si>
    <t>UniRef100_P56159;UniRef90_Q62997;UniRef50_Q62997</t>
  </si>
  <si>
    <t>ITA1_HUMAN</t>
  </si>
  <si>
    <t>Integrin alpha-1</t>
  </si>
  <si>
    <t>ITGA1</t>
  </si>
  <si>
    <t>SP:1-28;NC:29-1141;TM:1142-1167;CY:1168-1179</t>
  </si>
  <si>
    <t>ENSG00000213949</t>
  </si>
  <si>
    <t>ENSP00000282588</t>
  </si>
  <si>
    <t>CD49a</t>
  </si>
  <si>
    <t>74;100;105;112;217;317;341;402;418;460;532;699;748;780;840;883;908;915;939;966;974;1008;1073;1083;1102;1113</t>
  </si>
  <si>
    <t>102;623;1040;1050</t>
  </si>
  <si>
    <t>LDLPVNTSIPN[115]VTEVK;LDLPVN[115]TSIPNVTEVK;LDLPVN[115]TSIPN[115]VTEVK;QTQVGIVQYGEN[115]VTHEFNLNK;GEN[115]VTHEFNLNK;GN[115]LSTEKFVEEIK;HFFN[115]VSDELALVTIVK;N[115]TTFNVESTK;N[115]TTFNVESTKK;YN[115]HTGQVIIYR;VYVYALN[115]QTR;KVQRN[115]ITVR;SQNDKFN[115]VSLTVK;FN[115]VSLTVK;DSCESNHN[115]ITCK;DSCESN[115]HN[115]ITCK;LSATSDSEEPPETLSDNVVN[115]ISIPVK;SDNVVN[115]ISIPVK;SYFSSLN[115]LTIR;GELRSEN[115]ASLVLSSSNQKR;SEN[115]ASLVLSSSNQK;SEN[115]ASLVLSSSNQKR;SEN[115]ASLVLSSSN[115]QK</t>
  </si>
  <si>
    <t>100;105;217;317;341;418;460;532;748;840;883;939;1102;1113</t>
  </si>
  <si>
    <t>P56199</t>
  </si>
  <si>
    <t>3D-structure;Calcium;Cell adhesion;Complete proteome;Disulfide bond;Glycoprotein;Integrin;Magnesium;Membrane;Metal-binding;Polymorphism;Receptor;Reference proteome;Repeat;Signal;Transmembrane;Transmembrane helix</t>
  </si>
  <si>
    <t>UniRef100_P56199;UniRef90_P56199;UniRef50_P56199</t>
  </si>
  <si>
    <t>P2RX3_HUMAN</t>
  </si>
  <si>
    <t>P2X purinoceptor 3</t>
  </si>
  <si>
    <t>P2RX3</t>
  </si>
  <si>
    <t>CY:1-20;TM:21-44;NC:45-317;TM:318-344;CY:345-397</t>
  </si>
  <si>
    <t>ENSG00000109991</t>
  </si>
  <si>
    <t>ENSP00000263314</t>
  </si>
  <si>
    <t>139;170;194;290;362</t>
  </si>
  <si>
    <t>Complete proteome;Disulfide bond;Glycoprotein;Ion channel;Ion transport;Ligand-gated ion channel;Membrane;Polymorphism;Receptor;Reference proteome;Transmembrane;Transmembrane helix;Transport</t>
  </si>
  <si>
    <t>UniRef100_P56373;UniRef90_Q3UR32;UniRef50_Q3UR32</t>
  </si>
  <si>
    <t>CLD15_HUMAN</t>
  </si>
  <si>
    <t>Claudin-15</t>
  </si>
  <si>
    <t>CLDN15</t>
  </si>
  <si>
    <t>CY:1-6;TM:7-26;NC:27-73;TM:74-98;CY:99-116;TM:117-140;NC:141-159;TM:160-186;CY:187-228</t>
  </si>
  <si>
    <t>ENSG00000106404</t>
  </si>
  <si>
    <t>ENSP00000308870;ENSP00000385300</t>
  </si>
  <si>
    <t>29;49;63;137;166</t>
  </si>
  <si>
    <t>Cell junction;Cell membrane;Complete proteome;Disulfide bond;Ion transport;Lipoprotein;Membrane;Palmitate;Reference proteome;Tight junction;Transmembrane;Transmembrane helix;Transport</t>
  </si>
  <si>
    <t>UniRef100_P56746;UniRef90_P56746;UniRef50_Q9Z0S5</t>
  </si>
  <si>
    <t>CLD6_HUMAN</t>
  </si>
  <si>
    <t>Claudin-6</t>
  </si>
  <si>
    <t>CLDN6</t>
  </si>
  <si>
    <t>CY:1-6;TM:7-30;NC:31-78;TM:79-101;CY:102-118;TM:119-142;NC:143-162;TM:163-184;CY:185-220</t>
  </si>
  <si>
    <t>ENSG00000184697</t>
  </si>
  <si>
    <t>ENSP00000328674;ENSP00000380131</t>
  </si>
  <si>
    <t>Cell junction;Cell membrane;Complete proteome;Host-virus interaction;Membrane;Phosphoprotein;Polymorphism;Reference proteome;Tight junction;Transmembrane;Transmembrane helix</t>
  </si>
  <si>
    <t>UniRef100_P56747;UniRef90_P56747;UniRef50_O15551</t>
  </si>
  <si>
    <t>CLD8_HUMAN</t>
  </si>
  <si>
    <t>Claudin-8</t>
  </si>
  <si>
    <t>CLDN8</t>
  </si>
  <si>
    <t>CY:1-6;TM:7-28;NC:29-78;TM:79-101;CY:102-117;TM:118-141;NC:142-164;TM:165-188;CY:189-225</t>
  </si>
  <si>
    <t>ENSG00000156284</t>
  </si>
  <si>
    <t>ENSP00000382783</t>
  </si>
  <si>
    <t>30;47;51;139;169</t>
  </si>
  <si>
    <t>UniRef100_P56748;UniRef90_P56748;UniRef50_P56748</t>
  </si>
  <si>
    <t>CLD12_HUMAN</t>
  </si>
  <si>
    <t>Claudin-12</t>
  </si>
  <si>
    <t>CLDN12</t>
  </si>
  <si>
    <t>CY:1-8;TM:9-30;NC:31-87;TM:88-113;CY:114-133;TM:134-156;NC:157-172;TM:173-197;CY:198-244</t>
  </si>
  <si>
    <t>ENSG00000157224</t>
  </si>
  <si>
    <t>ENSP00000287916;ENSP00000378103;ENSP00000419053</t>
  </si>
  <si>
    <t>NEKN[115]LTVY</t>
  </si>
  <si>
    <t>P56749</t>
  </si>
  <si>
    <t>Cell junction;Cell membrane;Complete proteome;Membrane;Phosphoprotein;Reference proteome;Tight junction;Transmembrane;Transmembrane helix</t>
  </si>
  <si>
    <t>UniRef100_P56749;UniRef90_P56749;UniRef50_P56749</t>
  </si>
  <si>
    <t>BACE1_HUMAN</t>
  </si>
  <si>
    <t>Beta-secretase 1</t>
  </si>
  <si>
    <t>BACE1</t>
  </si>
  <si>
    <t>SP:1-21;NC:22-457;TM:458-480;CY:481-501</t>
  </si>
  <si>
    <t>ENSG00000186318</t>
  </si>
  <si>
    <t>ENSP00000318585;ENSP00000475405;ENSP00000402228;ENSP00000403685;ENSP00000422461;ENSP00000424536</t>
  </si>
  <si>
    <t>3.4.23</t>
  </si>
  <si>
    <t>153;172;223;354</t>
  </si>
  <si>
    <t>WEGELGTDLVSIPHGPN[115]VTVR</t>
  </si>
  <si>
    <t>P56817</t>
  </si>
  <si>
    <t>Cell surface;Cytoplasmic vesicle membrane;Endoplasmic reticulum;Endosome;Golgi apparatus, trans-Golgi network;Membrane (Single-pass type I membrane protein)</t>
  </si>
  <si>
    <t>3D-structure;Acetylation;Alternative splicing;Aspartyl protease;Complete proteome;Cytoplasmic vesicle;Direct protein sequencing;Disulfide bond;Endoplasmic reticulum;Endosome;Glycoprotein;Golgi apparatus;Hydrolase;Membrane;Polymorphism;Protease;Reference proteome;Signal;Transmembrane;Transmembrane helix;Zymogen</t>
  </si>
  <si>
    <t>UniRef100_P56817;UniRef90_P56817;UniRef50_P56817</t>
  </si>
  <si>
    <t>Endoplasmic Reticulum;Endosome;Golgi apparatus;Plasma membrane</t>
  </si>
  <si>
    <t>CLD18_HUMAN</t>
  </si>
  <si>
    <t>Claudin-18</t>
  </si>
  <si>
    <t>CLDN18</t>
  </si>
  <si>
    <t>CY:1-6;TM:7-27;NC:28-79;TM:80-101;CY:102-121;TM:122-149;NC:150-168;TM:169-195;CY:196-261</t>
  </si>
  <si>
    <t>ENSG00000066405</t>
  </si>
  <si>
    <t>ENSP00000183605</t>
  </si>
  <si>
    <t>30;50;148;179</t>
  </si>
  <si>
    <t>Alternative splicing;Cell junction;Cell membrane;Complete proteome;Membrane;Polymorphism;Reference proteome;Tight junction;Transmembrane;Transmembrane helix</t>
  </si>
  <si>
    <t>UniRef100_P56856;UniRef90_P56856;UniRef50_P56856</t>
  </si>
  <si>
    <t>CLD20_HUMAN</t>
  </si>
  <si>
    <t>Claudin-20</t>
  </si>
  <si>
    <t>CLDN20</t>
  </si>
  <si>
    <t>CY:1-6;TM:7-27;NC:28-78;TM:79-101;CY:102-116;TM:117-139;NC:140-162;TM:163-184;CY:185-219</t>
  </si>
  <si>
    <t>ENSG00000171217</t>
  </si>
  <si>
    <t>ENSP00000356133</t>
  </si>
  <si>
    <t>209;210</t>
  </si>
  <si>
    <t>30;51;56;138</t>
  </si>
  <si>
    <t>UniRef100_P56880;UniRef90_P56880;UniRef50_P56880</t>
  </si>
  <si>
    <t>GLPT_HUMAN</t>
  </si>
  <si>
    <t>Glycerol-3-phosphate transporter</t>
  </si>
  <si>
    <t>SLC37A1</t>
  </si>
  <si>
    <t>CY:1-19;TM:20-37;NC:38-97;TM:98-117;CY:118-127;TM:128-150;NC:151-155;TM:156-184;CY:185-193;TM:194-215;NC:216-220;TM:221-242;CY:243-330;TM:331-353;NC:354-367;TM:368-386;CY:387-393;TM:394-413;NC:414-421;TM:422-446;CY:447-459;TM:460-482;NC:483-493;TM:494-513;CY:514-533</t>
  </si>
  <si>
    <t>ENSG00000160190</t>
  </si>
  <si>
    <t>ENSP00000344648;ENSP00000381383;ENSP00000381385;ENSP00000410129</t>
  </si>
  <si>
    <t>81;263</t>
  </si>
  <si>
    <t>Complete proteome;Membrane;Polymorphism;Reference proteome;Sugar transport;Transmembrane;Transmembrane helix;Transport</t>
  </si>
  <si>
    <t>UniRef100_P57057;UniRef90_P57057;UniRef50_P57057</t>
  </si>
  <si>
    <t>JAM2_HUMAN</t>
  </si>
  <si>
    <t>Junctional adhesion molecule B</t>
  </si>
  <si>
    <t>JAM2</t>
  </si>
  <si>
    <t>SP:1-28;NC:29-236;TM:237-260;CY:261-298</t>
  </si>
  <si>
    <t>ENSG00000154721</t>
  </si>
  <si>
    <t>ENSP00000420419</t>
  </si>
  <si>
    <t>CD322</t>
  </si>
  <si>
    <t>98;187;236;277</t>
  </si>
  <si>
    <t>138;272;279;280</t>
  </si>
  <si>
    <t>LGSQSTN[115]SSYTMN;LGSQSTN[115]SSYTMNTK</t>
  </si>
  <si>
    <t>P57087</t>
  </si>
  <si>
    <t>Alternative splicing;Cell junction;Cell membrane;Complete proteome;Direct protein sequencing;Disulfide bond;Glycoprotein;Immunoglobulin domain;Membrane;Polymorphism;Reference proteome;Signal;Tight junction;Transmembrane;Transmembrane helix</t>
  </si>
  <si>
    <t>UniRef100_P57087;UniRef90_P57087;UniRef50_P57087</t>
  </si>
  <si>
    <t>NAC3_HUMAN</t>
  </si>
  <si>
    <t>Sodium/calcium exchanger 3</t>
  </si>
  <si>
    <t>SLC8A3</t>
  </si>
  <si>
    <t>SP:1-30;NC:31-73;TM:74-95;CY:96-147;TM:148-165;NC:166-170;TM:171-190;CY:191-201;TM:202-224;NC:225-230;TM:231-251;CY:252-727;TM:728-747;NC:748-752;TM:753-773;CY:774-782;TM:783-801;NC:802-828;TM:829-849;CY:850-860;TM:861-881;NC:882-900;TM:901-924;CY:925-927</t>
  </si>
  <si>
    <t>ENSG00000100678</t>
  </si>
  <si>
    <t>ENSP00000370669</t>
  </si>
  <si>
    <t>45;130;135;823</t>
  </si>
  <si>
    <t>40;41;47</t>
  </si>
  <si>
    <t>Alternative splicing;Antiport;Calcium;Calcium transport;Calmodulin-binding;Complete proteome;Glycoprotein;Ion transport;Membrane;Polymorphism;Reference proteome;Repeat;Signal;Sodium;Sodium transport;Transmembrane;Transmembrane helix;Transport</t>
  </si>
  <si>
    <t>UniRef100_P57103;UniRef90_P57103;UniRef50_Q01728</t>
  </si>
  <si>
    <t>CLD2_HUMAN</t>
  </si>
  <si>
    <t>Claudin-2</t>
  </si>
  <si>
    <t>CLDN2</t>
  </si>
  <si>
    <t>CY:1-7;TM:8-28;NC:29-80;TM:81-105;CY:106-116;TM:117-140;NC:141-162;TM:163-184;CY:185-230</t>
  </si>
  <si>
    <t>ENSG00000165376</t>
  </si>
  <si>
    <t>ENSP00000336571;ENSP00000443230;ENSP00000441283</t>
  </si>
  <si>
    <t>30;51;138</t>
  </si>
  <si>
    <t>Cell junction;Cell membrane;Complete proteome;Disulfide bond;Isopeptide bond;Membrane;Reference proteome;Tight junction;Transmembrane;Transmembrane helix;Ubl conjugation</t>
  </si>
  <si>
    <t>UniRef100_P57739;UniRef90_P57739;UniRef50_O88552</t>
  </si>
  <si>
    <t>OR1D5_HUMAN</t>
  </si>
  <si>
    <t>Olfactory receptor 1D5</t>
  </si>
  <si>
    <t>OR1D5</t>
  </si>
  <si>
    <t>NC:1-25;TM:26-48;CY:49-59;TM:60-79;NC:80-98;TM:99-120;CY:121-139;TM:140-163;NC:164-193;TM:194-218;CY:219-238;TM:239-260;NC:261-271;TM:272-289;CY:290-312</t>
  </si>
  <si>
    <t>ENSG00000262628</t>
  </si>
  <si>
    <t>ENSP00000459028</t>
  </si>
  <si>
    <t>UniRef100_P58170;UniRef90_P58170;UniRef50_P34982</t>
  </si>
  <si>
    <t>OR2B6_HUMAN</t>
  </si>
  <si>
    <t>Olfactory receptor 2B6</t>
  </si>
  <si>
    <t>OR2B6</t>
  </si>
  <si>
    <t>NC:1-24;TM:25-48;CY:49-59;TM:60-82;NC:83-100;TM:101-120;CY:121-139;TM:140-159;NC:160-204;TM:205-225;CY:226-236;TM:237-260;NC:261-272;TM:273-292;CY:293-313</t>
  </si>
  <si>
    <t>ENSG00000124657</t>
  </si>
  <si>
    <t>ENSP00000244623</t>
  </si>
  <si>
    <t>UniRef100_P58173;UniRef90_P58173;UniRef50_P58173</t>
  </si>
  <si>
    <t>OR4D2_HUMAN</t>
  </si>
  <si>
    <t>Olfactory receptor 4D2</t>
  </si>
  <si>
    <t>OR4D2</t>
  </si>
  <si>
    <t>NC:1-25;TM:26-49;CY:50-60;TM:61-81;NC:82-100;TM:101-120;CY:121-139;TM:140-162;NC:163-203;TM:204-225;CY:226-236;TM:237-258;NC:259-269;TM:270-289;CY:290-307</t>
  </si>
  <si>
    <t>ENSG00000255713</t>
  </si>
  <si>
    <t>ENSP00000441354</t>
  </si>
  <si>
    <t>UniRef100_P58180;UniRef90_P58180;UniRef50_Q8NGB6</t>
  </si>
  <si>
    <t>O10A3_HUMAN</t>
  </si>
  <si>
    <t>Olfactory receptor 10A3</t>
  </si>
  <si>
    <t>OR10A3</t>
  </si>
  <si>
    <t>NC:1-25;TM:26-48;CY:49-59;TM:60-78;NC:79-98;TM:99-120;CY:121-139;TM:140-162;NC:163-196;TM:197-218;CY:219-236;TM:237-255;NC:256-272;TM:273-292;CY:293-314</t>
  </si>
  <si>
    <t>ENSG00000170683;ENSG00000273953</t>
  </si>
  <si>
    <t>ENSP00000353988;ENSP00000484096</t>
  </si>
  <si>
    <t>5;52;65;256</t>
  </si>
  <si>
    <t>UniRef100_P58181;UniRef90_P58181;UniRef50_P58181</t>
  </si>
  <si>
    <t>O12D2_HUMAN</t>
  </si>
  <si>
    <t>Olfactory receptor 12D2</t>
  </si>
  <si>
    <t>OR12D2</t>
  </si>
  <si>
    <t>NC:1-23;TM:24-46;CY:47-55;TM:56-76;NC:77-100;TM:101-121;CY:122-137;TM:138-156;NC:157-194;TM:195-220;CY:221-237;TM:238-259;NC:260-271;TM:272-291;CY:292-307</t>
  </si>
  <si>
    <t>ENSG00000204690;ENSG00000168787;ENSG00000233481;ENSG00000235966;ENSG00000280236</t>
  </si>
  <si>
    <t>ENSP00000366345;ENSP00000373047;ENSP00000414137;ENSP00000415065;ENSP00000485112;ENSP00000485068</t>
  </si>
  <si>
    <t>UniRef100_P58182;UniRef90_P58182;UniRef50_P58182</t>
  </si>
  <si>
    <t>Plasma membrane;Plasma membrane;Plasma membrane;Plasma membrane</t>
  </si>
  <si>
    <t>Cytoskeleton;Cytoskeleton;Cytoskeleton;Cytoskeleton;Cytosol;Cytosol;Cytosol;Cytosol;Endoplasmic Reticulum;Endoplasmic Reticulum;Endoplasmic Reticulum;Endoplasmic Reticulum;Endosome;Endosome;Endosome;Endosome;Extracellular space;Extracellular space;Extracellular space;Extracellular space;Golgi apparatus;Golgi apparatus;Golgi apparatus;Golgi apparatus;Lysosome;Lysosome;Lysosome;Lysosome;Mitochondrion;Mitochondrion;Mitochondrion;Mitochondrion;Nucleus;Nucleus;Nucleus;Nucleus;Peroxisome;Peroxisome;Peroxisome;Peroxisome</t>
  </si>
  <si>
    <t>ANTR2_HUMAN</t>
  </si>
  <si>
    <t>Anthrax toxin receptor 2</t>
  </si>
  <si>
    <t>ANTXR2</t>
  </si>
  <si>
    <t>SP:1-33;NC:34-317;TM:318-341;CY:342-489</t>
  </si>
  <si>
    <t>ENSG00000163297</t>
  </si>
  <si>
    <t>ENSP00000306185;ENSP00000413700</t>
  </si>
  <si>
    <t>250;260</t>
  </si>
  <si>
    <t>Cell membrane (Single-pass type I membrane protein);Endoplasmic reticulum membrane (Single-pass type I membrane protein);Secreted</t>
  </si>
  <si>
    <t>3D-structure;Alternative splicing;Cell membrane;Complete proteome;Disease mutation;Disulfide bond;Endoplasmic reticulum;Glycoprotein;Membrane;Metal-binding;Phosphoprotein;Polymorphism;Receptor;Reference proteome;Secreted;Signal;Transmembrane;Transmembrane helix</t>
  </si>
  <si>
    <t>UniRef100_P58335;UniRef90_P58335;UniRef50_P58335</t>
  </si>
  <si>
    <t>Endoplasmic Reticulum;Extracellular space;Plasma membrane</t>
  </si>
  <si>
    <t>Cytoskeleton;Cytosol;Endosome;Golgi apparatus;Lysosome;Mitochondrion;Nucleus;Peroxisome</t>
  </si>
  <si>
    <t>NRX1B_HUMAN</t>
  </si>
  <si>
    <t>Neurexin-1-beta</t>
  </si>
  <si>
    <t>NRXN1</t>
  </si>
  <si>
    <t>SP:1-32;NC:33-366;TM:367-388;CY:389-442</t>
  </si>
  <si>
    <t>ENSG00000179915</t>
  </si>
  <si>
    <t>ENSP00000341184</t>
  </si>
  <si>
    <t>Other_receptors;Neurexin</t>
  </si>
  <si>
    <t>188;342</t>
  </si>
  <si>
    <t>Cell junction, synapse;Cell membrane (Single-pass type I membrane protein)</t>
  </si>
  <si>
    <t>3D-structure;Alternative promoter usage;Alternative splicing;Angiogenesis;Calcium;Cell adhesion;Cell junction;Cell membrane;Complete proteome;Glycoprotein;Membrane;Metal-binding;Reference proteome;Signal;Synapse;Transmembrane;Transmembrane helix</t>
  </si>
  <si>
    <t>UniRef100_P58400;UniRef90_Q63373-3;UniRef50_Q63373-3</t>
  </si>
  <si>
    <t>NRX2B_HUMAN</t>
  </si>
  <si>
    <t>Neurexin-2-beta</t>
  </si>
  <si>
    <t>NRXN2</t>
  </si>
  <si>
    <t>SP:1-50;NC:51-590;TM:591-612;CY:613-666</t>
  </si>
  <si>
    <t>ENSG00000110076</t>
  </si>
  <si>
    <t>ENSP00000301894</t>
  </si>
  <si>
    <t>Alternative promoter usage;Alternative splicing;Cell adhesion;Complete proteome;Glycoprotein;Membrane;Reference proteome;Signal;Transmembrane;Transmembrane helix</t>
  </si>
  <si>
    <t>UniRef100_P58401;UniRef90_Q63376;UniRef50_Q9HDB5</t>
  </si>
  <si>
    <t>CLRN1_HUMAN</t>
  </si>
  <si>
    <t>Clarin-1</t>
  </si>
  <si>
    <t>CLRN1</t>
  </si>
  <si>
    <t>CY:1-8;TM:9-31;NC:32-96;TM:97-123;CY:124-134;TM:135-156;NC:157-187;TM:188-209;CY:210-232</t>
  </si>
  <si>
    <t>ENSG00000163646</t>
  </si>
  <si>
    <t>ENSP00000295911</t>
  </si>
  <si>
    <t>Alternative splicing;Complete proteome;Deafness;Disease mutation;Glycoprotein;Hearing;Membrane;Polymorphism;Reference proteome;Retinitis pigmentosa;Sensory transduction;Transmembrane;Transmembrane helix;Usher syndrome;Vision</t>
  </si>
  <si>
    <t>UniRef100_P58418;UniRef90_P58418;UniRef50_P58418</t>
  </si>
  <si>
    <t>EVA1C_HUMAN</t>
  </si>
  <si>
    <t>Protein eva-1 homolog C</t>
  </si>
  <si>
    <t>EVA1C</t>
  </si>
  <si>
    <t>SP:1-48;NC:49-321;TM:322-343;CY:344-441</t>
  </si>
  <si>
    <t>ENSG00000166979</t>
  </si>
  <si>
    <t>ENSP00000300255;ENSP00000407190;ENSP00000389291</t>
  </si>
  <si>
    <t>62;165</t>
  </si>
  <si>
    <t>Alternative splicing;Complete proteome;Glycoprotein;Lectin;Membrane;Reference proteome;Repeat;Signal;Transmembrane;Transmembrane helix</t>
  </si>
  <si>
    <t>UniRef100_P58658;UniRef90_P58658;UniRef50_P58658</t>
  </si>
  <si>
    <t>S26A5_HUMAN</t>
  </si>
  <si>
    <t>Prestin</t>
  </si>
  <si>
    <t>SLC26A5</t>
  </si>
  <si>
    <t>NC:1-98;TM:99-125;CY:126-132;TM:133-152;NC:153-181;TM:182-205;CY:206-211;TM:212-230;NC:231-255;TM:256-274;CY:275-285;TM:286-307;NC:308-334;TM:335-357;CY:358-411;TM:412-432;NC:433-437;TM:438-460;CY:461-470;TM:471-501;NC:502-744</t>
  </si>
  <si>
    <t>ENSG00000170615</t>
  </si>
  <si>
    <t>ENSP00000304783</t>
  </si>
  <si>
    <t>163;166;589;736</t>
  </si>
  <si>
    <t>EVGNANMAN[115]ATVVK</t>
  </si>
  <si>
    <t>P58743</t>
  </si>
  <si>
    <t>Alternative splicing;Cell membrane;Cell shape;Complete proteome;Deafness;Glycoprotein;Hearing;Membrane;Motor protein;Non-syndromic deafness;Reference proteome;Transmembrane;Transmembrane helix</t>
  </si>
  <si>
    <t>UniRef100_P58743;UniRef90_Q9EPH0;UniRef50_Q9EPH0</t>
  </si>
  <si>
    <t>T2R38_HUMAN</t>
  </si>
  <si>
    <t>Taste receptor type 2 member 38</t>
  </si>
  <si>
    <t>TAS2R38</t>
  </si>
  <si>
    <t>NC:1-18;TM:19-43;CY:44-54;TM:55-76;NC:77-94;TM:95-118;CY:119-142;TM:143-165;NC:166-190;TM:191-216;CY:217-248;TM:249-271;NC:272-276;TM:277-299;CY:300-333</t>
  </si>
  <si>
    <t>ENSG00000257138</t>
  </si>
  <si>
    <t>ENSP00000448219</t>
  </si>
  <si>
    <t>GPCR;TAS2R</t>
  </si>
  <si>
    <t>89;178</t>
  </si>
  <si>
    <t>Complete proteome;G-protein coupled receptor;Glycoprotein;Membrane;Polymorphism;Receptor;Reference proteome;Sensory transduction;Taste;Transducer;Transmembrane;Transmembrane helix</t>
  </si>
  <si>
    <t>UniRef100_P59533;UniRef90_P59533;UniRef50_P59533</t>
  </si>
  <si>
    <t>T2R39_HUMAN</t>
  </si>
  <si>
    <t>Taste receptor type 2 member 39</t>
  </si>
  <si>
    <t>TAS2R39</t>
  </si>
  <si>
    <t>NC:1-31;TM:32-55;CY:56-74;TM:75-96;NC:97-114;TM:115-137;CY:138-156;TM:157-180;NC:181-206;TM:207-232;CY:233-262;TM:263-284;NC:285-291;TM:292-312;CY:313-338</t>
  </si>
  <si>
    <t>ENSG00000236398</t>
  </si>
  <si>
    <t>ENSP00000405095</t>
  </si>
  <si>
    <t>141;185;194;245</t>
  </si>
  <si>
    <t>3D-structure;Complete proteome;G-protein coupled receptor;Glycoprotein;Membrane;Polymorphism;Receptor;Reference proteome;Sensory transduction;Taste;Transducer;Transmembrane;Transmembrane helix</t>
  </si>
  <si>
    <t>UniRef100_P59534;UniRef90_P59534;UniRef50_P59534</t>
  </si>
  <si>
    <t>T2R46_HUMAN</t>
  </si>
  <si>
    <t>Taste receptor type 2 member 46</t>
  </si>
  <si>
    <t>TAS2R46</t>
  </si>
  <si>
    <t>NC:1-5;TM:6-27;CY:28-46;TM:47-67;NC:68-86;TM:87-108;CY:109-127;TM:128-149;NC:150-178;TM:179-202;CY:203-227;TM:228-250;NC:251-258;TM:259-281;CY:282-309</t>
  </si>
  <si>
    <t>ENSG00000226761;ENSG00000262525</t>
  </si>
  <si>
    <t>ENSP00000436450;ENSP00000460229</t>
  </si>
  <si>
    <t>112;161;176</t>
  </si>
  <si>
    <t>Cell projection, cilium membrane;Membrane (Multi-pass membrane protein)</t>
  </si>
  <si>
    <t>Cell membrane;Cell projection;Cilium;Complete proteome;G-protein coupled receptor;Glycoprotein;Membrane;Polymorphism;Receptor;Reference proteome;Sensory transduction;Taste;Transducer;Transmembrane;Transmembrane helix</t>
  </si>
  <si>
    <t>UniRef100_P59540;UniRef90_P59540;UniRef50_P59538</t>
  </si>
  <si>
    <t>T2R30_HUMAN</t>
  </si>
  <si>
    <t>Taste receptor type 2 member 30</t>
  </si>
  <si>
    <t>TAS2R30</t>
  </si>
  <si>
    <t>NC:1-5;TM:6-27;CY:28-46;TM:47-67;NC:68-86;TM:87-108;CY:109-127;TM:128-147;NC:148-180;TM:181-202;CY:203-230;TM:231-254;NC:255-259;TM:260-281;CY:282-319</t>
  </si>
  <si>
    <t>ENSG00000256188;ENSG00000262111</t>
  </si>
  <si>
    <t>ENSP00000444736;ENSP00000458170</t>
  </si>
  <si>
    <t>UniRef100_P59541;UniRef90_P59541;UniRef50_P59542</t>
  </si>
  <si>
    <t>T2R19_HUMAN</t>
  </si>
  <si>
    <t>Taste receptor type 2 member 19</t>
  </si>
  <si>
    <t>TAS2R19</t>
  </si>
  <si>
    <t>NC:1-5;TM:6-27;CY:28-53;TM:54-75;NC:76-88;TM:89-108;CY:109-127;TM:128-148;NC:149-183;TM:184-204;CY:205-226;TM:227-248;NC:249-258;TM:259-281;CY:282-299</t>
  </si>
  <si>
    <t>ENSG00000212124;ENSG00000263028</t>
  </si>
  <si>
    <t>ENSP00000375091;ENSP00000461533</t>
  </si>
  <si>
    <t>112;161</t>
  </si>
  <si>
    <t>UniRef100_P59542;UniRef90_P59542;UniRef50_P59542</t>
  </si>
  <si>
    <t>T2R20_HUMAN</t>
  </si>
  <si>
    <t>Taste receptor type 2 member 20</t>
  </si>
  <si>
    <t>TAS2R20</t>
  </si>
  <si>
    <t>NC:1-5;TM:6-31;CY:32-46;TM:47-68;NC:69-79;TM:80-106;CY:107-126;TM:127-146;NC:147-177;TM:178-202;CY:203-230;TM:231-252;NC:253-258;TM:259-281;CY:282-309</t>
  </si>
  <si>
    <t>ENSG00000255837;ENSG00000273092</t>
  </si>
  <si>
    <t>ENSP00000441624;ENSP00000459353</t>
  </si>
  <si>
    <t>112;161;176;283;305</t>
  </si>
  <si>
    <t>UniRef100_P59543;UniRef90_P59543;UniRef50_P59538</t>
  </si>
  <si>
    <t>LIRA4_HUMAN</t>
  </si>
  <si>
    <t>Leukocyte immunoglobulin-like receptor subfamily A member 4</t>
  </si>
  <si>
    <t>LILRA4</t>
  </si>
  <si>
    <t>SP:1-23;NC:24-446;TM:447-466;CY:467-499</t>
  </si>
  <si>
    <t>ENSG00000239961;ENSG00000277092;ENSG00000274185;ENSG00000276798</t>
  </si>
  <si>
    <t>ENSP00000291759;ENSP00000479979;ENSP00000483846;ENSP00000481073</t>
  </si>
  <si>
    <t>CD85g</t>
  </si>
  <si>
    <t>138;200;239;279;300</t>
  </si>
  <si>
    <t>Adaptive immunity;Alternative splicing;Complete proteome;Disulfide bond;Glycoprotein;Immunity;Immunoglobulin domain;Membrane;Nitration;Polymorphism;Receptor;Reference proteome;Repeat;Signal;Transmembrane;Transmembrane helix</t>
  </si>
  <si>
    <t>UniRef100_P59901;UniRef90_P59901;UniRef50_Q8NHL6-5</t>
  </si>
  <si>
    <t>OR2B8_HUMAN</t>
  </si>
  <si>
    <t>Putative olfactory receptor 2B8</t>
  </si>
  <si>
    <t>OR2B8P</t>
  </si>
  <si>
    <t>NC:1-24;TM:25-48;CY:49-59;TM:60-81;NC:82-99;TM:100-120;CY:121-139;TM:140-162;NC:163-198;TM:199-218;CY:219-236;TM:237-260;NC:261-271;TM:272-292;CY:293-312</t>
  </si>
  <si>
    <t>5;42;65;195;265</t>
  </si>
  <si>
    <t>UniRef100_P59922;UniRef90_P59922;UniRef50_P58173</t>
  </si>
  <si>
    <t>MYPR_HUMAN</t>
  </si>
  <si>
    <t>Myelin proteolipid protein</t>
  </si>
  <si>
    <t>PLP1</t>
  </si>
  <si>
    <t>CY:1-11;TM:12-32;NC:33-66;TM:67-88;CY:89-153;TM:154-178;NC:179-238;TM:239-265;CY:266-277</t>
  </si>
  <si>
    <t>ENSG00000123560</t>
  </si>
  <si>
    <t>ENSP00000481006;ENSP00000484450</t>
  </si>
  <si>
    <t>Cell membrane (Multi-pass membrane protein);Myelin membrane</t>
  </si>
  <si>
    <t>3D-structure;Alternative splicing;Cell membrane;Complete proteome;Direct protein sequencing;Disease mutation;Disulfide bond;Hereditary spastic paraplegia;Leukodystrophy;Lipoprotein;Membrane;Neurodegeneration;Palmitate;Reference proteome;Transmembrane;Transmembrane helix</t>
  </si>
  <si>
    <t>UniRef100_P60201;UniRef90_P60201;UniRef50_P60201</t>
  </si>
  <si>
    <t>EFC1_HUMAN</t>
  </si>
  <si>
    <t>Endogenous retrovirus group FC1 Env polyprotein</t>
  </si>
  <si>
    <t>ERVFC1</t>
  </si>
  <si>
    <t>SP:1-24;NC:25-517;TM:518-542;CY:543-584</t>
  </si>
  <si>
    <t>69;247;272;276;308;313;322;334;342;346;478</t>
  </si>
  <si>
    <t>Virion;Cell membrane (Single-pass membrane protein)</t>
  </si>
  <si>
    <t>UniRef100_P60507;UniRef90_P60507;UniRef50_P60507</t>
  </si>
  <si>
    <t>SYCY2_HUMAN</t>
  </si>
  <si>
    <t>Syncytin-2</t>
  </si>
  <si>
    <t>ERVFRD-1</t>
  </si>
  <si>
    <t>SP:1-15;NC:16-478;TM:479-504;CY:505-538</t>
  </si>
  <si>
    <t>ENSG00000244476</t>
  </si>
  <si>
    <t>ENSP00000420174;ENSP00000444461</t>
  </si>
  <si>
    <t>133;146;177;220;241;247;312;332;443;523</t>
  </si>
  <si>
    <t>470;479</t>
  </si>
  <si>
    <t>3D-structure;Cell membrane;Cleavage on pair of basic residues;Complete proteome;Disulfide bond;ERV;Glycoprotein;Membrane;Reference proteome;Signal;Transmembrane;Transmembrane helix;Transposable element;Viral envelope protein;Virion</t>
  </si>
  <si>
    <t>UniRef100_P60508;UniRef90_P60508;UniRef50_P60508</t>
  </si>
  <si>
    <t>ERB1_HUMAN</t>
  </si>
  <si>
    <t>Endogenous retrovirus group PABLB member 1 Env polyprotein</t>
  </si>
  <si>
    <t>ERVPABLB-1</t>
  </si>
  <si>
    <t>SP:1-59;NC:60-451;TM:452-473;CY:474-514</t>
  </si>
  <si>
    <t>58;133;140;155;218;226;267;350;357;408;412</t>
  </si>
  <si>
    <t>Cell membrane;Complete proteome;Disulfide bond;ERV;Glycoprotein;Membrane;Reference proteome;Signal;Transmembrane;Transmembrane helix;Transposable element</t>
  </si>
  <si>
    <t>UniRef100_P60509;UniRef90_P60509;UniRef50_P60509</t>
  </si>
  <si>
    <t>ZP1_HUMAN</t>
  </si>
  <si>
    <t>Zona pellucida sperm-binding protein 1</t>
  </si>
  <si>
    <t>ZP1</t>
  </si>
  <si>
    <t>SP:1-25;NC:26-601;TM:602-624;CY:625-638</t>
  </si>
  <si>
    <t>ENSG00000149506</t>
  </si>
  <si>
    <t>ENSP00000278853</t>
  </si>
  <si>
    <t>76;379;561;596</t>
  </si>
  <si>
    <t>Cell membrane;Cleavage on pair of basic residues;Complete proteome;Disulfide bond;Extracellular matrix;Fertilization;Glycoprotein;Membrane;Polymorphism;Reference proteome;Secreted;Signal;Transmembrane;Transmembrane helix</t>
  </si>
  <si>
    <t>UniRef100_P60852;UniRef90_P60852;UniRef50_P60852</t>
  </si>
  <si>
    <t>GPR85_HUMAN</t>
  </si>
  <si>
    <t>Probable G-protein coupled receptor 85</t>
  </si>
  <si>
    <t>GPR85</t>
  </si>
  <si>
    <t>NC:1-21;TM:22-46;CY:47-56;TM:57-78;NC:79-96;TM:97-121;CY:122-132;TM:133-154;NC:155-185;TM:186-208;CY:209-286;TM:287-309;NC:310-314;TM:315-338;CY:339-370</t>
  </si>
  <si>
    <t>ENSG00000164604</t>
  </si>
  <si>
    <t>ENSP00000297146;ENSP00000396763;ENSP00000401178;ENSP00000476863</t>
  </si>
  <si>
    <t>3;14;83;182;227;264</t>
  </si>
  <si>
    <t>UniRef100_P60893;UniRef90_P60893;UniRef50_Q9NS66</t>
  </si>
  <si>
    <t>CXCR4_HUMAN</t>
  </si>
  <si>
    <t>C-X-C chemokine receptor type 4</t>
  </si>
  <si>
    <t>CXCR4</t>
  </si>
  <si>
    <t>NC:1-41;TM:42-64;CY:65-77;TM:78-100;NC:101-113;TM:114-135;CY:136-154;TM:155-175;NC:176-196;TM:197-222;CY:223-241;TM:242-261;NC:262-283;TM:284-305;CY:306-352</t>
  </si>
  <si>
    <t>ENSG00000121966</t>
  </si>
  <si>
    <t>ENSP00000241393</t>
  </si>
  <si>
    <t>CD184</t>
  </si>
  <si>
    <t>11;176</t>
  </si>
  <si>
    <t>330;338;339;341;342;344</t>
  </si>
  <si>
    <t>Cell junction;Cell membrane (Multi-pass membrane protein);Early endosome;Late endosome;Lysosome</t>
  </si>
  <si>
    <t>3D-structure;Alternative splicing;Cell junction;Cell membrane;Complete proteome;Disulfide bond;Endosome;G-protein coupled receptor;Glycoprotein;Host cell receptor for virus entry;Host-virus interaction;Lysosome;Membrane;Phosphoprotein;Proteoglycan;Receptor;Reference proteome;Sulfation;Transducer;Transmembrane;Transmembrane helix;Ubl conjugation</t>
  </si>
  <si>
    <t>UniRef100_P61073;UniRef90_P61073;UniRef50_P61073</t>
  </si>
  <si>
    <t>DB00452;DB06809</t>
  </si>
  <si>
    <t>ENVT1_HUMAN</t>
  </si>
  <si>
    <t>Endogenous retrovirus group S71 member 1 Env polyprotein</t>
  </si>
  <si>
    <t>ERVS71-1</t>
  </si>
  <si>
    <t>SP:1-37;NC:38-571;TM:572-597;CY:598-626</t>
  </si>
  <si>
    <t>57;292;344;354;365;382;397;532</t>
  </si>
  <si>
    <t>Cell membrane;Complete proteome;Disulfide bond;ERV;Membrane;Reference proteome;Signal;Transmembrane;Transmembrane helix;Transposable element</t>
  </si>
  <si>
    <t>UniRef100_P61550;UniRef90_P61550;UniRef50_P61550</t>
  </si>
  <si>
    <t>ENK21_HUMAN</t>
  </si>
  <si>
    <t>Endogenous retrovirus group K member 21 Env polyprotein</t>
  </si>
  <si>
    <t>ERVK-21</t>
  </si>
  <si>
    <t>SP:1-88;NC:89-631;TM:632-654;CY:655-698</t>
  </si>
  <si>
    <t>99;127;152;273;354;371;460;506;553;565;584</t>
  </si>
  <si>
    <t>UniRef100_P61565;UniRef90_O42043;UniRef50_O42043</t>
  </si>
  <si>
    <t>ENK24_HUMAN</t>
  </si>
  <si>
    <t>Endogenous retrovirus group K member 24 Env polyprotein</t>
  </si>
  <si>
    <t>ERVK-24</t>
  </si>
  <si>
    <t>CY:1-354;TM:355-380;NC:381-521;TM:522-544;CY:545-588</t>
  </si>
  <si>
    <t>17;42;163;244;261;350;396;443;455;474</t>
  </si>
  <si>
    <t>Cell membrane;Cleavage on pair of basic residues;Complete proteome;Disulfide bond;ERV;Membrane;Reference proteome;Transmembrane;Transmembrane helix;Transposable element;Viral envelope protein;Virion</t>
  </si>
  <si>
    <t>UniRef100_P61566;UniRef90_P61567;UniRef50_O42043</t>
  </si>
  <si>
    <t>ENK7_HUMAN</t>
  </si>
  <si>
    <t>Endogenous retrovirus group K member 7 Env polyprotein</t>
  </si>
  <si>
    <t>ERVK-7</t>
  </si>
  <si>
    <t>3.1.26.4/2.7.7.49</t>
  </si>
  <si>
    <t>UniRef100_P61567;UniRef90_P61567;UniRef50_O42043</t>
  </si>
  <si>
    <t>ENK25_HUMAN</t>
  </si>
  <si>
    <t>Endogenous retrovirus group K member 25 Env polyprotein</t>
  </si>
  <si>
    <t>ERVK-25</t>
  </si>
  <si>
    <t>CY:1-465;TM:466-491;NC:492-632;TM:633-655;CY:656-661</t>
  </si>
  <si>
    <t>UniRef100_P61570;UniRef90_O42043;UniRef50_O42043</t>
  </si>
  <si>
    <t>TSN5_HUMAN</t>
  </si>
  <si>
    <t>Tetraspanin-5</t>
  </si>
  <si>
    <t>TSPAN5</t>
  </si>
  <si>
    <t>CY:1-19;TM:20-41;NC:42-61;TM:62-84;CY:85-92;TM:93-115;NC:116-233;TM:234-257;CY:258-268</t>
  </si>
  <si>
    <t>ENSG00000168785</t>
  </si>
  <si>
    <t>ENSP00000307701</t>
  </si>
  <si>
    <t>49;169;174;232</t>
  </si>
  <si>
    <t>UniRef100_P62079;UniRef90_P62079;UniRef50_Q96FV3</t>
  </si>
  <si>
    <t>CCG7_HUMAN</t>
  </si>
  <si>
    <t>Voltage-dependent calcium channel gamma-7 subunit</t>
  </si>
  <si>
    <t>CACNG7</t>
  </si>
  <si>
    <t>SP:1-29;NC:30-100;TM:101-120;CY:121-128;TM:129-154;NC:155-174;TM:175-201;CY:202-275</t>
  </si>
  <si>
    <t>ENSG00000105605</t>
  </si>
  <si>
    <t>ENSP00000222212;ENSP00000375646;ENSP00000375647</t>
  </si>
  <si>
    <t>UniRef100_P62955;UniRef90_P62955;UniRef50_P62955</t>
  </si>
  <si>
    <t>CXAR_HUMAN</t>
  </si>
  <si>
    <t>Coxsackievirus and adenovirus receptor</t>
  </si>
  <si>
    <t>CXADR</t>
  </si>
  <si>
    <t>SP:1-19;NC:20-236;TM:237-259;CY:260-365</t>
  </si>
  <si>
    <t>ENSG00000154639</t>
  </si>
  <si>
    <t>ENSP00000284878</t>
  </si>
  <si>
    <t>106;201;298;344</t>
  </si>
  <si>
    <t>186;187;289;293;297;300;301;306;308;314;329;332;334</t>
  </si>
  <si>
    <t>SGDASIN[115]VTNLQLSDIGTYQCK;N[115]ASSEYSGTYSCTVR</t>
  </si>
  <si>
    <t>106;201</t>
  </si>
  <si>
    <t>P78310</t>
  </si>
  <si>
    <t>Basolateral cell membrane (Single-pass type I membrane protein);Cell junction, adherens junction;Cell junction, tight junction;Cell membrane (Single-pass type I membrane protein);Basolateral cell membrane (Single-pass membrane protein);Cell junction, adherens junction;Cell junction, tight junction;Cell membrane (Single-pass type I membrane protein);Secreted;Secreted;Secreted</t>
  </si>
  <si>
    <t>3D-structure;Alternative splicing;Cell adhesion;Cell junction;Cell membrane;Complete proteome;Disulfide bond;Glycoprotein;Host cell receptor for virus entry;Host-virus interaction;Immunoglobulin domain;Lipoprotein;Membrane;Palmitate;Phosphoprotein;Polymorphism;Receptor;Reference proteome;Repeat;Secreted;Signal;Tight junction;Transmembrane;Transmembrane helix</t>
  </si>
  <si>
    <t>UniRef100_P78310;UniRef90_P78310;UniRef50_P78310</t>
  </si>
  <si>
    <t>SHPS1_HUMAN</t>
  </si>
  <si>
    <t>Tyrosine-protein phosphatase non-receptor type substrate 1</t>
  </si>
  <si>
    <t>SIRPA</t>
  </si>
  <si>
    <t>SP:1-30;NC:31-371;TM:372-394;CY:395-504</t>
  </si>
  <si>
    <t>ENSG00000198053</t>
  </si>
  <si>
    <t>ENSP00000348307;ENSP00000351621;ENSP00000382941</t>
  </si>
  <si>
    <t>CD172a</t>
  </si>
  <si>
    <t>110;245;270;292;319;449;479</t>
  </si>
  <si>
    <t>92;94;149;154;301;350;405;406;407;408;455;458;459;464</t>
  </si>
  <si>
    <t>3D-structure;Alternative splicing;Complete proteome;Disulfide bond;Glycoprotein;Immunoglobulin domain;Membrane;Phosphoprotein;Polymorphism;Reference proteome;Repeat;SH3-binding;Signal;Transmembrane;Transmembrane helix</t>
  </si>
  <si>
    <t>UniRef100_P78324;UniRef90_P78324;UniRef50_P78324</t>
  </si>
  <si>
    <t>ADAM8_HUMAN</t>
  </si>
  <si>
    <t>Disintegrin and metalloproteinase domain-containing protein 8</t>
  </si>
  <si>
    <t>ADAM8</t>
  </si>
  <si>
    <t>SP:1-20;NC:21-653;TM:654-678;CY:679-824</t>
  </si>
  <si>
    <t>ENSG00000151651</t>
  </si>
  <si>
    <t>ENSP00000453302</t>
  </si>
  <si>
    <t>CD156a</t>
  </si>
  <si>
    <t>67;91;436;494;612</t>
  </si>
  <si>
    <t>48;695;699;708;720;729;730;741;742;755;757;758;767;778</t>
  </si>
  <si>
    <t>SSN[115]CSAQCHNHGVCNHK;SSN[115]CSAQCHNHGVCN[115]HK;SSN[115]CSAQCHN[115]HGVCNHK</t>
  </si>
  <si>
    <t>P78325</t>
  </si>
  <si>
    <t>3D-structure;Alternative splicing;Complete proteome;Disulfide bond;EGF-like domain;Glycoprotein;Hydrolase;Membrane;Metal-binding;Metalloprotease;Polymorphism;Protease;Reference proteome;Signal;Transmembrane;Transmembrane helix;Zinc</t>
  </si>
  <si>
    <t>UniRef100_P78325;UniRef90_P78325;UniRef50_P78325</t>
  </si>
  <si>
    <t>GPC5_HUMAN</t>
  </si>
  <si>
    <t>Glypican-5</t>
  </si>
  <si>
    <t>GPC5</t>
  </si>
  <si>
    <t>SP:1-26;NC:27-572</t>
  </si>
  <si>
    <t>ENSG00000179399</t>
  </si>
  <si>
    <t>ENSP00000366267</t>
  </si>
  <si>
    <t>120;237;527</t>
  </si>
  <si>
    <t>ITDWMPDDMN[115]FSDVK</t>
  </si>
  <si>
    <t>P78333</t>
  </si>
  <si>
    <t>Cell membrane;Complete proteome;Glycoprotein;GPI-anchor;Heparan sulfate;Lipoprotein;Membrane;Polymorphism;Proteoglycan;Reference proteome;Secreted;Signal</t>
  </si>
  <si>
    <t>UniRef100_P78333;UniRef90_P78333;UniRef50_P78333</t>
  </si>
  <si>
    <t>GBRE_HUMAN</t>
  </si>
  <si>
    <t>Gamma-aminobutyric acid receptor subunit epsilon</t>
  </si>
  <si>
    <t>GABRE</t>
  </si>
  <si>
    <t>SP:1-20;NC:21-255;TM:256-273;CY:274-284;TM:285-301;NC:302-341;TM:342-366;CY:367-482;TM:483-502;NC:503-506</t>
  </si>
  <si>
    <t>ENSG00000102287</t>
  </si>
  <si>
    <t>ENSP00000359353</t>
  </si>
  <si>
    <t>134;252;272;367;482</t>
  </si>
  <si>
    <t>134;252;367</t>
  </si>
  <si>
    <t>UniRef100_P78334;UniRef90_P78334;UniRef50_P78334</t>
  </si>
  <si>
    <t>ASIC1_HUMAN</t>
  </si>
  <si>
    <t>Acid-sensing ion channel 1</t>
  </si>
  <si>
    <t>ASIC1</t>
  </si>
  <si>
    <t>CY:1-43;TM:44-67;NC:68-438;TM:439-458;CY:459-528</t>
  </si>
  <si>
    <t>ENSG00000110881</t>
  </si>
  <si>
    <t>ENSP00000228468</t>
  </si>
  <si>
    <t>368;395</t>
  </si>
  <si>
    <t>DQEYCVCEMPCN[115]LTR</t>
  </si>
  <si>
    <t>P78348</t>
  </si>
  <si>
    <t>Alternative splicing;Calcium;Calcium transport;Cell membrane;Complete proteome;Disulfide bond;Glycoprotein;Ion channel;Ion transport;Membrane;Phosphoprotein;Reference proteome;Sodium;Sodium channel;Sodium transport;Transmembrane;Transmembrane helix;Transport</t>
  </si>
  <si>
    <t>UniRef100_P78348;UniRef90_P78348;UniRef50_P78348</t>
  </si>
  <si>
    <t>DB00586;DB00594</t>
  </si>
  <si>
    <t>CNTP1_HUMAN</t>
  </si>
  <si>
    <t>Contactin-associated protein 1</t>
  </si>
  <si>
    <t>CNTNAP1</t>
  </si>
  <si>
    <t>SP:1-19;NC:20-1280;TM:1281-1306;CY:1307-1384</t>
  </si>
  <si>
    <t>ENSG00000108797</t>
  </si>
  <si>
    <t>ENSP00000264638</t>
  </si>
  <si>
    <t>Other_receptors;ContactinAssProt</t>
  </si>
  <si>
    <t>120;128;276;420;499;518;597;653;664;763;804;843;860;948;956;1078;1147</t>
  </si>
  <si>
    <t>120;276;499;518;597;860;956;1078;1147</t>
  </si>
  <si>
    <t>GHN[115]STFFGNVN[115]ESAVVR;DVN[115]FTLDGYVQR;VDGQLVN[115]LTLVEGR;TSGN[115]FTIDPDGSGPLKPF;AN[115]ASEGTSPN[115]CTGH;AN[115]ASEGTSPN[115]CTGHCAHPR;PN[115]CTGHCAHPR;PVTDGQPHSIN[115]ITR</t>
  </si>
  <si>
    <t>120;128;276;518;597;948;956;1147</t>
  </si>
  <si>
    <t>P78357</t>
  </si>
  <si>
    <t>Cell adhesion;Complete proteome;Disulfide bond;EGF-like domain;Glycoprotein;Membrane;Polymorphism;Reference proteome;Repeat;SH3-binding;Signal;Transmembrane;Transmembrane helix</t>
  </si>
  <si>
    <t>UniRef100_P78357;UniRef90_P78357;UniRef50_P78357</t>
  </si>
  <si>
    <t>ABCA4_HUMAN</t>
  </si>
  <si>
    <t>Retinal-specific ATP-binding cassette transporter</t>
  </si>
  <si>
    <t>ABCA4</t>
  </si>
  <si>
    <t>CY:1-22;TM:23-42;NC:43-646;TM:647-668;CY:669-693;TM:694-719;NC:720-730;TM:731-751;CY:752-759;TM:760-783;NC:784-835;TM:836-857;CY:858-1372;TM:1373-1396;NC:1397-1727;TM:1728-1749;CY:1750-1760;TM:1761-1779;NC:1780-1790;TM:1791-1816;CY:1817-1827;TM:1828-1851;NC:1852-1874;TM:1875-1896;CY:1897-2273</t>
  </si>
  <si>
    <t>ENSG00000198691</t>
  </si>
  <si>
    <t>ENSP00000359245</t>
  </si>
  <si>
    <t>14;98;415;444;504;950;1457;1469;1529;1588;1662;1707;1734;1805;1819;1933;2006;2052</t>
  </si>
  <si>
    <t>14;98;415;444;457;504;950;1457;1469;1483;1529;1588;1662;1707;1734;1805;1819;1933;2006;2052</t>
  </si>
  <si>
    <t>12;697</t>
  </si>
  <si>
    <t>Age-related macular degeneration;ATP-binding;Complete proteome;Cone-rod dystrophy;Disease mutation;Disulfide bond;Glycoprotein;Membrane;Nucleotide-binding;Polymorphism;Reference proteome;Repeat;Retinitis pigmentosa;Sensory transduction;Stargardt disease;Transmembrane;Transmembrane helix;Transport;Vision</t>
  </si>
  <si>
    <t>UniRef100_P78363;UniRef90_P78363;UniRef50_P78363</t>
  </si>
  <si>
    <t>CLD10_HUMAN</t>
  </si>
  <si>
    <t>Claudin-10</t>
  </si>
  <si>
    <t>CLDN10</t>
  </si>
  <si>
    <t>CY:1-6;TM:7-25;NC:26-77;TM:78-100;CY:101-115;TM:116-139;NC:140-158;TM:159-182;CY:183-228</t>
  </si>
  <si>
    <t>ENSG00000134873</t>
  </si>
  <si>
    <t>ENSP00000299339</t>
  </si>
  <si>
    <t>18;30;46;50;166</t>
  </si>
  <si>
    <t>Alternative splicing;Cell junction;Cell membrane;Complete proteome;Ion transport;Membrane;Reference proteome;Tight junction;Transmembrane;Transmembrane helix;Transport</t>
  </si>
  <si>
    <t>UniRef100_P78369;UniRef90_Q9Z0S6;UniRef50_Q9Z0S6</t>
  </si>
  <si>
    <t>OLR1_HUMAN</t>
  </si>
  <si>
    <t>Oxidized low-density lipoprotein receptor 1</t>
  </si>
  <si>
    <t>OLR1</t>
  </si>
  <si>
    <t>CY:1-33;TM:34-57;NC:58-273</t>
  </si>
  <si>
    <t>ENSG00000173391</t>
  </si>
  <si>
    <t>ENSP00000309124</t>
  </si>
  <si>
    <t>73;139;183</t>
  </si>
  <si>
    <t>73;139;183;210</t>
  </si>
  <si>
    <t>IN[115]STADLDFIQQAISY</t>
  </si>
  <si>
    <t>P78380</t>
  </si>
  <si>
    <t>Cell membrane (Lipid-anchor);Cell membrane (Single-pass type II membrane protein);Membrane raft;Secreted</t>
  </si>
  <si>
    <t>3D-structure;Alternative splicing;Cell adhesion;Cell membrane;Coiled coil;Complete proteome;Disulfide bond;Glycoprotein;Immunity;Inflammatory response;Lectin;Lipoprotein;Membrane;Palmitate;Polymorphism;Receptor;Reference proteome;Secreted;Signal-anchor;Transmembrane;Transmembrane helix</t>
  </si>
  <si>
    <t>UniRef100_P78380;UniRef90_P78380;UniRef50_P78380</t>
  </si>
  <si>
    <t>BT3A2_HUMAN</t>
  </si>
  <si>
    <t>Butyrophilin subfamily 3 member A2</t>
  </si>
  <si>
    <t>BTN3A2</t>
  </si>
  <si>
    <t>SP:1-29;NC:30-247;TM:248-271;CY:272-334</t>
  </si>
  <si>
    <t>ENSG00000186470</t>
  </si>
  <si>
    <t>ENSP00000348751;ENSP00000366937;ENSP00000380152;ENSP00000432138</t>
  </si>
  <si>
    <t>115;331</t>
  </si>
  <si>
    <t>3D-structure;Adaptive immunity;Alternative splicing;Cell membrane;Coiled coil;Complete proteome;Disulfide bond;Glycoprotein;Immunity;Immunoglobulin domain;Membrane;Phosphoprotein;Polymorphism;Reference proteome;Signal;Transmembrane;Transmembrane helix</t>
  </si>
  <si>
    <t>UniRef100_P78410;UniRef90_P78410;UniRef50_O00481-3</t>
  </si>
  <si>
    <t>X3CL1_HUMAN</t>
  </si>
  <si>
    <t>Fractalkine</t>
  </si>
  <si>
    <t>CX3CL1</t>
  </si>
  <si>
    <t>SP:1-28;NC:29-341;TM:342-362;CY:363-397</t>
  </si>
  <si>
    <t>ENSG00000006210</t>
  </si>
  <si>
    <t>ENSP00000006053</t>
  </si>
  <si>
    <t>114;115;124;132;135;136;137;141;143;144;153;154;159;162;164;165;167;172;192;193;196;199;200;208;215;216;220;221;225;226;229;230;232;233;242;253;282;287;292;293;298;304;306;318;329</t>
  </si>
  <si>
    <t>3D-structure;Cell adhesion;Cell membrane;Chemotaxis;Complete proteome;Cytokine;Disulfide bond;Glycoprotein;Membrane;Polymorphism;Reference proteome;Secreted;Signal;Transmembrane;Transmembrane helix</t>
  </si>
  <si>
    <t>UniRef100_P78423;UniRef90_P78423;UniRef50_P78423</t>
  </si>
  <si>
    <t>JAG1_HUMAN</t>
  </si>
  <si>
    <t>Protein jagged-1</t>
  </si>
  <si>
    <t>JAG1</t>
  </si>
  <si>
    <t>SP:1-30;NC:31-1068;TM:1069-1093;CY:1094-1218</t>
  </si>
  <si>
    <t>ENSG00000101384</t>
  </si>
  <si>
    <t>ENSP00000254958</t>
  </si>
  <si>
    <t>CD339</t>
  </si>
  <si>
    <t>Ligand;Jagged</t>
  </si>
  <si>
    <t>143;217;382;559;585;745;960;991;1045;1064;1110;1187;1195</t>
  </si>
  <si>
    <t>143;162;217;382;559;585;745;960;991;1045;1064;1110;1187;1195</t>
  </si>
  <si>
    <t>84;96;98;112;156;164;244;329;342;370;373;433;493;518;569;570;584;587;595;596;707;713;739;747;826;827;859;865;868;909;913;916;938;939;940;950;952;964;993;997;1005;1007;1047;1101;1103;1105;1107;1112;1147;1151;1177;1191</t>
  </si>
  <si>
    <t>128;139;167;224;257;280;288;366;404;442;659;697;735;774;803;876;896;1081;1091;1196</t>
  </si>
  <si>
    <t>SYTLLVEAWDSSN[115]DTVQPDSIIEK;LVEAWDSSN[115]DTVQPDSIIEK;VEAWDSSN[115]DTVQPDSIIEK;DSSN[115]DTVQPDSIIEK;DDFFGHYACDQNGN[115]K;CPEDYEGKN[115]CSHLK;PEDYEGKN[115]CSHLK;TTPCEVIDSCTVAMASN[115]DTPEGVR;TVAMASN[115]DTPEGVR;MASN[115]DTPEGVR;RDGN[115]SSLIAAVAEVR;DGN[115]SSLIAAVAEV;DGN[115]SSLIAAVAEVR</t>
  </si>
  <si>
    <t>143;217;559;585;1045</t>
  </si>
  <si>
    <t>P78504</t>
  </si>
  <si>
    <t>3D-structure;Alternative splicing;Calcium;Complete proteome;Developmental protein;Disease mutation;Disulfide bond;EGF-like domain;Glycoprotein;Membrane;Notch signaling pathway;Polymorphism;Reference proteome;Repeat;Signal;Transmembrane;Transmembrane helix</t>
  </si>
  <si>
    <t>UniRef100_P78504;UniRef90_P78504;UniRef50_P78504</t>
  </si>
  <si>
    <t>ADA17_HUMAN</t>
  </si>
  <si>
    <t>Disintegrin and metalloproteinase domain-containing protein 17</t>
  </si>
  <si>
    <t>ADAM17</t>
  </si>
  <si>
    <t>SP:1-21;NC:22-671;TM:672-693;CY:694-824</t>
  </si>
  <si>
    <t>ENSG00000151694</t>
  </si>
  <si>
    <t>ENSP00000309968</t>
  </si>
  <si>
    <t>CD156b</t>
  </si>
  <si>
    <t>103;157;174;264;452;498;539;551;594;784</t>
  </si>
  <si>
    <t>VVVVDGKN[115]ESEYTVK;SEDIKN[115]VSR;N[115]TSWDNAGFK;MFSN[115]CSK;VDEGEECDPGIMYLNN[115]DTCCNSDCTLK;KCQEAIN[115]ATCK;CQEAIN[115]ATCK;GVSYCTGN[115]SSECPPPGNAEDDTVCLDLGK;EQQLESCACN[115]ETDNSCK;EQQLESCACN[115]ETDNSCKVCCR;EQQLESCACN[115]ETDN[115]SCK</t>
  </si>
  <si>
    <t>103;174;264;452;498;539;551;594</t>
  </si>
  <si>
    <t>P78536</t>
  </si>
  <si>
    <t>3D-structure;Alternative splicing;Cleavage on pair of basic residues;Complete proteome;Direct protein sequencing;Disulfide bond;Glycoprotein;Hydrolase;Membrane;Metal-binding;Metalloprotease;Notch signaling pathway;Phosphoprotein;Polymorphism;Protease;Reference proteome;SH3-binding;Signal;Transmembrane;Transmembrane helix;Zinc;Zymogen</t>
  </si>
  <si>
    <t>UniRef100_P78536;UniRef90_P78536;UniRef50_P78536</t>
  </si>
  <si>
    <t>I13R1_HUMAN</t>
  </si>
  <si>
    <t>Interleukin-13 receptor subunit alpha-1</t>
  </si>
  <si>
    <t>IL13RA1</t>
  </si>
  <si>
    <t>SP:1-26;NC:27-343;TM:344-367;CY:368-427</t>
  </si>
  <si>
    <t>ENSG00000131724</t>
  </si>
  <si>
    <t>ENSP00000360730</t>
  </si>
  <si>
    <t>CD213a1</t>
  </si>
  <si>
    <t>37;61;105;138;151;157;235;265;293;329;341</t>
  </si>
  <si>
    <t>ICLQVGSQCSTN[115]ESEKPSILVEK;NTSPDTN[115]YTLYYWHR;N[115]TSPDTN[115]YTLYYWHR;NVEN[115]TSCFMVPGVLPDTLNTVR</t>
  </si>
  <si>
    <t>105;151;157;293</t>
  </si>
  <si>
    <t>P78552</t>
  </si>
  <si>
    <t>3D-structure;Alternative splicing;Complete proteome;Disulfide bond;Glycoprotein;Membrane;Receptor;Reference proteome;Repeat;Signal;Transmembrane;Transmembrane helix</t>
  </si>
  <si>
    <t>UniRef100_P78552;UniRef90_P78552;UniRef50_P78552</t>
  </si>
  <si>
    <t>PHEX_HUMAN</t>
  </si>
  <si>
    <t>Phosphate-regulating neutral endopeptidase</t>
  </si>
  <si>
    <t>PHEX</t>
  </si>
  <si>
    <t>CY:1-20;TM:21-41;NC:42-749</t>
  </si>
  <si>
    <t>ENSG00000102174</t>
  </si>
  <si>
    <t>ENSP00000368682</t>
  </si>
  <si>
    <t>71;238;263;290;301;377;484;736</t>
  </si>
  <si>
    <t>238;290;484;533;736</t>
  </si>
  <si>
    <t>Aminopeptidase;Biomineralization;Complete proteome;Disease mutation;Glycoprotein;Hydrolase;Membrane;Metal-binding;Metalloprotease;Protease;Reference proteome;Signal-anchor;Transmembrane;Transmembrane helix;Zinc</t>
  </si>
  <si>
    <t>UniRef100_P78562;UniRef90_P78562;UniRef50_P78562</t>
  </si>
  <si>
    <t>DRB3_HUMAN</t>
  </si>
  <si>
    <t>HLA class II histocompatibility antigen, DR beta 3 chain</t>
  </si>
  <si>
    <t>HLA-DRB3</t>
  </si>
  <si>
    <t>ENSG00000196101;ENSG00000231679</t>
  </si>
  <si>
    <t>ENSP00000302517;ENSP00000372607</t>
  </si>
  <si>
    <t>FLELRKSECHFFN[115]GTER;FLELRKSECHFFN[115]GTERVR;KSECHFFN[115]GTER;KSECHFFN[115]GTERVR</t>
  </si>
  <si>
    <t>P79483</t>
  </si>
  <si>
    <t>UniRef100_P79483;UniRef90_P79483;UniRef50_P79483</t>
  </si>
  <si>
    <t>DLK1_HUMAN</t>
  </si>
  <si>
    <t>Protein delta homolog 1</t>
  </si>
  <si>
    <t>DLK1</t>
  </si>
  <si>
    <t>SP:1-23;NC:24-301;TM:302-327;CY:328-383</t>
  </si>
  <si>
    <t>ENSG00000185559</t>
  </si>
  <si>
    <t>ENSP00000340292</t>
  </si>
  <si>
    <t>100;134</t>
  </si>
  <si>
    <t>21;94;120;143;163;214;222;240;251;260;269;335</t>
  </si>
  <si>
    <t>Alternative splicing;Complete proteome;Direct protein sequencing;Disulfide bond;EGF-like domain;Glycoprotein;Membrane;Polymorphism;Reference proteome;Repeat;Signal;Transmembrane;Transmembrane helix</t>
  </si>
  <si>
    <t>UniRef100_P80370;UniRef90_P80370;UniRef50_Q09163</t>
  </si>
  <si>
    <t>F189B_HUMAN</t>
  </si>
  <si>
    <t>Protein FAM189B</t>
  </si>
  <si>
    <t>FAM189B</t>
  </si>
  <si>
    <t>CY:1-32;TM:33-56;NC:57-69;TM:70-87;CY:88-93;TM:94-115;NC:116-172;TM:173-197;CY:198-668</t>
  </si>
  <si>
    <t>ENSG00000160767;ENSG00000262666</t>
  </si>
  <si>
    <t>ENSP00000354958;ENSP00000461152</t>
  </si>
  <si>
    <t>160;269</t>
  </si>
  <si>
    <t>VAPN[115]STCDEAR</t>
  </si>
  <si>
    <t>P81408</t>
  </si>
  <si>
    <t>UniRef100_P81408;UniRef90_P81408;UniRef50_P81408</t>
  </si>
  <si>
    <t>BAT1_HUMAN</t>
  </si>
  <si>
    <t>b(0,+)-type amino acid transporter 1</t>
  </si>
  <si>
    <t>SLC7A9</t>
  </si>
  <si>
    <t>CY:1-29;TM:30-49;NC:50-60;TM:61-86;CY:87-98;TM:99-120;NC:121-148;TM:149-169;CY:170-180;TM:181-201;NC:202-212;TM:213-232;CY:233-251;TM:252-277;NC:278-296;TM:297-319;CY:320-348;TM:349-368;NC:369-373;TM:374-398;CY:399-409;TM:410-430;NC:431-435;TM:436-457;CY:458-487</t>
  </si>
  <si>
    <t>ENSG00000021488</t>
  </si>
  <si>
    <t>ENSP00000023064;ENSP00000468439;ENSP00000464822</t>
  </si>
  <si>
    <t>271;318</t>
  </si>
  <si>
    <t>Amino-acid transport;Cell membrane;Complete proteome;Cystinuria;Disease mutation;Disulfide bond;Membrane;Polymorphism;Reference proteome;Transmembrane;Transmembrane helix;Transport</t>
  </si>
  <si>
    <t>UniRef100_P82251;UniRef90_P82251;UniRef50_P82251</t>
  </si>
  <si>
    <t>CRUM1_HUMAN</t>
  </si>
  <si>
    <t>Protein crumbs homolog 1</t>
  </si>
  <si>
    <t>CRB1</t>
  </si>
  <si>
    <t>SP:1-27;NC:28-1343;TM:1344-1368;CY:1369-1406</t>
  </si>
  <si>
    <t>ENSG00000134376</t>
  </si>
  <si>
    <t>ENSP00000356370;ENSP00000395407</t>
  </si>
  <si>
    <t>StructuralAndAdhesion;CrumbsProtein</t>
  </si>
  <si>
    <t>30;41;42;215;287;313;322;418;427;453;550;561;657;757;871;880;968;975;1000;1057;1190;1243;1265;1273</t>
  </si>
  <si>
    <t>30;41;42;215;287;313;322;418;427;453;550;561;657;757;867;871;880;968;975;1000;1057;1190;1243;1265;1273</t>
  </si>
  <si>
    <t>Apical cell membrane (Single-pass type I membrane protein);Secreted</t>
  </si>
  <si>
    <t>Alternative splicing;Calcium;Cell membrane;Complete proteome;Disease mutation;Disulfide bond;EGF-like domain;Glycoprotein;Leber congenital amaurosis;Membrane;Polymorphism;Reference proteome;Repeat;Retinitis pigmentosa;Secreted;Signal;Transmembrane;Transmembrane helix</t>
  </si>
  <si>
    <t>UniRef100_P82279;UniRef90_P82279;UniRef50_P82279</t>
  </si>
  <si>
    <t>ENTK_HUMAN</t>
  </si>
  <si>
    <t>Enteropeptidase</t>
  </si>
  <si>
    <t>TMPRSS15</t>
  </si>
  <si>
    <t>CY:1-20;TM:21-42;NC:43-1019</t>
  </si>
  <si>
    <t>ENSG00000154646</t>
  </si>
  <si>
    <t>ENSP00000284885</t>
  </si>
  <si>
    <t>116;147;179;328;335;388;440;470;503;534;630;682;706;725;848;887;909;949</t>
  </si>
  <si>
    <t>130;255;297;356;366;426;462;531;554;699;707;796;798;819;837;915;983;1013</t>
  </si>
  <si>
    <t>3D-structure;Complete proteome;Disulfide bond;Glycoprotein;Hydrolase;Lipoprotein;Membrane;Myristate;Polymorphism;Protease;Reference proteome;Repeat;Serine protease;Signal-anchor;Transmembrane;Transmembrane helix;Zymogen</t>
  </si>
  <si>
    <t>UniRef100_P98073;UniRef90_P98073;UniRef50_P98073</t>
  </si>
  <si>
    <t>IDD_HUMAN</t>
  </si>
  <si>
    <t>Integral membrane protein DGCR2/IDD</t>
  </si>
  <si>
    <t>DGCR2</t>
  </si>
  <si>
    <t>SP:1-23;NC:24-347;TM:348-368;CY:369-550</t>
  </si>
  <si>
    <t>ENSG00000070413</t>
  </si>
  <si>
    <t>ENSP00000263196</t>
  </si>
  <si>
    <t>149;196</t>
  </si>
  <si>
    <t>49;54;119;139;169;178;185;203;252</t>
  </si>
  <si>
    <t>LN[115]GSLATFSTDQELR</t>
  </si>
  <si>
    <t>P98153</t>
  </si>
  <si>
    <t>Alternative splicing;Cell adhesion;Complete proteome;Disulfide bond;Glycoprotein;Lectin;Membrane;Polymorphism;Receptor;Reference proteome;Signal;Transmembrane;Transmembrane helix</t>
  </si>
  <si>
    <t>UniRef100_P98153;UniRef90_P98153;UniRef50_P98153</t>
  </si>
  <si>
    <t>VLDLR_HUMAN</t>
  </si>
  <si>
    <t>Very low-density lipoprotein receptor</t>
  </si>
  <si>
    <t>VLDLR</t>
  </si>
  <si>
    <t>SP:1-23;NC:24-797;TM:798-819;CY:820-873</t>
  </si>
  <si>
    <t>ENSG00000147852</t>
  </si>
  <si>
    <t>ENSP00000371532</t>
  </si>
  <si>
    <t>151;765;781</t>
  </si>
  <si>
    <t>7;10;17;50;89;132;210;256;347;485;522;529;572;575;601;616;659;705;800;819;822</t>
  </si>
  <si>
    <t>Membrane (Single-pass type I membrane protein);Membrane, clathrin-coated pit (Single-pass type I membrane protein)</t>
  </si>
  <si>
    <t>3D-structure;Alternative splicing;Cholesterol metabolism;Coated pit;Complete proteome;Disulfide bond;EGF-like domain;Endocytosis;Glycoprotein;Isopeptide bond;Lipid metabolism;Lipid transport;Membrane;Mental retardation;Polymorphism;Receptor;Reference proteome;Repeat;Signal;Steroid metabolism;Sterol metabolism;Transmembrane;Transmembrane helix;Transport;Ubl conjugation;VLDL</t>
  </si>
  <si>
    <t>UniRef100_P98155;UniRef90_P98155;UniRef50_P98155</t>
  </si>
  <si>
    <t>PKD1_HUMAN</t>
  </si>
  <si>
    <t>Polycystin-1</t>
  </si>
  <si>
    <t>PKD1</t>
  </si>
  <si>
    <t>SP:1-23;NC:24-3074;TM:3075-3095;CY:3096-3280;TM:3281-3302;NC:3303-3321;TM:3322-3344;CY:3345-3555;TM:3556-3578;NC:3579-3583;TM:3584-3603;CY:3604-3670;TM:3671-3690;NC:3691-3894;TM:3895-3916;CY:3917-3935;TM:3936-3957;NC:3958-3979;TM:3980-4002;CY:4003-4024;TM:4025-4048;NC:4049-4081;TM:4082-4106;CY:4107-4303</t>
  </si>
  <si>
    <t>ENSG00000008710</t>
  </si>
  <si>
    <t>ENSP00000262304</t>
  </si>
  <si>
    <t>AuxillaryTransportUnit;PKD1</t>
  </si>
  <si>
    <t>50;89;116;121;187;621;632;746;810;841;854;890;921;1004;1010;1034;1072;1113;1178;1194;1240;1269;1336;1348;1382;1450;1455;1474;1518;1541;1554;1563;1647;1661;1733;1791;1834;1867;1880;1991;2050;2074;2125;2248;2353;2395;2412;2567;2578;2645;2718;2754;2818;2841;2878;2925;2956;2994;3738;3790;3845</t>
  </si>
  <si>
    <t>632;854;890;1004;1010;1034;1113;1178;1194;1240;1269;1336;1348;1382;1518;1541;1647;1791;1880;1991;2050;2248;2353;2412;2645;2718;2754;2841;2925</t>
  </si>
  <si>
    <t>627;629;634;3356;3358;3369;3374;3413;3457;3460;3482;3523;4163;4165;4166;4172;4179;4185;4188;4189;4190;4191;4192;4200;4252;4259;4263;4285;4288;4290</t>
  </si>
  <si>
    <t>1666;3936</t>
  </si>
  <si>
    <t>3D-structure;Alternative splicing;Autocatalytic cleavage;Cell projection;Ciliopathy;Cilium;Coiled coil;Complete proteome;Disease mutation;Disulfide bond;Glycoprotein;Lectin;Leucine-rich repeat;Membrane;Phosphoprotein;Polymorphism;Reference proteome;Repeat;Signal;Transmembrane;Transmembrane helix</t>
  </si>
  <si>
    <t>UniRef100_P98161;UniRef90_P98161;UniRef50_P98161</t>
  </si>
  <si>
    <t>LRP2_HUMAN</t>
  </si>
  <si>
    <t>Low-density lipoprotein receptor-related protein 2</t>
  </si>
  <si>
    <t>LRP2</t>
  </si>
  <si>
    <t>SP:1-25;NC:26-4423;TM:4424-4446;CY:4447-4655</t>
  </si>
  <si>
    <t>ENSG00000081479</t>
  </si>
  <si>
    <t>ENSP00000263816</t>
  </si>
  <si>
    <t>159;178;299;300;341;388;463;866;1064;1144;1186;1327;1340;1383;1464;1496;1550;1675;1810;2055;2177;2224;2407;2499;2547;2781;2809;2810;2947;2987;3125;3211;3257;3315;3355;3446;3564;3680;3978;4068;4327</t>
  </si>
  <si>
    <t>45;85;166;239;271;355;440;476;529;558;573;619;793;800;845;855;871;879;886;931;1084;1126;1248;1288;1315;1317;1482;1491;1518;1525;1570;1573;1599;1657;1671;1685;1731;1794;1830;1887;1935;1964;2111;2154;2206;2250;2292;2322;2475;2523;2526;2567;2607;2683;2717;2881;2923;2970;3243;3279;3286;3337;3340;3366;3381;3422;3425;3529;3530;3599;3611;3652;3696;3737;3776;3859;3956;4091;4151;4158;4178;4201;4204;4214;4230;4246;4286;4295;4314;4580</t>
  </si>
  <si>
    <t>AN[115]DSFGEASIIFSN[115]GR</t>
  </si>
  <si>
    <t>P98164</t>
  </si>
  <si>
    <t>3D-structure;Calcium;Coated pit;Complete proteome;Disease mutation;Disulfide bond;EGF-like domain;Endocytosis;Glycoprotein;Membrane;Metal-binding;Polymorphism;Receptor;Reference proteome;Repeat;SH3-binding;Signal;Transmembrane;Transmembrane helix</t>
  </si>
  <si>
    <t>UniRef100_P98164;UniRef90_P98164;UniRef50_P98158</t>
  </si>
  <si>
    <t>Cytoskeleton;Cytosol;Mitochondrion;Nucleus;Peroxisome</t>
  </si>
  <si>
    <t>DB00013;DB00030;DB00071;DB00798</t>
  </si>
  <si>
    <t>EFNB1_HUMAN</t>
  </si>
  <si>
    <t>Ephrin-B1</t>
  </si>
  <si>
    <t>EFNB1</t>
  </si>
  <si>
    <t>SP:1-29;NC:30-238;TM:239-263;CY:264-346</t>
  </si>
  <si>
    <t>ENSG00000090776</t>
  </si>
  <si>
    <t>ENSP00000204961</t>
  </si>
  <si>
    <t>KHHDYYITSTSN[115]GSLEGLENR;HHDYYITSTSN[115]GSLEGLENR;STSN[115]GSLEGLENR</t>
  </si>
  <si>
    <t>P98172</t>
  </si>
  <si>
    <t>Complete proteome;Developmental protein;Differentiation;Direct protein sequencing;Disease mutation;Disulfide bond;Glycoprotein;Membrane;Neurogenesis;Phosphoprotein;Polymorphism;Reference proteome;Signal;Transmembrane;Transmembrane helix</t>
  </si>
  <si>
    <t>UniRef100_P98172;UniRef90_P98172;UniRef50_P98172</t>
  </si>
  <si>
    <t>IL9R_HUMAN</t>
  </si>
  <si>
    <t>Interleukin-9 receptor</t>
  </si>
  <si>
    <t>IL9R</t>
  </si>
  <si>
    <t>SP:1-39;NC:40-270;TM:271-291;CY:292-521</t>
  </si>
  <si>
    <t>ENSG00000124334</t>
  </si>
  <si>
    <t>ENSP00000244174</t>
  </si>
  <si>
    <t>CD129</t>
  </si>
  <si>
    <t>117;156;386</t>
  </si>
  <si>
    <t>8;245</t>
  </si>
  <si>
    <t>Alternative splicing;Cell membrane;Complete proteome;Glycoprotein;Membrane;Polymorphism;Receptor;Reference proteome;Secreted;Signal;Transmembrane;Transmembrane helix</t>
  </si>
  <si>
    <t>UniRef100_Q01113;UniRef90_Q01113;UniRef50_Q01113</t>
  </si>
  <si>
    <t>SCN7A_HUMAN</t>
  </si>
  <si>
    <t>Sodium channel protein type 7 subunit alpha</t>
  </si>
  <si>
    <t>SCN7A</t>
  </si>
  <si>
    <t>CY:1-116;TM:117-138;NC:139-149;TM:150-169;CY:170-180;TM:181-198;NC:199-209;TM:210-228;CY:229-237;TM:238-260;NC:261-369;TM:370-395;CY:396-501;TM:502-524;NC:525-535;TM:536-557;CY:558-567;TM:568-587;NC:588-593;TM:594-612;CY:613-625;TM:626-646;NC:647-706;TM:707-728;CY:729-933;TM:934-953;NC:954-972;TM:973-992;CY:993-998;TM:999-1017;NC:1018-1022;TM:1023-1039;CY:1040-1058;TM:1059-1081;NC:1082-1166;TM:1167-1193;CY:1194-1243;TM:1244-1270;NC:1271-1281;TM:1282-1304;CY:1305-1312;TM:1313-1335;NC:1336-1341;TM:1342-1359;CY:1360-1379;TM:1380-1400;NC:1401-1472;TM:1473-1499;CY:1500-1682</t>
  </si>
  <si>
    <t>ENSG00000136546</t>
  </si>
  <si>
    <t>ENSP00000386796;ENSP00000478562;ENSP00000481734</t>
  </si>
  <si>
    <t>56;86;276;281;309;426;486;817;821;1103;1113;1507;1647</t>
  </si>
  <si>
    <t>FPSSEVMN[115]K</t>
  </si>
  <si>
    <t>Q01118</t>
  </si>
  <si>
    <t>Complete proteome;Glycoprotein;Ion channel;Ion transport;Membrane;Phosphoprotein;Polymorphism;Reference proteome;Repeat;Sodium;Sodium channel;Sodium transport;Transmembrane;Transmembrane helix;Transport;Voltage-gated channel</t>
  </si>
  <si>
    <t>UniRef100_Q01118;UniRef90_Q01118;UniRef50_Q01118</t>
  </si>
  <si>
    <t>CD83_HUMAN</t>
  </si>
  <si>
    <t>CD83 antigen</t>
  </si>
  <si>
    <t>CD83</t>
  </si>
  <si>
    <t>SP:1-19;NC:20-144;TM:145-164;CY:165-205</t>
  </si>
  <si>
    <t>ENSG00000112149</t>
  </si>
  <si>
    <t>ENSP00000368450</t>
  </si>
  <si>
    <t>79;96;117</t>
  </si>
  <si>
    <t>GQN[115]GSFDAPNER;GQN[115]GSFDAPNERPY;GQN[115]GSFDAPNERPYSLK;GQN[115]GSFDAPN[115]ER;IRN[115]TTSCNSGTY;IRN[115]TTSCNSGTYR;N[115]TTSCNSGTY;N[115]TTSCNSGTYR;N[115]TTSCN[115]SGTYR</t>
  </si>
  <si>
    <t>79;96</t>
  </si>
  <si>
    <t>Q01151</t>
  </si>
  <si>
    <t>Complete proteome;Direct protein sequencing;Disulfide bond;Glycoprotein;Immunoglobulin domain;Membrane;Polymorphism;Reference proteome;Signal;Transmembrane;Transmembrane helix</t>
  </si>
  <si>
    <t>UniRef100_Q01151;UniRef90_Q01151;UniRef50_Q01151</t>
  </si>
  <si>
    <t>IL5RA_HUMAN</t>
  </si>
  <si>
    <t>Interleukin-5 receptor subunit alpha</t>
  </si>
  <si>
    <t>IL5RA</t>
  </si>
  <si>
    <t>SP:1-20;NC:21-341;TM:342-362;CY:363-420</t>
  </si>
  <si>
    <t>ENSG00000091181</t>
  </si>
  <si>
    <t>ENSP00000256452;ENSP00000412209</t>
  </si>
  <si>
    <t>CD125</t>
  </si>
  <si>
    <t>35;131;137;142;216;244</t>
  </si>
  <si>
    <t>ISLLPPVN[115]FTIK</t>
  </si>
  <si>
    <t>Q01344</t>
  </si>
  <si>
    <t>3D-structure;Alternative splicing;Complete proteome;Disulfide bond;Glycoprotein;Membrane;Polymorphism;Receptor;Reference proteome;Repeat;Signal;Transmembrane;Transmembrane helix</t>
  </si>
  <si>
    <t>UniRef100_Q01344;UniRef90_Q01344;UniRef50_Q01344</t>
  </si>
  <si>
    <t>ILRL1_HUMAN</t>
  </si>
  <si>
    <t>Interleukin-1 receptor-like 1</t>
  </si>
  <si>
    <t>IL1RL1</t>
  </si>
  <si>
    <t>SP:1-17;NC:18-326;TM:327-352;CY:353-556</t>
  </si>
  <si>
    <t>ENSG00000115602</t>
  </si>
  <si>
    <t>ENSP00000233954</t>
  </si>
  <si>
    <t>54;95;101;140;191;232;254;273</t>
  </si>
  <si>
    <t>Cell membrane (Single-pass type I membrane protein);Secreted;Cell membrane</t>
  </si>
  <si>
    <t>UniRef100_Q01638;UniRef90_Q01638;UniRef50_Q01638</t>
  </si>
  <si>
    <t>LAT1_HUMAN</t>
  </si>
  <si>
    <t>Large neutral amino acids transporter small subunit 1</t>
  </si>
  <si>
    <t>SLC7A5</t>
  </si>
  <si>
    <t>CY:1-51;TM:52-71;NC:72-82;TM:83-104;CY:105-136;TM:137-157;NC:158-169;TM:170-189;CY:190-199;TM:200-220;NC:221-239;TM:240-262;CY:263-273;TM:274-297;NC:298-319;TM:320-343;CY:344-369;TM:370-390;NC:391-395;TM:396-418;CY:419-430;TM:431-452;NC:453-458;TM:459-478;CY:479-507</t>
  </si>
  <si>
    <t>ENSG00000103257</t>
  </si>
  <si>
    <t>ENSP00000261622;ENSP00000454323</t>
  </si>
  <si>
    <t>49;230;340</t>
  </si>
  <si>
    <t>GDVSNLDPN[115]FSFEGTK</t>
  </si>
  <si>
    <t>Q01650</t>
  </si>
  <si>
    <t>Apical cell membrane (Multi-pass membrane protein);Cytoplasm, cytosol</t>
  </si>
  <si>
    <t>Amino-acid transport;Cell membrane;Complete proteome;Cytoplasm;Developmental protein;Differentiation;Direct protein sequencing;Disulfide bond;Glycoprotein;Isopeptide bond;Membrane;Neurogenesis;Phosphoprotein;Polymorphism;Reference proteome;Transmembrane;Transmembrane helix;Transport;Ubl conjugation</t>
  </si>
  <si>
    <t>UniRef100_Q01650;UniRef90_Q01650;UniRef50_Q01650</t>
  </si>
  <si>
    <t>Cytosol;Plasma membrane</t>
  </si>
  <si>
    <t>ACTHR_HUMAN</t>
  </si>
  <si>
    <t>Adrenocorticotropic hormone receptor</t>
  </si>
  <si>
    <t>MC2R</t>
  </si>
  <si>
    <t>NC:1-29;TM:30-50;CY:51-58;TM:59-79;NC:80-104;TM:105-126;CY:127-146;TM:147-169;NC:170-175;TM:176-199;CY:200-218;TM:219-242;NC:243-255;TM:256-278;CY:279-297</t>
  </si>
  <si>
    <t>ENSG00000185231</t>
  </si>
  <si>
    <t>ENSP00000333821</t>
  </si>
  <si>
    <t>12;17</t>
  </si>
  <si>
    <t>Cell membrane;Complete proteome;Disease mutation;G-protein coupled receptor;Glycoprotein;Lipoprotein;Membrane;Palmitate;Polymorphism;Receptor;Reference proteome;Transducer;Transmembrane;Transmembrane helix</t>
  </si>
  <si>
    <t>UniRef100_Q01718;UniRef90_Q01718;UniRef50_Q01718</t>
  </si>
  <si>
    <t>DB01284;DB01285</t>
  </si>
  <si>
    <t>MSHR_HUMAN</t>
  </si>
  <si>
    <t>Melanocyte-stimulating hormone receptor</t>
  </si>
  <si>
    <t>MC1R</t>
  </si>
  <si>
    <t>NC:1-43;TM:44-64;CY:65-72;TM:73-98;NC:99-118;TM:119-143;CY:144-163;TM:164-183;NC:184-188;TM:189-214;CY:215-234;TM:235-260;NC:261-279;TM:280-300;CY:301-317</t>
  </si>
  <si>
    <t>ENSG00000258839</t>
  </si>
  <si>
    <t>ENSP00000451605</t>
  </si>
  <si>
    <t>15;29</t>
  </si>
  <si>
    <t>UniRef100_Q01726;UniRef90_Q01726;UniRef50_Q01726</t>
  </si>
  <si>
    <t>AT2B2_HUMAN</t>
  </si>
  <si>
    <t>Plasma membrane calcium-transporting ATPase 2</t>
  </si>
  <si>
    <t>ATP2B2</t>
  </si>
  <si>
    <t>CY:1-97;TM:98-120;NC:121-150;TM:151-170;CY:171-392;TM:393-416;NC:417-442;TM:443-466;CY:467-877;TM:878-897;NC:898-908;TM:909-928;CY:929-952;TM:953-972;NC:973-992;TM:993-1011;CY:1012-1030;TM:1031-1051;NC:1052-1062;TM:1063-1084;CY:1085-1243</t>
  </si>
  <si>
    <t>ENSG00000157087</t>
  </si>
  <si>
    <t>ENSP00000324172;ENSP00000353414</t>
  </si>
  <si>
    <t>16;328;492;567;857;1199;1209;1218</t>
  </si>
  <si>
    <t>1163;1204;1205;1221;1223;1224;1228;1229;1230;1231</t>
  </si>
  <si>
    <t>Cell junction, synapse;Cell membrane (Multi-pass membrane protein)</t>
  </si>
  <si>
    <t>Alternative splicing;ATP-binding;Calcium;Calcium transport;Calmodulin-binding;Cell junction;Cell membrane;Complete proteome;Hydrolase;Ion transport;Magnesium;Membrane;Metal-binding;Nucleotide-binding;Phosphoprotein;Reference proteome;Synapse;Transmembrane;Transmembrane helix;Transport</t>
  </si>
  <si>
    <t>UniRef100_Q01814;UniRef90_Q01814;UniRef50_P23634</t>
  </si>
  <si>
    <t>SC6A3_HUMAN</t>
  </si>
  <si>
    <t>Sodium-dependent dopamine transporter</t>
  </si>
  <si>
    <t>SLC6A3</t>
  </si>
  <si>
    <t>CY:1-67;TM:68-86;NC:87-97;TM:98-119;CY:120-140;TM:141-164;NC:165-236;TM:237-256;CY:257-264;TM:265-285;NC:286-313;TM:314-335;CY:336-346;TM:347-371;NC:372-400;TM:401-420;CY:421-446;TM:447-471;NC:472-476;TM:477-501;CY:502-521;TM:522-543;NC:544-558;TM:559-578;CY:579-620</t>
  </si>
  <si>
    <t>ENSG00000142319;ENSG00000276996</t>
  </si>
  <si>
    <t>ENSP00000270349;ENSP00000479597</t>
  </si>
  <si>
    <t>181;188;205</t>
  </si>
  <si>
    <t>13;44;45</t>
  </si>
  <si>
    <t>Cell membrane;Complete proteome;Disease mutation;Disulfide bond;Dystonia;Glycoprotein;Membrane;Neurodegeneration;Neurotransmitter transport;Parkinsonism;Polymorphism;Reference proteome;Symport;Transmembrane;Transmembrane helix;Transport</t>
  </si>
  <si>
    <t>UniRef100_Q01959;UniRef90_Q01959;UniRef50_Q01959</t>
  </si>
  <si>
    <t>DB00182;DB00191;DB00245;DB00285;DB00289;DB00370;DB00408;DB00422;DB00454;DB00458;DB00476;DB00543;DB00579;DB00721;DB00726;DB00745;DB00830;DB00852;DB00865;DB00907;DB00937;DB00988;DB01104;DB01105;DB01114;DB01146;DB01149;DB01156;DB01161;DB01175;DB01255;DB01363;DB01463;DB01576;DB01577;DB06148;DB06701</t>
  </si>
  <si>
    <t>ROR1_HUMAN</t>
  </si>
  <si>
    <t>Tyrosine-protein kinase transmembrane receptor ROR1</t>
  </si>
  <si>
    <t>ROR1</t>
  </si>
  <si>
    <t>SP:1-29;NC:30-403;TM:404-427;CY:428-937</t>
  </si>
  <si>
    <t>ENSG00000185483</t>
  </si>
  <si>
    <t>ENSP00000360120</t>
  </si>
  <si>
    <t>47;66;184;315;765;780;904</t>
  </si>
  <si>
    <t>DSYLTLDEPMNN[115]ITTSLGQTAELHCK;CYN[115]STGVDYR</t>
  </si>
  <si>
    <t>66;315</t>
  </si>
  <si>
    <t>Q01973</t>
  </si>
  <si>
    <t>Alternative splicing;ATP-binding;Complete proteome;Disulfide bond;Glycoprotein;Immunoglobulin domain;Kinase;Kringle;Membrane;Nucleotide-binding;Phosphoprotein;Polymorphism;Receptor;Reference proteome;Signal;Transferase;Transmembrane;Transmembrane helix;Tyrosine-protein kinase</t>
  </si>
  <si>
    <t>UniRef100_Q01973;UniRef90_Q01973;UniRef50_Q01973</t>
  </si>
  <si>
    <t>ROR2_HUMAN</t>
  </si>
  <si>
    <t>Tyrosine-protein kinase transmembrane receptor ROR2</t>
  </si>
  <si>
    <t>ROR2</t>
  </si>
  <si>
    <t>SP:1-33;NC:34-403;TM:404-426;CY:427-943</t>
  </si>
  <si>
    <t>ENSG00000169071</t>
  </si>
  <si>
    <t>ENSP00000364860</t>
  </si>
  <si>
    <t>70;188;318;751;756;766;780;880</t>
  </si>
  <si>
    <t>393;447;449;577;753;758;761;762;765;768;770;771;772;774;775;776;779;782;860;861;864;869;870;871;876;882</t>
  </si>
  <si>
    <t>YHQCYN[115]GSGMDYR</t>
  </si>
  <si>
    <t>Q01974</t>
  </si>
  <si>
    <t>3D-structure;ATP-binding;Cell membrane;Complete proteome;Developmental protein;Direct protein sequencing;Disease mutation;Disulfide bond;Dwarfism;Glycoprotein;Immunoglobulin domain;Kinase;Kringle;Membrane;Nucleotide-binding;Phosphoprotein;Polymorphism;Receptor;Reference proteome;Signal;Sulfation;Transferase;Transmembrane;Transmembrane helix;Tyrosine-protein kinase</t>
  </si>
  <si>
    <t>UniRef100_Q01974;UniRef90_Q01974;UniRef50_Q01974</t>
  </si>
  <si>
    <t>RHAG_HUMAN</t>
  </si>
  <si>
    <t>Ammonium transporter Rh type A</t>
  </si>
  <si>
    <t>RHAG</t>
  </si>
  <si>
    <t>CY:1-6;TM:7-25;NC:26-49;TM:50-72;CY:73-80;TM:81-101;NC:102-114;TM:115-134;CY:135-140;TM:141-160;NC:161-171;TM:172-192;CY:193-203;TM:204-222;NC:223-241;TM:242-261;CY:262-271;TM:272-291;NC:292-296;TM:297-314;CY:315-334;TM:335-353;NC:354-359;TM:360-383;CY:384-409</t>
  </si>
  <si>
    <t>ENSG00000112077</t>
  </si>
  <si>
    <t>ENSP00000360217</t>
  </si>
  <si>
    <t>CD241</t>
  </si>
  <si>
    <t>SLC;Other;SLC42(Rh)</t>
  </si>
  <si>
    <t>37;274;355</t>
  </si>
  <si>
    <t>37;274</t>
  </si>
  <si>
    <t>Alternative splicing;Ammonia transport;Complete proteome;Direct protein sequencing;Disease mutation;Glycoprotein;Membrane;Reference proteome;Transmembrane;Transmembrane helix;Transport</t>
  </si>
  <si>
    <t>UniRef100_Q02094;UniRef90_Q02094;UniRef50_Q02094</t>
  </si>
  <si>
    <t>TNR17_HUMAN</t>
  </si>
  <si>
    <t>Tumor necrosis factor receptor superfamily member 17</t>
  </si>
  <si>
    <t>TNFRSF17</t>
  </si>
  <si>
    <t>NC:1-53;TM:54-77;CY:78-184</t>
  </si>
  <si>
    <t>ENSG00000048462</t>
  </si>
  <si>
    <t>ENSP00000053243</t>
  </si>
  <si>
    <t>CD269</t>
  </si>
  <si>
    <t>YCN[115]ASVTNSVK;YCN[115]ASVTN[115]SVK</t>
  </si>
  <si>
    <t>Q02223</t>
  </si>
  <si>
    <t>Cell membrane (Single-pass type III membrane protein);Endomembrane system (Single-pass type III membrane protein)</t>
  </si>
  <si>
    <t>3D-structure;Adaptive immunity;Alternative splicing;Cell membrane;Chromosomal rearrangement;Complete proteome;Disulfide bond;Immunity;Membrane;Polymorphism;Proto-oncogene;Receptor;Reference proteome;Signal-anchor;Transmembrane;Transmembrane helix</t>
  </si>
  <si>
    <t>UniRef100_Q02223;UniRef90_Q02223;UniRef50_Q02223</t>
  </si>
  <si>
    <t>CNTN2_HUMAN</t>
  </si>
  <si>
    <t>Contactin-2</t>
  </si>
  <si>
    <t>CNTN2</t>
  </si>
  <si>
    <t>SP:1-30;NC:31-1040</t>
  </si>
  <si>
    <t>ENSG00000184144</t>
  </si>
  <si>
    <t>ENSP00000330633</t>
  </si>
  <si>
    <t>76;198;204;461;477;498;525;634;730;775;830;904;918;940</t>
  </si>
  <si>
    <t>76;99;198;204;461;477;498;525;634;730;775;830;904;918;940</t>
  </si>
  <si>
    <t>3D-structure;Cell adhesion;Cell membrane;Complete proteome;Direct protein sequencing;Disulfide bond;Epilepsy;Glycoprotein;GPI-anchor;Immunoglobulin domain;Lipoprotein;Membrane;Polymorphism;Reference proteome;Repeat;Signal</t>
  </si>
  <si>
    <t>UniRef100_Q02246;UniRef90_Q61330;UniRef50_Q61330</t>
  </si>
  <si>
    <t>NRG1_HUMAN</t>
  </si>
  <si>
    <t>Pro-neuregulin-1, membrane-bound isoform</t>
  </si>
  <si>
    <t>NRG1</t>
  </si>
  <si>
    <t>NC:1-242;TM:243-265;CY:266-640</t>
  </si>
  <si>
    <t>ENSG00000157168</t>
  </si>
  <si>
    <t>ENSP00000384620</t>
  </si>
  <si>
    <t>120;126;164;393;565</t>
  </si>
  <si>
    <t>120;126;164;204;393;565</t>
  </si>
  <si>
    <t>30;32;137;142;143;149;150;314;331;333;334;335;338;339;340;344;345;346;348;350;352;354;360;362;369;374;375;382;383;385;414;426;429;430;435;441;443;444;447;450;453;457;458;460;462;465;482;564;567;568;598;630</t>
  </si>
  <si>
    <t>Membrane (Single-pass type I membrane protein);Nucleus;Secreted;Secreted;Cell membrane (Single-pass type I membrane protein)</t>
  </si>
  <si>
    <t>3D-structure;Alternative splicing;Cell membrane;Chromosomal rearrangement;Complete proteome;Direct protein sequencing;Disulfide bond;EGF-like domain;Glycoprotein;Growth factor;Immunoglobulin domain;Membrane;Nucleus;Polymorphism;Reference proteome;Secreted;Transmembrane;Transmembrane helix</t>
  </si>
  <si>
    <t>UniRef100_Q02297;UniRef90_Q02297;UniRef50_Q02297</t>
  </si>
  <si>
    <t>DSG1_HUMAN</t>
  </si>
  <si>
    <t>Desmoglein-1</t>
  </si>
  <si>
    <t>DSG1</t>
  </si>
  <si>
    <t>SP:1-23;NC:24-547;TM:548-570;CY:571-1049</t>
  </si>
  <si>
    <t>ENSG00000134760</t>
  </si>
  <si>
    <t>ENSP00000257192</t>
  </si>
  <si>
    <t>36;110;180;834;1024</t>
  </si>
  <si>
    <t>Alternative splicing;Calcium;Cell adhesion;Cell junction;Cell membrane;Cleavage on pair of basic residues;Complete proteome;Glycoprotein;Hypotrichosis;Membrane;Metal-binding;Palmoplantar keratoderma;Phosphoprotein;Polymorphism;Reference proteome;Repeat;Signal;Transmembrane;Transmembrane helix</t>
  </si>
  <si>
    <t>UniRef100_Q02413;UniRef90_Q02413;UniRef50_Q02413</t>
  </si>
  <si>
    <t>DSC2_HUMAN</t>
  </si>
  <si>
    <t>Desmocollin-2</t>
  </si>
  <si>
    <t>DSC2</t>
  </si>
  <si>
    <t>SP:1-31;NC:32-694;TM:695-717;CY:718-901</t>
  </si>
  <si>
    <t>ENSG00000134755</t>
  </si>
  <si>
    <t>ENSP00000280904</t>
  </si>
  <si>
    <t>34;166;392;546;629</t>
  </si>
  <si>
    <t>AN[115]YTILK;NGIYN[115]ITVLASDQGGR;N[115]GIYN[115]ITVLASDQGGR</t>
  </si>
  <si>
    <t>392;546</t>
  </si>
  <si>
    <t>Q02487</t>
  </si>
  <si>
    <t>Alternative splicing;Calcium;Cardiomyopathy;Cell adhesion;Cell junction;Cell membrane;Cleavage on pair of basic residues;Complete proteome;Disease mutation;Glycoprotein;Membrane;Metal-binding;Phosphoprotein;Polymorphism;Reference proteome;Repeat;Signal;Transmembrane;Transmembrane helix</t>
  </si>
  <si>
    <t>UniRef100_Q02487;UniRef90_Q02487;UniRef50_Q02487</t>
  </si>
  <si>
    <t>MUC3A_HUMAN</t>
  </si>
  <si>
    <t>Mucin-3A</t>
  </si>
  <si>
    <t>MUC3A</t>
  </si>
  <si>
    <t>SP:1-17;NC:18-2443;TM:2444-2468;CY:2469-2541</t>
  </si>
  <si>
    <t>ENSG00000169894</t>
  </si>
  <si>
    <t>ENSP00000393306</t>
  </si>
  <si>
    <t>99;310;409;493;1160;1206;2063;2093;2259;2268;2297;2333;2358</t>
  </si>
  <si>
    <t>97;159;188;209;265;354;359;470;471;496;731;737;818;842;847;919;1216;1221;1297;1332;1408;1417;1436;1502;1845;1958</t>
  </si>
  <si>
    <t>Membrane (Single-pass membrane protein);Secreted;Secreted;Secreted;Secreted</t>
  </si>
  <si>
    <t>Alternative splicing;Complete proteome;Disulfide bond;EGF-like domain;Glycoprotein;Membrane;Polymorphism;Reference proteome;Repeat;Secreted;Signal;Transmembrane;Transmembrane helix</t>
  </si>
  <si>
    <t>UniRef100_Q02505;UniRef90_Q02505;UniRef50_Q02505</t>
  </si>
  <si>
    <t>GHRHR_HUMAN</t>
  </si>
  <si>
    <t>Growth hormone-releasing hormone receptor</t>
  </si>
  <si>
    <t>GHRHR</t>
  </si>
  <si>
    <t>SP:1-22;NC:23-130;TM:131-154;CY:155-163;TM:164-182;NC:183-206;TM:207-230;CY:231-240;TM:241-261;NC:262-280;TM:281-304;CY:305-328;TM:329-348;NC:349-359;TM:360-379;CY:380-423</t>
  </si>
  <si>
    <t>ENSG00000106128</t>
  </si>
  <si>
    <t>ENSP00000320180</t>
  </si>
  <si>
    <t>50;216</t>
  </si>
  <si>
    <t>3D-structure;Cell membrane;Complete proteome;Disease mutation;Disulfide bond;Dwarfism;G-protein coupled receptor;Glycoprotein;Membrane;Polymorphism;Receptor;Reference proteome;Signal;Transducer;Transmembrane;Transmembrane helix</t>
  </si>
  <si>
    <t>UniRef100_Q02643;UniRef90_Q02643;UniRef50_Q02643</t>
  </si>
  <si>
    <t>DB00010;DB08869</t>
  </si>
  <si>
    <t>TIE2_HUMAN</t>
  </si>
  <si>
    <t>Angiopoietin-1 receptor</t>
  </si>
  <si>
    <t>TEK</t>
  </si>
  <si>
    <t>SP:1-22;NC:23-746;TM:747-770;CY:771-1124</t>
  </si>
  <si>
    <t>ENSG00000120156</t>
  </si>
  <si>
    <t>ENSP00000369375</t>
  </si>
  <si>
    <t>CD202b</t>
  </si>
  <si>
    <t>140;158;399;438;464;560;596;649;691;930;1011;1104</t>
  </si>
  <si>
    <t>349;456;498;503;538;540</t>
  </si>
  <si>
    <t>GDNVN[115]ISFK;VPGN[115]LTSVLLNNLHPR;VPGN[115]LTSVLLN[115]NLHPR</t>
  </si>
  <si>
    <t>140;596</t>
  </si>
  <si>
    <t>Q02763</t>
  </si>
  <si>
    <t>Cell junction;Cell junction, focal adhesion;Cell membrane (Single-pass type I membrane protein);Cytoplasm, cytoskeleton;Secreted</t>
  </si>
  <si>
    <t>3D-structure;Alternative splicing;Angiogenesis;ATP-binding;Cell junction;Cell membrane;Complete proteome;Cytoplasm;Cytoskeleton;Direct protein sequencing;Disease mutation;Disulfide bond;EGF-like domain;Glycoprotein;Immunoglobulin domain;Kinase;Membrane;Nucleotide-binding;Phosphoprotein;Polymorphism;Receptor;Reference proteome;Repeat;Secreted;Signal;Transferase;Transmembrane;Transmembrane helix;Tyrosine-protein kinase;Ubl conjugation</t>
  </si>
  <si>
    <t>UniRef100_Q02763;UniRef90_Q02763;UniRef50_Q02763</t>
  </si>
  <si>
    <t>DB05294;DB08896;DB08901</t>
  </si>
  <si>
    <t>TGBR3_HUMAN</t>
  </si>
  <si>
    <t>Transforming growth factor beta receptor type 3</t>
  </si>
  <si>
    <t>TGFBR3</t>
  </si>
  <si>
    <t>SP:1-20;NC:21-785;TM:786-809;CY:810-851</t>
  </si>
  <si>
    <t>ENSG00000069702</t>
  </si>
  <si>
    <t>ENSP00000212355;ENSP00000436127</t>
  </si>
  <si>
    <t>141;492;571;590;697;830</t>
  </si>
  <si>
    <t>141;492;571;579;590;697;830</t>
  </si>
  <si>
    <t>54;309;311;313;409;431;767;823;824;839;840;842;843</t>
  </si>
  <si>
    <t>SSAN[115]FSLTAETEER;MN[115]GTHFVLESPLNGCGTRPR;MN[115]GTHFVLESPLN[115]GCGTRPR</t>
  </si>
  <si>
    <t>141;492</t>
  </si>
  <si>
    <t>Q03167</t>
  </si>
  <si>
    <t>Cell membrane (Single-pass type I membrane protein);Secreted;Secreted, extracellular space</t>
  </si>
  <si>
    <t>Alternative splicing;Cell membrane;Complete proteome;Disulfide bond;Glycoprotein;Membrane;Polymorphism;Proteoglycan;Receptor;Reference proteome;Secreted;Signal;Transmembrane;Transmembrane helix</t>
  </si>
  <si>
    <t>UniRef100_Q03167;UniRef90_Q03167;UniRef50_O88393</t>
  </si>
  <si>
    <t>UPAR_HUMAN</t>
  </si>
  <si>
    <t>Urokinase plasminogen activator surface receptor</t>
  </si>
  <si>
    <t>PLAUR</t>
  </si>
  <si>
    <t>SP:1-22;NC:23-335</t>
  </si>
  <si>
    <t>ENSG00000011422</t>
  </si>
  <si>
    <t>ENSP00000339328</t>
  </si>
  <si>
    <t>CD87</t>
  </si>
  <si>
    <t>74;184;194;222;255</t>
  </si>
  <si>
    <t>126;229;304</t>
  </si>
  <si>
    <t>21;54;151;328;334</t>
  </si>
  <si>
    <t>GCGYLPGCPGSNGFHNN[115]DTFH;GCGYLPGCPGSNGFHNN[115]DTFHFL;GCGYLPGCPGSNGFHNN[115]DTFHFLK;GCGYLPGCPGSNGFHN[115]N[115]DTFH;GCGYLPGCPGSNGFHN[115]N[115]DTFHFLK;GCGYLPGCPGSN[115]GFHNN[115]DTFH;GCGYLPGCPGSN[115]GFHNN[115]DTFHFLK;GCGYLPGCPGSN[115]GFHN[115]N[115]DTFHFLK;PGCPGSNGFHNN[115]DTFHFLK;PGSNGFHNN[115]DTFHFLK;PGSN[115]GFHNN[115]DTFHFLK;GFHNN[115]DTFHFLK;HNN[115]DTFHFLK;NN[115]DTFHFLK;N[115]DTFHFLK;GN[115]STHGCSSEETF;GN[115]STHGCSSEETFLIDCR;N[115]QSYMVR</t>
  </si>
  <si>
    <t>184;222;255</t>
  </si>
  <si>
    <t>Q03405</t>
  </si>
  <si>
    <t>Cell membrane;Cell projection, invadopodium membrane;Cell membrane (Lipid-anchor, GPI- anchor);Secreted</t>
  </si>
  <si>
    <t>3D-structure;Alternative splicing;Cell junction;Cell membrane;Cell projection;Complete proteome;Direct protein sequencing;Disulfide bond;Glycoprotein;GPI-anchor;Lipoprotein;Membrane;Polymorphism;Receptor;Reference proteome;Repeat;Secreted;Signal</t>
  </si>
  <si>
    <t>UniRef100_Q03405;UniRef90_Q03405;UniRef50_Q03405</t>
  </si>
  <si>
    <t>DB00009;DB00013;DB00015;DB00029;DB00031</t>
  </si>
  <si>
    <t>PTH1R_HUMAN</t>
  </si>
  <si>
    <t>Parathyroid hormone/parathyroid hormone-related peptide receptor</t>
  </si>
  <si>
    <t>PTH1R</t>
  </si>
  <si>
    <t>SP:1-24;NC:25-188;TM:189-212;CY:213-221;TM:222-240;NC:241-283;TM:284-306;CY:307-319;TM:320-341;NC:342-360;TM:361-385;CY:386-405;TM:406-426;NC:427-444;TM:445-464;CY:465-593</t>
  </si>
  <si>
    <t>ENSG00000160801</t>
  </si>
  <si>
    <t>ENSP00000321999;ENSP00000411424;ENSP00000413774;ENSP00000402723</t>
  </si>
  <si>
    <t>151;161;166;176;565</t>
  </si>
  <si>
    <t>161;176</t>
  </si>
  <si>
    <t>492;493;495;504</t>
  </si>
  <si>
    <t>3D-structure;Cell membrane;Complete proteome;Disease mutation;Disulfide bond;Dwarfism;G-protein coupled receptor;Glycoprotein;Membrane;Receptor;Reference proteome;Signal;Transducer;Transmembrane;Transmembrane helix</t>
  </si>
  <si>
    <t>UniRef100_Q03431;UniRef90_Q03431;UniRef50_Q03431</t>
  </si>
  <si>
    <t>DB05829;DB06285</t>
  </si>
  <si>
    <t>FOLH1_HUMAN</t>
  </si>
  <si>
    <t>Glutamate carboxypeptidase 2</t>
  </si>
  <si>
    <t>FOLH1</t>
  </si>
  <si>
    <t>CY:1-19;TM:20-43;NC:44-750</t>
  </si>
  <si>
    <t>ENSG00000086205</t>
  </si>
  <si>
    <t>ENSP00000256999</t>
  </si>
  <si>
    <t>51;76;121;140;153;195;336;459;476;638</t>
  </si>
  <si>
    <t>51;76;121;459;476;638</t>
  </si>
  <si>
    <t>Cell membrane (Single-pass type II membrane protein);Cytoplasm</t>
  </si>
  <si>
    <t>3D-structure;Alternative splicing;Calcium;Carboxypeptidase;Cell membrane;Complete proteome;Cytoplasm;Dipeptidase;Direct protein sequencing;Glycoprotein;Hydrolase;Membrane;Metal-binding;Metalloprotease;Multifunctional enzyme;Polymorphism;Protease;Reference proteome;Signal-anchor;Transmembrane;Transmembrane helix;Zinc</t>
  </si>
  <si>
    <t>UniRef100_Q04609;UniRef90_Q04609;UniRef50_Q04609</t>
  </si>
  <si>
    <t>DB00089</t>
  </si>
  <si>
    <t>NOTC2_HUMAN</t>
  </si>
  <si>
    <t>Neurogenic locus notch homolog protein 2</t>
  </si>
  <si>
    <t>NOTCH2</t>
  </si>
  <si>
    <t>SP:1-25;NC:26-1677;TM:1678-1699;CY:1700-2471</t>
  </si>
  <si>
    <t>ENSG00000134250</t>
  </si>
  <si>
    <t>ENSP00000256646</t>
  </si>
  <si>
    <t>46;155;733;1102;1465;1739;2066;2088;2260</t>
  </si>
  <si>
    <t>48;97;104;105;106;112;150;214;228;256;346;359;470;525;539;613;614;637;638;651;675;688;696;716;719;726;801;904;925;942;955;963;995;1018;1031;1070;1110;1142;1155;1163;1201;1217;1270;1275;1278;1318;1323;1338;1344;1345;1362;1370;1376;1380;1381;1388;1407;1409;1415;1419;1420;1424;1427;1458;1468;1546;1606;1609;1621;1658;1660;1665;1668;1708;1716;1722;1741;1745;1755;1778;1804;1842;1868;2068;2070;2074;2077;2078;2081;2090;2093;2097;2103;2107;2110;2111;2115;2129;2134;2136;2142;2144;2145;2147;2149;2153;2156;2159;2162;2164;2165;2166;2167;2171;2172;2179;2186;2215;2216;2220;2222;2226;2232;2235;2237;2240;2242;2278;2286;2295;2296;2306;2314;2326;2327;2338;2350;2355;2368;2379;2385;2388;2394;2395;2405;2418;2427;2428;2429;2434;2440;2441;2442;2444;2457;2460</t>
  </si>
  <si>
    <t>DGYEPCVNEGMCVTYHN[115]GTGYCK</t>
  </si>
  <si>
    <t>Q04721</t>
  </si>
  <si>
    <t>3D-structure;Activator;ANK repeat;Cell membrane;Complete proteome;Developmental protein;Differentiation;Disease mutation;Disulfide bond;EGF-like domain;Glycoprotein;Membrane;Notch signaling pathway;Nucleus;Phosphoprotein;Receptor;Reference proteome;Repeat;Signal;Transcription;Transcription regulation;Transmembrane;Transmembrane helix</t>
  </si>
  <si>
    <t>UniRef100_Q04721;UniRef90_O35516;UniRef50_O35516</t>
  </si>
  <si>
    <t>Cytoskeleton;Endosome;Lysosome;Mitochondrion;Peroxisome</t>
  </si>
  <si>
    <t>ACVR1_HUMAN</t>
  </si>
  <si>
    <t>Activin receptor type-1</t>
  </si>
  <si>
    <t>ACVR1</t>
  </si>
  <si>
    <t>SP:1-22;NC:23-123;TM:124-146;CY:147-509</t>
  </si>
  <si>
    <t>ENSG00000115170</t>
  </si>
  <si>
    <t>ENSP00000263640;ENSP00000387273;ENSP00000387127;ENSP00000405004</t>
  </si>
  <si>
    <t>109;190</t>
  </si>
  <si>
    <t>TPPSPGQAVECCQGDWCNRN[115]ITAQLPTK;N[115]ITAQLPTK</t>
  </si>
  <si>
    <t>Q04771</t>
  </si>
  <si>
    <t>3D-structure;ATP-binding;Complete proteome;Disease mutation;Glycoprotein;Kinase;Magnesium;Manganese;Membrane;Metal-binding;Nucleotide-binding;Phosphoprotein;Polymorphism;Receptor;Reference proteome;Serine/threonine-protein kinase;Signal;Transferase;Transmembrane;Transmembrane helix</t>
  </si>
  <si>
    <t>UniRef100_Q04771;UniRef90_Q04771;UniRef50_P37023</t>
  </si>
  <si>
    <t>1B40_HUMAN</t>
  </si>
  <si>
    <t>HLA class I histocompatibility antigen, B-40 alpha chain</t>
  </si>
  <si>
    <t>Complete proteome;Direct protein sequencing;Disulfide bond;Glycoprotein;Host-virus interaction;Immunity;Membrane;MHC I;Polymorphism;Reference proteome;Signal;Transmembrane;Transmembrane helix;Ubl conjugation</t>
  </si>
  <si>
    <t>UniRef100_Q04826;UniRef90_P01889;UniRef50_P01892</t>
  </si>
  <si>
    <t>ACHE_HUMAN</t>
  </si>
  <si>
    <t>Acetylcholine receptor subunit epsilon</t>
  </si>
  <si>
    <t>CHRNE</t>
  </si>
  <si>
    <t>SP:1-20;NC:21-240;TM:241-263;CY:264-274;TM:275-292;NC:293-305;TM:306-328;CY:329-456;TM:457-479;NC:480-493</t>
  </si>
  <si>
    <t>ENSG00000108556</t>
  </si>
  <si>
    <t>ENSP00000293780</t>
  </si>
  <si>
    <t>86;161;327</t>
  </si>
  <si>
    <t>3D-structure;Cell junction;Cell membrane;Complete proteome;Congenital myasthenic syndrome;Disease mutation;Disulfide bond;Glycoprotein;Ion channel;Ion transport;Ligand-gated ion channel;Membrane;Polymorphism;Postsynaptic cell membrane;Receptor;Reference proteome;Signal;Synapse;Transmembrane;Transmembrane helix;Transport</t>
  </si>
  <si>
    <t>UniRef100_Q04844;UniRef90_Q04844;UniRef50_Q04844</t>
  </si>
  <si>
    <t>MUC24_HUMAN</t>
  </si>
  <si>
    <t>Sialomucin core protein 24</t>
  </si>
  <si>
    <t>CD164</t>
  </si>
  <si>
    <t>SP:1-23;NC:24-162;TM:163-184;CY:185-197</t>
  </si>
  <si>
    <t>ENSG00000135535</t>
  </si>
  <si>
    <t>ENSP00000309376</t>
  </si>
  <si>
    <t>26;32;41;72;77;94;104;121;146</t>
  </si>
  <si>
    <t>28;34;35;40;44;96;98;112;113;115;119;123;127;131;133;134;135;136;140;141;142;145;150;152;153</t>
  </si>
  <si>
    <t>TVTTSGTTN[115]NTVTPT;TVTTSGTTN[115]NTVTPTSQPVR</t>
  </si>
  <si>
    <t>Q04900</t>
  </si>
  <si>
    <t>Cell membrane (Single-pass type I membrane protein);Endosome membrane (Single-pass type I membrane protein);Lysosome membrane (Single-pass type I membrane protein);Secreted</t>
  </si>
  <si>
    <t>Alternative splicing;Cell adhesion;Cell membrane;Complete proteome;Endosome;Glycoprotein;Lysosome;Membrane;Myogenesis;Reference proteome;Secreted;Signal;Transmembrane;Transmembrane helix</t>
  </si>
  <si>
    <t>UniRef100_Q04900;UniRef90_Q04900;UniRef50_Q04900</t>
  </si>
  <si>
    <t>Cytoskeleton;Cytosol;Endoplasmic Reticulum;Golgi apparatus;Mitochondrion;Nucleus;Peroxisome</t>
  </si>
  <si>
    <t>RON_HUMAN</t>
  </si>
  <si>
    <t>Macrophage-stimulating protein receptor</t>
  </si>
  <si>
    <t>MST1R</t>
  </si>
  <si>
    <t>SP:1-24;NC:25-957;TM:958-982;CY:983-1400</t>
  </si>
  <si>
    <t>ENSG00000164078</t>
  </si>
  <si>
    <t>ENSP00000296474;ENSP00000341325</t>
  </si>
  <si>
    <t>CD136</t>
  </si>
  <si>
    <t>66;419;458;488;654;720;841;897</t>
  </si>
  <si>
    <t>458;720;897;1179</t>
  </si>
  <si>
    <t>624;1006;1032;1033;1367;1368</t>
  </si>
  <si>
    <t>VTYEGDRN[115]ESAVFVAIR;LDN[115]VTVAH;LDN[115]VTVAHMGTMDGR;AVLVN[115]GTECLLAR;DPQGWVAGN[115]LSAR</t>
  </si>
  <si>
    <t>66;458;720;841</t>
  </si>
  <si>
    <t>Q04912</t>
  </si>
  <si>
    <t>3D-structure;Alternative splicing;ATP-binding;Cleavage on pair of basic residues;Complete proteome;Disulfide bond;Glycoprotein;Immunity;Innate immunity;Kinase;Membrane;Nucleotide-binding;Phosphoprotein;Polymorphism;Receptor;Reference proteome;Repeat;Signal;Transferase;Transmembrane;Transmembrane helix;Tyrosine-protein kinase;Ubl conjugation</t>
  </si>
  <si>
    <t>UniRef100_Q04912;UniRef90_Q04912;UniRef50_Q04912</t>
  </si>
  <si>
    <t>NMDZ1_HUMAN</t>
  </si>
  <si>
    <t>Glutamate receptor ionotropic, NMDA 1</t>
  </si>
  <si>
    <t>GRIN1</t>
  </si>
  <si>
    <t>SP:1-20;NC:21-560;TM:561-580;CY:581-632;TM:633-656;NC:657-813;TM:814-837;CY:838-938</t>
  </si>
  <si>
    <t>ENSG00000176884</t>
  </si>
  <si>
    <t>ENSP00000360616</t>
  </si>
  <si>
    <t>61;203;239;276;300;350;368;440;471;491;771</t>
  </si>
  <si>
    <t>61;203;239;276;300;350;368;440;471;491;674;771</t>
  </si>
  <si>
    <t>800;896;897;901</t>
  </si>
  <si>
    <t>Cell junction, synapse, postsynaptic cell membrane;Cell junction, synapse, postsynaptic cell membrane, postsynaptic density;Cell membrane (Multi-pass membrane protein)</t>
  </si>
  <si>
    <t>3D-structure;Alternative splicing;Calcium;Cell junction;Cell membrane;Complete proteome;Disease mutation;Disulfide bond;Glycoprotein;Ion channel;Ion transport;Ligand-gated ion channel;Magnesium;Membrane;Mental retardation;Phosphoprotein;Polymorphism;Postsynaptic cell membrane;Receptor;Reference proteome;Signal;Synapse;Transmembrane;Transmembrane helix;Transport</t>
  </si>
  <si>
    <t>UniRef100_Q05586;UniRef90_P35438;UniRef50_P35438</t>
  </si>
  <si>
    <t>DB00454;DB01043;DB01173;DB06151;DB08954;DB00659;DB00289;DB00312;DB00418;DB00996;DB01174;DB04896;DB06738</t>
  </si>
  <si>
    <t>ACHB3_HUMAN</t>
  </si>
  <si>
    <t>Neuronal acetylcholine receptor subunit beta-3</t>
  </si>
  <si>
    <t>CHRNB3</t>
  </si>
  <si>
    <t>SP:1-18;NC:19-233;TM:234-257;CY:258-265;TM:266-287;NC:288-298;TM:299-320;CY:321-428;TM:429-450;NC:451-458</t>
  </si>
  <si>
    <t>ENSG00000147432</t>
  </si>
  <si>
    <t>ENSP00000289957</t>
  </si>
  <si>
    <t>51;138;166</t>
  </si>
  <si>
    <t>UniRef100_Q05901;UniRef90_Q05901;UniRef50_Q05901</t>
  </si>
  <si>
    <t>VMAT2_HUMAN</t>
  </si>
  <si>
    <t>Synaptic vesicular amine transporter</t>
  </si>
  <si>
    <t>SLC18A2</t>
  </si>
  <si>
    <t>CY:1-20;TM:21-44;NC:45-130;TM:131-151;CY:152-159;TM:160-181;NC:182-189;TM:190-211;CY:212-219;TM:220-240;NC:241-249;TM:250-271;CY:272-291;TM:292-311;NC:312-330;TM:331-351;CY:352-357;TM:358-378;NC:379-389;TM:390-410;CY:411-416;TM:417-436;NC:437-446;TM:447-468;CY:469-514</t>
  </si>
  <si>
    <t>ENSG00000165646</t>
  </si>
  <si>
    <t>ENSP00000298472</t>
  </si>
  <si>
    <t>56;84;91;109</t>
  </si>
  <si>
    <t>56;84;91</t>
  </si>
  <si>
    <t>Cytoplasmic vesicle membrane (Multi-pass membrane protein)</t>
  </si>
  <si>
    <t>Alternative splicing;Complete proteome;Cytoplasmic vesicle;Disulfide bond;Glycoprotein;Membrane;Neurotransmitter transport;Phosphoprotein;Reference proteome;Transmembrane;Transmembrane helix;Transport</t>
  </si>
  <si>
    <t>UniRef100_Q05940;UniRef90_Q05940;UniRef50_Q05940</t>
  </si>
  <si>
    <t>DB00182;DB00206;DB00368;DB00865;DB01089;DB01363;DB01364;DB01576;DB01577;DB04844;DB06706;DB06714</t>
  </si>
  <si>
    <t>ZP2_HUMAN</t>
  </si>
  <si>
    <t>Zona pellucida sperm-binding protein 2</t>
  </si>
  <si>
    <t>ZP2</t>
  </si>
  <si>
    <t>SP:1-38;NC:39-715;TM:716-737;CY:738-745</t>
  </si>
  <si>
    <t>ENSG00000103310</t>
  </si>
  <si>
    <t>ENSP00000460971</t>
  </si>
  <si>
    <t>87;105;122;223;269;400</t>
  </si>
  <si>
    <t>Alternative splicing;Cell membrane;Cleavage on pair of basic residues;Complete proteome;Disulfide bond;Extracellular matrix;Fertilization;Glycoprotein;Membrane;Polymorphism;Receptor;Reference proteome;Secreted;Signal;Transmembrane;Transmembrane helix</t>
  </si>
  <si>
    <t>UniRef100_Q05996;UniRef90_Q05996;UniRef50_P20239</t>
  </si>
  <si>
    <t>TYRO3_HUMAN</t>
  </si>
  <si>
    <t>Tyrosine-protein kinase receptor TYRO3</t>
  </si>
  <si>
    <t>TYRO3</t>
  </si>
  <si>
    <t>SP:1-40;NC:41-428;TM:429-451;CY:452-890</t>
  </si>
  <si>
    <t>ENSG00000092445</t>
  </si>
  <si>
    <t>ENSP00000263798</t>
  </si>
  <si>
    <t>63;191;230;240;293;366;380;872</t>
  </si>
  <si>
    <t>191;230;366;380;872</t>
  </si>
  <si>
    <t>LN[115]CSVEGMEEPDIQWVK;TATVHLQALPAAPFN[115]ITVTK;LSSSN[115]ASVAWMPGADGR;DLVPATN[115]YSLR;LSWVQDN[115]GTQDELTVEGTR;AN[115]LTGWDPQK</t>
  </si>
  <si>
    <t>63;230;240;293;366;380</t>
  </si>
  <si>
    <t>Q06418</t>
  </si>
  <si>
    <t>3D-structure;ATP-binding;Cell adhesion;Cell membrane;Complete proteome;Disulfide bond;Glycoprotein;Immunoglobulin domain;Kinase;Membrane;Nucleotide-binding;Phosphoprotein;Polymorphism;Receptor;Reference proteome;Repeat;Signal;Transferase;Transmembrane;Transmembrane helix;Tyrosine-protein kinase</t>
  </si>
  <si>
    <t>UniRef100_Q06418;UniRef90_Q06418;UniRef50_P55144</t>
  </si>
  <si>
    <t>Cytoskeleton;Cytosol;Endosome;Extracellular space;Golgi apparatus;Lysosome;Mitochondrion;Peroxisome</t>
  </si>
  <si>
    <t>CCG1_HUMAN</t>
  </si>
  <si>
    <t>Voltage-dependent calcium channel gamma-1 subunit</t>
  </si>
  <si>
    <t>CACNG1</t>
  </si>
  <si>
    <t>SP:1-29;NC:30-104;TM:105-129;CY:130-140;TM:141-158;NC:159-177;TM:178-202;CY:203-222</t>
  </si>
  <si>
    <t>ENSG00000108878</t>
  </si>
  <si>
    <t>ENSP00000226021</t>
  </si>
  <si>
    <t>43;79</t>
  </si>
  <si>
    <t>Calcium;Calcium channel;Calcium transport;Complete proteome;Glycoprotein;Ion channel;Ion transport;Membrane;Polymorphism;Reference proteome;Transmembrane;Transmembrane helix;Transport;Voltage-gated channel</t>
  </si>
  <si>
    <t>UniRef100_Q06432;UniRef90_Q06432;UniRef50_Q06432</t>
  </si>
  <si>
    <t>DB00308;DB00343;DB00528;DB00653;DB01054;DB04842;DB00421</t>
  </si>
  <si>
    <t>APLP2_HUMAN</t>
  </si>
  <si>
    <t>Amyloid-like protein 2</t>
  </si>
  <si>
    <t>APLP2</t>
  </si>
  <si>
    <t>SP:1-31;NC:32-692;TM:693-716;CY:717-763</t>
  </si>
  <si>
    <t>ENSG00000084234</t>
  </si>
  <si>
    <t>ENSP00000263574</t>
  </si>
  <si>
    <t>RN[115]QSLSLLYK</t>
  </si>
  <si>
    <t>Q06481</t>
  </si>
  <si>
    <t>Alternative splicing;Cell membrane;Complete proteome;Disulfide bond;DNA-binding;Glycoprotein;Membrane;Nucleus;Polymorphism;Protease inhibitor;Reference proteome;Serine protease inhibitor;Signal;Transmembrane;Transmembrane helix</t>
  </si>
  <si>
    <t>UniRef100_Q06481;UniRef90_Q06481;UniRef50_Q06481</t>
  </si>
  <si>
    <t>NPT2A_HUMAN</t>
  </si>
  <si>
    <t>Sodium-dependent phosphate transport protein 2A</t>
  </si>
  <si>
    <t>SLC34A1</t>
  </si>
  <si>
    <t>CY:1-100;TM:101-122;NC:123-140;TM:141-160;CY:161-167;TM:168-189;NC:190-347;TM:348-370;CY:371-413;TM:414-437;NC:438-469;TM:470-491;CY:492-510;TM:511-534;NC:535-539;TM:540-561;CY:562-639</t>
  </si>
  <si>
    <t>ENSG00000131183</t>
  </si>
  <si>
    <t>ENSP00000321424</t>
  </si>
  <si>
    <t>298;323;330;481;635</t>
  </si>
  <si>
    <t>330;635</t>
  </si>
  <si>
    <t>Alternative splicing;Complete proteome;Disease mutation;Disulfide bond;Glycoprotein;Ion transport;Membrane;Phosphoprotein;Reference proteome;Sodium;Sodium transport;Symport;Transmembrane;Transmembrane helix;Transport</t>
  </si>
  <si>
    <t>UniRef100_Q06495;UniRef90_Q06495;UniRef50_Q06496</t>
  </si>
  <si>
    <t>1C15_HUMAN</t>
  </si>
  <si>
    <t>HLA class I histocompatibility antigen, Cw-15 alpha chain</t>
  </si>
  <si>
    <t>UniRef100_Q07000;UniRef90_P30499;UniRef50_P01892</t>
  </si>
  <si>
    <t>ACHD_HUMAN</t>
  </si>
  <si>
    <t>Acetylcholine receptor subunit delta</t>
  </si>
  <si>
    <t>CHRND</t>
  </si>
  <si>
    <t>SP:1-21;NC:22-246;TM:247-270;CY:271-278;TM:279-296;NC:297-308;TM:309-333;CY:334-471;TM:472-492;NC:493-517</t>
  </si>
  <si>
    <t>ENSG00000135902</t>
  </si>
  <si>
    <t>ENSP00000258385</t>
  </si>
  <si>
    <t>97;164;190</t>
  </si>
  <si>
    <t>UniRef100_Q07001;UniRef90_Q07001;UniRef50_Q07001</t>
  </si>
  <si>
    <t>TNR9_HUMAN</t>
  </si>
  <si>
    <t>Tumor necrosis factor receptor superfamily member 9</t>
  </si>
  <si>
    <t>TNFRSF9</t>
  </si>
  <si>
    <t>SP:1-25;NC:26-186;TM:187-210;CY:211-255</t>
  </si>
  <si>
    <t>ENSG00000049249</t>
  </si>
  <si>
    <t>ENSP00000366729;ENSP00000478699</t>
  </si>
  <si>
    <t>CD137</t>
  </si>
  <si>
    <t>138;149</t>
  </si>
  <si>
    <t>GICRPWTN[115]CSLDGK;SVLVN[115]GTK</t>
  </si>
  <si>
    <t>Q07011</t>
  </si>
  <si>
    <t>Complete proteome;Direct protein sequencing;Disulfide bond;Glycoprotein;Membrane;Polymorphism;Receptor;Reference proteome;Repeat;Signal;Transmembrane;Transmembrane helix</t>
  </si>
  <si>
    <t>UniRef100_Q07011;UniRef90_Q07011;UniRef50_Q07011</t>
  </si>
  <si>
    <t>AMPE_HUMAN</t>
  </si>
  <si>
    <t>Glutamyl aminopeptidase</t>
  </si>
  <si>
    <t>ENPEP</t>
  </si>
  <si>
    <t>CY:1-19;TM:20-39;NC:40-957</t>
  </si>
  <si>
    <t>ENSG00000138792</t>
  </si>
  <si>
    <t>ENSP00000265162</t>
  </si>
  <si>
    <t>CD249</t>
  </si>
  <si>
    <t>124;197;324;340;554;589;597;607;678;763;773;801;828</t>
  </si>
  <si>
    <t>124;197;324;340;554;567;589;597;607;610;678;763;773;801;828</t>
  </si>
  <si>
    <t>HTAEYAAN[115]ITK;WTEDN[115]ITSSVLFN[115]R;EGITLN[115]SSNPSGNAF;EGITLN[115]SSNPSGNAFLK;EGITLN[115]SSNPSGN[115]AFLK;EGITLN[115]SSN[115]PSGNAF;EGITLN[115]SSN[115]PSGNAFLK;VALN[115]LTK</t>
  </si>
  <si>
    <t>324;589;597;607;678</t>
  </si>
  <si>
    <t>Q07075</t>
  </si>
  <si>
    <t>3D-structure;Aminopeptidase;Calcium;Complete proteome;Direct protein sequencing;Disulfide bond;Glycoprotein;Hydrolase;Membrane;Metal-binding;Metalloprotease;Polymorphism;Protease;Reference proteome;Signal-anchor;Transmembrane;Transmembrane helix;Zinc</t>
  </si>
  <si>
    <t>UniRef100_Q07075;UniRef90_Q07075;UniRef50_Q07075</t>
  </si>
  <si>
    <t>CD69_HUMAN</t>
  </si>
  <si>
    <t>Early activation antigen CD69</t>
  </si>
  <si>
    <t>CD69</t>
  </si>
  <si>
    <t>CY:1-38;TM:39-63;NC:64-199</t>
  </si>
  <si>
    <t>ENSG00000110848</t>
  </si>
  <si>
    <t>ENSP00000228434</t>
  </si>
  <si>
    <t>11;166</t>
  </si>
  <si>
    <t>EFNNWFN[115]VTGSDK;EFNN[115]WFN[115]VTGSDK;EFN[115]NWFN[115]VTGSDK</t>
  </si>
  <si>
    <t>Q07108</t>
  </si>
  <si>
    <t>3D-structure;Complete proteome;Direct protein sequencing;Disulfide bond;Glycoprotein;Lectin;Membrane;Phosphoprotein;Reference proteome;Signal-anchor;Transmembrane;Transmembrane helix</t>
  </si>
  <si>
    <t>UniRef100_Q07108;UniRef90_Q07108;UniRef50_Q07108</t>
  </si>
  <si>
    <t>NKG2E_HUMAN</t>
  </si>
  <si>
    <t>NKG2-E type II integral membrane protein</t>
  </si>
  <si>
    <t>KLRC3</t>
  </si>
  <si>
    <t>CY:1-74;TM:75-97;NC:98-240</t>
  </si>
  <si>
    <t>ENSG00000205810</t>
  </si>
  <si>
    <t>ENSP00000379716</t>
  </si>
  <si>
    <t>27;47;100;101;149;179</t>
  </si>
  <si>
    <t>Alternative splicing;Complete proteome;Disulfide bond;Glycoprotein;Lectin;Membrane;Polymorphism;Receptor;Reference proteome;Signal-anchor;Transmembrane;Transmembrane helix</t>
  </si>
  <si>
    <t>UniRef100_Q07444;UniRef90_Q07444;UniRef50_P26717</t>
  </si>
  <si>
    <t>SCN1B_HUMAN</t>
  </si>
  <si>
    <t>Sodium channel subunit beta-1</t>
  </si>
  <si>
    <t>SCN1B</t>
  </si>
  <si>
    <t>SP:1-19;NC:20-160;TM:161-180;CY:181-218</t>
  </si>
  <si>
    <t>ENSG00000105711</t>
  </si>
  <si>
    <t>ENSP00000262631</t>
  </si>
  <si>
    <t>93;110;114;135;196;210</t>
  </si>
  <si>
    <t>Alternative splicing;Atrial fibrillation;Brugada syndrome;Cell adhesion;Complete proteome;Disease mutation;Disulfide bond;Epilepsy;Glycoprotein;Immunoglobulin domain;Ion channel;Ion transport;Membrane;Polymorphism;Reference proteome;Secreted;Signal;Sodium;Sodium channel;Sodium transport;Transmembrane;Transmembrane helix;Transport;Voltage-gated channel</t>
  </si>
  <si>
    <t>UniRef100_Q07699;UniRef90_Q07699;UniRef50_Q07699</t>
  </si>
  <si>
    <t>SLC31_HUMAN</t>
  </si>
  <si>
    <t>Neutral and basic amino acid transport protein rBAT</t>
  </si>
  <si>
    <t>SLC3A1</t>
  </si>
  <si>
    <t>CY:1-87;TM:88-110;NC:111-685</t>
  </si>
  <si>
    <t>ENSG00000138079</t>
  </si>
  <si>
    <t>ENSP00000260649</t>
  </si>
  <si>
    <t>214;261;332;495;513;575</t>
  </si>
  <si>
    <t>214;332</t>
  </si>
  <si>
    <t>Alternative splicing;Amino-acid transport;Complete proteome;Cystinuria;Disease mutation;Disulfide bond;Glycoprotein;Membrane;Polymorphism;Reference proteome;Signal-anchor;Transmembrane;Transmembrane helix;Transport</t>
  </si>
  <si>
    <t>UniRef100_Q07837;UniRef90_Q07837;UniRef50_Q07837</t>
  </si>
  <si>
    <t>LRP1_HUMAN</t>
  </si>
  <si>
    <t>Prolow-density lipoprotein receptor-related protein 1</t>
  </si>
  <si>
    <t>LRP1</t>
  </si>
  <si>
    <t>SP:1-19;NC:20-4420;TM:4421-4444;CY:4445-4544</t>
  </si>
  <si>
    <t>ENSG00000123384</t>
  </si>
  <si>
    <t>ENSP00000243077</t>
  </si>
  <si>
    <t>CD91</t>
  </si>
  <si>
    <t>114;136;185;239;274;357;446;729;928;1050;1154;1155;1195;1218;1511;1558;1575;1616;1645;1723;1733;1763;1825;1933;1995;2048;2117;2127;2472;2502;2521;2539;2601;2620;2638;2815;2905;3048;3089;3264;3333;3488;3662;3788;3839;3953;4075;4125;4179;4278;4279;4364;4501</t>
  </si>
  <si>
    <t>239;357;446;729;928;1050;1154;1218;1511;1558;1575;1616;1645;1733;1763;1825;1933;2127;2472;2601;2815;3048;3264;3333;3488;3662;3839;4075;4125;4179;4279;4364;4470;4501</t>
  </si>
  <si>
    <t>45;244;289;383;611;618;661;664;667;683;700;715;757;871;912;953;994;1032;1080;1123;1252;1313;1353;1360;1403;1406;1435;1450;1493;1496;1507;1631;1667;1674;1718;1758;1800;1801;1938;1955;1974;1981;2024;2027;2053;2068;2110;2294;2299;2348;2351;2434;2437;2584;2671;2713;2751;2792;2876;3073;3111;3118;3161;3164;3190;3205;3246;3249;3350;3351;3471;3512;3553;3592;3630;3671;3711;3916;3919;3967;3974;4017;4020;4046;4061;4158;4237;4443</t>
  </si>
  <si>
    <t>VNRFN[115]STEYQVVTR;FN[115]STEYQVVTR;IETILLN[115]GTDR;IETILLN[115]GTDRK;WLCDGDNDCGNSEDESN[115]ATCSAR;WTGHN[115]VTVVQR;LHKDN[115]TTCYEFK;DN[115]TTCYEFK;DN[115]TTCYEFKK;TVPDIDN[115]VTVLDYDAR;AFIN[115]GTGVETVVSADLPNAH;LYWISSGN[115]HTINR;LYWISSGN[115]HTIN[115]R;N[115]STTLVMHMK;RGSKDN[115]ATDSVPLR;GSKDN[115]ATDSVPLR;DN[115]ATDSVPLR;VDIPQQPMGIIAVAN[115]DTNSCELSPCR;GIIAVAN[115]DTNSCELSPCR;INNGGCQDLCLLTHQGHVN[115]CSCR;INN[115]GGCQDLCLLTHQGHVN[115]CSCR;NGADDCGDGSDEIPCN[115]K;N[115]GADDCGDGSDEIPCN[115]K;GADDCGDGSDEIPCN[115]K;DGTCIGN[115]SSR;WLCDGDKDCADGADESIAAGCLYN[115]STCDDR;DCADGADESIAAGCLYN[115]STCDDR;IAAGCLYN[115]STCDDR;LYN[115]STCDDR;CN[115]ASSQFLCSSGR;KLNLDGSN[115]YTLLK;LNLDGSN[115]YTLLK;MHLN[115]GSNVQVLHR;HLN[115]GSNVQVLHR;TCVSN[115]CTASQFVCK;DNDCVDGSDEPAN[115]CTQMTCGVDEFR;TCPLDEFQCN[115]NTLCK;TCPLDEFQCN[115]NTLCKPLAWK;LTSCATN[115]ASICGDEAR;ATN[115]ASICGDEAR;FGTCSQLCN[115]NTK;GVTHLN[115]ISGLK;THLN[115]ISGLK;LN[115]GTDPIVAADSK;FGHSPLVN[115]LTGGLSH;AGYCANN[115]STCTVNQGNQPQCR;AGYCAN[115]N[115]STCTVNQGNQPQCR;QSGDVTCN[115]CTDGR</t>
  </si>
  <si>
    <t>446;729;928;1511;1575;1616;1645;1763;1825;2127;2472;2502;2601;2620;2815;2905;3048;3089;3333;3488;3662;3788;3839;3953;4075;4125;4278;4279;4364</t>
  </si>
  <si>
    <t>Q07954</t>
  </si>
  <si>
    <t>Cell membrane (Peripheral membrane protein|Extracellular side;Membrane, coated pit;Cell membrane (Single-pass type I membrane protein);Membrane, coated pit;Cytoplasm;Nucleus</t>
  </si>
  <si>
    <t>3D-structure;Acetylation;Alternative splicing;Calcium;Cell membrane;Coated pit;Complete proteome;Cytoplasm;Developmental protein;Direct protein sequencing;Disulfide bond;EGF-like domain;Endocytosis;Glycoprotein;Membrane;Metal-binding;Nucleus;Phosphoprotein;Polymorphism;Receptor;Reference proteome;Repeat;Signal;Transmembrane;Transmembrane helix</t>
  </si>
  <si>
    <t>UniRef100_Q07954;UniRef90_Q07954;UniRef50_Q07954</t>
  </si>
  <si>
    <t>DB00025;DB00031;DB00100</t>
  </si>
  <si>
    <t>PCDH1_HUMAN</t>
  </si>
  <si>
    <t>Protocadherin-1</t>
  </si>
  <si>
    <t>PCDH1</t>
  </si>
  <si>
    <t>SP:1-57;NC:58-852;TM:853-874;CY:875-1060</t>
  </si>
  <si>
    <t>ENSG00000156453</t>
  </si>
  <si>
    <t>ENSP00000378043</t>
  </si>
  <si>
    <t>146;305;403;618;662;720;813;818;909</t>
  </si>
  <si>
    <t>662;813;818</t>
  </si>
  <si>
    <t>AN[115]DSDQGANAEIEYTFHQAPEVVR;VGVTINVLDENDNAPYITAPSN[115]TSHK;VLDENDNAPYITAPSN[115]TSHK;YGTALVHLYVN[115]ETLAN[115]R;LYVN[115]ETLAN[115]R;YVN[115]ETLAN[115]R</t>
  </si>
  <si>
    <t>305;720;813;818</t>
  </si>
  <si>
    <t>Q08174</t>
  </si>
  <si>
    <t>Alternative splicing;Calcium;Cell adhesion;Cell junction;Cell membrane;Complete proteome;Glycoprotein;Membrane;Phosphoprotein;Polymorphism;Reference proteome;Repeat;Signal;Transmembrane;Transmembrane helix</t>
  </si>
  <si>
    <t>UniRef100_Q08174;UniRef90_Q08174;UniRef50_Q08174</t>
  </si>
  <si>
    <t>I10R2_HUMAN</t>
  </si>
  <si>
    <t>Interleukin-10 receptor subunit beta</t>
  </si>
  <si>
    <t>IL10RB</t>
  </si>
  <si>
    <t>SP:1-19;NC:20-220;TM:221-247;CY:248-325</t>
  </si>
  <si>
    <t>ENSG00000243646</t>
  </si>
  <si>
    <t>ENSP00000290200</t>
  </si>
  <si>
    <t>CDw210b</t>
  </si>
  <si>
    <t>49;68;102;161</t>
  </si>
  <si>
    <t>GN[115]LTFTAQYLSYR;IFQDKCMN[115]TTLTECDFSSLSK;CMN[115]TTLTECDFSSLSK</t>
  </si>
  <si>
    <t>49;68</t>
  </si>
  <si>
    <t>Q08334</t>
  </si>
  <si>
    <t>3D-structure;Antiviral defense;Complete proteome;Direct protein sequencing;Disulfide bond;Glycoprotein;Membrane;Polymorphism;Receptor;Reference proteome;Repeat;Signal;Transmembrane;Transmembrane helix</t>
  </si>
  <si>
    <t>UniRef100_Q08334;UniRef90_Q08334;UniRef50_Q08334</t>
  </si>
  <si>
    <t>DDR1_HUMAN</t>
  </si>
  <si>
    <t>Epithelial discoidin domain-containing receptor 1</t>
  </si>
  <si>
    <t>DDR1</t>
  </si>
  <si>
    <t>SP:1-20;NC:21-416;TM:417-439;CY:440-913</t>
  </si>
  <si>
    <t>ENSG00000137332;ENSG00000204580;ENSG00000215522;ENSG00000230456;ENSG00000234078</t>
  </si>
  <si>
    <t>ENSP00000318217;ENSP00000365752;ENSP00000372868;ENSP00000383265;ENSP00000383338;ENSP00000383339;ENSP00000391805;ENSP00000401397;ENSP00000397769;ENSP00000414285;ENSP00000405039;ENSP00000449611;ENSP00000449255;ENSP00000449190;ENSP00000448377</t>
  </si>
  <si>
    <t>CD167a</t>
  </si>
  <si>
    <t>211;260;370;371;394;502;777</t>
  </si>
  <si>
    <t>129;809</t>
  </si>
  <si>
    <t>Cell membrane (Single-pass type I membrane protein);Cell membrane (Single-pass type I membrane protein);Secreted;Cell membrane (Single-pass type I membrane protein)</t>
  </si>
  <si>
    <t>3D-structure;Alternative splicing;ATP-binding;Calcium;Cell membrane;Complete proteome;Direct protein sequencing;Disulfide bond;Glycoprotein;Kinase;Lactation;Membrane;Metal-binding;Nucleotide-binding;Phosphoprotein;Polymorphism;Pregnancy;Receptor;Reference proteome;Secreted;Signal;Transferase;Transmembrane;Transmembrane helix;Tyrosine-protein kinase</t>
  </si>
  <si>
    <t>UniRef100_Q08345;UniRef90_Q08345;UniRef50_Q08345</t>
  </si>
  <si>
    <t>DB00619</t>
  </si>
  <si>
    <t>S20A2_HUMAN</t>
  </si>
  <si>
    <t>Sodium-dependent phosphate transporter 2</t>
  </si>
  <si>
    <t>SLC20A2</t>
  </si>
  <si>
    <t>NC:1-5;TM:6-26;CY:27-46;TM:47-66;NC:67-85;TM:86-105;CY:106-112;TM:113-132;NC:133-143;TM:144-165;CY:166-184;TM:185-207;NC:208-213;TM:214-237;CY:238-484;TM:485-503;NC:504-532;TM:533-551;CY:552-569;TM:570-587;NC:588-592;TM:593-610;CY:611-621;TM:622-646;NC:647-652</t>
  </si>
  <si>
    <t>ENSG00000168575</t>
  </si>
  <si>
    <t>ENSP00000340465;ENSP00000429712;ENSP00000429754</t>
  </si>
  <si>
    <t>SLC;Other;SLC20</t>
  </si>
  <si>
    <t>81;328;383</t>
  </si>
  <si>
    <t>81;328</t>
  </si>
  <si>
    <t>298;327</t>
  </si>
  <si>
    <t>Cell membrane;Complete proteome;Disease mutation;Glycoprotein;Host cell receptor for virus entry;Host-virus interaction;Ion transport;Membrane;Phosphate transport;Phosphoprotein;Receptor;Reference proteome;Sodium;Sodium transport;Symport;Transmembrane;Transmembrane helix;Transport</t>
  </si>
  <si>
    <t>UniRef100_Q08357;UniRef90_Q08357;UniRef50_Q08357</t>
  </si>
  <si>
    <t>ADCY2_HUMAN</t>
  </si>
  <si>
    <t>Adenylate cyclase type 2</t>
  </si>
  <si>
    <t>ADCY2</t>
  </si>
  <si>
    <t>CY:1-45;TM:46-70;NC:71-75;TM:76-98;CY:99-104;TM:105-125;NC:126-135;TM:136-153;CY:154-158;TM:159-181;NC:182-186;TM:187-207;CY:208-599;TM:600-621;NC:622-626;TM:627-651;CY:652-679;TM:680-701;NC:702-735;TM:736-757;CY:758-763;TM:764-782;NC:783-801;TM:802-821;CY:822-1091</t>
  </si>
  <si>
    <t>ENSG00000078295</t>
  </si>
  <si>
    <t>ENSP00000342952</t>
  </si>
  <si>
    <t>288;537;713;716</t>
  </si>
  <si>
    <t>Alternative splicing;ATP-binding;cAMP biosynthesis;Complete proteome;Glycoprotein;Lyase;Magnesium;Membrane;Metal-binding;Nucleotide-binding;Phosphoprotein;Polymorphism;Reference proteome;Repeat;Transmembrane;Transmembrane helix</t>
  </si>
  <si>
    <t>UniRef100_Q08462;UniRef90_Q08462;UniRef50_Q08462</t>
  </si>
  <si>
    <t>DSC1_HUMAN</t>
  </si>
  <si>
    <t>Desmocollin-1</t>
  </si>
  <si>
    <t>DSC1</t>
  </si>
  <si>
    <t>SP:1-29;NC:30-691;TM:692-714;CY:715-894</t>
  </si>
  <si>
    <t>ENSG00000134765</t>
  </si>
  <si>
    <t>ENSP00000257198</t>
  </si>
  <si>
    <t>116;165;546</t>
  </si>
  <si>
    <t>UniRef100_Q08554;UniRef90_Q08554;UniRef50_Q14574</t>
  </si>
  <si>
    <t>CLM6_HUMAN</t>
  </si>
  <si>
    <t>CMRF35-like molecule 6</t>
  </si>
  <si>
    <t>CD300C</t>
  </si>
  <si>
    <t>SP:1-21;NC:22-183;TM:184-205;CY:206-224</t>
  </si>
  <si>
    <t>ENSG00000167850</t>
  </si>
  <si>
    <t>ENSP00000329507</t>
  </si>
  <si>
    <t>CD300c</t>
  </si>
  <si>
    <t>IG;OtherCD300</t>
  </si>
  <si>
    <t>90;99</t>
  </si>
  <si>
    <t>Cell membrane;Complete proteome;Disulfide bond;Glycoprotein;Immunity;Membrane;Polymorphism;Receptor;Reference proteome;Signal;Transmembrane;Transmembrane helix</t>
  </si>
  <si>
    <t>UniRef100_Q08708;UniRef90_Q08708;UniRef50_Q496F6</t>
  </si>
  <si>
    <t>CD47_HUMAN</t>
  </si>
  <si>
    <t>Leukocyte surface antigen CD47</t>
  </si>
  <si>
    <t>CD47</t>
  </si>
  <si>
    <t>SP:1-18;NC:19-142;TM:143-165;CY:166-176;TM:177-198;NC:199-208;TM:209-227;CY:228-234;TM:235-258;NC:259-269;TM:270-289;CY:290-323</t>
  </si>
  <si>
    <t>ENSG00000196776</t>
  </si>
  <si>
    <t>ENSP00000355361</t>
  </si>
  <si>
    <t>23;34;50;73;111;206</t>
  </si>
  <si>
    <t>FVTNMEAQN[115]TTEVYVK;FVTN[115]MEAQN[115]TTEVYVK;VTNMEAQN[115]TTEVYVK;VTN[115]MEAQN[115]TTEVYVK;TNMEAQN[115]TTEVYVK;NMEAQN[115]TTEVYVK;N[115]MEAQN[115]TTEVYVK;MEAQN[115]TTEVYVK;EAQN[115]TTEVYVK;AQN[115]TTEVYVK;FKGRDIYTFDGALN[115]K;FKGRDIYTFDGALN[115]KSTVPTDFSSAK;GRDIYTFDGALN[115]K;GRDIYTFDGALN[115]KSTVPTDFSSAK;DIYTFDGALN[115]K;DIYTFDGALN[115]KSTVPTDFSSAK;IYTFDGALN[115]K;GDASLKMDKSDAVSHTGN[115]YTCEVTELTR;MDKSDAVSHTGN[115]YT;MDKSDAVSHTGN[115]YTCEVTELTR;SDAVSHTGN[115]YT;SDAVSHTGN[115]YTC;SDAVSHTGN[115]YTCE;SDAVSHTGN[115]YTCEV;SDAVSHTGN[115]YTCEVT;SDAVSHTGN[115]YTCEVTE;SDAVSHTGN[115]YTCEVTEL;SDAVSHTGN[115]YTCEVTELT;SDAVSHTGN[115]YTCEVTELTR;SDAVSHTGN[115]YTCEVTELTREGETIIELK;DAVSHTGN[115]YTCEVTELTR;AVSHTGN[115]YTCEVTELTR;SHTGN[115]YTCEVTELTR;HTGN[115]YTCEVTELTR;TGN[115]YTCEVTELTR</t>
  </si>
  <si>
    <t>50;73;111</t>
  </si>
  <si>
    <t>Q08722</t>
  </si>
  <si>
    <t>3D-structure;Alternative splicing;Cell adhesion;Cell membrane;Complete proteome;Direct protein sequencing;Disulfide bond;Glycoprotein;Immunoglobulin domain;Membrane;Pyrrolidone carboxylic acid;Reference proteome;Signal;Transmembrane;Transmembrane helix</t>
  </si>
  <si>
    <t>UniRef100_Q08722;UniRef90_Q08722;UniRef50_Q08722</t>
  </si>
  <si>
    <t>S38AB_HUMAN</t>
  </si>
  <si>
    <t>Putative sodium-coupled neutral amino acid transporter 11</t>
  </si>
  <si>
    <t>SLC38A11</t>
  </si>
  <si>
    <t>CY:1-8;TM:9-31;NC:32-51;TM:52-73;CY:74-93;TM:94-114;NC:115-124;TM:125-144;CY:145-156;TM:157-178;NC:179-198;TM:199-222;CY:223-239;TM:240-258;NC:259-277;TM:278-299;CY:300-305;TM:306-324;NC:325-339;TM:340-362;CY:363-406</t>
  </si>
  <si>
    <t>ENSG00000169507</t>
  </si>
  <si>
    <t>ENSP00000386272;ENSP00000386774</t>
  </si>
  <si>
    <t>44;275;380;385;401</t>
  </si>
  <si>
    <t>Alternative splicing;Amino-acid transport;Complete proteome;Glycoprotein;Ion transport;Membrane;Polymorphism;Reference proteome;Sodium;Sodium transport;Transmembrane;Transmembrane helix;Transport</t>
  </si>
  <si>
    <t>UniRef100_Q08AI6;UniRef90_Q08AI6;UniRef50_Q3USY0</t>
  </si>
  <si>
    <t>SIG14_HUMAN</t>
  </si>
  <si>
    <t>Sialic acid-binding Ig-like lectin 14</t>
  </si>
  <si>
    <t>SIGLEC14</t>
  </si>
  <si>
    <t>SP:1-16;NC:17-358;TM:359-381;CY:382-396</t>
  </si>
  <si>
    <t>ENSG00000254415</t>
  </si>
  <si>
    <t>ENSP00000354090</t>
  </si>
  <si>
    <t>100;210;231;247</t>
  </si>
  <si>
    <t>Cell adhesion;Cell membrane;Complete proteome;Disulfide bond;Glycoprotein;Immunoglobulin domain;Lectin;Membrane;Reference proteome;Repeat;Signal;Transmembrane;Transmembrane helix</t>
  </si>
  <si>
    <t>UniRef100_Q08ET2;UniRef90_Q08ET2;UniRef50_Q08ET2</t>
  </si>
  <si>
    <t>1A80_HUMAN</t>
  </si>
  <si>
    <t>HLA class I histocompatibility antigen, A-80 alpha chain</t>
  </si>
  <si>
    <t>GYYN[115]QSEDGSHTIQIMYGCDVGSDGR</t>
  </si>
  <si>
    <t>Q09160</t>
  </si>
  <si>
    <t>UniRef100_Q09160;UniRef90_P01892;UniRef50_P01892</t>
  </si>
  <si>
    <t>NIPA4_HUMAN</t>
  </si>
  <si>
    <t>Magnesium transporter NIPA4</t>
  </si>
  <si>
    <t>NIPAL4</t>
  </si>
  <si>
    <t>NC:1-115;TM:116-138;CY:139-164;TM:165-184;NC:185-189;TM:190-208;CY:209-218;TM:219-238;NC:239-257;TM:258-278;CY:279-285;TM:286-305;NC:306-324;TM:325-344;CY:345-354;TM:355-376;NC:377-386;TM:387-407;CY:408-466</t>
  </si>
  <si>
    <t>ENSG00000172548</t>
  </si>
  <si>
    <t>ENSP00000311687</t>
  </si>
  <si>
    <t>SLC;DMT;NIPA</t>
  </si>
  <si>
    <t>69;74;102;352</t>
  </si>
  <si>
    <t>Alternative splicing;Complete proteome;Disease mutation;Glycoprotein;Ichthyosis;Ion transport;Magnesium;Membrane;Receptor;Reference proteome;Transmembrane;Transmembrane helix;Transport</t>
  </si>
  <si>
    <t>UniRef100_Q0D2K0;UniRef90_Q0D2K0;UniRef50_Q0D2K0</t>
  </si>
  <si>
    <t>TMM62_HUMAN</t>
  </si>
  <si>
    <t>Transmembrane protein 62</t>
  </si>
  <si>
    <t>TMEM62</t>
  </si>
  <si>
    <t>SP:1-29;NC:30-430;TM:431-451;CY:452-480;TM:481-500;NC:501-526;TM:527-552;CY:553-571;TM:572-594;NC:595-599;TM:600-623;CY:624-643</t>
  </si>
  <si>
    <t>ENSG00000137842</t>
  </si>
  <si>
    <t>ENSP00000260403</t>
  </si>
  <si>
    <t>180;223;381;467;626</t>
  </si>
  <si>
    <t>UniRef100_Q0P6H9;UniRef90_Q0P6H9;UniRef50_Q0P6H9</t>
  </si>
  <si>
    <t>BST1_HUMAN</t>
  </si>
  <si>
    <t>ADP-ribosyl cyclase/cyclic ADP-ribose hydrolase 2</t>
  </si>
  <si>
    <t>BST1</t>
  </si>
  <si>
    <t>SP:1-32;NC:33-318</t>
  </si>
  <si>
    <t>ENSG00000109743</t>
  </si>
  <si>
    <t>ENSP00000265016</t>
  </si>
  <si>
    <t>CD157</t>
  </si>
  <si>
    <t>66;95;148;192</t>
  </si>
  <si>
    <t>NKN[115]CTAIWEAFK;N[115]CTAIWEAFK</t>
  </si>
  <si>
    <t>Q10588</t>
  </si>
  <si>
    <t>3D-structure;Alternative splicing;Cell membrane;Complete proteome;Disulfide bond;Glycoprotein;GPI-anchor;Hydrolase;Lipoprotein;Membrane;NAD;NADP;Polymorphism;Reference proteome;Signal;Transferase</t>
  </si>
  <si>
    <t>UniRef100_Q10588;UniRef90_Q10588;UniRef50_Q10588</t>
  </si>
  <si>
    <t>BST2_HUMAN</t>
  </si>
  <si>
    <t>Bone marrow stromal antigen 2</t>
  </si>
  <si>
    <t>BST2</t>
  </si>
  <si>
    <t>CY:1-21;TM:22-45;NC:46-180</t>
  </si>
  <si>
    <t>ENSG00000130303</t>
  </si>
  <si>
    <t>ENSP00000252593</t>
  </si>
  <si>
    <t>CD317</t>
  </si>
  <si>
    <t>65;92</t>
  </si>
  <si>
    <t>AVMECRN[115]VTHLLQQELTEAQK;RN[115]VTHLLQQELTEAQK;N[115]VTHLLQQELT;N[115]VTHLLQQELTEA;N[115]VTHLLQQELTEAQ;N[115]VTHLLQQELTEAQK;GFQDVEAQAATCN[115]H;GFQDVEAQAATCN[115]HT;GFQDVEAQAATCN[115]HTV;GFQDVEAQAATCN[115]HTVM;GFQDVEAQAATCN[115]HTVMA;GFQDVEAQAATCN[115]HTVMAL;GFQDVEAQAATCN[115]HTVMALM;GFQDVEAQAATCN[115]HTVMALMASLDAEK</t>
  </si>
  <si>
    <t>Q10589</t>
  </si>
  <si>
    <t>Apical cell membrane;Cell membrane (Lipid-anchor, GPI-anchor);Cell membrane (Single-pass type II membrane protein);Cytoplasm;Golgi apparatus, trans-Golgi network;Late endosome;Membrane raft</t>
  </si>
  <si>
    <t>3D-structure;Alternative initiation;Antiviral defense;B-cell activation;Cell membrane;Coiled coil;Complete proteome;Cytoplasm;Disulfide bond;Endosome;Glycoprotein;Golgi apparatus;GPI-anchor;Immunity;Innate immunity;Isopeptide bond;Lipoprotein;Membrane;Polymorphism;Reference proteome;Signal-anchor;Transmembrane;Transmembrane helix;Ubl conjugation</t>
  </si>
  <si>
    <t>UniRef100_Q10589;UniRef90_Q10589;UniRef50_Q10589</t>
  </si>
  <si>
    <t>Cytoskeleton;Cytosol;Endoplasmic Reticulum;Extracellular space;Lysosome;Mitochondrion;Nucleus;Peroxisome</t>
  </si>
  <si>
    <t>SCAP_HUMAN</t>
  </si>
  <si>
    <t>Sterol regulatory element-binding protein cleavage-activating protein</t>
  </si>
  <si>
    <t>SCAP</t>
  </si>
  <si>
    <t>CY:1-19;TM:20-45;NC:46-279;TM:280-301;CY:302-312;TM:313-336;NC:337-347;TM:348-369;CY:370-399;TM:400-422;NC:423-427;TM:428-445;CY:446-514;TM:515-534;NC:535-710;TM:711-732;CY:733-1279</t>
  </si>
  <si>
    <t>ENSG00000114650</t>
  </si>
  <si>
    <t>ENSP00000265565</t>
  </si>
  <si>
    <t>263;590;641;880;1026</t>
  </si>
  <si>
    <t>464;565;592;593;851;937</t>
  </si>
  <si>
    <t>LPEN[115]QTSPGESPER</t>
  </si>
  <si>
    <t>Q12770</t>
  </si>
  <si>
    <t>Cytoplasmic vesicle, COPII-coated vesicle membrane (Multi-pass membrane protein);Endoplasmic reticulum membrane (Multi-pass membrane protein);Golgi apparatus membrane (Multi-pass membrane protein)</t>
  </si>
  <si>
    <t>Alternative splicing;Cholesterol metabolism;Complete proteome;Cytoplasmic vesicle;Endoplasmic reticulum;Glycoprotein;Golgi apparatus;Lipid metabolism;Membrane;Phosphoprotein;Polymorphism;Reference proteome;Repeat;Steroid metabolism;Sterol metabolism;Transmembrane;Transmembrane helix;WD repeat</t>
  </si>
  <si>
    <t>UniRef100_Q12770;UniRef90_P97260;UniRef50_P97260</t>
  </si>
  <si>
    <t>Endoplasmic Reticulum;Golgi apparatus</t>
  </si>
  <si>
    <t>Cytoskeleton;Cytosol;Endosome;Extracellular space;Lysosome;Mitochondrion;Nucleus;Peroxisome;Plasma membrane</t>
  </si>
  <si>
    <t>ZP4_HUMAN</t>
  </si>
  <si>
    <t>Zona pellucida sperm-binding protein 4</t>
  </si>
  <si>
    <t>ZP4</t>
  </si>
  <si>
    <t>SP:1-19;NC:20-505;TM:506-528;CY:529-540</t>
  </si>
  <si>
    <t>ENSG00000116996</t>
  </si>
  <si>
    <t>ENSP00000355529;ENSP00000482304</t>
  </si>
  <si>
    <t>69;202;219;267;470;474</t>
  </si>
  <si>
    <t>NFDN[115]SSQN[115]TTASVSSK</t>
  </si>
  <si>
    <t>470;474</t>
  </si>
  <si>
    <t>Q12836</t>
  </si>
  <si>
    <t>Cell membrane;Cleavage on pair of basic residues;Complete proteome;Disulfide bond;Extracellular matrix;Fertilization;Glycoprotein;Membrane;Polymorphism;Receptor;Reference proteome;Secreted;Signal;Transmembrane;Transmembrane helix</t>
  </si>
  <si>
    <t>UniRef100_Q12836;UniRef90_Q12836;UniRef50_Q12836</t>
  </si>
  <si>
    <t>CNTN1_HUMAN</t>
  </si>
  <si>
    <t>Contactin-1</t>
  </si>
  <si>
    <t>CNTN1</t>
  </si>
  <si>
    <t>SP:1-20;NC:21-1018</t>
  </si>
  <si>
    <t>ENSG00000018236</t>
  </si>
  <si>
    <t>ENSP00000325660;ENSP00000447006</t>
  </si>
  <si>
    <t>208;258;338;457;473;494;521;591;630;933</t>
  </si>
  <si>
    <t>GN[115]YSCFVSSPSITK;DVYALMGQN[115]VTLECF;GTEWLVN[115]SSR;GKAN[115]STGTLVITDPTR;AN[115]STGTLVITDPTR;YIITWDHVVALSN[115]ESTVTGYK</t>
  </si>
  <si>
    <t>208;258;457;494;933</t>
  </si>
  <si>
    <t>Q12860</t>
  </si>
  <si>
    <t>Cell membrane (Lipid-anchor, GPI- anchor|Extracellular side;Cell membrane (Lipid-anchor, GPI- anchor|Extracellular side</t>
  </si>
  <si>
    <t>3D-structure;Alternative splicing;Cell adhesion;Cell membrane;Complete proteome;Direct protein sequencing;Disulfide bond;Glycoprotein;GPI-anchor;Immunoglobulin domain;Lipoprotein;Membrane;Notch signaling pathway;Polymorphism;Reference proteome;Repeat;Signal</t>
  </si>
  <si>
    <t>UniRef100_Q12860;UniRef90_Q12860;UniRef50_Q12860</t>
  </si>
  <si>
    <t>CAD17_HUMAN</t>
  </si>
  <si>
    <t>Cadherin-17</t>
  </si>
  <si>
    <t>CDH17</t>
  </si>
  <si>
    <t>SP:1-22;NC:23-784;TM:785-808;CY:809-832</t>
  </si>
  <si>
    <t>ENSG00000079112</t>
  </si>
  <si>
    <t>ENSP00000027335;ENSP00000401468</t>
  </si>
  <si>
    <t>149;184;250;419;456;546;587;722</t>
  </si>
  <si>
    <t>KPVEMVEN[115]STDPHPIK;PVEMVEN[115]STDPHPIK;VEMVEN[115]STDPHPIK;YN[115]ASSFAK</t>
  </si>
  <si>
    <t>250;546</t>
  </si>
  <si>
    <t>Q12864</t>
  </si>
  <si>
    <t>Calcium;Cell adhesion;Cell membrane;Complete proteome;Glycoprotein;Membrane;Metal-binding;Polymorphism;Reference proteome;Repeat;Signal;Transmembrane;Transmembrane helix;Transport</t>
  </si>
  <si>
    <t>UniRef100_Q12864;UniRef90_Q12864;UniRef50_Q9R100</t>
  </si>
  <si>
    <t>MERTK_HUMAN</t>
  </si>
  <si>
    <t>Tyrosine-protein kinase Mer</t>
  </si>
  <si>
    <t>MERTK</t>
  </si>
  <si>
    <t>SP:1-25;NC:26-501;TM:502-523;CY:524-999</t>
  </si>
  <si>
    <t>ENSG00000153208</t>
  </si>
  <si>
    <t>ENSP00000295408;ENSP00000389152</t>
  </si>
  <si>
    <t>114;170;207;215;234;294;316;329;336;354;389;395;442;454;625</t>
  </si>
  <si>
    <t>57;66;68;75;84;85;88;245;247;285;288;291;377;378;379;384;491;492;493;880;881;888;889;901;905;913;943;946;968;972;973</t>
  </si>
  <si>
    <t>SDN[115]GSYICK;QPESMN[115]VTR;EADPLSN[115]GSVMIFN[115]TSALPH;EADPLSN[115]GSVMIFN[115]TSALPHLYQIK;ELLEEVGQN[115]GSR;EEVGQN[115]GSR;ISVQVHN[115]ATC;ISVQVHN[115]ATCTVR;SVQVHN[115]ATCTVR;HN[115]ATCTVR</t>
  </si>
  <si>
    <t>170;207;329;336;442;454</t>
  </si>
  <si>
    <t>Q12866</t>
  </si>
  <si>
    <t>3D-structure;ATP-binding;Complete proteome;Disease mutation;Disulfide bond;Glycoprotein;Immunoglobulin domain;Kinase;Membrane;Nucleotide-binding;Phosphoprotein;Polymorphism;Proto-oncogene;Receptor;Reference proteome;Repeat;Retinitis pigmentosa;Signal;Transferase;Transmembrane;Transmembrane helix;Tyrosine-protein kinase</t>
  </si>
  <si>
    <t>UniRef100_Q12866;UniRef90_Q12866;UniRef50_Q12866</t>
  </si>
  <si>
    <t>NMDE1_HUMAN</t>
  </si>
  <si>
    <t>Glutamate receptor ionotropic, NMDA 2A</t>
  </si>
  <si>
    <t>GRIN2A</t>
  </si>
  <si>
    <t>SP:1-26;NC:27-555;TM:556-579;CY:580-630;TM:631-654;NC:655-817;TM:818-837;CY:838-1464</t>
  </si>
  <si>
    <t>ENSG00000183454</t>
  </si>
  <si>
    <t>ENSP00000332549;ENSP00000379818</t>
  </si>
  <si>
    <t>75;340;380;443;444;541;614;687;886;903;911;946;989;1041;1138;1210;1397</t>
  </si>
  <si>
    <t>7;18;55;167;198;255;284;343;372;378;390;493;558;606;609;634;771;795;837;843;1014;1271</t>
  </si>
  <si>
    <t>3D-structure;Alternative splicing;Calcium;Cell junction;Cell membrane;Chromosomal rearrangement;Complete proteome;Disease mutation;Disulfide bond;Epilepsy;Glycoprotein;Ion channel;Ion transport;Ligand-gated ion channel;Magnesium;Membrane;Metal-binding;Polymorphism;Postsynaptic cell membrane;Receptor;Reference proteome;Signal;Synapse;Transmembrane;Transmembrane helix;Transport;Zinc</t>
  </si>
  <si>
    <t>UniRef100_Q12879;UniRef90_Q12879;UniRef50_Q12879</t>
  </si>
  <si>
    <t>DB00145;DB00454;DB00949;DB01043;DB01159;DB06151;DB00659;DB00289;DB00312;DB00418;DB00996;DB01174;DB04896;DB06738</t>
  </si>
  <si>
    <t>SEPR_HUMAN</t>
  </si>
  <si>
    <t>Prolyl endopeptidase FAP</t>
  </si>
  <si>
    <t>FAP</t>
  </si>
  <si>
    <t>CY:1-6;TM:7-27;NC:28-760</t>
  </si>
  <si>
    <t>ENSG00000078098</t>
  </si>
  <si>
    <t>ENSP00000188790</t>
  </si>
  <si>
    <t>49;92;99;227;314;679</t>
  </si>
  <si>
    <t>295;327</t>
  </si>
  <si>
    <t>ALTLKDILN[115]GTFSYK;DILN[115]GTFSYK;NIETGQSYTILSN[115]R;SVN[115]ASNYGLSPDR;SVN[115]ASNYGLSPDRQFVYLESDYSK;SVN[115]ASN[115]YGLSPDR;FLAYAEFN[115]DTDIPVIAY;VQN[115]VSVLSICDFR;FMGLPTKDDNLEHYKN[115]STVMAR;DDNLEHYKN[115]STVMAR</t>
  </si>
  <si>
    <t>Q12884</t>
  </si>
  <si>
    <t>Secreted;Cytoplasm;Cell membrane (Single- pass type II membrane protein);Cell projection, invadopodium membrane (Single-pass type II membrane protein);Cell projection, lamellipodium membrane (Single-pass type II membrane protein);Cell projection, ruffle membrane (Single-pass type II membrane protein);Cell surface;Membrane (Single-pass type II membrane protein)</t>
  </si>
  <si>
    <t>3D-structure;Alternative splicing;Angiogenesis;Apoptosis;Cell adhesion;Cell junction;Cell membrane;Cell projection;Cleavage on pair of basic residues;Complete proteome;Cytoplasm;Direct protein sequencing;Disulfide bond;Glycoprotein;Hydrolase;Membrane;Polymorphism;Protease;Reference proteome;Secreted;Serine protease;Signal-anchor;Transmembrane;Transmembrane helix</t>
  </si>
  <si>
    <t>UniRef100_Q12884;UniRef90_Q12884;UniRef50_Q12884</t>
  </si>
  <si>
    <t>HYAL2_HUMAN</t>
  </si>
  <si>
    <t>Hyaluronidase-2</t>
  </si>
  <si>
    <t>HYAL2</t>
  </si>
  <si>
    <t>SP:1-20;NC:21-473</t>
  </si>
  <si>
    <t>ENSG00000068001</t>
  </si>
  <si>
    <t>ENSP00000350387;ENSP00000378571;ENSP00000406657;ENSP00000401853</t>
  </si>
  <si>
    <t>74;103;357</t>
  </si>
  <si>
    <t>74;103;357;380</t>
  </si>
  <si>
    <t>SVHGGVPQN[115]VSLWAH;SVHGGVPQN[115]VSLWAHR;VHGGVPQN[115]VSLWAHR</t>
  </si>
  <si>
    <t>Q12891</t>
  </si>
  <si>
    <t>Cell membrane;Complete proteome;Disulfide bond;EGF-like domain;Glycoprotein;Glycosidase;GPI-anchor;Hydrolase;Lipoprotein;Membrane;Polymorphism;Receptor;Reference proteome;Signal</t>
  </si>
  <si>
    <t>UniRef100_Q12891;UniRef90_Q12891;UniRef50_Q12891</t>
  </si>
  <si>
    <t>Endoplasmic Reticulum;Lysosome;Plasma membrane</t>
  </si>
  <si>
    <t>Cytoskeleton;Endosome;Extracellular space;Mitochondrion;Nucleus;Peroxisome</t>
  </si>
  <si>
    <t>LMAN2_HUMAN</t>
  </si>
  <si>
    <t>Vesicular integral-membrane protein VIP36</t>
  </si>
  <si>
    <t>LMAN2</t>
  </si>
  <si>
    <t>SP:1-44;NC:45-322;TM:323-345;CY:346-356</t>
  </si>
  <si>
    <t>ENSG00000169223</t>
  </si>
  <si>
    <t>ENSP00000303366</t>
  </si>
  <si>
    <t>VFPYISVMVNN[115]GSLSYDHSK;ISVMVNN[115]GSLSYDHSK;ISVMVN[115]N[115]GSLSYDHSK;MVNN[115]GSLSYDHSK;VNN[115]GSLSYDHSK;NN[115]GSLSYDHSK</t>
  </si>
  <si>
    <t>Q12907</t>
  </si>
  <si>
    <t>Endoplasmic reticulum membrane (Single-pass type I membrane protein);Endoplasmic reticulum-Golgi intermediate compartment membrane (Single-pass type I membrane protein);Golgi apparatus membrane (Single-pass membrane protein)</t>
  </si>
  <si>
    <t>Calcium;Complete proteome;Disulfide bond;Endoplasmic reticulum;Glycoprotein;Golgi apparatus;Lectin;Membrane;Metal-binding;Protein transport;Reference proteome;Signal;Transmembrane;Transmembrane helix;Transport</t>
  </si>
  <si>
    <t>UniRef100_Q12907;UniRef90_Q12907;UniRef50_Q12907</t>
  </si>
  <si>
    <t>NTCP2_HUMAN</t>
  </si>
  <si>
    <t>Ileal sodium/bile acid cotransporter</t>
  </si>
  <si>
    <t>SLC10A2</t>
  </si>
  <si>
    <t>NC:1-28;TM:29-51;CY:52-81;TM:82-104;NC:105-124;TM:125-148;CY:149-159;TM:160-181;NC:182-192;TM:193-215;CY:216-225;TM:226-248;NC:249-286;TM:287-310;CY:311-348</t>
  </si>
  <si>
    <t>ENSG00000125255</t>
  </si>
  <si>
    <t>ENSP00000245312</t>
  </si>
  <si>
    <t>10;328</t>
  </si>
  <si>
    <t>Complete proteome;Disease mutation;Glycoprotein;Ion transport;Membrane;Polymorphism;Reference proteome;Sodium;Sodium transport;Symport;Transmembrane;Transmembrane helix;Transport</t>
  </si>
  <si>
    <t>UniRef100_Q12908;UniRef90_Q12908;UniRef50_Q12908</t>
  </si>
  <si>
    <t>PTPRJ_HUMAN</t>
  </si>
  <si>
    <t>Receptor-type tyrosine-protein phosphatase eta</t>
  </si>
  <si>
    <t>PTPRJ</t>
  </si>
  <si>
    <t>SP:1-35;NC:36-970;TM:971-996;CY:997-1337</t>
  </si>
  <si>
    <t>ENSG00000149177</t>
  </si>
  <si>
    <t>ENSP00000400010</t>
  </si>
  <si>
    <t>CD148</t>
  </si>
  <si>
    <t>72;82;93;104;142;172;192;231;258;278;342;351;376;391;396;413;431;501;525;536;582;603;618;628;637;666;669;761;772;784;790;824;910;937;1313</t>
  </si>
  <si>
    <t>194;620;889;895</t>
  </si>
  <si>
    <t>TPEQGSN[115]GTDGASQK;SN[115]DTAASEYK;SN[115]DTAASEYKYVVK;TITVVHQPWCN[115]ITGLR;PATSYVFSITPGIGN[115]ETWGDPR;VFSITPGIGN[115]ETWGDPR;FSITPGIGN[115]ETWGDPR;SITPGIGN[115]ETWGDPR;ITPGIGN[115]ETWGDPR;TPGIGN[115]ETWGDPR;KAALSWSNGN[115]GTASCR;KAALSWSN[115]GN[115]GTASCR;AALSWSNGN[115]GTASCR;AALSWSN[115]GN[115]GTASCR;LQVN[115]ISGLKPGVQYNINPYLLQSN[115]K;YN[115]ATVYSQAAN[115]GTEGQPQAIEFR;VSDNESSSN[115]YTYK;VSDN[115]ESSSN[115]YTYK;SDN[115]ESSSN[115]YTYK;IHVAGETDSSNLN[115]VSEPR;IHVAGETDSSN[115]LN[115]VSEPR;VAGETDSSNLN[115]VSEPR;EITTN[115]QSIIIGGLFPGTK;STSYN[115]ISITTVSCGK;NTCTTGITDPPPPDGSPN[115]ITSVSHNSVK;NTCTTGITDPPPPDGSPN[115]ITSVSHN[115]SVK;PPPPDGSPN[115]ITSVSHNSVK;YEIDVGN[115]ESTTLGYYNGK;YEIDVGN[115]ESTTLGYYN[115]GK;ACVAGFTN[115]ITFHPQNK</t>
  </si>
  <si>
    <t>104;142;172;192;231;258;278;342;351;391;396;413;501;790;824;910;937</t>
  </si>
  <si>
    <t>Q12913</t>
  </si>
  <si>
    <t>Cell junction;Cell membrane (Single-pass type I membrane protein);Cell projection, ruffle membrane</t>
  </si>
  <si>
    <t>3D-structure;Alternative splicing;Cell junction;Cell membrane;Cell projection;Complete proteome;Direct protein sequencing;Glycoprotein;Hydrolase;Membrane;Polymorphism;Protein phosphatase;Reference proteome;Repeat;Signal;Transmembrane;Transmembrane helix</t>
  </si>
  <si>
    <t>UniRef100_Q12913;UniRef90_Q12913;UniRef50_Q12913</t>
  </si>
  <si>
    <t>KLRB1_HUMAN</t>
  </si>
  <si>
    <t>Killer cell lectin-like receptor subfamily B member 1</t>
  </si>
  <si>
    <t>KLRB1</t>
  </si>
  <si>
    <t>CY:1-42;TM:43-66;NC:67-225</t>
  </si>
  <si>
    <t>ENSG00000111796</t>
  </si>
  <si>
    <t>ENSP00000229402</t>
  </si>
  <si>
    <t>CD161</t>
  </si>
  <si>
    <t>83;116;157;169</t>
  </si>
  <si>
    <t>TVNPWN[115]NSLADCSTK</t>
  </si>
  <si>
    <t>Q12918</t>
  </si>
  <si>
    <t>Complete proteome;Disulfide bond;Glycoprotein;Lectin;Membrane;Polymorphism;Receptor;Reference proteome;Signal-anchor;Transmembrane;Transmembrane helix</t>
  </si>
  <si>
    <t>UniRef100_Q12918;UniRef90_Q12918;UniRef50_Q12918</t>
  </si>
  <si>
    <t>TSN31_HUMAN</t>
  </si>
  <si>
    <t>Tetraspanin-31</t>
  </si>
  <si>
    <t>TSPAN31</t>
  </si>
  <si>
    <t>CY:1-11;TM:12-33;NC:34-44;TM:45-66;CY:67-73;TM:74-92;NC:93-173;TM:174-194;CY:195-210</t>
  </si>
  <si>
    <t>ENSG00000135452</t>
  </si>
  <si>
    <t>ENSP00000257910</t>
  </si>
  <si>
    <t>100;109;117;134</t>
  </si>
  <si>
    <t>100;109;117;134;205</t>
  </si>
  <si>
    <t>QTDVIN[115]ASWWVMSN[115]K</t>
  </si>
  <si>
    <t>109;117</t>
  </si>
  <si>
    <t>Q12999</t>
  </si>
  <si>
    <t>UniRef100_Q12999;UniRef90_Q12999;UniRef50_Q12999</t>
  </si>
  <si>
    <t>GRIK2_HUMAN</t>
  </si>
  <si>
    <t>Glutamate receptor ionotropic, kainate 2</t>
  </si>
  <si>
    <t>GRIK2</t>
  </si>
  <si>
    <t>SP:1-31;NC:32-562;TM:563-582;CY:583-636;TM:637-659;NC:660-819;TM:820-844;CY:845-908</t>
  </si>
  <si>
    <t>ENSG00000164418</t>
  </si>
  <si>
    <t>ENSP00000397026</t>
  </si>
  <si>
    <t>67;73;275;378;412;423;430;546;605;751</t>
  </si>
  <si>
    <t>67;73;275;378;412;423;546;605;751</t>
  </si>
  <si>
    <t>3D-structure;Alternative splicing;Cell junction;Cell membrane;Complete proteome;Disulfide bond;Glycoprotein;Ion channel;Ion transport;Isopeptide bond;Ligand-gated ion channel;Membrane;Mental retardation;Phosphoprotein;Polymorphism;Postsynaptic cell membrane;Receptor;Reference proteome;RNA editing;Signal;Synapse;Transmembrane;Transmembrane helix;Transport;Ubl conjugation</t>
  </si>
  <si>
    <t>UniRef100_Q13002;UniRef90_P42260;UniRef50_P42260</t>
  </si>
  <si>
    <t>DB00237;DB00241;DB00306;DB00312;DB00418;DB00599;DB00794;DB00849;DB01174;DB01351;DB01352;DB01353;DB01354;DB01355</t>
  </si>
  <si>
    <t>GRIK3_HUMAN</t>
  </si>
  <si>
    <t>Glutamate receptor ionotropic, kainate 3</t>
  </si>
  <si>
    <t>GRIK3</t>
  </si>
  <si>
    <t>SP:1-31;NC:32-564;TM:565-584;CY:585-638;TM:639-661;NC:662-820;TM:821-845;CY:846-919</t>
  </si>
  <si>
    <t>ENSG00000163873</t>
  </si>
  <si>
    <t>ENSP00000362183</t>
  </si>
  <si>
    <t>70;76;278;381;415;426;433;548;607;752</t>
  </si>
  <si>
    <t>70;76;278;381;415;426;548;607;752</t>
  </si>
  <si>
    <t>VGVWSPADGLN[115]ITEVAK;GPN[115]VTDSLTN[115]R</t>
  </si>
  <si>
    <t>415;426;433</t>
  </si>
  <si>
    <t>Q13003</t>
  </si>
  <si>
    <t>Alternative splicing;Cell junction;Cell membrane;Complete proteome;Disulfide bond;Glycoprotein;Ion channel;Ion transport;Ligand-gated ion channel;Membrane;Polymorphism;Postsynaptic cell membrane;Receptor;Reference proteome;RNA editing;Signal;Synapse;Transmembrane;Transmembrane helix;Transport</t>
  </si>
  <si>
    <t>UniRef100_Q13003;UniRef90_P42264;UniRef50_P42260</t>
  </si>
  <si>
    <t>PLA2R_HUMAN</t>
  </si>
  <si>
    <t>Secretory phospholipase A2 receptor</t>
  </si>
  <si>
    <t>PLA2R1</t>
  </si>
  <si>
    <t>SP:1-20;NC:21-1397;TM:1398-1421;CY:1422-1463</t>
  </si>
  <si>
    <t>ENSG00000153246</t>
  </si>
  <si>
    <t>ENSP00000283243</t>
  </si>
  <si>
    <t>93;315;433;454;473;584;727;780;909;983;1043;1056;1108;1123;1132;1323;1443</t>
  </si>
  <si>
    <t>FN[115]WTEER</t>
  </si>
  <si>
    <t>Q13018</t>
  </si>
  <si>
    <t>Alternative splicing;Cell membrane;Complete proteome;Disulfide bond;Endocytosis;Glycoprotein;Lectin;Membrane;Polymorphism;Receptor;Reference proteome;Repeat;Secreted;Signal;Transmembrane;Transmembrane helix</t>
  </si>
  <si>
    <t>UniRef100_Q13018;UniRef90_Q13018;UniRef50_Q13018</t>
  </si>
  <si>
    <t>BAMBI_HUMAN</t>
  </si>
  <si>
    <t>BMP and activin membrane-bound inhibitor homolog</t>
  </si>
  <si>
    <t>BAMBI</t>
  </si>
  <si>
    <t>SP:1-20;NC:21-148;TM:149-173;CY:174-260</t>
  </si>
  <si>
    <t>ENSG00000095739</t>
  </si>
  <si>
    <t>ENSP00000364683</t>
  </si>
  <si>
    <t>Complete proteome;Direct protein sequencing;Glycoprotein;Membrane;Reference proteome;Signal;Transmembrane;Transmembrane helix</t>
  </si>
  <si>
    <t>UniRef100_Q13145;UniRef90_Q13145;UniRef50_Q13145</t>
  </si>
  <si>
    <t>S13A2_HUMAN</t>
  </si>
  <si>
    <t>Solute carrier family 13 member 2</t>
  </si>
  <si>
    <t>SLC13A2</t>
  </si>
  <si>
    <t>NC:1-12;TM:13-31;CY:32-38;TM:39-67;NC:68-86;TM:87-105;CY:106-113;TM:114-139;NC:140-265;TM:266-292;CY:293-326;TM:327-345;NC:346-365;TM:366-384;CY:385-416;TM:417-434;NC:435-453;TM:454-470;CY:471-481;TM:482-501;NC:502-506;TM:507-529;CY:530-540;TM:541-561;NC:562-592</t>
  </si>
  <si>
    <t>ENSG00000007216</t>
  </si>
  <si>
    <t>ENSP00000316202</t>
  </si>
  <si>
    <t>SLC;Other;SLC13</t>
  </si>
  <si>
    <t>575;586</t>
  </si>
  <si>
    <t>174;575;586</t>
  </si>
  <si>
    <t>Alternative splicing;Complete proteome;Ion transport;Membrane;Polymorphism;Reference proteome;Sodium;Sodium transport;Symport;Transmembrane;Transmembrane helix;Transport</t>
  </si>
  <si>
    <t>UniRef100_Q13183;UniRef90_Q13183;UniRef50_Q13183</t>
  </si>
  <si>
    <t>DB00139</t>
  </si>
  <si>
    <t>NMDE2_HUMAN</t>
  </si>
  <si>
    <t>Glutamate receptor ionotropic, NMDA 2B</t>
  </si>
  <si>
    <t>GRIN2B</t>
  </si>
  <si>
    <t>SP:1-28;NC:29-557;TM:558-579;CY:580-631;TM:632-655;NC:656-819;TM:820-842;CY:843-1484</t>
  </si>
  <si>
    <t>ENSG00000273079</t>
  </si>
  <si>
    <t>ENSP00000477455</t>
  </si>
  <si>
    <t>74;341;348;444;491;542;615;688;892;910;915;1175;1200;1224;1275;1352;1450;1466</t>
  </si>
  <si>
    <t>13;166;197;256;285;373;379;391;494;559;607;610;635;772;796;844;1146;1197;1206</t>
  </si>
  <si>
    <t>3D-structure;Calcium;Cell junction;Cell membrane;Chromosomal rearrangement;Complete proteome;Disease mutation;Disulfide bond;Glycoprotein;Ion channel;Ion transport;Ligand-gated ion channel;Magnesium;Membrane;Mental retardation;Metal-binding;Phosphoprotein;Polymorphism;Postsynaptic cell membrane;Receptor;Reference proteome;Signal;Synapse;Transmembrane;Transmembrane helix;Transport;Zinc</t>
  </si>
  <si>
    <t>UniRef100_Q13224;UniRef90_Q00960;UniRef50_Q00960</t>
  </si>
  <si>
    <t>DB00454;DB00502;DB00949;DB01043;DB06151;DB08954;DB00659;DB00289;DB00312;DB00418;DB00996;DB01174;DB04896;DB06738</t>
  </si>
  <si>
    <t>GRM1_HUMAN</t>
  </si>
  <si>
    <t>Metabotropic glutamate receptor 1</t>
  </si>
  <si>
    <t>GRM1</t>
  </si>
  <si>
    <t>SP:1-18;NC:19-593;TM:594-617;CY:618-628;TM:629-650;NC:651-661;TM:662-680;CY:681-701;TM:702-727;NC:728-751;TM:752-772;CY:773-783;TM:784-806;NC:807-811;TM:812-832;CY:833-1194</t>
  </si>
  <si>
    <t>ENSG00000152822</t>
  </si>
  <si>
    <t>ENSP00000282753;ENSP00000354896</t>
  </si>
  <si>
    <t>98;223;397;515;747;920;925;1040;1176</t>
  </si>
  <si>
    <t>98;223;920;925</t>
  </si>
  <si>
    <t>975;984;987;988;993;1064;1160;1163;1164;1167</t>
  </si>
  <si>
    <t>3D-structure;Alternative splicing;Cell membrane;Complete proteome;Disulfide bond;G-protein coupled receptor;Glycoprotein;Membrane;Neurodegeneration;Polymorphism;Receptor;Reference proteome;Signal;Transducer;Transmembrane;Transmembrane helix</t>
  </si>
  <si>
    <t>UniRef100_Q13255;UniRef90_Q13255;UniRef50_P31424</t>
  </si>
  <si>
    <t>PD2R_HUMAN</t>
  </si>
  <si>
    <t>Prostaglandin D2 receptor</t>
  </si>
  <si>
    <t>PTGDR</t>
  </si>
  <si>
    <t>NC:1-19;TM:20-41;CY:42-60;TM:61-85;NC:86-105;TM:106-128;CY:129-147;TM:148-170;NC:171-198;TM:199-221;CY:222-263;TM:264-286;NC:287-307;TM:308-333;CY:334-359</t>
  </si>
  <si>
    <t>ENSG00000168229</t>
  </si>
  <si>
    <t>ENSP00000303424</t>
  </si>
  <si>
    <t>10;90;297;351</t>
  </si>
  <si>
    <t>Alternative splicing;Asthma;Cell membrane;Complete proteome;Disulfide bond;G-protein coupled receptor;Glycoprotein;Membrane;Polymorphism;Receptor;Reference proteome;Transducer;Transmembrane;Transmembrane helix</t>
  </si>
  <si>
    <t>UniRef100_Q13258;UniRef90_Q13258;UniRef50_Q13258</t>
  </si>
  <si>
    <t>I15RA_HUMAN</t>
  </si>
  <si>
    <t>Interleukin-15 receptor subunit alpha</t>
  </si>
  <si>
    <t>IL15RA</t>
  </si>
  <si>
    <t>SP:1-30;NC:31-205;TM:206-228;CY:229-267</t>
  </si>
  <si>
    <t>ENSG00000134470</t>
  </si>
  <si>
    <t>ENSP00000369312</t>
  </si>
  <si>
    <t>CD215</t>
  </si>
  <si>
    <t>137;262</t>
  </si>
  <si>
    <t>Membrane (Single-pass type I membrane protein);Nucleus membrane (Single-pass type I membrane protein);Cytoplasmic vesicle membrane (Single-pass type I membrane protein);Endoplasmic reticulum membrane (Single-pass type I membrane protein);Golgi apparatus membrane (Single-pass type I membrane protein);Membrane (Single-pass type I membrane protein);Cytoplasmic vesicle membrane (Single-pass type I membrane protein);Endoplasmic reticulum membrane (Single-pass type I membrane protein);Golgi apparatus membrane (Single-pass type I membrane protein);Membrane (Single-pass type I membrane protein);Cytoplasmic vesicle membrane (Single-pass type I membrane protein);Endoplasmic reticulum membrane (Single-pass type I membrane protein);Golgi apparatus membrane (Single-pass type I membrane protein);Membrane (Single-pass type I membrane protein);Cytoplasmic vesicle membrane (Single-pass type I membrane protein);Endoplasmic reticulum membrane (Single-pass type I membrane protein);Golgi apparatus membrane (Single-pass type I membrane protein);Membrane (Single-pass type I membrane protein);Secreted, extracellular space</t>
  </si>
  <si>
    <t>3D-structure;Alternative splicing;Complete proteome;Cytoplasmic vesicle;Disulfide bond;Endoplasmic reticulum;Glycoprotein;Golgi apparatus;Membrane;Nucleus;Phosphoprotein;Polymorphism;Receptor;Reference proteome;Secreted;Signal;Sushi;Transmembrane;Transmembrane helix</t>
  </si>
  <si>
    <t>UniRef100_Q13261;UniRef90_Q13261;UniRef50_Q13261</t>
  </si>
  <si>
    <t>Endoplasmic Reticulum;Extracellular space;Golgi apparatus;Nucleus</t>
  </si>
  <si>
    <t>CLN3_HUMAN</t>
  </si>
  <si>
    <t>Battenin</t>
  </si>
  <si>
    <t>CLN3</t>
  </si>
  <si>
    <t>CY:1-38;TM:39-59;NC:60-124;TM:125-144;CY:145-151;TM:152-175;NC:176-180;TM:181-202;CY:203-280;TM:281-298;NC:299-343;TM:344-367;CY:368-438</t>
  </si>
  <si>
    <t>ENSG00000188603</t>
  </si>
  <si>
    <t>ENSP00000353116;ENSP00000454229</t>
  </si>
  <si>
    <t>49;71;85;310</t>
  </si>
  <si>
    <t>TSGN[115]QSHVDPGPTPIPHN[115]SSSR</t>
  </si>
  <si>
    <t>71;85</t>
  </si>
  <si>
    <t>Q13286</t>
  </si>
  <si>
    <t>Late endosome;Lysosome membrane (Multi- pass membrane protein)</t>
  </si>
  <si>
    <t>Alternative splicing;Complete proteome;Disease mutation;Endosome;Glycoprotein;Lipoprotein;Lysosome;Membrane;Methylation;Neurodegeneration;Neuronal ceroid lipofuscinosis;Phosphoprotein;Prenylation;Reference proteome;Transmembrane;Transmembrane helix;Transport</t>
  </si>
  <si>
    <t>UniRef100_Q13286;UniRef90_Q13286;UniRef50_Q13286</t>
  </si>
  <si>
    <t>SLAF1_HUMAN</t>
  </si>
  <si>
    <t>Signaling lymphocytic activation molecule</t>
  </si>
  <si>
    <t>SLAMF1</t>
  </si>
  <si>
    <t>SP:1-20;NC:21-237;TM:238-259;CY:260-335</t>
  </si>
  <si>
    <t>ENSG00000117090</t>
  </si>
  <si>
    <t>ENSP00000306190</t>
  </si>
  <si>
    <t>CD150</t>
  </si>
  <si>
    <t>53;57;102;125;150;155;189;217</t>
  </si>
  <si>
    <t>102;150;155</t>
  </si>
  <si>
    <t>272;296;311;317</t>
  </si>
  <si>
    <t>FYLEN[115]LTLGIR;YLEN[115]LTLGIR;LEN[115]LTLGIR;KEDEGWYLMTLEKN[115]VSVQR;VLN[115]KTQEN[115]GTCTLILGCTVEK;TQEN[115]GTCTLILGCTVEK;AGTHPLNPAN[115]SSH;AGTHPLNPAN[115]SSHLL;AGTHPLNPAN[115]SSHLLS;AGTHPLNPAN[115]SSHLLSL</t>
  </si>
  <si>
    <t>102;125;150;155;189</t>
  </si>
  <si>
    <t>Q13291</t>
  </si>
  <si>
    <t>3D-structure;Alternative splicing;Cell membrane;Complete proteome;Disulfide bond;Glycoprotein;Host-virus interaction;Immunoglobulin domain;Membrane;Phosphoprotein;Polymorphism;Receptor;Reference proteome;Repeat;Signal;Transmembrane;Transmembrane helix</t>
  </si>
  <si>
    <t>UniRef100_Q13291;UniRef90_Q13291;UniRef50_Q13291</t>
  </si>
  <si>
    <t>GPR17_HUMAN</t>
  </si>
  <si>
    <t>Uracil nucleotide/cysteinyl leukotriene receptor</t>
  </si>
  <si>
    <t>GPR17</t>
  </si>
  <si>
    <t>NC:1-62;TM:63-85;CY:86-96;TM:97-117;NC:118-135;TM:136-154;CY:155-173;TM:174-196;NC:197-220;TM:221-243;CY:244-263;TM:264-281;NC:282-307;TM:308-328;CY:329-367</t>
  </si>
  <si>
    <t>ENSG00000144230</t>
  </si>
  <si>
    <t>ENSP00000272644;ENSP00000376741;ENSP00000442982</t>
  </si>
  <si>
    <t>42;204;282;357</t>
  </si>
  <si>
    <t>UniRef100_Q13304;UniRef90_Q13304;UniRef50_Q13304</t>
  </si>
  <si>
    <t>PTK7_HUMAN</t>
  </si>
  <si>
    <t>Inactive tyrosine-protein kinase 7</t>
  </si>
  <si>
    <t>PTK7</t>
  </si>
  <si>
    <t>SP:1-30;NC:31-702;TM:703-726;CY:727-1070</t>
  </si>
  <si>
    <t>ENSG00000112655</t>
  </si>
  <si>
    <t>ENSP00000230419</t>
  </si>
  <si>
    <t>116;175;184;214;268;283;405;463;567;646</t>
  </si>
  <si>
    <t>175;184;214;405;463;567</t>
  </si>
  <si>
    <t>RSAN[115]ASFNIK;SAN[115]ASFNIK;DGTPLSDGQSN[115]HTVS;DGTPLSDGQSN[115]HTVSS;DGTPLSDGQSN[115]HTVSSK;GTPLSDGQSN[115]HTVSSK;TPLSDGQSN[115]HTVSSK;PLSDGQSN[115]HTVSSK;LSDGQSN[115]HTVSSK;SDGQSN[115]HTVSSK;GQSN[115]HTVSSK;SAFGQACSSQN[115]FTLSIADESFAR;SSQN[115]FTLSIADESFAR;SAQPPPSLQWLFEDETPITN[115]R;WLFEDETPITN[115]R;FEDETPITN[115]R;RATVFAN[115]GSLLLTQVRPR;ATVFAN[115]GSLLLTQVR;ATVFAN[115]GSLLLTQVRPR;RQDVN[115]ITVATVPSWL;RQDVN[115]ITVATVPSWLK;QDVN[115]ITVATVPSWLK;DDAGN[115]YTCIASNGPQGQ;DDAGN[115]YTCIASNGPQGQIR;DDAGN[115]YTCIASN[115]GPQGQ;DDAGN[115]YTCIASN[115]GPQGQIR;MHIFQN[115]GSLVIHDVAPEDSGR;HIFQN[115]GSLVIHDVAPEDSGR</t>
  </si>
  <si>
    <t>116;175;214;268;283;405;567;646</t>
  </si>
  <si>
    <t>Q13308</t>
  </si>
  <si>
    <t>Cell junction;Membrane (Single-pass type I membrane protein)</t>
  </si>
  <si>
    <t>Alternative splicing;Cell adhesion;Cell junction;Complete proteome;Disulfide bond;Glycoprotein;Immunoglobulin domain;Membrane;Polymorphism;Receptor;Reference proteome;Repeat;Signal;Transmembrane;Transmembrane helix;Wnt signaling pathway</t>
  </si>
  <si>
    <t>UniRef100_Q13308;UniRef90_Q13308;UniRef50_Q13308</t>
  </si>
  <si>
    <t>CRFR2_HUMAN</t>
  </si>
  <si>
    <t>Corticotropin-releasing factor receptor 2</t>
  </si>
  <si>
    <t>CRHR2</t>
  </si>
  <si>
    <t>NC:1-116;TM:117-140;CY:141-150;TM:151-170;NC:171-190;TM:191-214;CY:215-224;TM:225-246;NC:247-266;TM:267-287;CY:288-307;TM:308-328;NC:329-339;TM:340-362;CY:363-411</t>
  </si>
  <si>
    <t>ENSG00000106113</t>
  </si>
  <si>
    <t>ENSP00000418722</t>
  </si>
  <si>
    <t>13;41;74;86;94</t>
  </si>
  <si>
    <t>UniRef100_Q13324;UniRef90_Q13324;UniRef50_P47866</t>
  </si>
  <si>
    <t>PTPRS_HUMAN</t>
  </si>
  <si>
    <t>Receptor-type tyrosine-protein phosphatase S</t>
  </si>
  <si>
    <t>PTPRS</t>
  </si>
  <si>
    <t>SP:1-29;NC:30-1282;TM:1283-1306;CY:1307-1948</t>
  </si>
  <si>
    <t>ENSG00000105426</t>
  </si>
  <si>
    <t>ENSP00000349932;ENSP00000467537</t>
  </si>
  <si>
    <t>263;308;733;940;1388;1539;1737;1771;1772</t>
  </si>
  <si>
    <t>263;308;733;1772</t>
  </si>
  <si>
    <t>KVEAEALN[115]ATAIR;VEAEALN[115]ATAIR;GHPQILEAAGN[115]ASAGTVLL;GHPQILEAAGN[115]ASAGTVLLR</t>
  </si>
  <si>
    <t>733;940</t>
  </si>
  <si>
    <t>Q13332</t>
  </si>
  <si>
    <t>3D-structure;Alternative splicing;Cell adhesion;Complete proteome;Disulfide bond;Glycoprotein;Hydrolase;Immunoglobulin domain;Membrane;Polymorphism;Protein phosphatase;Receptor;Reference proteome;Repeat;Signal;Transmembrane;Transmembrane helix</t>
  </si>
  <si>
    <t>UniRef100_Q13332;UniRef90_Q13332;UniRef50_Q13332</t>
  </si>
  <si>
    <t>DB00630;DB01077</t>
  </si>
  <si>
    <t>UT1_HUMAN</t>
  </si>
  <si>
    <t>Urea transporter 1</t>
  </si>
  <si>
    <t>SLC14A1</t>
  </si>
  <si>
    <t>NC:1-51;IM:52-69;NC:70-72;IM:73-88;NC:89-90;TM:91-110;CY:111-114;TM:115-137;NC:138-143;TM:144-168;CY:169-172;TM:173-193;NC:194-219;IM:220-234;NC:235-238;IM:239-250;NC:251-254;TM:255-274;CY:275-283;TM:284-304;NC:305-308;TM:309-330;CY:331-332;TM:333-353;NC:354-389</t>
  </si>
  <si>
    <t>ENSG00000141469</t>
  </si>
  <si>
    <t>ENSP00000318546;ENSP00000470476</t>
  </si>
  <si>
    <t>SLC;Other;SLC14</t>
  </si>
  <si>
    <t>125;211;289</t>
  </si>
  <si>
    <t>LVIPITTAPN[115]ISWSDLSALELLK</t>
  </si>
  <si>
    <t>Q13336</t>
  </si>
  <si>
    <t>Alternative splicing;Blood group antigen;Cell membrane;Complete proteome;Glycoprotein;Membrane;Polymorphism;Reference proteome;Transmembrane;Transmembrane helix;Transport</t>
  </si>
  <si>
    <t>UniRef100_Q13336;UniRef90_Q13336;UniRef50_Q13336</t>
  </si>
  <si>
    <t>ITAD_HUMAN</t>
  </si>
  <si>
    <t>Integrin alpha-D</t>
  </si>
  <si>
    <t>ITGAD</t>
  </si>
  <si>
    <t>SP:1-13;NC:14-1099;TM:1100-1123;CY:1124-1161</t>
  </si>
  <si>
    <t>ENSG00000156886</t>
  </si>
  <si>
    <t>ENSP00000373854</t>
  </si>
  <si>
    <t>CD11d</t>
  </si>
  <si>
    <t>59;87;99;384;391;690;732;872;956;1045</t>
  </si>
  <si>
    <t>566;940;995</t>
  </si>
  <si>
    <t>Calcium;Cell adhesion;Complete proteome;Disulfide bond;Glycoprotein;Integrin;Magnesium;Membrane;Metal-binding;Receptor;Reference proteome;Repeat;Signal;Transmembrane;Transmembrane helix</t>
  </si>
  <si>
    <t>UniRef100_Q13349;UniRef90_Q13349;UniRef50_P20702</t>
  </si>
  <si>
    <t>BT1A1_HUMAN</t>
  </si>
  <si>
    <t>Butyrophilin subfamily 1 member A1</t>
  </si>
  <si>
    <t>BTN1A1</t>
  </si>
  <si>
    <t>SP:1-26;NC:27-245;TM:246-271;CY:272-526</t>
  </si>
  <si>
    <t>ENSG00000124557</t>
  </si>
  <si>
    <t>ENSP00000244513</t>
  </si>
  <si>
    <t>55;215;449</t>
  </si>
  <si>
    <t>Complete proteome;Disulfide bond;Glycoprotein;Immunoglobulin domain;Membrane;Polymorphism;Reference proteome;Repeat;Secreted;Signal;Transmembrane;Transmembrane helix</t>
  </si>
  <si>
    <t>UniRef100_Q13410;UniRef90_Q13410;UniRef50_Q13410</t>
  </si>
  <si>
    <t>MSLN_HUMAN</t>
  </si>
  <si>
    <t>Mesothelin</t>
  </si>
  <si>
    <t>MSLN</t>
  </si>
  <si>
    <t>SP:1-38;NC:39-630</t>
  </si>
  <si>
    <t>ENSG00000102854</t>
  </si>
  <si>
    <t>ENSP00000372313;ENSP00000482893</t>
  </si>
  <si>
    <t>57;388;496;523</t>
  </si>
  <si>
    <t>KWN[115]VTSLETLK;WN[115]VTSLETLK;LAFQNMN[115]GSEYFVK;ALSQQN[115]VSMDLATFMK</t>
  </si>
  <si>
    <t>388;496;523</t>
  </si>
  <si>
    <t>Q13421</t>
  </si>
  <si>
    <t>Cell membrane (Lipid-anchor, GPI-anchor);Golgi apparatus;Secreted;Secreted</t>
  </si>
  <si>
    <t>3D-structure;Alternative splicing;Cell adhesion;Cell membrane;Cleavage on pair of basic residues;Complete proteome;Direct protein sequencing;Disulfide bond;Glycoprotein;Golgi apparatus;GPI-anchor;Lipoprotein;Membrane;Polymorphism;Reference proteome;Secreted;Signal</t>
  </si>
  <si>
    <t>UniRef100_Q13421;UniRef90_Q13421;UniRef50_Q13421</t>
  </si>
  <si>
    <t>Extracellular space;Golgi apparatus;Plasma membrane</t>
  </si>
  <si>
    <t>S39A6_HUMAN</t>
  </si>
  <si>
    <t>Zinc transporter ZIP6</t>
  </si>
  <si>
    <t>SLC39A6</t>
  </si>
  <si>
    <t>SP:1-26;NC:27-322;TM:323-346;CY:347-353;TM:354-377;NC:378-424;TM:425-444;CY:445-657;TM:658-679;NC:680-684;TM:685-703;CY:704-723;TM:724-745;NC:746-755</t>
  </si>
  <si>
    <t>ENSG00000141424</t>
  </si>
  <si>
    <t>ENSP00000269187;ENSP00000465915</t>
  </si>
  <si>
    <t>SLC;Other;SLC39</t>
  </si>
  <si>
    <t>67;241;266;283;607;684</t>
  </si>
  <si>
    <t>YGEN[115]NSLSVEGFR;YGEN[115]NSLSVEGFRK;YGEN[115]N[115]SLSVEGFR;YGEN[115]N[115]SLSVEGFRK;KTN[115]ESVSEP;KTN[115]ESVSEPR;TN[115]ESVSEPR;NTNENPQECFN[115]ASK;NTNEN[115]PQECFN[115]ASK;NTN[115]ENPQECFN[115]ASK;N[115]TNENPQECFN[115]ASK</t>
  </si>
  <si>
    <t>67;241;266</t>
  </si>
  <si>
    <t>Q13433</t>
  </si>
  <si>
    <t>Alternative splicing;Cell membrane;Coiled coil;Complete proteome;Direct protein sequencing;Glycoprotein;Ion transport;Membrane;Polymorphism;Reference proteome;Signal;Transmembrane;Transmembrane helix;Transport;Zinc;Zinc transport</t>
  </si>
  <si>
    <t>UniRef100_Q13433;UniRef90_Q13433;UniRef50_Q13433</t>
  </si>
  <si>
    <t>ADAM9_HUMAN</t>
  </si>
  <si>
    <t>Disintegrin and metalloproteinase domain-containing protein 9</t>
  </si>
  <si>
    <t>ADAM9</t>
  </si>
  <si>
    <t>SP:1-28;NC:29-698;TM:699-718;CY:719-819</t>
  </si>
  <si>
    <t>ENSG00000168615</t>
  </si>
  <si>
    <t>ENSP00000419446</t>
  </si>
  <si>
    <t>125;144;154;231;381;487</t>
  </si>
  <si>
    <t>125;144;154;231;381;487;745</t>
  </si>
  <si>
    <t>N[115]FSSCSAEDFEK</t>
  </si>
  <si>
    <t>Q13443</t>
  </si>
  <si>
    <t>3D-structure;Alternative splicing;Cell membrane;Complete proteome;Cone-rod dystrophy;Disulfide bond;Glycoprotein;Hydrolase;Membrane;Metal-binding;Metalloprotease;Protease;Reference proteome;Secreted;Signal;Transmembrane;Transmembrane helix;Zinc</t>
  </si>
  <si>
    <t>UniRef100_Q13443;UniRef90_Q13443;UniRef50_Q13443</t>
  </si>
  <si>
    <t>ADA15_HUMAN</t>
  </si>
  <si>
    <t>Disintegrin and metalloproteinase domain-containing protein 15</t>
  </si>
  <si>
    <t>ADAM15</t>
  </si>
  <si>
    <t>SP:1-22;NC:23-696;TM:697-717;CY:718-863</t>
  </si>
  <si>
    <t>ENSG00000143537</t>
  </si>
  <si>
    <t>ENSP00000349436</t>
  </si>
  <si>
    <t>237;389;392;606;611</t>
  </si>
  <si>
    <t>YRDFQHLLN[115]R;DFQHLLN[115]R</t>
  </si>
  <si>
    <t>Q13444</t>
  </si>
  <si>
    <t>Cell junction, adherens junction;Cell projection, cilium, flagellum;Cytoplasmic vesicle, secretory vesicle, acrosome;Endomembrane system (Single-pass type I membrane protein)</t>
  </si>
  <si>
    <t>Alternative splicing;Angiogenesis;Cell adhesion;Cell junction;Cell projection;Cleavage on pair of basic residues;Collagen degradation;Complete proteome;Cytoplasmic vesicle;Disulfide bond;EGF-like domain;Glycoprotein;Hydrolase;Membrane;Metal-binding;Metalloprotease;Phosphoprotein;Polymorphism;Protease;Reference proteome;SH3-binding;Signal;Transmembrane;Transmembrane helix;Zinc;Zymogen</t>
  </si>
  <si>
    <t>UniRef100_Q13444;UniRef90_Q13444;UniRef50_Q13444</t>
  </si>
  <si>
    <t>LSAMP_HUMAN</t>
  </si>
  <si>
    <t>Limbic system-associated membrane protein</t>
  </si>
  <si>
    <t>LSAMP</t>
  </si>
  <si>
    <t>SP:1-31;NC:32-338</t>
  </si>
  <si>
    <t>ENSG00000185565</t>
  </si>
  <si>
    <t>ENSP00000419000</t>
  </si>
  <si>
    <t>40;66;136;148;279;287;300;315</t>
  </si>
  <si>
    <t>GTDN[115]ITVR;STEGQSSLTVTNVTEEHYGN[115]YTCVAAN[115]K;STEGQSSLTVTN[115]VTEEHYGNYTCVAAN[115]K;STEGQSSLTVTN[115]VTEEHYGN[115]YTCVAANK;TVTN[115]VTEEHYGN[115]YTCVAANK;LGVTN[115]ASLVLF;LGVTN[115]ASLVLFR;LGVTN[115]ASLVLFRPGSVR</t>
  </si>
  <si>
    <t>40;279;287;300</t>
  </si>
  <si>
    <t>Q13449</t>
  </si>
  <si>
    <t>Cell adhesion;Cell membrane;Complete proteome;Disulfide bond;Glycoprotein;GPI-anchor;Immunoglobulin domain;Lipoprotein;Membrane;Phosphoprotein;Reference proteome;Repeat;Signal</t>
  </si>
  <si>
    <t>UniRef100_Q13449;UniRef90_Q13449;UniRef50_Q13449</t>
  </si>
  <si>
    <t>FZD5_HUMAN</t>
  </si>
  <si>
    <t>Frizzled-5</t>
  </si>
  <si>
    <t>FZD5</t>
  </si>
  <si>
    <t>SP:1-26;NC:27-235;TM:236-259;CY:260-270;TM:271-291;NC:292-310;TM:311-341;CY:342-355;TM:356-378;NC:379-404;TM:405-427;CY:428-447;TM:448-470;NC:471-500;TM:501-522;CY:523-585</t>
  </si>
  <si>
    <t>ENSG00000163251</t>
  </si>
  <si>
    <t>ENSP00000354607</t>
  </si>
  <si>
    <t>47;151</t>
  </si>
  <si>
    <t>153;156;157;168</t>
  </si>
  <si>
    <t>Cell membrane (Multi-pass membrane protein);Golgi apparatus membrane (Multi-pass membrane protein)</t>
  </si>
  <si>
    <t>Cell membrane;Complete proteome;Developmental protein;Disulfide bond;G-protein coupled receptor;Glycoprotein;Golgi apparatus;Membrane;Polymorphism;Receptor;Reference proteome;Signal;Transducer;Transmembrane;Transmembrane helix;Ubl conjugation;Wnt signaling pathway</t>
  </si>
  <si>
    <t>UniRef100_Q13467;UniRef90_Q9EQD0;UniRef50_Q9EQD0</t>
  </si>
  <si>
    <t>IL18R_HUMAN</t>
  </si>
  <si>
    <t>Interleukin-18 receptor 1</t>
  </si>
  <si>
    <t>IL18R1</t>
  </si>
  <si>
    <t>SP:1-19;NC:20-330;TM:331-352;CY:353-541</t>
  </si>
  <si>
    <t>ENSG00000115604</t>
  </si>
  <si>
    <t>ENSP00000233957;ENSP00000387211;ENSP00000386663</t>
  </si>
  <si>
    <t>CD218a</t>
  </si>
  <si>
    <t>91;102;150;197;203;236;255;297</t>
  </si>
  <si>
    <t>TFN[115]ITIVEDR;FGEEN[115]GSDPNIHEEK;IENIGESNLNVLYN[115]CTVASTGGTDTK</t>
  </si>
  <si>
    <t>203;255;297</t>
  </si>
  <si>
    <t>Q13478</t>
  </si>
  <si>
    <t>3D-structure;Complete proteome;Direct protein sequencing;Disulfide bond;Glycoprotein;Immunoglobulin domain;Membrane;Polymorphism;Receptor;Reference proteome;Repeat;Signal;Transmembrane;Transmembrane helix</t>
  </si>
  <si>
    <t>UniRef100_Q13478;UniRef90_Q13478;UniRef50_Q13478</t>
  </si>
  <si>
    <t>VPP3_HUMAN</t>
  </si>
  <si>
    <t>V-type proton ATPase 116 kDa subunit a isoform 3</t>
  </si>
  <si>
    <t>TCIRG1</t>
  </si>
  <si>
    <t>CY:1-386;TM:387-404;NC:405-409;TM:410-425;CY:426-444;TM:445-461;NC:462-536;TM:537-555;CY:556-569;TM:570-593;NC:594-631;TM:632-656;CY:657-722;TM:723-746;NC:747-766;TM:767-791;CY:792-830</t>
  </si>
  <si>
    <t>ENSG00000110719</t>
  </si>
  <si>
    <t>ENSP00000265686</t>
  </si>
  <si>
    <t>41;483;503</t>
  </si>
  <si>
    <t>Alternative splicing;Complete proteome;Disease mutation;Hydrogen ion transport;Ion transport;Membrane;Osteopetrosis;Reference proteome;Transmembrane;Transmembrane helix;Transport</t>
  </si>
  <si>
    <t>UniRef100_Q13488;UniRef90_Q13488;UniRef50_Q13488</t>
  </si>
  <si>
    <t>Cytoskeleton;Cytosol;Endoplasmic Reticulum;Extracellular space;Golgi apparatus;Lysosome;Nucleus;Peroxisome</t>
  </si>
  <si>
    <t>GPM6B_HUMAN</t>
  </si>
  <si>
    <t>Neuronal membrane glycoprotein M6-b</t>
  </si>
  <si>
    <t>GPM6B</t>
  </si>
  <si>
    <t>CY:1-28;TM:29-51;NC:52-88;TM:89-111;CY:112-131;TM:132-156;NC:157-222;TM:223-245;CY:246-265</t>
  </si>
  <si>
    <t>ENSG00000046653</t>
  </si>
  <si>
    <t>ENSP00000349420</t>
  </si>
  <si>
    <t>73;177</t>
  </si>
  <si>
    <t>SPQTN[115]GTTGVEQICVDIR</t>
  </si>
  <si>
    <t>Q13491</t>
  </si>
  <si>
    <t>Alternative splicing;Cell membrane;Complete proteome;Developmental protein;Differentiation;Glycoprotein;Membrane;Neurogenesis;Osteogenesis;Phosphoprotein;Protein transport;Reference proteome;Transmembrane;Transmembrane helix;Transport</t>
  </si>
  <si>
    <t>UniRef100_Q13491;UniRef90_Q13491;UniRef50_Q13491</t>
  </si>
  <si>
    <t>NAR3_HUMAN</t>
  </si>
  <si>
    <t>Ecto-ADP-ribosyltransferase 3</t>
  </si>
  <si>
    <t>ART3</t>
  </si>
  <si>
    <t>SP:1-26;NC:27-389</t>
  </si>
  <si>
    <t>ENSG00000156219</t>
  </si>
  <si>
    <t>ENSP00000348064</t>
  </si>
  <si>
    <t>248;344</t>
  </si>
  <si>
    <t>Alternative splicing;Cell membrane;Complete proteome;Disulfide bond;Glycoprotein;Glycosyltransferase;GPI-anchor;Lipoprotein;Membrane;NAD;NADP;Polymorphism;Reference proteome;Repeat;Signal;Transferase</t>
  </si>
  <si>
    <t>UniRef100_Q13508;UniRef90_Q13508;UniRef50_Q13508</t>
  </si>
  <si>
    <t>SERC3_HUMAN</t>
  </si>
  <si>
    <t>Serine incorporator 3</t>
  </si>
  <si>
    <t>SERINC3</t>
  </si>
  <si>
    <t>NC:1-96;TM:97-117;CY:118-130;TM:131-152;NC:153-157;TM:158-180;CY:181-200;TM:201-227;NC:228-238;TM:239-257;CY:258-336;TM:337-353;NC:354-404;TM:405-427;CY:428-446;TM:447-467;NC:468-473</t>
  </si>
  <si>
    <t>ENSG00000132824</t>
  </si>
  <si>
    <t>ENSP00000255175;ENSP00000340243</t>
  </si>
  <si>
    <t>34;187;315</t>
  </si>
  <si>
    <t>Alternative splicing;Cell membrane;Complete proteome;Glycoprotein;Membrane;Polymorphism;Reference proteome;Transmembrane;Transmembrane helix</t>
  </si>
  <si>
    <t>UniRef100_Q13530;UniRef90_Q13530;UniRef50_Q9NRX5</t>
  </si>
  <si>
    <t>PKD2_HUMAN</t>
  </si>
  <si>
    <t>Polycystin-2</t>
  </si>
  <si>
    <t>PKD2</t>
  </si>
  <si>
    <t>CY:1-223;TM:224-248;NC:249-467;TM:468-489;CY:490-508;TM:509-527;NC:528-553;TM:554-576;CY:577-596;TM:597-619;NC:620-658;TM:659-680;CY:681-968</t>
  </si>
  <si>
    <t>ENSG00000118762</t>
  </si>
  <si>
    <t>ENSP00000237596</t>
  </si>
  <si>
    <t>Channels;Voltage_gated_ion_channels;TRP_channels</t>
  </si>
  <si>
    <t>3;299;305;328;362;375;580;681;961</t>
  </si>
  <si>
    <t>299;362;580;681</t>
  </si>
  <si>
    <t>76;132;133;801;802;943;944;947;948;949;952</t>
  </si>
  <si>
    <t>MQPSN[115]QTEADN[115]R</t>
  </si>
  <si>
    <t>299;305</t>
  </si>
  <si>
    <t>Q13563</t>
  </si>
  <si>
    <t>Cell projection, cilium membrane (Multi-pass membrane protein);Endoplasmic reticulum</t>
  </si>
  <si>
    <t>3D-structure;Alternative splicing;Calcium;Cell membrane;Cell projection;Ciliopathy;Cilium;Coiled coil;Complete proteome;Direct protein sequencing;Disease mutation;Endoplasmic reticulum;Glycoprotein;Ion channel;Ion transport;Membrane;Metal-binding;Phosphoprotein;Polymorphism;Reference proteome;Transmembrane;Transmembrane helix;Transport</t>
  </si>
  <si>
    <t>UniRef100_Q13563;UniRef90_Q13563;UniRef50_Q13563</t>
  </si>
  <si>
    <t>Cytoskeleton;Endoplasmic Reticulum</t>
  </si>
  <si>
    <t>MTR1L_HUMAN</t>
  </si>
  <si>
    <t>Melatonin-related receptor</t>
  </si>
  <si>
    <t>GPR50</t>
  </si>
  <si>
    <t>NC:1-26;TM:27-53;CY:54-64;TM:65-83;NC:84-102;TM:103-125;CY:126-144;TM:145-166;NC:167-186;TM:187-209;CY:210-236;TM:237-262;NC:263-273;TM:274-297;CY:298-617</t>
  </si>
  <si>
    <t>ENSG00000102195</t>
  </si>
  <si>
    <t>ENSP00000218316</t>
  </si>
  <si>
    <t>UniRef100_Q13585;UniRef90_Q13585;UniRef50_Q13585</t>
  </si>
  <si>
    <t>STIM1_HUMAN</t>
  </si>
  <si>
    <t>Stromal interaction molecule 1</t>
  </si>
  <si>
    <t>STIM1</t>
  </si>
  <si>
    <t>SP:1-26;NC:27-213;TM:214-233;CY:234-685</t>
  </si>
  <si>
    <t>ENSG00000167323</t>
  </si>
  <si>
    <t>ENSP00000300737</t>
  </si>
  <si>
    <t>131;171;554;658</t>
  </si>
  <si>
    <t>131;171</t>
  </si>
  <si>
    <t>35;528;553;602;620;621;628</t>
  </si>
  <si>
    <t>10;121</t>
  </si>
  <si>
    <t>LAVTN[115]TTMTGTVLK</t>
  </si>
  <si>
    <t>Q13586</t>
  </si>
  <si>
    <t>Cell membrane (Single-pass type I membrane protein);Cytoplasm, cytoskeleton;Endoplasmic reticulum membrane (Single-pass type I membrane protein)</t>
  </si>
  <si>
    <t>3D-structure;Alternative splicing;Amelogenesis imperfecta;Calcium;Calcium transport;Cell membrane;Coiled coil;Complete proteome;Cytoplasm;Cytoskeleton;Disease mutation;Endoplasmic reticulum;Glycoprotein;Ion transport;Membrane;Metal-binding;Microtubule;Phosphoprotein;Polymorphism;Reference proteome;Signal;Transmembrane;Transmembrane helix;Transport</t>
  </si>
  <si>
    <t>UniRef100_Q13586;UniRef90_Q13586;UniRef50_Q13586</t>
  </si>
  <si>
    <t>Cytoskeleton;Endoplasmic Reticulum;Plasma membrane</t>
  </si>
  <si>
    <t>SEM5A_HUMAN</t>
  </si>
  <si>
    <t>Semaphorin-5A</t>
  </si>
  <si>
    <t>SEMA5A</t>
  </si>
  <si>
    <t>SP:1-22;NC:23-967;TM:968-991;CY:992-1074</t>
  </si>
  <si>
    <t>ENSG00000112902</t>
  </si>
  <si>
    <t>ENSP00000371936</t>
  </si>
  <si>
    <t>142;147;168;227;277;323;367;437;536;591;717;933;1015</t>
  </si>
  <si>
    <t>9;17;46;94;213;268;345;506;525;546;549;580;598;601;604;656;659;662;710;713;787;790;793;844;847;850;899;902;905</t>
  </si>
  <si>
    <t>SLSN[115]LTEIHDQISGMAR</t>
  </si>
  <si>
    <t>Q13591</t>
  </si>
  <si>
    <t>Complete proteome;Developmental protein;Differentiation;Disulfide bond;Glycoprotein;Membrane;Neurogenesis;Polymorphism;Reference proteome;Repeat;Signal;Transmembrane;Transmembrane helix</t>
  </si>
  <si>
    <t>UniRef100_Q13591;UniRef90_Q13591;UniRef50_Q62217</t>
  </si>
  <si>
    <t>OR5I1_HUMAN</t>
  </si>
  <si>
    <t>Olfactory receptor 5I1</t>
  </si>
  <si>
    <t>OR5I1</t>
  </si>
  <si>
    <t>NC:1-26;TM:27-50;CY:51-61;TM:62-81;NC:82-100;TM:101-122;CY:123-142;TM:143-167;NC:168-203;TM:204-224;CY:225-243;TM:244-262;NC:263-274;TM:275-294;CY:295-314</t>
  </si>
  <si>
    <t>ENSG00000167825</t>
  </si>
  <si>
    <t>ENSP00000301532</t>
  </si>
  <si>
    <t>7;67;91;155</t>
  </si>
  <si>
    <t>UniRef100_Q13606;UniRef90_Q13606;UniRef50_Q8WZ84</t>
  </si>
  <si>
    <t>OR2F1_HUMAN</t>
  </si>
  <si>
    <t>Olfactory receptor 2F1</t>
  </si>
  <si>
    <t>OR2F1</t>
  </si>
  <si>
    <t>NC:1-25;TM:26-48;CY:49-59;TM:60-81;NC:82-99;TM:100-120;CY:121-139;TM:140-160;NC:161-198;TM:199-221;CY:222-238;TM:239-261;NC:262-272;TM:273-292;CY:293-317</t>
  </si>
  <si>
    <t>ENSG00000213215;ENSG00000279723</t>
  </si>
  <si>
    <t>ENSP00000376633;ENSP00000485535;ENSP00000485483</t>
  </si>
  <si>
    <t>UniRef100_Q13607;UniRef90_Q13607;UniRef50_Q13607</t>
  </si>
  <si>
    <t>S12A1_HUMAN</t>
  </si>
  <si>
    <t>Solute carrier family 12 member 1</t>
  </si>
  <si>
    <t>SLC12A1</t>
  </si>
  <si>
    <t>CY:1-176;TM:177-197;NC:198-203;TM:204-225;CY:226-257;TM:258-280;NC:281-300;TM:301-320;CY:321-327;TM:328-347;NC:348-379;TM:380-401;CY:402-415;TM:416-438;NC:439-487;TM:488-510;CY:511-544;TM:545-564;NC:565-569;TM:570-592;CY:593-603;TM:604-629;NC:630-795;TM:796-815;CY:816-1099</t>
  </si>
  <si>
    <t>ENSG00000074803</t>
  </si>
  <si>
    <t>ENSP00000370381;ENSP00000453409</t>
  </si>
  <si>
    <t>4;5;399;446;456;583;868;881</t>
  </si>
  <si>
    <t>Alternative splicing;Bartter syndrome;Complete proteome;Disease mutation;Glycoprotein;Ion transport;Membrane;Neurodegeneration;Phosphoprotein;Potassium;Potassium transport;Reference proteome;Sodium;Sodium transport;Symport;Transmembrane;Transmembrane helix;Transport</t>
  </si>
  <si>
    <t>UniRef100_Q13621;UniRef90_Q13621;UniRef50_Q13621</t>
  </si>
  <si>
    <t>DB00214;DB00232;DB00310;DB00534;DB00695;DB00761;DB00774;DB00887;DB00903;DB01021;DB01325</t>
  </si>
  <si>
    <t>CAD18_HUMAN</t>
  </si>
  <si>
    <t>Cadherin-18</t>
  </si>
  <si>
    <t>CDH18</t>
  </si>
  <si>
    <t>SP:1-24;NC:25-613;TM:614-636;CY:637-790</t>
  </si>
  <si>
    <t>ENSG00000145526</t>
  </si>
  <si>
    <t>ENSP00000274170;ENSP00000371710;ENSP00000425093</t>
  </si>
  <si>
    <t>36;255;455;536</t>
  </si>
  <si>
    <t>UniRef100_Q13634;UniRef90_Q13634;UniRef50_P55285</t>
  </si>
  <si>
    <t>PTC1_HUMAN</t>
  </si>
  <si>
    <t>Protein patched homolog 1</t>
  </si>
  <si>
    <t>PTCH1</t>
  </si>
  <si>
    <t>CY:1-98;TM:99-119;NC:120-438;TM:439-458;CY:459-468;TM:469-495;NC:496-501;TM:502-523;CY:524-543;TM:544-568;NC:569-575;TM:576-598;CY:599-749;TM:750-768;NC:769-1025;TM:1026-1048;CY:1049-1054;TM:1055-1076;NC:1077-1081;TM:1082-1106;CY:1107-1118;TM:1119-1141;NC:1142-1150;TM:1151-1176;CY:1177-1447</t>
  </si>
  <si>
    <t>ENSG00000185920</t>
  </si>
  <si>
    <t>ENSP00000332353;ENSP00000449745;ENSP00000448843;ENSP00000447878;ENSP00000447008;ENSP00000447797</t>
  </si>
  <si>
    <t>Other_receptors;Patched</t>
  </si>
  <si>
    <t>141;312;349;414;555;875;1000</t>
  </si>
  <si>
    <t>TYVEVVHQSVAQN[115]STQK</t>
  </si>
  <si>
    <t>Q13635</t>
  </si>
  <si>
    <t>Alternative splicing;Complete proteome;Disease mutation;Glycoprotein;Holoprosencephaly;Membrane;Polymorphism;Receptor;Reference proteome;Transmembrane;Transmembrane helix;Tumor suppressor</t>
  </si>
  <si>
    <t>UniRef100_Q13635;UniRef90_Q61115;UniRef50_Q61115</t>
  </si>
  <si>
    <t>5HT4R_HUMAN</t>
  </si>
  <si>
    <t>5-hydroxytryptamine receptor 4</t>
  </si>
  <si>
    <t>HTR4</t>
  </si>
  <si>
    <t>NC:1-19;TM:20-45;CY:46-56;TM:57-79;NC:80-98;TM:99-117;CY:118-136;TM:137-158;NC:159-191;TM:192-213;CY:214-259;TM:260-281;NC:282-292;TM:293-315;CY:316-388</t>
  </si>
  <si>
    <t>ENSG00000164270</t>
  </si>
  <si>
    <t>ENSP00000367120</t>
  </si>
  <si>
    <t>7;180;316;352</t>
  </si>
  <si>
    <t>Alternative splicing;Cell membrane;Complete proteome;Disulfide bond;Endosome;G-protein coupled receptor;Glycoprotein;Lipoprotein;Membrane;Palmitate;Polymorphism;Receptor;Reference proteome;Transducer;Transmembrane;Transmembrane helix</t>
  </si>
  <si>
    <t>UniRef100_Q13639;UniRef90_Q13639;UniRef50_Q13639</t>
  </si>
  <si>
    <t>DB00604;DB00904;DB01233;DB08810;DB01049</t>
  </si>
  <si>
    <t>TPBG_HUMAN</t>
  </si>
  <si>
    <t>Trophoblast glycoprotein</t>
  </si>
  <si>
    <t>TPBG</t>
  </si>
  <si>
    <t>SP:1-32;NC:33-355;TM:356-376;CY:377-420</t>
  </si>
  <si>
    <t>ENSG00000146242</t>
  </si>
  <si>
    <t>ENSP00000358765;ENSP00000441219;ENSP00000440049</t>
  </si>
  <si>
    <t>81;124;166;192;243;256;275;413</t>
  </si>
  <si>
    <t>81;256;275</t>
  </si>
  <si>
    <t>CVNRN[115]LTEVPTDLPAYVR;N[115]LTEVPTDLPAYVR;RPPLAELAALN[115]LSGSR;RPPLAELAALN[115]LSGSRLDEVR;PPLAELAALN[115]LSGSR;PLAELAALN[115]LSGSR;LAELAALN[115]LSGSR;AFSGSN[115]ASVSAPSPLVELILNHIVPPEDER;SGSN[115]ASVSAPSPLVELILNHIVPPEDER;SGSN[115]ASVSAPSPLVELILN[115]HIVPPEDER;N[115]LTHLESLHLEDN;N[115]LTHLESLHLEDNALK;N[115]LTHLESLHLEDN[115]ALK;VLHN[115]GTLAELQGLPH;VLHN[115]GTLAELQGLPHIR</t>
  </si>
  <si>
    <t>81;124;166;256;275</t>
  </si>
  <si>
    <t>Q13641</t>
  </si>
  <si>
    <t>3D-structure;Cell membrane;Complete proteome;Direct protein sequencing;Disulfide bond;Glycoprotein;Leucine-rich repeat;Membrane;Reference proteome;Repeat;Signal;Transmembrane;Transmembrane helix</t>
  </si>
  <si>
    <t>UniRef100_Q13641;UniRef90_Q13641;UniRef50_Q13641</t>
  </si>
  <si>
    <t>I10R1_HUMAN</t>
  </si>
  <si>
    <t>Interleukin-10 receptor subunit alpha</t>
  </si>
  <si>
    <t>IL10RA</t>
  </si>
  <si>
    <t>SP:1-23;NC:24-235;TM:236-259;CY:260-578</t>
  </si>
  <si>
    <t>ENSG00000110324</t>
  </si>
  <si>
    <t>ENSP00000227752</t>
  </si>
  <si>
    <t>CD210</t>
  </si>
  <si>
    <t>50;74;110;154;177;189;366</t>
  </si>
  <si>
    <t>HSN[115]WTVTNTR;MAPAN[115]DTYESIFSHFR;KVPGN[115]FTFTHK</t>
  </si>
  <si>
    <t>110;154;177</t>
  </si>
  <si>
    <t>Q13651</t>
  </si>
  <si>
    <t>3D-structure;Complete proteome;Direct protein sequencing;Disease mutation;Disulfide bond;Glycoprotein;Membrane;Polymorphism;Receptor;Reference proteome;Signal;Transmembrane;Transmembrane helix</t>
  </si>
  <si>
    <t>UniRef100_Q13651;UniRef90_Q13651;UniRef50_Q13651</t>
  </si>
  <si>
    <t>ITA7_HUMAN</t>
  </si>
  <si>
    <t>Integrin alpha-7</t>
  </si>
  <si>
    <t>ITGA7</t>
  </si>
  <si>
    <t>SP:1-33;NC:34-1080;TM:1081-1104;CY:1105-1181</t>
  </si>
  <si>
    <t>ENSG00000135424</t>
  </si>
  <si>
    <t>ENSP00000452387</t>
  </si>
  <si>
    <t>86;786;989;1025;1045</t>
  </si>
  <si>
    <t>86;121;737;784;786;989;1025;1045;1146</t>
  </si>
  <si>
    <t>PQSWLLVGAPQALALPGQQAN[115]R;LLVGAPQALALPGQQAN[115]R;VGAPQALALPGQQAN[115]R;PQALALPGQQAN[115]R;ALDPAEKPLCLSNEN[115]ASHVECELGNPMK;SNEN[115]ASHVECELGNPMK;KKN[115]ITLDCAR;KN[115]ITLDCAR;LWN[115]STFLEEYSAVK;WN[115]STFLEEYSAVK</t>
  </si>
  <si>
    <t>86;786;989;1025</t>
  </si>
  <si>
    <t>Q13683</t>
  </si>
  <si>
    <t>ADP-ribosylation;Alternative splicing;Calcium;Cell adhesion;Cell shape;Cleavage on pair of basic residues;Complete proteome;Congenital muscular dystrophy;Direct protein sequencing;Disulfide bond;Glycoprotein;Integrin;Membrane;Metal-binding;Polymorphism;Receptor;Reference proteome;Repeat;Signal;Transmembrane;Transmembrane helix</t>
  </si>
  <si>
    <t>UniRef100_Q13683;UniRef90_Q13683;UniRef50_Q13683</t>
  </si>
  <si>
    <t>AVR2B_HUMAN</t>
  </si>
  <si>
    <t>Activin receptor type-2B</t>
  </si>
  <si>
    <t>ACVR2B</t>
  </si>
  <si>
    <t>SP:1-22;NC:23-137;TM:138-159;CY:160-512</t>
  </si>
  <si>
    <t>ENSG00000114739</t>
  </si>
  <si>
    <t>ENSP00000340361</t>
  </si>
  <si>
    <t>42;65;486</t>
  </si>
  <si>
    <t>N[115]SSGTIELVK</t>
  </si>
  <si>
    <t>Q13705</t>
  </si>
  <si>
    <t>3D-structure;Alternative splicing;ATP-binding;Cell membrane;Complete proteome;Disease mutation;Disulfide bond;Glycoprotein;Heterotaxy;Kinase;Magnesium;Manganese;Membrane;Metal-binding;Nucleotide-binding;Phosphoprotein;Polymorphism;Receptor;Reference proteome;Serine/threonine-protein kinase;Signal;Transferase;Transmembrane;Transmembrane helix</t>
  </si>
  <si>
    <t>UniRef100_Q13705;UniRef90_P27040-2;UniRef50_P27040-2</t>
  </si>
  <si>
    <t>AT1A4_HUMAN</t>
  </si>
  <si>
    <t>Sodium/potassium-transporting ATPase subunit alpha-4</t>
  </si>
  <si>
    <t>ATP1A4</t>
  </si>
  <si>
    <t>CY:1-103;TM:104-122;NC:123-137;TM:138-157;CY:158-298;TM:299-319;NC:320-326;TM:327-352;CY:353-781;TM:782-802;NC:803-807;TM:808-830;CY:831-853;TM:854-878;NC:879-918;TM:919-938;CY:939-958;TM:959-979;NC:980-990;TM:991-1007;CY:1008-1029</t>
  </si>
  <si>
    <t>ENSG00000132681</t>
  </si>
  <si>
    <t>ENSP00000357060</t>
  </si>
  <si>
    <t>223;491;726</t>
  </si>
  <si>
    <t>Alternative splicing;ATP-binding;Cell membrane;Complete proteome;Hydrolase;Ion transport;Magnesium;Membrane;Metal-binding;Nucleotide-binding;Phosphoprotein;Polymorphism;Potassium;Potassium transport;Reference proteome;Sodium;Sodium transport;Sodium/potassium transport;Transmembrane;Transmembrane helix;Transport</t>
  </si>
  <si>
    <t>UniRef100_Q13733;UniRef90_Q13733;UniRef50_P13607</t>
  </si>
  <si>
    <t>CD166_HUMAN</t>
  </si>
  <si>
    <t>CD166 antigen</t>
  </si>
  <si>
    <t>ALCAM</t>
  </si>
  <si>
    <t>SP:1-27;NC:28-527;TM:528-550;CY:551-583</t>
  </si>
  <si>
    <t>ENSG00000170017</t>
  </si>
  <si>
    <t>ENSP00000305988</t>
  </si>
  <si>
    <t>CD166</t>
  </si>
  <si>
    <t>91;95;167;265;306;361;457;480;499</t>
  </si>
  <si>
    <t>95;167;265;306;361;457;480</t>
  </si>
  <si>
    <t>KSVQYDDVPEYKDRLN[115]LSEN[115]YTLSISNAR;SVQYDDVPEYKDRLNLSEN[115]YTLSISNAR;SVQYDDVPEYKDRLN[115]LSEN[115]YTLSISNAR;LNLSEN[115]YTLS;LNLSEN[115]YTLSISNAR;LNLSEN[115]YTLSISN[115]AR;LN[115]LSENYTLSISNAR;LN[115]LSEN[115]YTLSISNAR;LN[115]LSEN[115]YTLSISN[115]AR;NLSEN[115]YTLSISNAR;N[115]LSEN[115]YTLSISNAR;LSEN[115]YTLSISNAR;SEN[115]YTLSISNAR;KLGDCISEDSYPDGN[115]ITWYR;LGDCISEDSYPDGN[115]ITWYR;PDGN[115]ITWYR;NAIKEGDN[115]ITLK;N[115]AIKEGDN[115]ITLK;AIKEGDN[115]ITLK;IKEGDN[115]ITLK;KEGDN[115]ITLK;EGDN[115]ITLK;SSNTYTLTDVRRN[115]ATGDYK;RN[115]ATGDYK;N[115]ATVVWMK;N[115]ATVVWMKDNIR;PAIQWTITGSGSVIN[115]QTEESPYINGR;PAIQWTITGSGSVIN[115]QTEESPYIN[115]GR;TITGSGSVIN[115]QTEESPYINGR;TITGSGSVIN[115]QTEESPYIN[115]GR;ITGSGSVIN[115]QTEESPYINGR;ITGSGSVIN[115]QTEESPYIN[115]GR;TGSGSVIN[115]QTEESPYINGR;TGSGSVIN[115]QTEESPYIN[115]GR;GSGSVIN[115]QTEESPYINGR;GSGSVIN[115]QTEESPYIN[115]GR;SGSVIN[115]QTEESPYINGR;SGSVIN[115]QTEESPYIN[115]GR;GSVIN[115]QTEESPYINGR;GSVIN[115]QTEESPYIN[115]GR;SVIN[115]QTEESPYINGR;SVIN[115]QTEESPYIN[115]GR;VIN[115]QTEESPYINGR;VIN[115]QTEESPYIN[115]GR;IIISPEEN[115]VTLT;IIISPEEN[115]VTLTCTAENQLER;IIISPEEN[115]VTLTCTAEN[115]QLER;SPEEN[115]VTLTCTAENQLER;PEEN[115]VTLTCTAENQLER;TVNSLN[115]VSAISIPEH;TVNSLN[115]VSAISIPEHD;TVNSLN[115]VSAISIPEHDEAD;TVNSLN[115]VSAISIPEHDEADE;TVNSLN[115]VSAISIPEHDEADEIS;TVNSLN[115]VSAISIPEHDEADEISDE;TVNSLN[115]VSAISIPEHDEADEISDENR;TVNSLN[115]VSAISIPEHDEADEISDENREK;TVNSLN[115]VSAISIPEHDEADEISDEN[115]R;TVN[115]SLN[115]VSAISIPEHDEADE;TVN[115]SLN[115]VSAISIPEHDEADEISDENR;TVN[115]SLN[115]VSAISIPEHDEADEISDEN[115]R;SLN[115]VSAISIPEHDEADEISDENR;SLN[115]VSAISIPEHDEADEISDENREK;SLN[115]VSAISIPEHDEADEISDEN[115]R;N[115]VSAISIPEHDEADEISDENR</t>
  </si>
  <si>
    <t>Q13740</t>
  </si>
  <si>
    <t>3D-structure;Alternative splicing;Cell adhesion;Complete proteome;Direct protein sequencing;Disulfide bond;Glycoprotein;Immunoglobulin domain;Membrane;Polymorphism;Reference proteome;Repeat;Secreted;Signal;Transmembrane;Transmembrane helix</t>
  </si>
  <si>
    <t>UniRef100_Q13740;UniRef90_Q13740;UniRef50_Q13740</t>
  </si>
  <si>
    <t>ITA9_HUMAN</t>
  </si>
  <si>
    <t>Integrin alpha-9</t>
  </si>
  <si>
    <t>ITGA9</t>
  </si>
  <si>
    <t>SP:1-29;NC:30-977;TM:978-1002;CY:1003-1035</t>
  </si>
  <si>
    <t>ENSG00000144668</t>
  </si>
  <si>
    <t>ENSP00000264741</t>
  </si>
  <si>
    <t>225;476;493;612;654;658;672;676;807;854;904</t>
  </si>
  <si>
    <t>VLN[115]LTDNTYLK;VLN[115]LTDN[115]TYLK;VLDCEKPGISCLTAHCN[115]FSALAK</t>
  </si>
  <si>
    <t>225;904</t>
  </si>
  <si>
    <t>Q13797</t>
  </si>
  <si>
    <t>Calcium;Cell adhesion;Complete proteome;Direct protein sequencing;Disulfide bond;Glycoprotein;Integrin;Membrane;Metal-binding;Polymorphism;Receptor;Reference proteome;Repeat;Signal;Transmembrane;Transmembrane helix</t>
  </si>
  <si>
    <t>UniRef100_Q13797;UniRef90_Q13797;UniRef50_Q13797</t>
  </si>
  <si>
    <t>BMPR2_HUMAN</t>
  </si>
  <si>
    <t>Bone morphogenetic protein receptor type-2</t>
  </si>
  <si>
    <t>BMPR2</t>
  </si>
  <si>
    <t>SP:1-26;NC:27-150;TM:151-172;CY:173-1038</t>
  </si>
  <si>
    <t>ENSG00000204217</t>
  </si>
  <si>
    <t>ENSP00000363708</t>
  </si>
  <si>
    <t>55;110;126;284;511;530;565;611;616;764;813;827;861;905;1003</t>
  </si>
  <si>
    <t>ISHEN[115]GTILCSK</t>
  </si>
  <si>
    <t>Q13873</t>
  </si>
  <si>
    <t>3D-structure;Alternative splicing;ATP-binding;Complete proteome;Disease mutation;Disulfide bond;Glycoprotein;Kinase;Magnesium;Manganese;Membrane;Metal-binding;Nucleotide-binding;Phosphoprotein;Polymorphism;Receptor;Reference proteome;Serine/threonine-protein kinase;Signal;Transferase;Transmembrane;Transmembrane helix</t>
  </si>
  <si>
    <t>UniRef100_Q13873;UniRef90_Q13873;UniRef50_Q13873</t>
  </si>
  <si>
    <t>CAC1C_HUMAN</t>
  </si>
  <si>
    <t>Voltage-dependent L-type calcium channel subunit alpha-1C</t>
  </si>
  <si>
    <t>CACNA1C</t>
  </si>
  <si>
    <t>CY:1-125;TM:126-145;NC:146-164;TM:165-185;CY:186-195;TM:196-215;NC:216-235;TM:236-256;CY:257-267;TM:268-287;NC:288-381;TM:382-404;CY:405-524;TM:525-542;NC:543-561;TM:562-580;CY:581-586;TM:587-605;NC:606-610;TM:611-629;CY:630-650;TM:651-673;NC:674-725;TM:726-751;CY:752-896;TM:897-919;NC:920-931;TM:932-953;CY:954-987;TM:988-1006;NC:1007-1011;TM:1012-1029;CY:1030-1048;TM:1049-1071;NC:1072-1162;TM:1163-1189;CY:1190-1239;TM:1240-1261;NC:1262-1272;TM:1273-1292;CY:1293-1302;TM:1303-1321;NC:1322-1369;TM:1370-1388;CY:1389-1408;TM:1409-1430;NC:1431-1499;TM:1500-1523;CY:1524-2221</t>
  </si>
  <si>
    <t>ENSG00000151067</t>
  </si>
  <si>
    <t>70;153;328;463;898;1237;1436;1487;1607;1819;2067</t>
  </si>
  <si>
    <t>468;469;1756;1760;1764;1769;1772;1783;1784;1788;1790;1792;1799;1800;1804;1805;1807;1808;1809;1834;1835;1837;1838;1897;1915;1965;1973;1998;2025;2027;2030;2041;2054;2062;2063;2069;2072;2089;2098;2103</t>
  </si>
  <si>
    <t>Cell membrane;Membrane (Multi-pass membrane protein)</t>
  </si>
  <si>
    <t>3D-structure;Alternative splicing;Brugada syndrome;Calcium;Calcium channel;Calcium transport;Cell membrane;Complete proteome;Disease mutation;Disulfide bond;Glycoprotein;Ion channel;Ion transport;Membrane;Metal-binding;Phosphoprotein;Polymorphism;Reference proteome;Repeat;Transmembrane;Transmembrane helix;Transport;Voltage-gated channel</t>
  </si>
  <si>
    <t>UniRef100_Q13936;UniRef90_Q13936;UniRef50_Q13936</t>
  </si>
  <si>
    <t>DB00270;DB00308;DB00381;DB00393;DB00401;DB00568;DB00622;DB00653;DB00661;DB01023;DB01054;DB01115;DB04855;DB04920;DB06712;DB06751;DB00421</t>
  </si>
  <si>
    <t>CEAM7_HUMAN</t>
  </si>
  <si>
    <t>Carcinoembryonic antigen-related cell adhesion molecule 7</t>
  </si>
  <si>
    <t>CEACAM7</t>
  </si>
  <si>
    <t>SP:1-36;NC:37-265</t>
  </si>
  <si>
    <t>ENSG00000007306</t>
  </si>
  <si>
    <t>ENSP00000006724;ENSP00000385932</t>
  </si>
  <si>
    <t>57;85;105;112;174;183;198</t>
  </si>
  <si>
    <t>Alternative splicing;Cell membrane;Complete proteome;Direct protein sequencing;Disulfide bond;Glycoprotein;GPI-anchor;Immunoglobulin domain;Lipoprotein;Membrane;Polymorphism;Reference proteome;Repeat;Signal</t>
  </si>
  <si>
    <t>UniRef100_Q14002;UniRef90_Q14002;UniRef50_P13688-7</t>
  </si>
  <si>
    <t>SCRB2_HUMAN</t>
  </si>
  <si>
    <t>Lysosome membrane protein 2</t>
  </si>
  <si>
    <t>SCARB2</t>
  </si>
  <si>
    <t>CY:1-6;TM:7-29;NC:30-433;TM:434-457;CY:458-478</t>
  </si>
  <si>
    <t>ENSG00000138760</t>
  </si>
  <si>
    <t>ENSP00000264896</t>
  </si>
  <si>
    <t>45;68;105;206;224;249;304;325;412;430</t>
  </si>
  <si>
    <t>N[115]GTEAFDSWEKPPL;N[115]GTEAFDSWEKPPLPVY;N[115]GTEAFDSWEKPPLPVYT;N[115]GTEAFDSWEKPPLPVYTQF;TQFYFFN[115]VTNPEEILR;YFFN[115]VTNPEEILR;FFN[115]VTNPEEILR;FN[115]VTNPEEILR;N[115]VTNPEEILR;NKANIQFGDN[115]GTTISAVSNK;ANIQFGDN[115]GTTISAVSNK;ANIQFGDN[115]GTTISAVSN[115]K;AN[115]IQFGDN[115]GTTISAVSNK;IQFGDN[115]GTTISAVSNK;GDN[115]GTTISAVSNK;NGTN[115]DGDYVFLTGEDSYLN[115]FTK;N[115]GTNDGDYVFLTGEDSYLN[115]FTK;CNMIN[115]GTDGDSFHPLITK;CN[115]MIN[115]GTDGDSFHPLITK;YKVPAEILAN[115]TSDNAGF;YKVPAEILAN[115]TSDNAGFCIPEGN;VPAEILAN[115]TSDNAGF;VPAEILAN[115]TSDNAGFCIPEGN;CLGSGVLN[115]VSICK;TMVFPVMYLN[115]ESVHIDK;TMVFPVMYLN[115]ESVHIDKETASR;PVMYLN[115]ESVHIDK;YLN[115]ESVHIDK;LN[115]ESVHIDK;N[115]ESVHIDK</t>
  </si>
  <si>
    <t>45;68;105;206;224;249;304;325;412</t>
  </si>
  <si>
    <t>Q14108</t>
  </si>
  <si>
    <t>3D-structure;Alternative splicing;Complete proteome;Disease mutation;Disulfide bond;Epilepsy;Glycoprotein;Lysosome;Membrane;Polymorphism;Receptor;Reference proteome;Transmembrane;Transmembrane helix</t>
  </si>
  <si>
    <t>UniRef100_Q14108;UniRef90_Q14108;UniRef50_Q14108</t>
  </si>
  <si>
    <t>LRP8_HUMAN</t>
  </si>
  <si>
    <t>Low-density lipoprotein receptor-related protein 8</t>
  </si>
  <si>
    <t>LRP8</t>
  </si>
  <si>
    <t>SP:1-32;NC:33-823;TM:824-848;CY:849-963</t>
  </si>
  <si>
    <t>ENSG00000157193</t>
  </si>
  <si>
    <t>ENSP00000303634</t>
  </si>
  <si>
    <t>176;441;518;538;772;807</t>
  </si>
  <si>
    <t>64;103;146;226;277;466;506;513;556;559;585;600;643;726;848;851;902</t>
  </si>
  <si>
    <t>3D-structure;Alternative splicing;Calcium;Cell membrane;Complete proteome;Disulfide bond;EGF-like domain;Endocytosis;Glycoprotein;Membrane;Phosphoprotein;Polymorphism;Receptor;Reference proteome;Repeat;Secreted;Signal;Transmembrane;Transmembrane helix;Ubl conjugation</t>
  </si>
  <si>
    <t>UniRef100_Q14114;UniRef90_Q14114;UniRef50_Q14114</t>
  </si>
  <si>
    <t>DAG1_HUMAN</t>
  </si>
  <si>
    <t>Dystroglycan</t>
  </si>
  <si>
    <t>DAG1</t>
  </si>
  <si>
    <t>SP:1-27;NC:28-749;TM:750-775;CY:776-895</t>
  </si>
  <si>
    <t>ENSG00000173402</t>
  </si>
  <si>
    <t>ENSP00000312435;ENSP00000440705;ENSP00000438421;ENSP00000439334;ENSP00000440590;ENSP00000442600</t>
  </si>
  <si>
    <t>141;641;649;661;833;882</t>
  </si>
  <si>
    <t>171;317;319;322;328;329;336;341;343;344;351;353;367;369;372;379;381;388;391;396;404;421;422;423;424;430;431;436;438;439;441;442;443;444;445;446;450;455;463;464;467;469;473;475;478;482;483;484;485;729;734;812;835;840</t>
  </si>
  <si>
    <t>LGAN[115]GSHIPQTSSVF;LGAN[115]GSHIPQTSSVFSIEVYPEDHSELQSVR;N[115]CSTITLQN[115]ITR;STITLQN[115]ITR</t>
  </si>
  <si>
    <t>141;641;649</t>
  </si>
  <si>
    <t>Q14118</t>
  </si>
  <si>
    <t>Secreted, extracellular space;Cell junction, synapse, postsynaptic cell membrane;Cell membrane (Single- pass type I membrane protein);Cell membrane, sarcolemma;Cytoplasm, cytoskeleton;Nucleus, nucleoplasm</t>
  </si>
  <si>
    <t>3D-structure;Autocatalytic cleavage;Cell junction;Cell membrane;Complete proteome;Cytoplasm;Cytoskeleton;Disease mutation;Disulfide bond;Dystroglycanopathy;Glycoprotein;Host cell receptor for virus entry;Host-virus interaction;Limb-girdle muscular dystrophy;Membrane;Nucleus;Phosphoprotein;Polymorphism;Postsynaptic cell membrane;Receptor;Reference proteome;Secreted;Signal;Synapse;Transmembrane;Transmembrane helix</t>
  </si>
  <si>
    <t>UniRef100_Q14118;UniRef90_Q14118;UniRef50_Q14118</t>
  </si>
  <si>
    <t>Cytoskeleton;Extracellular space;Nucleus;Plasma membrane</t>
  </si>
  <si>
    <t>DSG2_HUMAN</t>
  </si>
  <si>
    <t>Desmoglein-2</t>
  </si>
  <si>
    <t>DSG2</t>
  </si>
  <si>
    <t>SP:1-23;NC:24-612;TM:613-634;CY:635-1118</t>
  </si>
  <si>
    <t>ENSG00000046604</t>
  </si>
  <si>
    <t>ENSP00000261590</t>
  </si>
  <si>
    <t>112;182;309;462;514;789;808;1043;1073;1097</t>
  </si>
  <si>
    <t>DTGELN[115]VTSILDR;DTGELN[115]VTSILDREETPF;TGELN[115]VTSILDR;IN[115]ATDADEPNTLNSK;IN[115]ATDADEPNTLN[115]SK;IN[115]ATDADEPN[115]TLNSK;YVQN[115]GTYTVK</t>
  </si>
  <si>
    <t>112;182;462</t>
  </si>
  <si>
    <t>Q14126</t>
  </si>
  <si>
    <t>3D-structure;Calcium;Cardiomyopathy;Cell adhesion;Cell junction;Cell membrane;Cleavage on pair of basic residues;Complete proteome;Disease mutation;Glycoprotein;Membrane;Metal-binding;Phosphoprotein;Polymorphism;Reference proteome;Repeat;Signal;Transmembrane;Transmembrane helix</t>
  </si>
  <si>
    <t>UniRef100_Q14126;UniRef90_Q14126;UniRef50_Q14126</t>
  </si>
  <si>
    <t>SREC_HUMAN</t>
  </si>
  <si>
    <t>Scavenger receptor class F member 1</t>
  </si>
  <si>
    <t>SCARF1</t>
  </si>
  <si>
    <t>SP:1-19;NC:20-422;TM:423-447;CY:448-830</t>
  </si>
  <si>
    <t>ENSG00000074660;ENSG00000276336</t>
  </si>
  <si>
    <t>ENSP00000263071;ENSP00000481595</t>
  </si>
  <si>
    <t>289;382;393;506</t>
  </si>
  <si>
    <t>Alternative splicing;Cell adhesion;Complete proteome;Disulfide bond;EGF-like domain;Glycoprotein;Membrane;Polymorphism;Receptor;Reference proteome;Repeat;Signal;Transmembrane;Transmembrane helix</t>
  </si>
  <si>
    <t>UniRef100_Q14162;UniRef90_Q14162;UniRef50_Q14162</t>
  </si>
  <si>
    <t>LY6D_HUMAN</t>
  </si>
  <si>
    <t>Lymphocyte antigen 6D</t>
  </si>
  <si>
    <t>LY6D</t>
  </si>
  <si>
    <t>SP:1-22;NC:23-128</t>
  </si>
  <si>
    <t>ENSG00000167656</t>
  </si>
  <si>
    <t>ENSP00000301263</t>
  </si>
  <si>
    <t>Cell adhesion;Cell membrane;Complete proteome;Direct protein sequencing;Disulfide bond;Glycoprotein;GPI-anchor;Lipoprotein;Membrane;Polymorphism;Reference proteome;Signal</t>
  </si>
  <si>
    <t>UniRef100_Q14210;UniRef90_Q14210;UniRef50_Q14210</t>
  </si>
  <si>
    <t>SELPL_HUMAN</t>
  </si>
  <si>
    <t>P-selectin glycoprotein ligand 1</t>
  </si>
  <si>
    <t>SELPLG</t>
  </si>
  <si>
    <t>SP:1-17;NC:18-320;TM:321-343;CY:344-412</t>
  </si>
  <si>
    <t>ENSG00000110876</t>
  </si>
  <si>
    <t>ENSP00000373614;ENSP00000447752</t>
  </si>
  <si>
    <t>CD162</t>
  </si>
  <si>
    <t>65;111;302;356</t>
  </si>
  <si>
    <t>GIPMAASN[115]LSV;GIPMAASN[115]LSVNYP;GIPMAASN[115]LSVNYPV;GIPMAASN[115]LSVNYPVGAPDH;GIPMAASN[115]LSVNYPVGAPDHISVK;PMAASN[115]LSVNYPVGAPDHISVK</t>
  </si>
  <si>
    <t>Q14242</t>
  </si>
  <si>
    <t>3D-structure;Alternative splicing;Cell adhesion;Cleavage on pair of basic residues;Complete proteome;Direct protein sequencing;Disulfide bond;Glycoprotein;Membrane;Polymorphism;Pyrrolidone carboxylic acid;Reference proteome;Repeat;Sialic acid;Signal;Sulfation;Transmembrane;Transmembrane helix</t>
  </si>
  <si>
    <t>UniRef100_Q14242;UniRef90_Q14242;UniRef50_Q14242</t>
  </si>
  <si>
    <t>EMR1_HUMAN</t>
  </si>
  <si>
    <t>EGF-like module-containing mucin-like hormone receptor-like 1</t>
  </si>
  <si>
    <t>EMR1</t>
  </si>
  <si>
    <t>SP:1-22;NC:23-601;TM:602-626;CY:627-636;TM:637-656;NC:657-667;TM:668-693;CY:694-711;TM:712-731;NC:732-750;TM:751-776;CY:777-795;TM:796-818;NC:819-823;TM:824-847;CY:848-886</t>
  </si>
  <si>
    <t>ENSG00000174837</t>
  </si>
  <si>
    <t>ENSP00000311545</t>
  </si>
  <si>
    <t>94;99;127;167;189;194;232;258;312;366;375;423;448</t>
  </si>
  <si>
    <t>Alternative splicing;Calcium;Cell membrane;Complete proteome;Disulfide bond;EGF-like domain;G-protein coupled receptor;Glycoprotein;Membrane;Polymorphism;Receptor;Reference proteome;Repeat;Signal;Transducer;Transmembrane;Transmembrane helix</t>
  </si>
  <si>
    <t>UniRef100_Q14246;UniRef90_Q14246;UniRef50_Q14246</t>
  </si>
  <si>
    <t>GPR18_HUMAN</t>
  </si>
  <si>
    <t>N-arachidonyl glycine receptor</t>
  </si>
  <si>
    <t>GPR18</t>
  </si>
  <si>
    <t>NC:1-22;TM:23-47;CY:48-58;TM:59-81;NC:82-94;TM:95-117;CY:118-137;TM:138-160;NC:161-191;TM:192-213;CY:214-232;TM:233-256;NC:257-266;TM:267-289;CY:290-331</t>
  </si>
  <si>
    <t>ENSG00000125245</t>
  </si>
  <si>
    <t>ENSP00000343428;ENSP00000380610;ENSP00000380613</t>
  </si>
  <si>
    <t>14;40;188;276</t>
  </si>
  <si>
    <t>UniRef100_Q14330;UniRef90_Q14330;UniRef50_Q14330</t>
  </si>
  <si>
    <t>FZD2_HUMAN</t>
  </si>
  <si>
    <t>Frizzled-2</t>
  </si>
  <si>
    <t>FZD2</t>
  </si>
  <si>
    <t>SP:1-27;NC:28-245;TM:246-268;CY:269-279;TM:280-300;NC:301-328;TM:329-353;CY:354-373;TM:374-393;NC:394-414;TM:415-439;CY:440-459;TM:460-483;NC:484-520;TM:521-540;CY:541-565</t>
  </si>
  <si>
    <t>ENSG00000180340</t>
  </si>
  <si>
    <t>ENSP00000323901</t>
  </si>
  <si>
    <t>53;154</t>
  </si>
  <si>
    <t>32;166;194</t>
  </si>
  <si>
    <t>UniRef100_Q14332;UniRef90_Q14332;UniRef50_Q14332</t>
  </si>
  <si>
    <t>LRC32_HUMAN</t>
  </si>
  <si>
    <t>Leucine-rich repeat-containing protein 32</t>
  </si>
  <si>
    <t>LRRC32</t>
  </si>
  <si>
    <t>SP:1-17;NC:18-627;TM:628-651;CY:652-662</t>
  </si>
  <si>
    <t>ENSG00000137507</t>
  </si>
  <si>
    <t>ENSP00000260061;ENSP00000385766;ENSP00000384126</t>
  </si>
  <si>
    <t>203;271;308;345;545</t>
  </si>
  <si>
    <t>LTHLN[115]LSR;LIYLN[115]LSNNLIR;N[115]NSFSLLPGSAMGGLETSLR</t>
  </si>
  <si>
    <t>203;271;545</t>
  </si>
  <si>
    <t>Q14392</t>
  </si>
  <si>
    <t>UniRef100_Q14392;UniRef90_Q14392;UniRef50_Q14392</t>
  </si>
  <si>
    <t>GRM2_HUMAN</t>
  </si>
  <si>
    <t>Metabotropic glutamate receptor 2</t>
  </si>
  <si>
    <t>GRM2</t>
  </si>
  <si>
    <t>SP:1-18;NC:19-566;TM:567-590;CY:591-604;TM:605-625;NC:626-636;TM:637-654;CY:655-678;TM:679-700;NC:701-727;TM:728-747;CY:748-758;TM:759-782;NC:783-793;TM:794-814;CY:815-872</t>
  </si>
  <si>
    <t>ENSG00000164082</t>
  </si>
  <si>
    <t>ENSP00000378492</t>
  </si>
  <si>
    <t>203;286;338;402;547;593</t>
  </si>
  <si>
    <t>203;402;593</t>
  </si>
  <si>
    <t>Cell junction, synapse;Cell membrane (Multi-pass membrane protein);Cell projection, dendrite</t>
  </si>
  <si>
    <t>Cell junction;Cell membrane;Cell projection;Complete proteome;Disulfide bond;G-protein coupled receptor;Glycoprotein;Membrane;Receptor;Reference proteome;Signal;Synapse;Transducer;Transmembrane;Transmembrane helix</t>
  </si>
  <si>
    <t>UniRef100_Q14416;UniRef90_Q14416;UniRef50_Q14416</t>
  </si>
  <si>
    <t>GP176_HUMAN</t>
  </si>
  <si>
    <t>Probable G-protein coupled receptor 176</t>
  </si>
  <si>
    <t>GPR176</t>
  </si>
  <si>
    <t>NC:1-45;TM:46-67;CY:68-78;TM:79-102;NC:103-121;TM:122-141;CY:142-161;TM:162-183;NC:184-203;TM:204-228;CY:229-266;TM:267-288;NC:289-298;TM:299-321;CY:322-515</t>
  </si>
  <si>
    <t>ENSG00000166073</t>
  </si>
  <si>
    <t>ENSP00000453076</t>
  </si>
  <si>
    <t>4;11;17;27;210;324</t>
  </si>
  <si>
    <t>ISPN[115]ASEPHN[115]ASGAEAAGVN[115]R</t>
  </si>
  <si>
    <t>11;17;27</t>
  </si>
  <si>
    <t>Q14439</t>
  </si>
  <si>
    <t>Cell membrane;Complete proteome;G-protein coupled receptor;Glycoprotein;Membrane;Receptor;Reference proteome;Transducer;Transmembrane;Transmembrane helix</t>
  </si>
  <si>
    <t>UniRef100_Q14439;UniRef90_Q64017;UniRef50_Q64017</t>
  </si>
  <si>
    <t>KCJ12_HUMAN</t>
  </si>
  <si>
    <t>ATP-sensitive inward rectifier potassium channel 12</t>
  </si>
  <si>
    <t>KCNJ12</t>
  </si>
  <si>
    <t>CY:1-82;TM:83-107;NC:108-123;IM:124-128;IM:129-141;IM:142-151;NC:152-156;TM:157-181;CY:182-433</t>
  </si>
  <si>
    <t>ENSG00000184185</t>
  </si>
  <si>
    <t>ENSP00000328150;ENSP00000463778</t>
  </si>
  <si>
    <t>Cell membrane;Complete proteome;Disulfide bond;Ion channel;Ion transport;Membrane;Polymorphism;Potassium;Potassium transport;Reference proteome;Transmembrane;Transmembrane helix;Transport;Voltage-gated channel</t>
  </si>
  <si>
    <t>UniRef100_Q14500;UniRef90_Q14500;UniRef50_P63252</t>
  </si>
  <si>
    <t>DB00204;DB01392</t>
  </si>
  <si>
    <t>FAT1_HUMAN</t>
  </si>
  <si>
    <t>Protocadherin Fat 1</t>
  </si>
  <si>
    <t>FAT1</t>
  </si>
  <si>
    <t>SP:1-21;NC:22-4181;TM:4182-4202;CY:4203-4588</t>
  </si>
  <si>
    <t>ENSG00000083857</t>
  </si>
  <si>
    <t>ENSP00000406229</t>
  </si>
  <si>
    <t>40;333;660;740;791;998;1220;1426;1551;1662;1748;1864;1902;1940;1991;2325;2464;2678;2912;3324;3415;3422;3444;3613;3640;3649;3716;4152;4509</t>
  </si>
  <si>
    <t>40;333;660;740;791;998;1220;1426;1551;1662;1748;1864;1902;1940;1991;2325;2464;2678;2912;3324;3415;3422;3444;3613;3640;3649;3716;4029;4152;4509</t>
  </si>
  <si>
    <t>LEQTPLQFTHLEYN[115]VTVQENSAAK;ITATDGENFATPLYIN[115]ITVAASHK;IVVN[115]VSDTNDHAPWFTASSYK;LFAEYAAN[115]VTVH;TGALTVQN[115]TTQLR;GISYQMFGN[115]HSK;GN[115]YSVIIQENKPVGF;LDIGQYLLN[115]VSVTDGK;FAN[115]LTPEEFVGDYWR;IN[115]SSVTDIEEIIGVR</t>
  </si>
  <si>
    <t>40;660;1551;1864;1940;2325;3444;3613;3649;3716</t>
  </si>
  <si>
    <t>Q14517</t>
  </si>
  <si>
    <t>Cell membrane (Single-pass type I membrane protein);Cytoplasm, perinuclear region;Nucleus</t>
  </si>
  <si>
    <t>Calcium;Cell adhesion;Cell membrane;Complete proteome;Cytoplasm;Disulfide bond;EGF-like domain;Glycoprotein;Membrane;Nucleus;Polymorphism;Reference proteome;Repeat;Signal;Transmembrane;Transmembrane helix</t>
  </si>
  <si>
    <t>UniRef100_Q14517;UniRef90_Q14517;UniRef50_Q14517</t>
  </si>
  <si>
    <t>SCN5A_HUMAN</t>
  </si>
  <si>
    <t>Sodium channel protein type 5 subunit alpha</t>
  </si>
  <si>
    <t>SCN5A</t>
  </si>
  <si>
    <t>CY:1-126;TM:127-150;NC:151-161;TM:162-181;CY:182-192;TM:193-210;NC:211-221;TM:222-241;CY:242-252;TM:253-273;NC:274-387;TM:388-414;CY:415-712;TM:713-736;NC:737-747;TM:748-770;CY:771-780;TM:781-799;NC:800-810;TM:811-829;CY:830-837;TM:838-861;NC:862-915;TM:916-939;CY:940-1204;TM:1205-1225;NC:1226-1244;TM:1245-1263;CY:1264-1269;TM:1270-1291;NC:1292-1296;TM:1297-1314;CY:1315-1334;TM:1335-1357;NC:1358-1445;TM:1446-1470;CY:1471-1528;TM:1529-1547;NC:1548-1558;TM:1559-1581;CY:1582-1592;TM:1593-1612;NC:1613-1619;TM:1620-1637;CY:1638-1656;TM:1657-1681;NC:1682-1746;TM:1747-1770;CY:1771-2016</t>
  </si>
  <si>
    <t>ENSG00000183873</t>
  </si>
  <si>
    <t>ENSP00000328968;ENSP00000397915</t>
  </si>
  <si>
    <t>214;283;288;291;318;328;548;592;740;803;841;864;946;1365;1374;1380;1388;1736;1774;1955</t>
  </si>
  <si>
    <t>214;283;288;291;318;328;548;592;740;803;841;864;946;1365;1374;1380;1388;1736;1774;1883;1955</t>
  </si>
  <si>
    <t>3D-structure;Alternative splicing;Atrial fibrillation;Brugada syndrome;Calmodulin-binding;Cardiomyopathy;Complete proteome;Disease mutation;Glycoprotein;Ion channel;Ion transport;Long QT syndrome;Membrane;Methylation;Phosphoprotein;Polymorphism;Reference proteome;Repeat;Sodium;Sodium channel;Sodium transport;Transmembrane;Transmembrane helix;Transport;Ubl conjugation;Voltage-gated channel</t>
  </si>
  <si>
    <t>UniRef100_Q14524;UniRef90_Q14524;UniRef50_Q14524</t>
  </si>
  <si>
    <t>DB00192;DB00243;DB00252;DB00280;DB00281;DB00379;DB00473;DB00527;DB00564;DB00661;DB00680;DB00740;DB00750;DB00754;DB00776;DB00868;DB00907;DB00908;DB00909;DB01035;DB01056;DB01182;DB01195;DB01228;DB01320;DB01346;DB01426;DB01429;DB00313</t>
  </si>
  <si>
    <t>S29A2_HUMAN</t>
  </si>
  <si>
    <t>Equilibrative nucleoside transporter 2</t>
  </si>
  <si>
    <t>SLC29A2</t>
  </si>
  <si>
    <t>CY:1-11;TM:12-33;NC:34-69;TM:70-90;CY:91-96;TM:97-117;NC:118-125;TM:126-149;CY:150-160;TM:161-181;NC:182-191;TM:192-213;CY:214-289;TM:290-315;NC:316-326;TM:327-344;CY:345-359;TM:360-382;NC:383-393;TM:394-411;CY:412-431;TM:432-452;NC:453-456</t>
  </si>
  <si>
    <t>ENSG00000174669</t>
  </si>
  <si>
    <t>ENSP00000350024;ENSP00000439456;ENSP00000440329</t>
  </si>
  <si>
    <t>SLC;MFS;SLC29</t>
  </si>
  <si>
    <t>48;57;225</t>
  </si>
  <si>
    <t>48;57</t>
  </si>
  <si>
    <t>LAGAGN[115]STAR</t>
  </si>
  <si>
    <t>Q14542</t>
  </si>
  <si>
    <t>Basolateral cell membrane (Multi-pass membrane protein);Nucleus membrane (Multi-pass membrane protein)</t>
  </si>
  <si>
    <t>Alternative splicing;Cell membrane;Complete proteome;Glycoprotein;Membrane;Nucleus;Phosphoprotein;Polymorphism;Reference proteome;Transmembrane;Transmembrane helix;Transport</t>
  </si>
  <si>
    <t>UniRef100_Q14542;UniRef90_Q14542;UniRef50_Q14542</t>
  </si>
  <si>
    <t>DSC3_HUMAN</t>
  </si>
  <si>
    <t>Desmocollin-3</t>
  </si>
  <si>
    <t>DSC3</t>
  </si>
  <si>
    <t>SP:1-28;NC:29-690;TM:691-715;CY:716-896</t>
  </si>
  <si>
    <t>ENSG00000134762</t>
  </si>
  <si>
    <t>ENSP00000353608</t>
  </si>
  <si>
    <t>166;392;546;614;629;757;758;786</t>
  </si>
  <si>
    <t>Alternative splicing;Calcium;Cell adhesion;Cell junction;Cell membrane;Cleavage on pair of basic residues;Complete proteome;Direct protein sequencing;Glycoprotein;Hypotrichosis;Membrane;Metal-binding;Polymorphism;Reference proteome;Repeat;Signal;Transmembrane;Transmembrane helix</t>
  </si>
  <si>
    <t>UniRef100_Q14574;UniRef90_Q14574;UniRef50_Q14574</t>
  </si>
  <si>
    <t>I11RA_HUMAN</t>
  </si>
  <si>
    <t>Interleukin-11 receptor subunit alpha</t>
  </si>
  <si>
    <t>IL11RA</t>
  </si>
  <si>
    <t>SP:1-22;NC:23-365;TM:366-391;CY:392-422</t>
  </si>
  <si>
    <t>ENSG00000137070</t>
  </si>
  <si>
    <t>ENSP00000326500;ENSP00000394391;ENSP00000450565</t>
  </si>
  <si>
    <t>127;194</t>
  </si>
  <si>
    <t>Alternative splicing;Complete proteome;Craniosynostosis;Disease mutation;Disulfide bond;Glycoprotein;Immunoglobulin domain;Membrane;Polymorphism;Receptor;Reference proteome;Repeat;Signal;Transmembrane;Transmembrane helix</t>
  </si>
  <si>
    <t>UniRef100_Q14626;UniRef90_Q14626;UniRef50_Q14626</t>
  </si>
  <si>
    <t>DB00038</t>
  </si>
  <si>
    <t>I13R2_HUMAN</t>
  </si>
  <si>
    <t>Interleukin-13 receptor subunit alpha-2</t>
  </si>
  <si>
    <t>IL13RA2</t>
  </si>
  <si>
    <t>SP:1-21;NC:22-343;TM:344-363;CY:364-380</t>
  </si>
  <si>
    <t>ENSG00000123496</t>
  </si>
  <si>
    <t>ENSP00000243213;ENSP00000361004</t>
  </si>
  <si>
    <t>CD213a2</t>
  </si>
  <si>
    <t>115;215;290;299</t>
  </si>
  <si>
    <t>IHTLLPWQCTN[115]GSEVQSS;IHTLLPWQCTN[115]GSEVQSSWAETT;DFYICVN[115]GSSENKPIR;YICVN[115]GSSENKPIR;ICVN[115]GSSENKPIR;VN[115]GSSENKPIR;EDDTTLVTATVEN[115]ETYTLK;TVEN[115]ETYTLK;VEN[115]ETYTLK</t>
  </si>
  <si>
    <t>115;215;290</t>
  </si>
  <si>
    <t>Q14627</t>
  </si>
  <si>
    <t>3D-structure;Complete proteome;Disulfide bond;Glycoprotein;Membrane;Polymorphism;Receptor;Reference proteome;Repeat;Signal;Transmembrane;Transmembrane helix</t>
  </si>
  <si>
    <t>UniRef100_Q14627;UniRef90_Q14627;UniRef50_Q14627</t>
  </si>
  <si>
    <t>SSPN_HUMAN</t>
  </si>
  <si>
    <t>Sarcospan</t>
  </si>
  <si>
    <t>SSPN</t>
  </si>
  <si>
    <t>CY:1-53;TM:54-76;NC:77-87;TM:88-111;CY:112-122;TM:123-144;NC:145-193;TM:194-217;CY:218-243</t>
  </si>
  <si>
    <t>ENSG00000123096</t>
  </si>
  <si>
    <t>ENSP00000242729</t>
  </si>
  <si>
    <t>Cell junction, synapse, postsynaptic cell membrane (Multi-pass membrane protein);Cell membrane (Multi-pass membrane protein);Cell membrane, sarcolemma</t>
  </si>
  <si>
    <t>Alternative splicing;Cell junction;Cell membrane;Complete proteome;Membrane;Polymorphism;Postsynaptic cell membrane;Reference proteome;Synapse;Transmembrane;Transmembrane helix</t>
  </si>
  <si>
    <t>UniRef100_Q14714;UniRef90_Q14714;UniRef50_Q14714</t>
  </si>
  <si>
    <t>ICAM4_HUMAN</t>
  </si>
  <si>
    <t>Intercellular adhesion molecule 4</t>
  </si>
  <si>
    <t>ICAM4</t>
  </si>
  <si>
    <t>SP:1-25;NC:26-239;TM:240-262;CY:263-271</t>
  </si>
  <si>
    <t>ENSG00000105371</t>
  </si>
  <si>
    <t>ENSP00000370147</t>
  </si>
  <si>
    <t>CD242</t>
  </si>
  <si>
    <t>68;78;190;223</t>
  </si>
  <si>
    <t>Alternative splicing;Blood group antigen;Cell adhesion;Cell membrane;Complete proteome;Disulfide bond;Glycoprotein;Immunoglobulin domain;Membrane;Polymorphism;Reference proteome;Repeat;Secreted;Signal;Transmembrane;Transmembrane helix</t>
  </si>
  <si>
    <t>UniRef100_Q14773;UniRef90_Q14773;UniRef50_Q14773</t>
  </si>
  <si>
    <t>GRM7_HUMAN</t>
  </si>
  <si>
    <t>Metabotropic glutamate receptor 7</t>
  </si>
  <si>
    <t>GRM7</t>
  </si>
  <si>
    <t>SP:1-34;NC:35-590;TM:591-615;CY:616-627;TM:628-648;NC:649-659;TM:660-680;CY:681-701;TM:702-723;NC:724-753;TM:754-775;CY:776-789;TM:790-811;NC:812-828;TM:829-851;CY:852-915</t>
  </si>
  <si>
    <t>ENSG00000196277</t>
  </si>
  <si>
    <t>ENSP00000350348</t>
  </si>
  <si>
    <t>98;458;486;572;616;830</t>
  </si>
  <si>
    <t>98;572;616</t>
  </si>
  <si>
    <t>3D-structure;Alternative splicing;Cell membrane;Complete proteome;Disulfide bond;G-protein coupled receptor;Glycoprotein;Membrane;Olfaction;Polymorphism;Receptor;Reference proteome;Sensory transduction;Signal;Transducer;Transmembrane;Transmembrane helix</t>
  </si>
  <si>
    <t>UniRef100_Q14831;UniRef90_P35400;UniRef50_P35400</t>
  </si>
  <si>
    <t>GRM3_HUMAN</t>
  </si>
  <si>
    <t>Metabotropic glutamate receptor 3</t>
  </si>
  <si>
    <t>GRM3</t>
  </si>
  <si>
    <t>SP:1-20;NC:21-575;TM:576-599;CY:600-613;TM:614-634;NC:635-645;TM:646-667;CY:668-688;TM:689-709;NC:710-736;TM:737-756;CY:757-767;TM:768-791;NC:792-800;TM:801-821;CY:822-879</t>
  </si>
  <si>
    <t>ENSG00000198822</t>
  </si>
  <si>
    <t>ENSP00000355316</t>
  </si>
  <si>
    <t>209;292;414;439;602</t>
  </si>
  <si>
    <t>209;414;439;602</t>
  </si>
  <si>
    <t>UniRef100_Q14832;UniRef90_P31422;UniRef50_P31422</t>
  </si>
  <si>
    <t>GRM4_HUMAN</t>
  </si>
  <si>
    <t>Metabotropic glutamate receptor 4</t>
  </si>
  <si>
    <t>GRM4</t>
  </si>
  <si>
    <t>SP:1-32;NC:33-588;TM:589-612;CY:613-624;TM:625-645;NC:646-656;TM:657-677;CY:678-698;TM:699-720;NC:721-750;TM:751-772;CY:773-784;TM:785-806;NC:807-825;TM:826-847;CY:848-912</t>
  </si>
  <si>
    <t>ENSG00000124493</t>
  </si>
  <si>
    <t>ENSP00000440556</t>
  </si>
  <si>
    <t>98;301;454;484;569;613</t>
  </si>
  <si>
    <t>98;301;569;613</t>
  </si>
  <si>
    <t>UniRef100_Q14833;UniRef90_Q14833;UniRef50_Q14833</t>
  </si>
  <si>
    <t>NPT1_HUMAN</t>
  </si>
  <si>
    <t>Sodium-dependent phosphate transport protein 1</t>
  </si>
  <si>
    <t>SLC17A1</t>
  </si>
  <si>
    <t>NC:1-79;TM:80-101;CY:102-111;TM:112-138;NC:139-143;TM:144-161;CY:162-172;TM:173-192;NC:193-197;TM:198-221;CY:222-261;TM:262-285;NC:286-307;TM:308-327;CY:328-338;TM:339-359;NC:360-364;TM:365-385;CY:386-396;TM:397-421;NC:422-432;TM:433-453;CY:454-467</t>
  </si>
  <si>
    <t>ENSG00000124568</t>
  </si>
  <si>
    <t>ENSP00000244527;ENSP00000420614</t>
  </si>
  <si>
    <t>SLC;MFS;SLC17</t>
  </si>
  <si>
    <t>41;49;58;74;440</t>
  </si>
  <si>
    <t>41;49;440</t>
  </si>
  <si>
    <t>Alternative splicing;Complete proteome;Glycoprotein;Ion transport;Membrane;Polymorphism;Reference proteome;Sodium;Sodium transport;Symport;Transmembrane;Transmembrane helix;Transport</t>
  </si>
  <si>
    <t>UniRef100_Q14916;UniRef90_Q14916;UniRef50_Q14916</t>
  </si>
  <si>
    <t>KI3S1_HUMAN</t>
  </si>
  <si>
    <t>Killer cell immunoglobulin-like receptor 3DS1</t>
  </si>
  <si>
    <t>KIR3DS1</t>
  </si>
  <si>
    <t>SP:1-18;NC:19-338;TM:339-360;CY:361-387</t>
  </si>
  <si>
    <t>ENSG00000276534;ENSG00000276498;ENSG00000275037;ENSG00000274465;ENSG00000275608;ENSG00000274283</t>
  </si>
  <si>
    <t>ENSP00000484010;ENSP00000481993;ENSP00000477733;ENSP00000480199;ENSP00000483460;ENSP00000477859</t>
  </si>
  <si>
    <t>92;273</t>
  </si>
  <si>
    <t>Cell membrane;Complete proteome;Disulfide bond;Glycoprotein;Immunoglobulin domain;Membrane;Polymorphism;Receptor;Reference proteome;Repeat;Signal;Transmembrane;Transmembrane helix</t>
  </si>
  <si>
    <t>UniRef100_Q14943;UniRef90_P43629;UniRef50_Q99706</t>
  </si>
  <si>
    <t>KI2S3_HUMAN</t>
  </si>
  <si>
    <t>Killer cell immunoglobulin-like receptor 2DS3</t>
  </si>
  <si>
    <t>KIR2DS3</t>
  </si>
  <si>
    <t>ENSG00000277657;ENSG00000278306;ENSG00000277163</t>
  </si>
  <si>
    <t>ENSP00000479108;ENSP00000480969;ENSP00000483315</t>
  </si>
  <si>
    <t>67;84;178;274;285</t>
  </si>
  <si>
    <t>67;178;285</t>
  </si>
  <si>
    <t>Cell membrane;Complete proteome;Disulfide bond;Glycoprotein;Immunoglobulin domain;Membrane;Receptor;Reference proteome;Repeat;Signal;Transmembrane;Transmembrane helix</t>
  </si>
  <si>
    <t>UniRef100_Q14952;UniRef90_Q14953;UniRef50_P43632</t>
  </si>
  <si>
    <t>KI2S5_HUMAN</t>
  </si>
  <si>
    <t>Killer cell immunoglobulin-like receptor 2DS5</t>
  </si>
  <si>
    <t>KIR2DS5</t>
  </si>
  <si>
    <t>CD158g</t>
  </si>
  <si>
    <t>67;84;178;223;274;285</t>
  </si>
  <si>
    <t>UniRef100_Q14953;UniRef90_Q14953;UniRef50_P43632</t>
  </si>
  <si>
    <t>KI2S1_HUMAN</t>
  </si>
  <si>
    <t>Killer cell immunoglobulin-like receptor 2DS1</t>
  </si>
  <si>
    <t>KIR2DS1</t>
  </si>
  <si>
    <t>CD158h</t>
  </si>
  <si>
    <t>67;84;144;178;285</t>
  </si>
  <si>
    <t>UniRef100_Q14954;UniRef90_P43626;UniRef50_P43626</t>
  </si>
  <si>
    <t>GPNMB_HUMAN</t>
  </si>
  <si>
    <t>Transmembrane glycoprotein NMB</t>
  </si>
  <si>
    <t>GPNMB</t>
  </si>
  <si>
    <t>SP:1-21;NC:22-494;TM:495-513;CY:514-572</t>
  </si>
  <si>
    <t>ENSG00000136235</t>
  </si>
  <si>
    <t>ENSP00000371420</t>
  </si>
  <si>
    <t>93;134;146;200;249;275;296;300;306;312;459;467</t>
  </si>
  <si>
    <t>135;168</t>
  </si>
  <si>
    <t>VSVNTAN[115]VTLGPQLMEVTVYR;VSVNTAN[115]VTLGPQLMEVTVYRR;TAN[115]VTLGPQLMEVTVYR;NDRN[115]SSDETFLK;N[115]DRN[115]SSDETFLK;DRN[115]SSDETFLK;RN[115]SSDETFLK;IHDPSHFLN[115]YSTINYK;PSHFLN[115]YSTINYK</t>
  </si>
  <si>
    <t>200;249;275</t>
  </si>
  <si>
    <t>Q14956</t>
  </si>
  <si>
    <t>Alternative splicing;Cell membrane;Complete proteome;Glycoprotein;Membrane;Phosphoprotein;Polymorphism;Reference proteome;Signal;Transmembrane;Transmembrane helix</t>
  </si>
  <si>
    <t>UniRef100_Q14956;UniRef90_Q14956;UniRef50_Q14956</t>
  </si>
  <si>
    <t>NMDE3_HUMAN</t>
  </si>
  <si>
    <t>Glutamate receptor ionotropic, NMDA 2C</t>
  </si>
  <si>
    <t>GRIN2C</t>
  </si>
  <si>
    <t>SP:1-19;NC:20-553;TM:554-576;CY:577-628;TM:629-652;NC:653-815;TM:816-835;CY:836-1233</t>
  </si>
  <si>
    <t>ENSG00000161509</t>
  </si>
  <si>
    <t>ENSP00000293190</t>
  </si>
  <si>
    <t>70;337;438;539;585;612;685;849</t>
  </si>
  <si>
    <t>70;337;438;539;585</t>
  </si>
  <si>
    <t>UniRef100_Q14957;UniRef90_Q14957;UniRef50_Q01098</t>
  </si>
  <si>
    <t>DB00145;DB00454;DB00659;DB00289;DB00312;DB00418;DB00996;DB01174;DB04896;DB06738</t>
  </si>
  <si>
    <t>NTCP_HUMAN</t>
  </si>
  <si>
    <t>Sodium/bile acid cotransporter</t>
  </si>
  <si>
    <t>SLC10A1</t>
  </si>
  <si>
    <t>NC:1-24;TM:25-48;CY:49-59;TM:60-79;NC:80-89;TM:90-111;CY:112-118;TM:119-142;NC:143-153;TM:154-176;CY:177-186;TM:187-208;NC:209-227;TM:228-246;CY:247-257;TM:258-275;NC:276-283;TM:284-307;CY:308-349</t>
  </si>
  <si>
    <t>ENSG00000100652</t>
  </si>
  <si>
    <t>ENSP00000216540</t>
  </si>
  <si>
    <t>5;11;103;117;336</t>
  </si>
  <si>
    <t>11;336</t>
  </si>
  <si>
    <t>UniRef100_Q14973;UniRef90_Q14973;UniRef50_Q14973</t>
  </si>
  <si>
    <t>OPCM_HUMAN</t>
  </si>
  <si>
    <t>Opioid-binding protein/cell adhesion molecule</t>
  </si>
  <si>
    <t>OPCML</t>
  </si>
  <si>
    <t>SP:1-30;NC:31-345</t>
  </si>
  <si>
    <t>ENSG00000183715</t>
  </si>
  <si>
    <t>ENSP00000330862;ENSP00000482061</t>
  </si>
  <si>
    <t>44;70;140;285;293;306</t>
  </si>
  <si>
    <t>MSTLTFFN[115]VSEK;DYGN[115]YTCVATNK</t>
  </si>
  <si>
    <t>285;293</t>
  </si>
  <si>
    <t>Q14982</t>
  </si>
  <si>
    <t>Alternative splicing;Cell adhesion;Cell membrane;Complete proteome;Disease mutation;Disulfide bond;Glycoprotein;GPI-anchor;Immunoglobulin domain;Lipoprotein;Membrane;Reference proteome;Repeat;Signal</t>
  </si>
  <si>
    <t>UniRef100_Q14982;UniRef90_Q14982;UniRef50_Q62718</t>
  </si>
  <si>
    <t>T132D_HUMAN</t>
  </si>
  <si>
    <t>Transmembrane protein 132D</t>
  </si>
  <si>
    <t>TMEM132D</t>
  </si>
  <si>
    <t>SP:1-30;NC:31-918;TM:919-941;CY:942-1099</t>
  </si>
  <si>
    <t>ENSG00000151952</t>
  </si>
  <si>
    <t>ENSP00000408581</t>
  </si>
  <si>
    <t>Unknown_function;TMEM132</t>
  </si>
  <si>
    <t>72;94;314;505;805;821;969</t>
  </si>
  <si>
    <t>Alternative splicing;Complete proteome;Glycoprotein;Membrane;Polymorphism;Reference proteome;Signal;Transmembrane;Transmembrane helix</t>
  </si>
  <si>
    <t>UniRef100_Q14C87;UniRef90_Q14C87;UniRef50_Q14C87</t>
  </si>
  <si>
    <t>CLCA4_HUMAN</t>
  </si>
  <si>
    <t>Calcium-activated chloride channel regulator 4</t>
  </si>
  <si>
    <t>CLCA4</t>
  </si>
  <si>
    <t>SP:1-21;NC:22-894;TM:895-915;CY:916-919</t>
  </si>
  <si>
    <t>ENSG00000016602</t>
  </si>
  <si>
    <t>ENSP00000359594</t>
  </si>
  <si>
    <t>20;75;340;504;542;588;628;811;832;837;852;896</t>
  </si>
  <si>
    <t>Apical cell membrane;Cell membrane (Single-pass membrane protein);Secreted</t>
  </si>
  <si>
    <t>Alternative splicing;Autocatalytic cleavage;Cell membrane;Chloride;Complete proteome;Glycoprotein;Hydrolase;Membrane;Metal-binding;Metalloprotease;Polymorphism;Protease;Reference proteome;Secreted;Signal;Transmembrane;Transmembrane helix;Transport;Zinc</t>
  </si>
  <si>
    <t>UniRef100_Q14CN2;UniRef90_Q14CN2;UniRef50_Q14CN2</t>
  </si>
  <si>
    <t>HECAM_HUMAN</t>
  </si>
  <si>
    <t>Hepatocyte cell adhesion molecule</t>
  </si>
  <si>
    <t>HEPACAM</t>
  </si>
  <si>
    <t>SP:1-33;NC:34-240;TM:241-263;CY:264-416</t>
  </si>
  <si>
    <t>ENSG00000165478</t>
  </si>
  <si>
    <t>ENSP00000298251</t>
  </si>
  <si>
    <t>35;104;138;167;172;189</t>
  </si>
  <si>
    <t>VN[115]ITSPVR;DGKPLLN[115]DSR</t>
  </si>
  <si>
    <t>35;189</t>
  </si>
  <si>
    <t>Q14CZ8</t>
  </si>
  <si>
    <t>Cytoplasm;Membrane (Single-pass type I membrane protein|Cytoplasmic side</t>
  </si>
  <si>
    <t>Alternative splicing;Cell adhesion;Cell cycle;Complete proteome;Cytoplasm;Disease mutation;Disulfide bond;Glycoprotein;Growth arrest;Growth regulation;Immunoglobulin domain;Membrane;Phosphoprotein;Polymorphism;Reference proteome;Signal;Transmembrane;Transmembrane helix</t>
  </si>
  <si>
    <t>UniRef100_Q14CZ8;UniRef90_Q14CZ8;UniRef50_Q14CZ8</t>
  </si>
  <si>
    <t>T132B_HUMAN</t>
  </si>
  <si>
    <t>Transmembrane protein 132B</t>
  </si>
  <si>
    <t>TMEM132B</t>
  </si>
  <si>
    <t>NC:1-899;TM:900-924;CY:925-1078</t>
  </si>
  <si>
    <t>ENSG00000139364</t>
  </si>
  <si>
    <t>ENSP00000299308</t>
  </si>
  <si>
    <t>63;85;343;366;381;498;845;986;1015</t>
  </si>
  <si>
    <t>TPPIIN[115]ASYGPF;TPPIIN[115]ASYGPFSVEK;GTPVGQEESTN[115]K</t>
  </si>
  <si>
    <t>85;845</t>
  </si>
  <si>
    <t>Q14DG7</t>
  </si>
  <si>
    <t>UniRef100_Q14DG7;UniRef90_Q14DG7;UniRef50_Q14DG7</t>
  </si>
  <si>
    <t>S39AE_HUMAN</t>
  </si>
  <si>
    <t>Zinc transporter ZIP14</t>
  </si>
  <si>
    <t>SLC39A14</t>
  </si>
  <si>
    <t>SP:1-30;NC:31-152;TM:153-175;CY:176-185;TM:186-207;NC:208-218;TM:219-237;CY:238-398;TM:399-419;NC:420-424;TM:425-442;CY:443-461;TM:462-485;NC:486-492</t>
  </si>
  <si>
    <t>ENSG00000104635</t>
  </si>
  <si>
    <t>ENSP00000289952;ENSP00000370635</t>
  </si>
  <si>
    <t>77;87;102</t>
  </si>
  <si>
    <t>ALLNHLDVGVGRGN[115]VTQHVQGHR;GN[115]VTQHVQ;GN[115]VTQHVQGH;GN[115]VTQHVQGHR;N[115]VTQHVQGHR;N[115]LSTCFSSGDLFTAH;N[115]LSTCFSSGDLFTAHN[115]FSEQSR;FSSGDLFTAHN[115]FSEQSR;SSGDLFTAHN[115]FSEQSR;SGDLFTAHN[115]FSEQSR;GDLFTAHN[115]FSEQSR;FTAHN[115]FSEQSR;TAHN[115]FSEQSR;AHN[115]FSEQSR;HN[115]FSEQSR;N[115]FSEQSR</t>
  </si>
  <si>
    <t>Q15043</t>
  </si>
  <si>
    <t>Cell membrane (Multi-pass membrane protein);Cell projection, lamellipodium</t>
  </si>
  <si>
    <t>Alternative splicing;Cell membrane;Cell projection;Complete proteome;Glycoprotein;Ion transport;Membrane;Polymorphism;Reference proteome;Signal;Transmembrane;Transmembrane helix;Transport;Zinc;Zinc transport</t>
  </si>
  <si>
    <t>UniRef100_Q15043;UniRef90_Q15043;UniRef50_Q15043</t>
  </si>
  <si>
    <t>P2RY6_HUMAN</t>
  </si>
  <si>
    <t>P2Y purinoceptor 6</t>
  </si>
  <si>
    <t>P2RY6</t>
  </si>
  <si>
    <t>NC:1-31;TM:32-52;CY:53-62;TM:63-84;NC:85-103;TM:104-122;CY:123-142;TM:143-169;NC:170-189;TM:190-217;CY:218-236;TM:237-257;NC:258-285;TM:286-304;CY:305-328</t>
  </si>
  <si>
    <t>ENSG00000171631</t>
  </si>
  <si>
    <t>ENSP00000309771;ENSP00000377215;ENSP00000377216;ENSP00000377217;ENSP00000442990;ENSP00000442551;ENSP00000443427;ENSP00000445652;ENSP00000480966</t>
  </si>
  <si>
    <t>5;173</t>
  </si>
  <si>
    <t>UniRef100_Q15077;UniRef90_Q15077;UniRef50_Q15077</t>
  </si>
  <si>
    <t>RAGE_HUMAN</t>
  </si>
  <si>
    <t>Advanced glycosylation end product-specific receptor</t>
  </si>
  <si>
    <t>AGER</t>
  </si>
  <si>
    <t>SP:1-22;NC:23-340;TM:341-363;CY:364-404</t>
  </si>
  <si>
    <t>ENSG00000204305;ENSG00000206320;ENSG00000229058;ENSG00000230514;ENSG00000231268;ENSG00000237405;ENSG00000234729</t>
  </si>
  <si>
    <t>ENSP00000364217;ENSP00000415144;ENSP00000416042;ENSP00000397227;ENSP00000395812;ENSP00000401068;ENSP00000409457</t>
  </si>
  <si>
    <t>25;81;389</t>
  </si>
  <si>
    <t>3D-structure;Alternative splicing;Cell membrane;Complete proteome;Disulfide bond;Glycoprotein;Immunoglobulin domain;Inflammatory response;Membrane;Polymorphism;Reference proteome;Repeat;Secreted;Signal;Transmembrane;Transmembrane helix</t>
  </si>
  <si>
    <t>UniRef100_Q15109;UniRef90_Q15109;UniRef50_Q15109</t>
  </si>
  <si>
    <t>PDCD1_HUMAN</t>
  </si>
  <si>
    <t>Programmed cell death protein 1</t>
  </si>
  <si>
    <t>PDCD1</t>
  </si>
  <si>
    <t>SP:1-24;NC:25-167;TM:168-192;CY:193-288</t>
  </si>
  <si>
    <t>ENSG00000188389;ENSG00000276977</t>
  </si>
  <si>
    <t>ENSP00000335062;ENSP00000480684</t>
  </si>
  <si>
    <t>CD279</t>
  </si>
  <si>
    <t>49;58;74;116</t>
  </si>
  <si>
    <t>36;153;157;159;260</t>
  </si>
  <si>
    <t>MSPSN[115]QTDK;RN[115]DSGTYLCGAISLAPK</t>
  </si>
  <si>
    <t>74;116</t>
  </si>
  <si>
    <t>Q15116</t>
  </si>
  <si>
    <t>3D-structure;Apoptosis;Complete proteome;Disulfide bond;Glycoprotein;Immunity;Immunoglobulin domain;Membrane;Polymorphism;Reference proteome;Signal;Systemic lupus erythematosus;Transmembrane;Transmembrane helix</t>
  </si>
  <si>
    <t>UniRef100_Q15116;UniRef90_Q15116;UniRef50_Q15116</t>
  </si>
  <si>
    <t>EBP_HUMAN</t>
  </si>
  <si>
    <t>3-beta-hydroxysteroid-Delta(8),Delta(7)-isomerase</t>
  </si>
  <si>
    <t>EBP</t>
  </si>
  <si>
    <t>NC:1-28;TM:29-50;CY:51-64;TM:65-86;NC:87-122;TM:123-141;CY:142-147;TM:148-167;NC:168-183;TM:184-205;CY:206-230</t>
  </si>
  <si>
    <t>ENSG00000147155</t>
  </si>
  <si>
    <t>ENSP00000417052</t>
  </si>
  <si>
    <t>Acetylation;Cataract;Cholesterol biosynthesis;Cholesterol metabolism;Complete proteome;Disease mutation;Dwarfism;Endoplasmic reticulum;Ichthyosis;Isomerase;Lipid biosynthesis;Lipid metabolism;Membrane;Reference proteome;Steroid biosynthesis;Steroid metabolism;Sterol biosynthesis;Sterol metabolism;Transmembrane;Transmembrane helix</t>
  </si>
  <si>
    <t>UniRef100_Q15125;UniRef90_Q15125;UniRef50_Q15125</t>
  </si>
  <si>
    <t>PVRL1_HUMAN</t>
  </si>
  <si>
    <t>Nectin-1</t>
  </si>
  <si>
    <t>PVRL1</t>
  </si>
  <si>
    <t>SP:1-30;NC:31-354;TM:355-378;CY:379-517</t>
  </si>
  <si>
    <t>ENSG00000110400</t>
  </si>
  <si>
    <t>ENSP00000264025</t>
  </si>
  <si>
    <t>CD111</t>
  </si>
  <si>
    <t>36;72;139;202;286;297;307;332</t>
  </si>
  <si>
    <t>36;72;82;139;202;286;297;307;332</t>
  </si>
  <si>
    <t>341;390;391;401</t>
  </si>
  <si>
    <t>ESQLN[115]LTVMAK;ESQLN[115]LTVMAKPTNWIEGTQAVLR;LKGEAEYQEIRNPN[115]GTVTVISR;NPN[115]GTVTVISR;PN[115]GTVTVISR;N[115]GTVTVISR;ADANPPATEYHWTTLN[115]GSLPK;PPATEYHWTTLN[115]GSLPK;PATEYHWTTLN[115]GSLPK;TTLN[115]GSLPK;SGQVEVN[115]ITEFPYTPSPPEHGR</t>
  </si>
  <si>
    <t>139;202;286;332</t>
  </si>
  <si>
    <t>Q15223</t>
  </si>
  <si>
    <t>Cell junction, synapse, presynaptic cell membrane;Cell membrane (Single-pass type I membrane protein);Cell membrane (Single-pass type I membrane protein);Secreted</t>
  </si>
  <si>
    <t>3D-structure;Alternative splicing;Cell adhesion;Cell junction;Cell membrane;Complete proteome;Disulfide bond;Ectodermal dysplasia;Glycoprotein;Host cell receptor for virus entry;Host-virus interaction;Immunoglobulin domain;Membrane;Phosphoprotein;Receptor;Reference proteome;Repeat;Secreted;Signal;Synapse;Transmembrane;Transmembrane helix</t>
  </si>
  <si>
    <t>UniRef100_Q15223;UniRef90_Q15223;UniRef50_Q15223</t>
  </si>
  <si>
    <t>PTPRR_HUMAN</t>
  </si>
  <si>
    <t>Receptor-type tyrosine-protein phosphatase R</t>
  </si>
  <si>
    <t>PTPRR</t>
  </si>
  <si>
    <t>SP:1-18;NC:19-227;TM:228-250;CY:251-657</t>
  </si>
  <si>
    <t>ENSG00000153233</t>
  </si>
  <si>
    <t>ENSP00000283228</t>
  </si>
  <si>
    <t>129;340;438;527</t>
  </si>
  <si>
    <t>Cell membrane (Single-pass type I membrane protein);Cytoplasm, perinuclear region;Cytoplasm, perinuclear region</t>
  </si>
  <si>
    <t>3D-structure;Alternative splicing;Cell membrane;Complete proteome;Cytoplasm;Glycoprotein;Hydrolase;Membrane;Phosphoprotein;Polymorphism;Protein phosphatase;Receptor;Reference proteome;Signal;Transmembrane;Transmembrane helix</t>
  </si>
  <si>
    <t>UniRef100_Q15256;UniRef90_Q15256;UniRef50_Q15256</t>
  </si>
  <si>
    <t>PTPRK_HUMAN</t>
  </si>
  <si>
    <t>Receptor-type tyrosine-protein phosphatase kappa</t>
  </si>
  <si>
    <t>PTPRK</t>
  </si>
  <si>
    <t>SP:1-25;NC:26-752;TM:753-774;CY:775-1439</t>
  </si>
  <si>
    <t>ENSG00000152894</t>
  </si>
  <si>
    <t>ENSP00000357198</t>
  </si>
  <si>
    <t>101;140;211;416;424;436;462;552;586;590;607;690;826;833;1169;1319</t>
  </si>
  <si>
    <t>EN[115]DTHCIDFSYLLYSQK;GPLANPIWN[115]VTGFTGR;PLANPIWN[115]VTGFTGR;LANPIWN[115]VTGFTGR;LGDVEVNAGQN[115]ATFQCIATGR;IAVDWESLGYN[115]ITR;APQHVVNHLPPYTN[115]VSLK;APQHVVN[115]HLPPYTN[115]VSLK;SFDPAVPVAGPPQTVSNLWN[115]STHHVF</t>
  </si>
  <si>
    <t>101;140;211;416;462;552</t>
  </si>
  <si>
    <t>Q15262</t>
  </si>
  <si>
    <t>Cell junction, adherens junction;Cell membrane (Single-pass type I membrane protein)</t>
  </si>
  <si>
    <t>3D-structure;Alternative splicing;Cell junction;Cell membrane;Complete proteome;Disulfide bond;Glycoprotein;Hydrolase;Immunoglobulin domain;Membrane;Protein phosphatase;Receptor;Reference proteome;Repeat;Signal;Transmembrane;Transmembrane helix</t>
  </si>
  <si>
    <t>UniRef100_Q15262;UniRef90_Q15262;UniRef50_Q15262</t>
  </si>
  <si>
    <t>ERBB4_HUMAN</t>
  </si>
  <si>
    <t>Receptor tyrosine-protein kinase erbB-4</t>
  </si>
  <si>
    <t>ERBB4</t>
  </si>
  <si>
    <t>SP:1-25;NC:26-651;TM:652-675;CY:676-1308</t>
  </si>
  <si>
    <t>ENSG00000178568</t>
  </si>
  <si>
    <t>ENSP00000342235</t>
  </si>
  <si>
    <t>138;174;181;253;358;410;473;495;548;576;620;754;999;1044;1108;1190;1244</t>
  </si>
  <si>
    <t>138;174;181;253;269;358;410;473;495;548;576;620;754;999;1044;1108;1190;1244</t>
  </si>
  <si>
    <t>179;180;701;1036;1037;1043;1046;1051;1057;1060;1078;1085;1086;1087;1098;1105;1129;1133;1140;1152;1173;1192</t>
  </si>
  <si>
    <t>Cell membrane (Single-pass type I membrane protein);Mitochondrion;Nucleus</t>
  </si>
  <si>
    <t>3D-structure;Activator;Alternative splicing;Amyotrophic lateral sclerosis;Apoptosis;ATP-binding;Cell membrane;Complete proteome;Developmental protein;Disease mutation;Disulfide bond;Glycoprotein;Kinase;Lactation;Membrane;Mitochondrion;Neurodegeneration;Nucleotide-binding;Nucleus;Phosphoprotein;Polymorphism;Receptor;Reference proteome;Repeat;Signal;Transcription;Transcription regulation;Transferase;Transmembrane;Transmembrane helix;Tyrosine-protein kinase;Ubl conjugation</t>
  </si>
  <si>
    <t>UniRef100_Q15303;UniRef90_Q15303;UniRef50_Q15303</t>
  </si>
  <si>
    <t>Mitochondrion;Nucleus;Plasma membrane</t>
  </si>
  <si>
    <t>Endoplasmic Reticulum;Endosome;Golgi apparatus;Lysosome;Peroxisome</t>
  </si>
  <si>
    <t>DB08916</t>
  </si>
  <si>
    <t>EPHA7_HUMAN</t>
  </si>
  <si>
    <t>Ephrin type-A receptor 7</t>
  </si>
  <si>
    <t>EPHA7</t>
  </si>
  <si>
    <t>SP:1-29;NC:30-554;TM:555-578;CY:579-998</t>
  </si>
  <si>
    <t>ENSG00000135333</t>
  </si>
  <si>
    <t>ENSP00000358309</t>
  </si>
  <si>
    <t>64;343;410;525;943</t>
  </si>
  <si>
    <t>64;343;410;943</t>
  </si>
  <si>
    <t>3D-structure;Alternative splicing;Apoptosis;ATP-binding;Cell membrane;Complete proteome;Developmental protein;Glycoprotein;Kinase;Membrane;Neurogenesis;Nucleotide-binding;Phosphoprotein;Polymorphism;Receptor;Reference proteome;Repeat;Signal;Transferase;Transmembrane;Transmembrane helix;Tyrosine-protein kinase</t>
  </si>
  <si>
    <t>UniRef100_Q15375;UniRef90_Q61772;UniRef50_Q61772</t>
  </si>
  <si>
    <t>P2Y14_HUMAN</t>
  </si>
  <si>
    <t>P2Y purinoceptor 14</t>
  </si>
  <si>
    <t>P2RY14</t>
  </si>
  <si>
    <t>NC:1-24;TM:25-49;CY:50-56;TM:57-78;NC:79-97;TM:98-117;CY:118-137;TM:138-158;NC:159-188;TM:189-210;CY:211-233;TM:234-252;NC:253-278;TM:279-299;CY:300-338</t>
  </si>
  <si>
    <t>ENSG00000174944</t>
  </si>
  <si>
    <t>ENSP00000308361;ENSP00000408733</t>
  </si>
  <si>
    <t>3;161;223;329</t>
  </si>
  <si>
    <t>UniRef100_Q15391;UniRef90_Q15391;UniRef50_Q15391</t>
  </si>
  <si>
    <t>TLR1_HUMAN</t>
  </si>
  <si>
    <t>Toll-like receptor 1</t>
  </si>
  <si>
    <t>TLR1</t>
  </si>
  <si>
    <t>SP:1-22;NC:23-578;TM:579-603;CY:604-786</t>
  </si>
  <si>
    <t>ENSG00000174125</t>
  </si>
  <si>
    <t>ENSP00000354932;ENSP00000421259</t>
  </si>
  <si>
    <t>CD281</t>
  </si>
  <si>
    <t>51;137;163;248;330;429;578</t>
  </si>
  <si>
    <t>248;330;578</t>
  </si>
  <si>
    <t>SSVLPIAHLN[115]ISK</t>
  </si>
  <si>
    <t>Q15399</t>
  </si>
  <si>
    <t>Cell membrane (Single-pass type I membrane protein);Cytoplasmic vesicle, phagosome membrane (Single-pass type I membrane protein)</t>
  </si>
  <si>
    <t>3D-structure;Cell membrane;Complete proteome;Cytoplasmic vesicle;Direct protein sequencing;Disulfide bond;Glycoprotein;Immunity;Inflammatory response;Innate immunity;Leucine-rich repeat;Membrane;Polymorphism;Receptor;Reference proteome;Repeat;Signal;Transmembrane;Transmembrane helix</t>
  </si>
  <si>
    <t>UniRef100_Q15399;UniRef90_Q15399;UniRef50_Q9Y2C9</t>
  </si>
  <si>
    <t>OR1Q1_HUMAN</t>
  </si>
  <si>
    <t>Olfactory receptor 1Q1</t>
  </si>
  <si>
    <t>OR1Q1</t>
  </si>
  <si>
    <t>NC:1-26;TM:27-50;CY:51-58;TM:59-79;NC:80-99;TM:100-120;CY:121-139;TM:140-158;NC:159-203;TM:204-225;CY:226-236;TM:237-260;NC:261-271;TM:272-292;CY:293-314</t>
  </si>
  <si>
    <t>ENSG00000165202</t>
  </si>
  <si>
    <t>ENSP00000297913</t>
  </si>
  <si>
    <t>5;38</t>
  </si>
  <si>
    <t>UniRef100_Q15612;UniRef90_Q15612;UniRef50_Q15612</t>
  </si>
  <si>
    <t>OR8G2_HUMAN</t>
  </si>
  <si>
    <t>Olfactory receptor 8G2</t>
  </si>
  <si>
    <t>OR8G2</t>
  </si>
  <si>
    <t>NC:1-26;TM:27-48;CY:49-59;TM:60-79;NC:80-98;TM:99-120;CY:121-140;TM:141-161;NC:162-196;TM:197-222;CY:223-241;TM:242-261;NC:262-272;TM:273-292;CY:293-310</t>
  </si>
  <si>
    <t>UniRef100_Q15614;UniRef90_Q15614;UniRef50_Q15614</t>
  </si>
  <si>
    <t>OR4D1_HUMAN</t>
  </si>
  <si>
    <t>Olfactory receptor 4D1</t>
  </si>
  <si>
    <t>OR4D1</t>
  </si>
  <si>
    <t>NC:1-25;TM:26-49;CY:50-59;TM:60-78;NC:79-98;TM:99-120;CY:121-139;TM:140-163;NC:164-203;TM:204-225;CY:226-236;TM:237-258;NC:259-269;TM:270-289;CY:290-310</t>
  </si>
  <si>
    <t>ENSG00000141194</t>
  </si>
  <si>
    <t>ENSP00000365451</t>
  </si>
  <si>
    <t>UniRef100_Q15615;UniRef90_Q15615;UniRef50_Q15615</t>
  </si>
  <si>
    <t>OR8G1_HUMAN</t>
  </si>
  <si>
    <t>Olfactory receptor 8G1</t>
  </si>
  <si>
    <t>OR8G1</t>
  </si>
  <si>
    <t>NC:1-26;TM:27-48;CY:49-59;TM:60-79;NC:80-100;TM:101-120;CY:121-139;TM:140-161;NC:162-196;TM:197-222;CY:223-241;TM:242-261;NC:262-273;TM:274-292;CY:293-311</t>
  </si>
  <si>
    <t>ENSG00000197849</t>
  </si>
  <si>
    <t>ENSP00000476313</t>
  </si>
  <si>
    <t>5;6</t>
  </si>
  <si>
    <t>UniRef100_Q15617;UniRef90_Q15617;UniRef50_Q8WZ84</t>
  </si>
  <si>
    <t>OR1C1_HUMAN</t>
  </si>
  <si>
    <t>Olfactory receptor 1C1</t>
  </si>
  <si>
    <t>OR1C1</t>
  </si>
  <si>
    <t>NC:1-25;TM:26-48;CY:49-58;TM:59-80;NC:81-99;TM:100-120;CY:121-137;TM:138-158;NC:159-193;TM:194-221;CY:222-240;TM:241-260;NC:261-272;TM:273-292;CY:293-314</t>
  </si>
  <si>
    <t>ENSG00000221888</t>
  </si>
  <si>
    <t>ENSP00000386138</t>
  </si>
  <si>
    <t>UniRef100_Q15619;UniRef90_Q15619;UniRef50_Q8VGK5</t>
  </si>
  <si>
    <t>OR8B8_HUMAN</t>
  </si>
  <si>
    <t>Olfactory receptor 8B8</t>
  </si>
  <si>
    <t>OR8B8</t>
  </si>
  <si>
    <t>NC:1-25;TM:26-49;CY:50-60;TM:61-78;NC:79-99;TM:100-120;CY:121-139;TM:140-160;NC:161-197;TM:198-221;CY:222-240;TM:241-260;NC:261-274;TM:275-292;CY:293-311</t>
  </si>
  <si>
    <t>ENSG00000197125</t>
  </si>
  <si>
    <t>ENSP00000330280</t>
  </si>
  <si>
    <t>UniRef100_Q15620;UniRef90_Q15620;UniRef50_Q15620</t>
  </si>
  <si>
    <t>OR7A5_HUMAN</t>
  </si>
  <si>
    <t>Olfactory receptor 7A5</t>
  </si>
  <si>
    <t>OR7A5</t>
  </si>
  <si>
    <t>NC:1-25;TM:26-48;CY:49-58;TM:59-79;NC:80-98;TM:99-120;CY:121-139;TM:140-162;NC:163-196;TM:197-217;CY:218-237;TM:238-260;NC:261-271;TM:272-291;CY:292-319</t>
  </si>
  <si>
    <t>ENSG00000188269</t>
  </si>
  <si>
    <t>ENSP00000316955;ENSP00000471977</t>
  </si>
  <si>
    <t>UniRef100_Q15622;UniRef90_Q15622;UniRef50_O60412</t>
  </si>
  <si>
    <t>LT4R1_HUMAN</t>
  </si>
  <si>
    <t>Leukotriene B4 receptor 1</t>
  </si>
  <si>
    <t>LTB4R</t>
  </si>
  <si>
    <t>NC:1-15;TM:16-43;CY:44-54;TM:55-78;NC:79-92;TM:93-113;CY:114-136;TM:137-158;NC:159-178;TM:179-201;CY:202-221;TM:222-239;NC:240-267;TM:268-288;CY:289-352</t>
  </si>
  <si>
    <t>ENSG00000213903</t>
  </si>
  <si>
    <t>ENSP00000307445;ENSP00000380002;ENSP00000380008</t>
  </si>
  <si>
    <t>2;164</t>
  </si>
  <si>
    <t>327;337</t>
  </si>
  <si>
    <t>TN[115]MSLCFPR</t>
  </si>
  <si>
    <t>Q15722</t>
  </si>
  <si>
    <t>Cell membrane;Complete proteome;G-protein coupled receptor;Glycoprotein;Membrane;Phosphoprotein;Polymorphism;Receptor;Reference proteome;Transducer;Transmembrane;Transmembrane helix</t>
  </si>
  <si>
    <t>UniRef100_Q15722;UniRef90_Q15722;UniRef50_Q15722</t>
  </si>
  <si>
    <t>OGR1_HUMAN</t>
  </si>
  <si>
    <t>Ovarian cancer G-protein coupled receptor 1</t>
  </si>
  <si>
    <t>GPR68</t>
  </si>
  <si>
    <t>NC:1-25;TM:26-47;CY:48-56;TM:57-78;NC:79-99;TM:100-122;CY:123-134;TM:135-157;NC:158-186;TM:187-208;CY:209-228;TM:229-248;NC:249-266;TM:267-289;CY:290-365</t>
  </si>
  <si>
    <t>ENSG00000119714</t>
  </si>
  <si>
    <t>ENSP00000434045;ENSP00000440797</t>
  </si>
  <si>
    <t>3;8;62;86</t>
  </si>
  <si>
    <t>3;62</t>
  </si>
  <si>
    <t>Cell membrane;Complete proteome;Disulfide bond;G-protein coupled receptor;Glycoprotein;Membrane;Polymorphism;Receptor;Reference proteome;Transducer;Transmembrane;Transmembrane helix;Tumor suppressor</t>
  </si>
  <si>
    <t>UniRef100_Q15743;UniRef90_Q15743;UniRef50_Q15743</t>
  </si>
  <si>
    <t>AAAT_HUMAN</t>
  </si>
  <si>
    <t>Neutral amino acid transporter B(0)</t>
  </si>
  <si>
    <t>SLC1A5</t>
  </si>
  <si>
    <t>CY:1-51;TM:52-76;NC:77-97;TM:98-118;CY:119-128;TM:129-153;NC:154-227;TM:228-246;CY:247-265;TM:266-290;NC:291-301;TM:302-328;CY:329-335;TM:336-357;NC:358-373;TM:374-393;CY:394-399;TM:400-420;NC:421-425;TM:426-446;CY:447-541</t>
  </si>
  <si>
    <t>ENSG00000105281</t>
  </si>
  <si>
    <t>ENSP00000444408</t>
  </si>
  <si>
    <t>163;212</t>
  </si>
  <si>
    <t>ALALQPGAASAAIN[115]ASVGAAGSAENAPSK;ALQPGAASAAIN[115]ASVGAAGSAENAPSK;LQPGAASAAIN[115]ASVGAAGSAENAPSK;SAAIN[115]ASVGAAGSAENAPSK;AAIN[115]ASVGAAGSAENAPSK;AIN[115]ASVGAAGSAENAPSK;AIN[115]ASVGAAGSAEN[115]APSK;IN[115]ASVGAAGSAENAPSK;N[115]ASVGAAGSAENAPSK;N[115]ASVGAAGSAEN[115]APSK;SYSTTYEERN[115]ITGT;SYSTTYEERN[115]ITGTR;YSTTYEERN[115]ITGTR;STTYEERN[115]ITGTR;TTYEERN[115]ITGTR;TYEERN[115]ITGTR</t>
  </si>
  <si>
    <t>Q15758</t>
  </si>
  <si>
    <t>Acetylation;Alternative initiation;Alternative splicing;Cell membrane;Complete proteome;Glycoprotein;Host cell receptor for virus entry;Membrane;Phosphoprotein;Polymorphism;Receptor;Reference proteome;Symport;Transmembrane;Transmembrane helix;Transport</t>
  </si>
  <si>
    <t>UniRef100_Q15758;UniRef90_Q15758;UniRef50_Q15758</t>
  </si>
  <si>
    <t>DB00174</t>
  </si>
  <si>
    <t>GPR19_HUMAN</t>
  </si>
  <si>
    <t>Probable G-protein coupled receptor 19</t>
  </si>
  <si>
    <t>GPR19</t>
  </si>
  <si>
    <t>NC:1-67;TM:68-90;CY:91-101;TM:102-123;NC:124-142;TM:143-164;CY:165-183;TM:184-202;NC:203-221;TM:222-243;CY:244-277;TM:278-298;NC:299-309;TM:310-329;CY:330-415</t>
  </si>
  <si>
    <t>ENSG00000183150</t>
  </si>
  <si>
    <t>ENSP00000333744;ENSP00000441832</t>
  </si>
  <si>
    <t>25;52</t>
  </si>
  <si>
    <t>UniRef100_Q15760;UniRef90_Q15760;UniRef50_Q15760</t>
  </si>
  <si>
    <t>NPY5R_HUMAN</t>
  </si>
  <si>
    <t>Neuropeptide Y receptor type 5</t>
  </si>
  <si>
    <t>NPY5R</t>
  </si>
  <si>
    <t>NC:1-41;TM:42-66;CY:67-77;TM:78-104;NC:105-115;TM:116-137;CY:138-156;TM:157-177;NC:178-208;TM:209-229;CY:230-365;TM:366-384;NC:385-403;TM:404-427;CY:428-445</t>
  </si>
  <si>
    <t>ENSG00000164129</t>
  </si>
  <si>
    <t>ENSP00000339377;ENSP00000423474;ENSP00000423917</t>
  </si>
  <si>
    <t>10;17;150;256;307</t>
  </si>
  <si>
    <t>10;17;150;256</t>
  </si>
  <si>
    <t>UniRef100_Q15761;UniRef90_Q63634;UniRef50_Q63634</t>
  </si>
  <si>
    <t>CD226_HUMAN</t>
  </si>
  <si>
    <t>CD226 antigen</t>
  </si>
  <si>
    <t>CD226</t>
  </si>
  <si>
    <t>SP:1-18;NC:19-250;TM:251-275;CY:276-336</t>
  </si>
  <si>
    <t>ENSG00000150637</t>
  </si>
  <si>
    <t>ENSP00000280200;ENSP00000461947</t>
  </si>
  <si>
    <t>32;83;90;97;147;186;198;231;311</t>
  </si>
  <si>
    <t>VYFLN[115]STMASNN[115]MTLF;QIVSN[115]CSHGR;LQASAGEN[115]ETFVMR;SAGEN[115]ETFVMR</t>
  </si>
  <si>
    <t>83;90;198;231</t>
  </si>
  <si>
    <t>Q15762</t>
  </si>
  <si>
    <t>Cell adhesion;Complete proteome;Direct protein sequencing;Disulfide bond;Glycoprotein;Immunoglobulin domain;Membrane;Phosphoprotein;Polymorphism;Receptor;Reference proteome;Repeat;Signal;Transmembrane;Transmembrane helix</t>
  </si>
  <si>
    <t>UniRef100_Q15762;UniRef90_Q15762;UniRef50_Q15762</t>
  </si>
  <si>
    <t>EFNB3_HUMAN</t>
  </si>
  <si>
    <t>Ephrin-B3</t>
  </si>
  <si>
    <t>EFNB3</t>
  </si>
  <si>
    <t>SP:1-29;NC:30-226;TM:227-251;CY:252-340</t>
  </si>
  <si>
    <t>ENSG00000108947</t>
  </si>
  <si>
    <t>ENSP00000226091</t>
  </si>
  <si>
    <t>182;195;209;212;213</t>
  </si>
  <si>
    <t>DRGAAHSLEPGKENLPGDPTSN[115]ATSR;GAAHSLEPGKENLPGDPTSN[115]ATSR;SLEPGKENLPGDPTSN[115]ATSR;ENLPGDPTSN[115]ATSR</t>
  </si>
  <si>
    <t>Q15768</t>
  </si>
  <si>
    <t>3D-structure;Complete proteome;Developmental protein;Differentiation;Direct protein sequencing;Disulfide bond;Glycoprotein;Host-virus interaction;Membrane;Neurogenesis;Polymorphism;Reference proteome;Signal;Transmembrane;Transmembrane helix</t>
  </si>
  <si>
    <t>UniRef100_Q15768;UniRef90_Q15768;UniRef50_Q15768</t>
  </si>
  <si>
    <t>ACHA2_HUMAN</t>
  </si>
  <si>
    <t>Neuronal acetylcholine receptor subunit alpha-2</t>
  </si>
  <si>
    <t>CHRNA2</t>
  </si>
  <si>
    <t>SP:1-26;NC:27-265;TM:266-289;CY:290-296;TM:297-319;NC:320-330;TM:331-352;CY:353-502;TM:503-522;NC:523-529</t>
  </si>
  <si>
    <t>ENSG00000120903</t>
  </si>
  <si>
    <t>ENSP00000385026;ENSP00000429616</t>
  </si>
  <si>
    <t>79;129;235</t>
  </si>
  <si>
    <t>Alternative splicing;Cell junction;Cell membrane;Complete proteome;Disease mutation;Disulfide bond;Epilepsy;Glycoprotein;Ion channel;Ion transport;Ligand-gated ion channel;Membrane;Polymorphism;Postsynaptic cell membrane;Receptor;Reference proteome;Signal;Synapse;Transmembrane;Transmembrane helix;Transport</t>
  </si>
  <si>
    <t>UniRef100_Q15822;UniRef90_Q15822;UniRef50_Q15822</t>
  </si>
  <si>
    <t>DB00184;DB00411;DB00483;DB00514;DB00565;DB00657;DB00674;DB00721;DB00728;DB00732;DB00810;DB01135;DB01199;DB01226;DB01245;DB01336;DB01337;DB01338;DB01339</t>
  </si>
  <si>
    <t>ACHA6_HUMAN</t>
  </si>
  <si>
    <t>Neuronal acetylcholine receptor subunit alpha-6</t>
  </si>
  <si>
    <t>CHRNA6</t>
  </si>
  <si>
    <t>SP:1-30;NC:31-241;TM:242-264;CY:265-271;TM:272-294;NC:295-305;TM:306-329;CY:330-465;TM:466-487;NC:488-494</t>
  </si>
  <si>
    <t>ENSG00000147434</t>
  </si>
  <si>
    <t>ENSP00000276410</t>
  </si>
  <si>
    <t>54;171;447</t>
  </si>
  <si>
    <t>UniRef100_Q15825;UniRef90_Q15825;UniRef50_Q15825</t>
  </si>
  <si>
    <t>DB00184;DB00674;DB01273;DB09028</t>
  </si>
  <si>
    <t>UT2_HUMAN</t>
  </si>
  <si>
    <t>Urea transporter 2</t>
  </si>
  <si>
    <t>SLC14A2</t>
  </si>
  <si>
    <t>CY:1-121;TM:122-145;NC:146-150;TM:151-170;CY:171-176;TM:177-196;NC:197-201;TM:202-224;CY:225-234;TM:235-257;NC:258-276;TM:277-296;CY:297-303;TM:304-333;NC:334-344;TM:345-364;CY:365-369;TM:370-393;NC:394-398;TM:399-419;CY:420-590;TM:591-608;NC:609-613;TM:614-632;CY:633-638;TM:639-658;NC:659-663;TM:664-688;CY:689-696;TM:697-719;NC:720-738;TM:739-757;CY:758-764;TM:765-796;NC:797-802;TM:803-825;CY:826-831;TM:832-855;NC:856-860;TM:861-881;CY:882-920</t>
  </si>
  <si>
    <t>ENSG00000132874</t>
  </si>
  <si>
    <t>ENSP00000255226;ENSP00000465953;ENSP00000465349</t>
  </si>
  <si>
    <t>271;535;703;733;811</t>
  </si>
  <si>
    <t>Alternative splicing;Cell membrane;Complete proteome;Glycoprotein;Membrane;Phosphoprotein;Polymorphism;Reference proteome;Transmembrane;Transmembrane helix;Transport</t>
  </si>
  <si>
    <t>UniRef100_Q15849;UniRef90_Q15849;UniRef50_Q15849</t>
  </si>
  <si>
    <t>SCN9A_HUMAN</t>
  </si>
  <si>
    <t>Sodium channel protein type 9 subunit alpha</t>
  </si>
  <si>
    <t>SCN9A</t>
  </si>
  <si>
    <t>CY:1-121;TM:122-145;NC:146-189;TM:190-210;CY:211-221;TM:222-242;NC:243-247;TM:248-268;CY:269-377;TM:378-404;NC:405-736;TM:737-762;CY:763-774;TM:775-796;NC:797-812;TM:813-834;CY:835-857;TM:858-883;NC:884-912;TM:913-933;CY:934-944;TM:945-968;NC:969-1192;TM:1193-1211;CY:1212-1231;TM:1232-1248;NC:1249-1259;TM:1260-1280;CY:1281-1299;TM:1300-1318;NC:1319-1323;TM:1324-1344;CY:1345-1392;TM:1393-1414;NC:1415-1433;TM:1434-1457;CY:1458-1515;TM:1516-1534;NC:1535-1545;TM:1546-1564;CY:1565-1575;TM:1576-1596;NC:1597-1601;TM:1602-1621;CY:1622-1632;TM:1633-1661;NC:1662-1736;TM:1737-1759;CY:1760-1988</t>
  </si>
  <si>
    <t>ENSG00000169432</t>
  </si>
  <si>
    <t>ENSP00000304748;ENSP00000386330;ENSP00000413212</t>
  </si>
  <si>
    <t>101;209;283;533;581;601;725;868;975;1040;1120;1352;1366;1375;1762;1911;1940</t>
  </si>
  <si>
    <t>600;603;606;629;654;655;1060;1065;1084;1088;1942;1949;1950;1954</t>
  </si>
  <si>
    <t>Alternative splicing;Complete proteome;Disease mutation;Epilepsy;Glycoprotein;Ion channel;Ion transport;Membrane;Phosphoprotein;Polymorphism;Reference proteome;Repeat;Sodium;Sodium channel;Sodium transport;Transmembrane;Transmembrane helix;Transport;Ubl conjugation;Voltage-gated channel</t>
  </si>
  <si>
    <t>UniRef100_Q15858;UniRef90_Q15858;UniRef50_P35498</t>
  </si>
  <si>
    <t>DB00243;DB00281;DB00909;DB06201;DB06218;DB00313</t>
  </si>
  <si>
    <t>GRIK4_HUMAN</t>
  </si>
  <si>
    <t>Glutamate receptor ionotropic, kainate 4</t>
  </si>
  <si>
    <t>GRIK4</t>
  </si>
  <si>
    <t>SP:1-20;NC:21-545;TM:546-566;CY:567-623;TM:624-645;NC:646-804;TM:805-828;CY:829-956</t>
  </si>
  <si>
    <t>ENSG00000149403</t>
  </si>
  <si>
    <t>ENSP00000404063;ENSP00000435648</t>
  </si>
  <si>
    <t>158;220;272;286;323;408;415;479;736;951</t>
  </si>
  <si>
    <t>158;415;479;736</t>
  </si>
  <si>
    <t>Cell junction;Cell membrane;Complete proteome;Glycoprotein;Ion channel;Ion transport;Ligand-gated ion channel;Membrane;Polymorphism;Postsynaptic cell membrane;Receptor;Reference proteome;Signal;Synapse;Transmembrane;Transmembrane helix;Transport</t>
  </si>
  <si>
    <t>UniRef100_Q16099;UniRef90_Q01812;UniRef50_Q16478-2</t>
  </si>
  <si>
    <t>NTRK3_HUMAN</t>
  </si>
  <si>
    <t>NT-3 growth factor receptor</t>
  </si>
  <si>
    <t>NTRK3</t>
  </si>
  <si>
    <t>SP:1-31;NC:32-430;TM:431-453;CY:454-839</t>
  </si>
  <si>
    <t>ENSG00000140538</t>
  </si>
  <si>
    <t>ENSP00000354207</t>
  </si>
  <si>
    <t>68;72;79;133;163;203;218;232;259;267;272;294;375;388;559</t>
  </si>
  <si>
    <t>72;79;218;259;267;272;375;388</t>
  </si>
  <si>
    <t>472;479;489;490;492;493</t>
  </si>
  <si>
    <t>ELQLEQNFFN[115]CSCDIR;NPLGTAN[115]QTINGHFLK;NPLGTAN[115]QTIN[115]GH;NPLGTAN[115]QTIN[115]GHFLK</t>
  </si>
  <si>
    <t>163;388</t>
  </si>
  <si>
    <t>Q16288</t>
  </si>
  <si>
    <t>3D-structure;Alternative splicing;ATP-binding;Complete proteome;Developmental protein;Differentiation;Direct protein sequencing;Disulfide bond;Glycoprotein;Immunoglobulin domain;Kinase;Leucine-rich repeat;Membrane;Neurogenesis;Nucleotide-binding;Phosphoprotein;Polymorphism;Receptor;Reference proteome;Repeat;Signal;Transferase;Transmembrane;Transmembrane helix;Tyrosine-protein kinase</t>
  </si>
  <si>
    <t>UniRef100_Q16288;UniRef90_Q16288;UniRef50_P15209-3</t>
  </si>
  <si>
    <t>S15A2_HUMAN</t>
  </si>
  <si>
    <t>Solute carrier family 15 member 2</t>
  </si>
  <si>
    <t>SLC15A2</t>
  </si>
  <si>
    <t>CY:1-57;TM:58-78;NC:79-83;TM:84-105;CY:106-113;TM:114-135;NC:136-140;TM:141-163;CY:164-183;TM:184-205;NC:206-216;TM:217-237;CY:238-297;TM:298-316;NC:317-345;TM:346-367;CY:368-378;TM:379-399;NC:400-567;TM:568-587;CY:588-612;TM:613-632;NC:633-645;TM:646-664;CY:665-674;TM:675-697;NC:698-729</t>
  </si>
  <si>
    <t>ENSG00000163406</t>
  </si>
  <si>
    <t>ENSP00000417085</t>
  </si>
  <si>
    <t>7;269;373;435;472;528;567;587</t>
  </si>
  <si>
    <t>YHN[115]LSLYTEHSVQEK</t>
  </si>
  <si>
    <t>Q16348</t>
  </si>
  <si>
    <t>Alternative splicing;Complete proteome;Glycoprotein;Membrane;Peptide transport;Polymorphism;Protein transport;Reference proteome;Symport;Transmembrane;Transmembrane helix;Transport</t>
  </si>
  <si>
    <t>UniRef100_Q16348;UniRef90_Q16348;UniRef50_Q16348</t>
  </si>
  <si>
    <t>GBRA6_HUMAN</t>
  </si>
  <si>
    <t>Gamma-aminobutyric acid receptor subunit alpha-6</t>
  </si>
  <si>
    <t>GABRA6</t>
  </si>
  <si>
    <t>SP:1-19;NC:20-240;TM:241-264;CY:265-272;TM:273-292;NC:293-304;TM:305-328;CY:329-422;TM:423-441;NC:442-453</t>
  </si>
  <si>
    <t>ENSG00000145863</t>
  </si>
  <si>
    <t>ENSP00000274545</t>
  </si>
  <si>
    <t>31;128;141</t>
  </si>
  <si>
    <t>128;141</t>
  </si>
  <si>
    <t>UniRef100_Q16445;UniRef90_P30191;UniRef50_P30191</t>
  </si>
  <si>
    <t>GRIK5_HUMAN</t>
  </si>
  <si>
    <t>Glutamate receptor ionotropic, kainate 5</t>
  </si>
  <si>
    <t>GRIK5</t>
  </si>
  <si>
    <t>SP:1-18;NC:19-544;TM:545-565;CY:566-621;TM:622-644;NC:645-803;TM:804-827;CY:828-980</t>
  </si>
  <si>
    <t>ENSG00000105737</t>
  </si>
  <si>
    <t>ENSP00000262895;ENSP00000470251</t>
  </si>
  <si>
    <t>219;271;285;322;372;394;400;407;414;478;735</t>
  </si>
  <si>
    <t>UniRef100_Q16478;UniRef90_Q61626;UniRef50_Q61626</t>
  </si>
  <si>
    <t>GP162_HUMAN</t>
  </si>
  <si>
    <t>Probable G-protein coupled receptor 162</t>
  </si>
  <si>
    <t>GPR162</t>
  </si>
  <si>
    <t>NC:1-16;TM:17-38;CY:39-49;TM:50-73;NC:74-92;TM:93-113;CY:114-133;TM:134-155;NC:156-174;TM:175-201;CY:202-271;TM:272-295;NC:296-302;TM:303-325;CY:326-588</t>
  </si>
  <si>
    <t>ENSG00000250510</t>
  </si>
  <si>
    <t>ENSP00000311528</t>
  </si>
  <si>
    <t>Alternative splicing;Cell membrane;Complete proteome;G-protein coupled receptor;Glycoprotein;Membrane;Polymorphism;Receptor;Reference proteome;Transducer;Transmembrane;Transmembrane helix</t>
  </si>
  <si>
    <t>UniRef100_Q16538;UniRef90_Q16538;UniRef50_Q16538</t>
  </si>
  <si>
    <t>LY6E_HUMAN</t>
  </si>
  <si>
    <t>Lymphocyte antigen 6E</t>
  </si>
  <si>
    <t>LY6E</t>
  </si>
  <si>
    <t>SP:1-20;NC:21-131</t>
  </si>
  <si>
    <t>ENSG00000160932;ENSG00000278032</t>
  </si>
  <si>
    <t>ENSP00000292494;ENSP00000414307;ENSP00000428572;ENSP00000428169;ENSP00000427915;ENSP00000428442;ENSP00000428159;ENSP00000482517</t>
  </si>
  <si>
    <t>Cell membrane;Complete proteome;Disulfide bond;Glycoprotein;GPI-anchor;Lipoprotein;Membrane;Reference proteome;Signal</t>
  </si>
  <si>
    <t>UniRef100_Q16553;UniRef90_Q16553;UniRef50_Q16553</t>
  </si>
  <si>
    <t>KCMB1_HUMAN</t>
  </si>
  <si>
    <t>Calcium-activated potassium channel subunit beta-1</t>
  </si>
  <si>
    <t>KCNMB1</t>
  </si>
  <si>
    <t>CY:1-15;TM:16-39;NC:40-155;TM:156-178;CY:179-191</t>
  </si>
  <si>
    <t>ENSG00000145936</t>
  </si>
  <si>
    <t>ENSP00000274629</t>
  </si>
  <si>
    <t>AuxillaryTransportUnit;KCNMB</t>
  </si>
  <si>
    <t>80;142</t>
  </si>
  <si>
    <t>Alternative splicing;Complete proteome;Glycoprotein;Ion channel;Ion transport;Membrane;Polymorphism;Reference proteome;Transmembrane;Transmembrane helix;Transport</t>
  </si>
  <si>
    <t>UniRef100_Q16558;UniRef90_Q16558;UniRef50_Q16558</t>
  </si>
  <si>
    <t>DB01110;DB00721</t>
  </si>
  <si>
    <t>SYPL1_HUMAN</t>
  </si>
  <si>
    <t>Synaptophysin-like protein 1</t>
  </si>
  <si>
    <t>SYPL1</t>
  </si>
  <si>
    <t>CY:1-34;TM:35-55;NC:56-116;TM:117-139;CY:140-150;TM:151-171;NC:172-210;TM:211-233;CY:234-259</t>
  </si>
  <si>
    <t>ENSG00000008282</t>
  </si>
  <si>
    <t>ENSP00000011473</t>
  </si>
  <si>
    <t>71;212;243</t>
  </si>
  <si>
    <t>GQTEIQVNCPPAVTEN[115]K;GQTEIQVN[115]CPPAVTEN[115]K;TEIQVNCPPAVTEN[115]K;QVNCPPAVTEN[115]K;VNCPPAVTEN[115]K;CPPAVTEN[115]K;PAVTEN[115]KTVTATFGYPFR</t>
  </si>
  <si>
    <t>Q16563</t>
  </si>
  <si>
    <t>Cytoplasmic vesicle membrane (Multi-pass membrane protein);Melanosome</t>
  </si>
  <si>
    <t>Alternative splicing;Complete proteome;Cytoplasmic vesicle;Glycoprotein;Membrane;Reference proteome;Transmembrane;Transmembrane helix</t>
  </si>
  <si>
    <t>UniRef100_Q16563;UniRef90_Q16563;UniRef50_Q16563</t>
  </si>
  <si>
    <t>ACKR1_HUMAN</t>
  </si>
  <si>
    <t>Atypical chemokine receptor 1</t>
  </si>
  <si>
    <t>ACKR1</t>
  </si>
  <si>
    <t>NC:1-62;TM:63-84;CY:85-95;TM:96-117;NC:118-134;TM:135-153;CY:154-164;TM:165-186;NC:187-206;TM:207-226;CY:227-245;TM:246-265;NC:266-285;TM:286-308;CY:309-336</t>
  </si>
  <si>
    <t>ENSG00000213088</t>
  </si>
  <si>
    <t>ENSP00000357104;ENSP00000441985</t>
  </si>
  <si>
    <t>CD234</t>
  </si>
  <si>
    <t>16;27;33</t>
  </si>
  <si>
    <t>13;327</t>
  </si>
  <si>
    <t>Early endosome;Membrane (Multi-pass membrane protein);Recycling endosome</t>
  </si>
  <si>
    <t>3D-structure;Alternative splicing;Blood group antigen;Complete proteome;Direct protein sequencing;Disulfide bond;Endosome;G-protein coupled receptor;Glycoprotein;Membrane;Polymorphism;Receptor;Reference proteome;Transducer;Transmembrane;Transmembrane helix</t>
  </si>
  <si>
    <t>UniRef100_Q16570;UniRef90_Q16570;UniRef50_Q16570</t>
  </si>
  <si>
    <t>VACHT_HUMAN</t>
  </si>
  <si>
    <t>Vesicular acetylcholine transporter</t>
  </si>
  <si>
    <t>SLC18A3</t>
  </si>
  <si>
    <t>CY:1-33;TM:34-57;NC:58-122;TM:123-141;CY:142-152;TM:153-172;NC:173-183;TM:184-201;CY:202-212;TM:213-233;NC:234-242;TM:243-263;CY:264-288;TM:289-308;NC:309-327;TM:328-346;CY:347-356;TM:357-378;NC:379-383;TM:384-408;CY:409-419;TM:420-440;NC:441-450;TM:451-469;CY:470-532</t>
  </si>
  <si>
    <t>ENSG00000187714</t>
  </si>
  <si>
    <t>ENSP00000363229</t>
  </si>
  <si>
    <t>89;96</t>
  </si>
  <si>
    <t>Complete proteome;Glycoprotein;Membrane;Neurotransmitter transport;Polymorphism;Reference proteome;Transmembrane;Transmembrane helix;Transport</t>
  </si>
  <si>
    <t>UniRef100_Q16572;UniRef90_Q16572;UniRef50_Q62666</t>
  </si>
  <si>
    <t>C3AR_HUMAN</t>
  </si>
  <si>
    <t>C3a anaphylatoxin chemotactic receptor</t>
  </si>
  <si>
    <t>C3AR1</t>
  </si>
  <si>
    <t>NC:1-22;TM:23-48;CY:49-58;TM:59-81;NC:82-96;TM:97-118;CY:119-136;TM:137-160;NC:161-339;TM:340-363;CY:364-374;TM:375-396;NC:397-415;TM:416-438;CY:439-482</t>
  </si>
  <si>
    <t>ENSG00000171860</t>
  </si>
  <si>
    <t>ENSP00000302079</t>
  </si>
  <si>
    <t>9;194;478</t>
  </si>
  <si>
    <t>9;478</t>
  </si>
  <si>
    <t>18;46;60;88;129;147;223;390;416</t>
  </si>
  <si>
    <t>Cell membrane;Chemotaxis;Complete proteome;Disulfide bond;G-protein coupled receptor;Glycoprotein;Membrane;Polymorphism;Receptor;Reference proteome;Sulfation;Transducer;Transmembrane;Transmembrane helix</t>
  </si>
  <si>
    <t>UniRef100_Q16581;UniRef90_Q16581;UniRef50_Q16581</t>
  </si>
  <si>
    <t>SGCB_HUMAN</t>
  </si>
  <si>
    <t>Beta-sarcoglycan</t>
  </si>
  <si>
    <t>SGCB</t>
  </si>
  <si>
    <t>CY:1-63;TM:64-90;NC:91-318</t>
  </si>
  <si>
    <t>ENSG00000163069</t>
  </si>
  <si>
    <t>ENSP00000370839</t>
  </si>
  <si>
    <t>158;211;258</t>
  </si>
  <si>
    <t>158;211</t>
  </si>
  <si>
    <t>LSVENN[115]KTSITSDIGMQFFDPR;ITSN[115]ATSDLNIK</t>
  </si>
  <si>
    <t>Q16585</t>
  </si>
  <si>
    <t>Cell membrane, sarcolemma (Single-pass type II membrane protein);Cytoplasm, cytoskeleton</t>
  </si>
  <si>
    <t>Alternative splicing;Cell membrane;Complete proteome;Cytoplasm;Cytoskeleton;Direct protein sequencing;Disease mutation;Disulfide bond;Glycoprotein;Limb-girdle muscular dystrophy;Membrane;Reference proteome;Signal-anchor;Transmembrane;Transmembrane helix</t>
  </si>
  <si>
    <t>UniRef100_Q16585;UniRef90_Q16585;UniRef50_Q16585</t>
  </si>
  <si>
    <t>SGCA_HUMAN</t>
  </si>
  <si>
    <t>Alpha-sarcoglycan</t>
  </si>
  <si>
    <t>SGCA</t>
  </si>
  <si>
    <t>SP:1-23;NC:24-289;TM:290-312;CY:313-387</t>
  </si>
  <si>
    <t>ENSG00000108823</t>
  </si>
  <si>
    <t>ENSP00000262018</t>
  </si>
  <si>
    <t>174;246</t>
  </si>
  <si>
    <t>Cell membrane, sarcolemma (Single-pass type I membrane protein);Cytoplasm, cytoskeleton</t>
  </si>
  <si>
    <t>Alternative splicing;Cell membrane;Complete proteome;Cytoplasm;Cytoskeleton;Disease mutation;Glycoprotein;Limb-girdle muscular dystrophy;Membrane;Reference proteome;Signal;Transmembrane;Transmembrane helix</t>
  </si>
  <si>
    <t>UniRef100_Q16586;UniRef90_Q16586;UniRef50_Q16586</t>
  </si>
  <si>
    <t>CALRL_HUMAN</t>
  </si>
  <si>
    <t>Calcitonin gene-related peptide type 1 receptor</t>
  </si>
  <si>
    <t>CALCRL</t>
  </si>
  <si>
    <t>SP:1-24;NC:25-141;TM:142-166;CY:167-178;TM:179-198;NC:199-217;TM:218-241;CY:242-252;TM:253-273;NC:274-291;TM:292-313;CY:314-333;TM:334-355;NC:356-366;TM:367-387;CY:388-461</t>
  </si>
  <si>
    <t>ENSG00000064989</t>
  </si>
  <si>
    <t>ENSP00000376177;ENSP00000386972;ENSP00000387190</t>
  </si>
  <si>
    <t>66;118;123</t>
  </si>
  <si>
    <t>69;72</t>
  </si>
  <si>
    <t>IMQDPIQQAEGVYCN[115]R</t>
  </si>
  <si>
    <t>Q16602</t>
  </si>
  <si>
    <t>3D-structure;Cell membrane;Complete proteome;Direct protein sequencing;Disulfide bond;G-protein coupled receptor;Glycoprotein;Membrane;Polymorphism;Receptor;Reference proteome;Signal;Transducer;Transmembrane;Transmembrane helix</t>
  </si>
  <si>
    <t>UniRef100_Q16602;UniRef90_Q16602;UniRef50_Q16602</t>
  </si>
  <si>
    <t>NTRK2_HUMAN</t>
  </si>
  <si>
    <t>BDNF/NT-3 growth factors receptor</t>
  </si>
  <si>
    <t>NTRK2</t>
  </si>
  <si>
    <t>SP:1-31;NC:32-431;TM:432-454;CY:455-822</t>
  </si>
  <si>
    <t>ENSG00000148053</t>
  </si>
  <si>
    <t>ENSP00000314586;ENSP00000365386</t>
  </si>
  <si>
    <t>67;95;121;178;205;241;254;280;325;338;412;486</t>
  </si>
  <si>
    <t>67;95;121;178;205;241;254;280;325;338;350;412;486</t>
  </si>
  <si>
    <t>479;485;492;493;494</t>
  </si>
  <si>
    <t>LAAPN[115]LTVEEGK;HMN[115]ETSHTQGSLR;ITN[115]ISSDDSGK</t>
  </si>
  <si>
    <t>205;241;254</t>
  </si>
  <si>
    <t>Q16620</t>
  </si>
  <si>
    <t>3D-structure;Alternative splicing;ATP-binding;Cell membrane;Complete proteome;Developmental protein;Differentiation;Disease mutation;Disulfide bond;Endosome;Glycoprotein;Immunoglobulin domain;Kinase;Leucine-rich repeat;Membrane;Neurogenesis;Nucleotide-binding;Obesity;Phosphoprotein;Polymorphism;Receptor;Reference proteome;Repeat;Signal;Transferase;Transmembrane;Transmembrane helix;Tyrosine-protein kinase;Ubl conjugation</t>
  </si>
  <si>
    <t>UniRef100_Q16620;UniRef90_Q63604;UniRef50_Q63604</t>
  </si>
  <si>
    <t>DB00321</t>
  </si>
  <si>
    <t>PRSS8_HUMAN</t>
  </si>
  <si>
    <t>Prostasin</t>
  </si>
  <si>
    <t>PRSS8</t>
  </si>
  <si>
    <t>SP:1-32;NC:33-319;TM:320-340;CY:341-343</t>
  </si>
  <si>
    <t>ENSG00000052344</t>
  </si>
  <si>
    <t>ENSP00000319730</t>
  </si>
  <si>
    <t>Cell membrane (Single-pass membrane protein);Secreted, extracellular space;Secreted, extracellular space</t>
  </si>
  <si>
    <t>3D-structure;Alternative splicing;Cell membrane;Complete proteome;Direct protein sequencing;Disulfide bond;Glycoprotein;Hydrolase;Membrane;Protease;Reference proteome;Secreted;Serine protease;Signal;Transmembrane;Transmembrane helix;Zymogen</t>
  </si>
  <si>
    <t>UniRef100_Q16651;UniRef90_Q16651;UniRef50_Q16651</t>
  </si>
  <si>
    <t>MOG_HUMAN</t>
  </si>
  <si>
    <t>Myelin-oligodendrocyte glycoprotein</t>
  </si>
  <si>
    <t>MOG</t>
  </si>
  <si>
    <t>SP:1-29;NC:30-153;TM:154-178;CY:179-208;TM:209-231;NC:232-247</t>
  </si>
  <si>
    <t>ENSG00000137345;ENSG00000204655;ENSG00000237834;ENSG00000234623;ENSG00000234096;ENSG00000236561;ENSG00000230885;ENSG00000232641</t>
  </si>
  <si>
    <t>ENSP00000259891;ENSP00000352534;ENSP00000366115;ENSP00000373013;ENSP00000373017;ENSP00000373126;ENSP00000373127;ENSP00000383510;ENSP00000383512;ENSP00000383526;ENSP00000383528;ENSP00000404245;ENSP00000403380;ENSP00000404149;ENSP00000404537;ENSP00000411489;ENSP00000395005;ENSP00000390682;ENSP00000390632;ENSP00000397101;ENSP00000410699;ENSP00000414489;ENSP00000397723;ENSP00000403058;ENSP00000410268;ENSP00000389221;ENSP00000413364;ENSP00000398197;ENSP00000414862;ENSP00000404957;ENSP00000398394;ENSP00000409534;ENSP00000391516;ENSP00000414146;ENSP00000399240;ENSP00000390469;ENSP00000401609;ENSP00000397837;ENSP00000391898;ENSP00000394873;ENSP00000389022;ENSP00000415883;ENSP00000402139;ENSP00000413370;ENSP00000449213;ENSP00000448732;ENSP00000449683;ENSP00000448879;ENSP00000446871;ENSP00000447099</t>
  </si>
  <si>
    <t>Cell membrane (Multi-pass membrane protein);Cell membrane (Single-pass type I membrane protein);Cell membrane (Single-pass type I membrane protein);Cell membrane (Single-pass type I membrane protein);Cell membrane (Multi-pass membrane protein);Cell membrane (Single-pass type I membrane protein);Cell membrane (Single-pass type I membrane protein);Cell membrane (Single-pass type I membrane protein);Cell membrane (Single-pass type I membrane protein)</t>
  </si>
  <si>
    <t>3D-structure;Alternative splicing;Cell adhesion;Cell membrane;Complete proteome;Disease mutation;Disulfide bond;Glycoprotein;Immunoglobulin domain;Membrane;Polymorphism;Reference proteome;Signal;Transmembrane;Transmembrane helix</t>
  </si>
  <si>
    <t>UniRef100_Q16653;UniRef90_Q16653;UniRef50_Q16653</t>
  </si>
  <si>
    <t>AMHR2_HUMAN</t>
  </si>
  <si>
    <t>Anti-Muellerian hormone type-2 receptor</t>
  </si>
  <si>
    <t>AMHR2</t>
  </si>
  <si>
    <t>SP:1-16;NC:17-144;TM:145-170;CY:171-573</t>
  </si>
  <si>
    <t>ENSG00000135409</t>
  </si>
  <si>
    <t>ENSP00000257863</t>
  </si>
  <si>
    <t>66;119</t>
  </si>
  <si>
    <t>Alternative splicing;ATP-binding;Complete proteome;Disease mutation;Glycoprotein;Kinase;Magnesium;Manganese;Membrane;Metal-binding;Nucleotide-binding;Polymorphism;Pseudohermaphroditism;Receptor;Reference proteome;Serine/threonine-protein kinase;Signal;Transferase;Transmembrane;Transmembrane helix</t>
  </si>
  <si>
    <t>UniRef100_Q16671;UniRef90_Q16671;UniRef50_Q16671</t>
  </si>
  <si>
    <t>AT2B3_HUMAN</t>
  </si>
  <si>
    <t>Plasma membrane calcium-transporting ATPase 3</t>
  </si>
  <si>
    <t>ATP2B3</t>
  </si>
  <si>
    <t>CY:1-100;TM:101-123;NC:124-153;TM:154-173;CY:174-366;TM:367-390;NC:391-416;TM:417-440;CY:441-851;TM:852-871;NC:872-882;TM:883-902;CY:903-927;TM:928-947;NC:948-966;TM:967-985;CY:986-1003;TM:1004-1025;NC:1026-1036;TM:1037-1058;CY:1059-1220</t>
  </si>
  <si>
    <t>ENSG00000067842</t>
  </si>
  <si>
    <t>ENSP00000263519;ENSP00000343886</t>
  </si>
  <si>
    <t>6;139;466;541;831</t>
  </si>
  <si>
    <t>1137;1178;1194;1197;1199;1201;1202;1203;1206;1207</t>
  </si>
  <si>
    <t>Alternative splicing;ATP-binding;Calcium;Calcium transport;Calmodulin-binding;Cell membrane;Complete proteome;Disease mutation;Hydrolase;Ion transport;Magnesium;Membrane;Metal-binding;Neurodegeneration;Nucleotide-binding;Phosphoprotein;Polymorphism;Reference proteome;Transmembrane;Transmembrane helix;Transport</t>
  </si>
  <si>
    <t>UniRef100_Q16720;UniRef90_Q16720;UniRef50_P23634</t>
  </si>
  <si>
    <t>MEP1A_HUMAN</t>
  </si>
  <si>
    <t>Meprin A subunit alpha</t>
  </si>
  <si>
    <t>MEP1A</t>
  </si>
  <si>
    <t>SP:1-21;NC:22-717;TM:718-740;CY:741-746</t>
  </si>
  <si>
    <t>ENSG00000112818</t>
  </si>
  <si>
    <t>ENSP00000230588</t>
  </si>
  <si>
    <t>140;222;258;414;440;447;539</t>
  </si>
  <si>
    <t>Complete proteome;Disulfide bond;EGF-like domain;Glycoprotein;Hydrolase;Membrane;Metal-binding;Metalloprotease;Polymorphism;Protease;Reference proteome;Signal;Transmembrane;Transmembrane helix;Zinc;Zymogen</t>
  </si>
  <si>
    <t>UniRef100_Q16819;UniRef90_Q16819;UniRef50_P28825</t>
  </si>
  <si>
    <t>MEP1B_HUMAN</t>
  </si>
  <si>
    <t>Meprin A subunit beta</t>
  </si>
  <si>
    <t>MEP1B</t>
  </si>
  <si>
    <t>SP:1-22;NC:23-652;TM:653-677;CY:678-701</t>
  </si>
  <si>
    <t>ENSG00000141434</t>
  </si>
  <si>
    <t>ENSP00000269202</t>
  </si>
  <si>
    <t>5;218;254;370;421;436;445;547;592;692</t>
  </si>
  <si>
    <t>3D-structure;Cell membrane;Complete proteome;Direct protein sequencing;Disulfide bond;EGF-like domain;Glycoprotein;Hydrolase;Inflammatory response;Membrane;Metal-binding;Metalloprotease;Polymorphism;Protease;Reference proteome;Secreted;Signal;Transmembrane;Transmembrane helix;Zinc;Zymogen</t>
  </si>
  <si>
    <t>UniRef100_Q16820;UniRef90_Q16820;UniRef50_Q16820</t>
  </si>
  <si>
    <t>PTPRO_HUMAN</t>
  </si>
  <si>
    <t>Receptor-type tyrosine-protein phosphatase O</t>
  </si>
  <si>
    <t>PTPRO</t>
  </si>
  <si>
    <t>SP:1-29;NC:30-819;TM:820-844;CY:845-1216</t>
  </si>
  <si>
    <t>ENSG00000151490</t>
  </si>
  <si>
    <t>ENSP00000281171</t>
  </si>
  <si>
    <t>26;75;154;189;201;227;278;287;323;324;370;461;490;700;712;733;790;1096;1212</t>
  </si>
  <si>
    <t>26;75;189;324;370;461;733;1096</t>
  </si>
  <si>
    <t>3D-structure;Alternative splicing;Complete proteome;Glycoprotein;Hydrolase;Membrane;Phosphoprotein;Protein phosphatase;Receptor;Reference proteome;Repeat;Signal;Transmembrane;Transmembrane helix</t>
  </si>
  <si>
    <t>UniRef100_Q16827;UniRef90_Q16827;UniRef50_Q16827</t>
  </si>
  <si>
    <t>DDR2_HUMAN</t>
  </si>
  <si>
    <t>Discoidin domain-containing receptor 2</t>
  </si>
  <si>
    <t>DDR2</t>
  </si>
  <si>
    <t>SP:1-23;NC:24-399;TM:400-421;CY:422-855</t>
  </si>
  <si>
    <t>ENSG00000162733</t>
  </si>
  <si>
    <t>ENSP00000356898;ENSP00000356899</t>
  </si>
  <si>
    <t>CD167b</t>
  </si>
  <si>
    <t>121;213;261;280;372;457;468;673;721</t>
  </si>
  <si>
    <t>280;468;721</t>
  </si>
  <si>
    <t>129;753</t>
  </si>
  <si>
    <t>IRN[115]FTTMK</t>
  </si>
  <si>
    <t>Q16832</t>
  </si>
  <si>
    <t>3D-structure;ATP-binding;Cell membrane;Complete proteome;Disease mutation;Disulfide bond;Dwarfism;Glycoprotein;Kinase;Membrane;Nucleotide-binding;Osteogenesis;Phosphoprotein;Polymorphism;Receptor;Reference proteome;Signal;Transferase;Transmembrane;Transmembrane helix;Tyrosine-protein kinase</t>
  </si>
  <si>
    <t>UniRef100_Q16832;UniRef90_Q16832;UniRef50_Q16832</t>
  </si>
  <si>
    <t>DB08896</t>
  </si>
  <si>
    <t>PTPRN_HUMAN</t>
  </si>
  <si>
    <t>Receptor-type tyrosine-protein phosphatase-like N</t>
  </si>
  <si>
    <t>PTPRN</t>
  </si>
  <si>
    <t>SP:1-34;NC:35-576;TM:577-600;CY:601-979</t>
  </si>
  <si>
    <t>ENSG00000054356</t>
  </si>
  <si>
    <t>ENSP00000295718</t>
  </si>
  <si>
    <t>506;524;766</t>
  </si>
  <si>
    <t>198;223;231;406;426;429;430;454;457;463;652;655;656;658;659;671;674</t>
  </si>
  <si>
    <t>UniRef100_Q16849;UniRef90_Q16849;UniRef50_Q16849</t>
  </si>
  <si>
    <t>AOC3_HUMAN</t>
  </si>
  <si>
    <t>Membrane primary amine oxidase</t>
  </si>
  <si>
    <t>AOC3</t>
  </si>
  <si>
    <t>CY:1-6;TM:7-27;NC:28-763</t>
  </si>
  <si>
    <t>ENSG00000131471</t>
  </si>
  <si>
    <t>ENSP00000312326</t>
  </si>
  <si>
    <t>137;232;294;592;618;666</t>
  </si>
  <si>
    <t>36;43;45;47</t>
  </si>
  <si>
    <t>VVLIPDN[115]GTGGSWSLK;VLIPDN[115]GTGGSWSLK;YLYLASN[115]HSN;YLYLASN[115]HSNK;YLYLASN[115]HSN[115]K;LYLASN[115]HSNK;YLASN[115]HSNK;LASN[115]HSNK;ASN[115]HSNK;IQMLSFAGEPLPQN[115]SSM;IQMLSFAGEPLPQN[115]SSMAR;MLSFAGEPLPQN[115]SSMAR;LSFAGEPLPQN[115]SSMAR;SFAGEPLPQN[115]SSMAR;FAGEPLPQN[115]SSMAR;AGEPLPQN[115]SSMAR;GEPLPQN[115]SSMAR;EPLPQN[115]SSMAR;PLPQN[115]SSMAR;LPQN[115]SSMAR;APTVDFSDFINN[115]ETIAGK;VDFSDFINN[115]ETIAGK;DFSDFINN[115]ETIAGK;FSDFINN[115]ETIAGK;SDFINN[115]ETIAGK;SDFIN[115]N[115]ETIAGK;DFINN[115]ETIAGK;FINN[115]ETIAGK;INN[115]ETIAGK</t>
  </si>
  <si>
    <t>294;592;618;666</t>
  </si>
  <si>
    <t>Q16853</t>
  </si>
  <si>
    <t>3D-structure;Alternative splicing;Calcium;Cell adhesion;Cell membrane;Complete proteome;Copper;Direct protein sequencing;Disulfide bond;Glycoprotein;Membrane;Metal-binding;Oxidoreductase;Polymorphism;Reference proteome;Signal-anchor;TPQ;Transmembrane;Transmembrane helix</t>
  </si>
  <si>
    <t>UniRef100_Q16853;UniRef90_Q16853;UniRef50_Q16853</t>
  </si>
  <si>
    <t>DB00780;DB01275</t>
  </si>
  <si>
    <t>CGT_HUMAN</t>
  </si>
  <si>
    <t>2-hydroxyacylsphingosine 1-beta-galactosyltransferase</t>
  </si>
  <si>
    <t>UGT8</t>
  </si>
  <si>
    <t>SP:1-20;NC:21-471;TM:472-495;CY:496-541</t>
  </si>
  <si>
    <t>ENSG00000174607</t>
  </si>
  <si>
    <t>ENSP00000311648;ENSP00000378019</t>
  </si>
  <si>
    <t>78;333;442</t>
  </si>
  <si>
    <t>YPGIFN[115]STTSDAFLQSK;PGIFN[115]STTSDAFLQSK</t>
  </si>
  <si>
    <t>Q16880</t>
  </si>
  <si>
    <t>Complete proteome;Glycoprotein;Glycosyltransferase;Lipid metabolism;Membrane;Polymorphism;Reference proteome;Signal;Sphingolipid metabolism;Transferase;Transmembrane;Transmembrane helix</t>
  </si>
  <si>
    <t>UniRef100_Q16880;UniRef90_Q64676;UniRef50_Q64676</t>
  </si>
  <si>
    <t>F187B_HUMAN</t>
  </si>
  <si>
    <t>Protein FAM187B</t>
  </si>
  <si>
    <t>FAM187B</t>
  </si>
  <si>
    <t>SP:1-17;NC:18-333;TM:334-354;CY:355-369</t>
  </si>
  <si>
    <t>ENSG00000177558</t>
  </si>
  <si>
    <t>ENSP00000323355</t>
  </si>
  <si>
    <t>45;68;130;207;248</t>
  </si>
  <si>
    <t>UniRef100_Q17R55;UniRef90_Q17R55;UniRef50_Q17R55</t>
  </si>
  <si>
    <t>LY6K_HUMAN</t>
  </si>
  <si>
    <t>Lymphocyte antigen 6K</t>
  </si>
  <si>
    <t>LY6K</t>
  </si>
  <si>
    <t>SP:1-17;NC:18-165</t>
  </si>
  <si>
    <t>ENSG00000160886</t>
  </si>
  <si>
    <t>ENSP00000292430</t>
  </si>
  <si>
    <t>20;129</t>
  </si>
  <si>
    <t>YCNLEGPPIN[115]SSVFK;YCN[115]LEGPPIN[115]SSVFK</t>
  </si>
  <si>
    <t>Q17RY6</t>
  </si>
  <si>
    <t>Cell membrane (Lipid-anchor, GPI-anchor);Cytoplasm;Secreted</t>
  </si>
  <si>
    <t>Alternative splicing;Cell membrane;Complete proteome;Cytoplasm;Glycoprotein;GPI-anchor;Lipoprotein;Membrane;Reference proteome;Secreted;Signal</t>
  </si>
  <si>
    <t>UniRef100_Q17RY6;UniRef90_Q17RY6;UniRef50_Q17RY6</t>
  </si>
  <si>
    <t>ECSCR_HUMAN</t>
  </si>
  <si>
    <t>Endothelial cell-specific chemotaxis regulator</t>
  </si>
  <si>
    <t>ECSCR</t>
  </si>
  <si>
    <t>SP:1-24;NC:25-120;TM:121-146;CY:147-205</t>
  </si>
  <si>
    <t>ENSG00000279686;ENSG00000249751</t>
  </si>
  <si>
    <t>ENSP00000421364;ENSP00000479243</t>
  </si>
  <si>
    <t>Angiogenesis;Apoptosis;Cell membrane;Chemotaxis;Complete proteome;Cytoplasm;Developmental protein;Differentiation;Glycoprotein;Membrane;Reference proteome;Signal;Transmembrane;Transmembrane helix</t>
  </si>
  <si>
    <t>UniRef100_Q19T08;UniRef90_Q19T08;UniRef50_Q19T08</t>
  </si>
  <si>
    <t>SC5AC_HUMAN</t>
  </si>
  <si>
    <t>Sodium-coupled monocarboxylate transporter 2</t>
  </si>
  <si>
    <t>SLC5A12</t>
  </si>
  <si>
    <t>NC:1-5;TM:6-30;CY:31-49;TM:50-69;NC:70-80;TM:81-104;CY:105-124;TM:125-146;NC:147-157;TM:158-175;CY:176-183;TM:184-203;NC:204-236;TM:237-255;CY:256-275;TM:276-298;NC:299-318;TM:319-342;CY:343-383;TM:384-406;NC:407-411;TM:412-432;CY:433-439;TM:440-461;NC:462-503;TM:504-525;CY:526-618</t>
  </si>
  <si>
    <t>ENSG00000148942</t>
  </si>
  <si>
    <t>ENSP00000379326</t>
  </si>
  <si>
    <t>219;256;480;574</t>
  </si>
  <si>
    <t>Alternative splicing;Cell membrane;Complete proteome;Glycoprotein;Ion transport;Membrane;Polymorphism;Reference proteome;Sodium;Sodium transport;Symport;Transmembrane;Transmembrane helix;Transport</t>
  </si>
  <si>
    <t>UniRef100_Q1EHB4;UniRef90_Q1EHB4;UniRef50_Q8N695</t>
  </si>
  <si>
    <t>DOXA1_HUMAN</t>
  </si>
  <si>
    <t>Dual oxidase maturation factor 1</t>
  </si>
  <si>
    <t>DUOXA1</t>
  </si>
  <si>
    <t>NC:1-22;TM:23-44;CY:45-51;TM:52-72;NC:73-180;TM:181-200;CY:201-208;TM:209-230;NC:231-249;TM:250-271;CY:272-343</t>
  </si>
  <si>
    <t>ENSG00000140254</t>
  </si>
  <si>
    <t>ENSP00000454084</t>
  </si>
  <si>
    <t>71;84;109;121;284</t>
  </si>
  <si>
    <t>Alternative splicing;Complete proteome;Glycoprotein;Membrane;Polymorphism;Protein transport;Reference proteome;Transmembrane;Transmembrane helix;Transport</t>
  </si>
  <si>
    <t>UniRef100_Q1HG43;UniRef90_Q1HG43;UniRef50_Q1HG43</t>
  </si>
  <si>
    <t>T132A_HUMAN</t>
  </si>
  <si>
    <t>Transmembrane protein 132A</t>
  </si>
  <si>
    <t>TMEM132A</t>
  </si>
  <si>
    <t>SP:1-34;NC:35-849;TM:850-873;CY:874-1023</t>
  </si>
  <si>
    <t>ENSG00000006118</t>
  </si>
  <si>
    <t>ENSP00000405823</t>
  </si>
  <si>
    <t>71;280;355</t>
  </si>
  <si>
    <t>VQQVGHYPPAN[115]SSLSS;VQQVGHYPPAN[115]SSLSSR;HN[115]FTASLLTLR</t>
  </si>
  <si>
    <t>71;280</t>
  </si>
  <si>
    <t>Q24JP5</t>
  </si>
  <si>
    <t>Endoplasmic reticulum membrane (Single-pass type I membrane protein);Golgi apparatus membrane (Single-pass type I membrane protein)</t>
  </si>
  <si>
    <t>Alternative splicing;Complete proteome;Endoplasmic reticulum;Glycoprotein;Golgi apparatus;Membrane;Polymorphism;Reference proteome;Signal;Transmembrane;Transmembrane helix</t>
  </si>
  <si>
    <t>UniRef100_Q24JP5;UniRef90_Q24JP5;UniRef50_Q80WF4</t>
  </si>
  <si>
    <t>1B82_HUMAN</t>
  </si>
  <si>
    <t>HLA class I histocompatibility antigen, B-82 alpha chain</t>
  </si>
  <si>
    <t>UniRef100_Q29718;UniRef90_P01889;UniRef50_P01892</t>
  </si>
  <si>
    <t>1B67_HUMAN</t>
  </si>
  <si>
    <t>HLA class I histocompatibility antigen, B-67 alpha chain</t>
  </si>
  <si>
    <t>UniRef100_Q29836;UniRef90_P01889;UniRef50_P01892</t>
  </si>
  <si>
    <t>1C18_HUMAN</t>
  </si>
  <si>
    <t>HLA class I histocompatibility antigen, Cw-18 alpha chain</t>
  </si>
  <si>
    <t>UniRef100_Q29865;UniRef90_P30499;UniRef50_P01892</t>
  </si>
  <si>
    <t>1B59_HUMAN</t>
  </si>
  <si>
    <t>HLA class I histocompatibility antigen, B-59 alpha chain</t>
  </si>
  <si>
    <t>UniRef100_Q29940;UniRef90_P01889;UniRef50_P01892</t>
  </si>
  <si>
    <t>1C16_HUMAN</t>
  </si>
  <si>
    <t>HLA class I histocompatibility antigen, Cw-16 alpha chain</t>
  </si>
  <si>
    <t>GYYN[115]QSEAGSHTLQWMYGCDLGPDGR</t>
  </si>
  <si>
    <t>Q29960</t>
  </si>
  <si>
    <t>Alternative splicing;Cell membrane;Complete proteome;Disulfide bond;Glycoprotein;Host-virus interaction;Immunity;Membrane;MHC I;Polymorphism;Reference proteome;Secreted;Signal;Transmembrane;Transmembrane helix;Ubl conjugation</t>
  </si>
  <si>
    <t>UniRef100_Q29960;UniRef90_P30499;UniRef50_P01892</t>
  </si>
  <si>
    <t>1C06_HUMAN</t>
  </si>
  <si>
    <t>HLA class I histocompatibility antigen, Cw-6 alpha chain</t>
  </si>
  <si>
    <t>UniRef100_Q29963;UniRef90_P30499;UniRef50_P01892</t>
  </si>
  <si>
    <t>2B1G_HUMAN</t>
  </si>
  <si>
    <t>HLA class II histocompatibility antigen, DRB1-16 beta chain</t>
  </si>
  <si>
    <t>UniRef100_Q29974;UniRef90_P04229;UniRef50_P04229</t>
  </si>
  <si>
    <t>MICB_HUMAN</t>
  </si>
  <si>
    <t>MHC class I polypeptide-related sequence B</t>
  </si>
  <si>
    <t>MICB</t>
  </si>
  <si>
    <t>SP:1-22;NC:23-309;TM:310-330;CY:331-383</t>
  </si>
  <si>
    <t>ENSG00000204516;ENSG00000206449;ENSG00000238289;ENSG00000234218;ENSG00000227772;ENSG00000231179;ENSG00000224378</t>
  </si>
  <si>
    <t>ENSP00000382103;ENSP00000395391;ENSP00000398412;ENSP00000409414;ENSP00000402484;ENSP00000398212;ENSP00000393355;ENSP00000449672;ENSP00000447696</t>
  </si>
  <si>
    <t>164;210;220;234;261</t>
  </si>
  <si>
    <t>AQTLAMN[115]VTNFWK;N[115]ITLTWR;QDGVSLSHN[115]TQQWGDVLPDGN[115]GTYQTWVATR</t>
  </si>
  <si>
    <t>164;234;261</t>
  </si>
  <si>
    <t>Q29980</t>
  </si>
  <si>
    <t>3D-structure;Adaptive immunity;Alternative splicing;Cell membrane;Complete proteome;Cytolysis;Disulfide bond;Glycoprotein;Host-virus interaction;Immunity;Immunoglobulin domain;Membrane;Polymorphism;Reference proteome;Signal;Transmembrane;Transmembrane helix</t>
  </si>
  <si>
    <t>UniRef100_Q29980;UniRef90_Q29980;UniRef50_Q29983</t>
  </si>
  <si>
    <t>MICA_HUMAN</t>
  </si>
  <si>
    <t>MHC class I polypeptide-related sequence A</t>
  </si>
  <si>
    <t>MICA</t>
  </si>
  <si>
    <t>SP:1-23;NC:24-308;TM:309-328;CY:329-383</t>
  </si>
  <si>
    <t>ENSG00000183214;ENSG00000235233</t>
  </si>
  <si>
    <t>ENSP00000383179;ENSP00000402134;ENSP00000446963</t>
  </si>
  <si>
    <t>31;79;125;210;220;234;261;289</t>
  </si>
  <si>
    <t>AKPQGQWAEDVLGN[115]K;AKPQGQWAEDVLGN[115]KTWDR;PQGQWAEDVLGN[115]K;WAEDVLGN[115]K;VCEIHEDN[115]STR;CEIHEDN[115]STR;EIHEDN[115]STR;PPMVN[115]VTR;SEASEGN[115]ITVTCR;QDGVSLSHDTQQWGDVLPDGN[115]GTYQTWVATR;FTCYMEHSGN[115]HSTHPVPSGK;TCYMEHSGN[115]HSTHPVPSGK;CYMEHSGN[115]HSTHPVPSGK;MEHSGN[115]HSTHPVPSGK</t>
  </si>
  <si>
    <t>79;125;210;220;261;289</t>
  </si>
  <si>
    <t>Q29983</t>
  </si>
  <si>
    <t>Cell membrane (Single- pass type I membrane protein);Cytoplasm</t>
  </si>
  <si>
    <t>3D-structure;Adaptive immunity;Alternative splicing;Cell membrane;Complete proteome;Cytolysis;Cytoplasm;Disulfide bond;Glycoprotein;Host-virus interaction;Immunity;Immunoglobulin domain;Membrane;Polymorphism;Reference proteome;Signal;Transmembrane;Transmembrane helix</t>
  </si>
  <si>
    <t>UniRef100_Q29983;UniRef90_Q29983;UniRef50_Q29983</t>
  </si>
  <si>
    <t>CL12B_HUMAN</t>
  </si>
  <si>
    <t>C-type lectin domain family 12 member B</t>
  </si>
  <si>
    <t>CLEC12B</t>
  </si>
  <si>
    <t>CY:1-40;TM:41-65;NC:66-276</t>
  </si>
  <si>
    <t>ENSG00000256660</t>
  </si>
  <si>
    <t>ENSP00000344563</t>
  </si>
  <si>
    <t>91;101;176;237</t>
  </si>
  <si>
    <t>Alternative splicing;Cell membrane;Complete proteome;Disulfide bond;Glycoprotein;Lectin;Membrane;Phosphoprotein;Polymorphism;Receptor;Reference proteome;Signal-anchor;Transmembrane;Transmembrane helix</t>
  </si>
  <si>
    <t>UniRef100_Q2HXU8;UniRef90_Q2HXU8;UniRef50_Q2HXU8</t>
  </si>
  <si>
    <t>GSG1_HUMAN</t>
  </si>
  <si>
    <t>Germ cell-specific gene 1 protein</t>
  </si>
  <si>
    <t>GSG1</t>
  </si>
  <si>
    <t>SP:1-34;NC:35-155;TM:156-177;CY:178-188;TM:189-209;NC:210-232;TM:233-256;CY:257-349</t>
  </si>
  <si>
    <t>ENSG00000111305</t>
  </si>
  <si>
    <t>Alternative splicing;Complete proteome;Endoplasmic reticulum;Membrane;Polymorphism;Reference proteome;Transmembrane;Transmembrane helix</t>
  </si>
  <si>
    <t>UniRef100_Q2KHT4;UniRef90_Q2KHT4;UniRef50_Q8R1W2</t>
  </si>
  <si>
    <t>MPEG1_HUMAN</t>
  </si>
  <si>
    <t>Macrophage-expressed gene 1 protein</t>
  </si>
  <si>
    <t>MPEG1</t>
  </si>
  <si>
    <t>SP:1-17;NC:18-655;TM:656-677;CY:678-716</t>
  </si>
  <si>
    <t>ENSG00000197629</t>
  </si>
  <si>
    <t>ENSP00000354335</t>
  </si>
  <si>
    <t>185;255;269;375</t>
  </si>
  <si>
    <t>11;16;51;104;292;464;621;630</t>
  </si>
  <si>
    <t>UniRef100_Q2M385;UniRef90_Q2M385;UniRef50_Q2M385</t>
  </si>
  <si>
    <t>ABCB5_HUMAN</t>
  </si>
  <si>
    <t>ATP-binding cassette sub-family B member 5</t>
  </si>
  <si>
    <t>ABCB5</t>
  </si>
  <si>
    <t>CY:1-44;TM:45-68;NC:69-107;TM:108-131;CY:132-181;TM:182-201;NC:202-206;TM:207-229;CY:230-288;TM:289-308;NC:309-319;TM:320-343;CY:344-689;TM:690-714;NC:715-733;TM:734-757;CY:758-812;TM:813-833;NC:834-838;TM:839-862;CY:863-916;TM:917-935;NC:936-953;TM:954-975;CY:976-1257</t>
  </si>
  <si>
    <t>ENSG00000004846</t>
  </si>
  <si>
    <t>ENSP00000258738</t>
  </si>
  <si>
    <t>17;85;91;188;299;371;390;423;702;789;819;910;1104;1188</t>
  </si>
  <si>
    <t>Alternative splicing;ATP-binding;Cell membrane;Complete proteome;Differentiation;Glycoprotein;Membrane;Nucleotide-binding;Polymorphism;Reference proteome;Repeat;Transmembrane;Transmembrane helix;Transport</t>
  </si>
  <si>
    <t>UniRef100_Q2M3G0;UniRef90_Q2M3G0;UniRef50_Q2M3G0</t>
  </si>
  <si>
    <t>SC5A9_HUMAN</t>
  </si>
  <si>
    <t>Sodium/glucose cotransporter 4</t>
  </si>
  <si>
    <t>SLC5A9</t>
  </si>
  <si>
    <t>NC:1-34;TM:35-55;CY:56-75;TM:76-98;NC:99-114;TM:115-136;CY:137-155;TM:156-180;NC:181-186;TM:187-211;CY:212-217;TM:218-238;NC:239-278;TM:279-298;CY:299-317;TM:318-338;NC:339-381;TM:382-405;CY:406-425;TM:426-447;NC:448-458;TM:459-481;CY:482-487;TM:488-510;NC:511-529;TM:530-552;CY:553-659;TM:660-680;NC:681-681</t>
  </si>
  <si>
    <t>ENSG00000117834</t>
  </si>
  <si>
    <t>ENSP00000401730</t>
  </si>
  <si>
    <t>113;251;256;403;603</t>
  </si>
  <si>
    <t>Alternative splicing;Complete proteome;Glycoprotein;Ion transport;Membrane;Polymorphism;Reference proteome;Sodium;Sodium transport;Transmembrane;Transmembrane helix;Transport</t>
  </si>
  <si>
    <t>UniRef100_Q2M3M2;UniRef90_Q2M3M2;UniRef50_P31639</t>
  </si>
  <si>
    <t>PRTG_HUMAN</t>
  </si>
  <si>
    <t>Protogenin</t>
  </si>
  <si>
    <t>PRTG</t>
  </si>
  <si>
    <t>SP:1-35;NC:36-948;TM:949-971;CY:972-1150</t>
  </si>
  <si>
    <t>ENSG00000166450</t>
  </si>
  <si>
    <t>ENSP00000373937</t>
  </si>
  <si>
    <t>90;171;243;313;473;488;630;733;754;766;986;1047</t>
  </si>
  <si>
    <t>Complete proteome;Developmental protein;Disulfide bond;Glycoprotein;Immunoglobulin domain;Membrane;Polymorphism;Reference proteome;Repeat;Signal;Transmembrane;Transmembrane helix</t>
  </si>
  <si>
    <t>UniRef100_Q2VWP7;UniRef90_Q2VWP7;UniRef50_Q2VWP7</t>
  </si>
  <si>
    <t>S4A8_HUMAN</t>
  </si>
  <si>
    <t>Electroneutral sodium bicarbonate exchanger 1</t>
  </si>
  <si>
    <t>SLC4A8</t>
  </si>
  <si>
    <t>NC:1-473;TM:474-501;CY:502-520;TM:521-544;NC:545-565;TM:566-589;CY:590-595;TM:596-615;NC:616-693;TM:694-712;CY:713-731;TM:732-751;NC:752-779;TM:780-799;CY:800-819;TM:820-844;NC:845-879;TM:880-899;CY:900-905;TM:906-925;NC:926-957;TM:958-988;CY:989-1093</t>
  </si>
  <si>
    <t>ENSG00000050438</t>
  </si>
  <si>
    <t>ENSP00000405812</t>
  </si>
  <si>
    <t>175;205;646;666;1054;1065</t>
  </si>
  <si>
    <t>30;31;257;259;1050;1056</t>
  </si>
  <si>
    <t>Alternative splicing;Anion exchange;Antiport;Coiled coil;Complete proteome;Ion transport;Membrane;Polymorphism;Reference proteome;Sodium;Sodium transport;Transmembrane;Transmembrane helix;Transport</t>
  </si>
  <si>
    <t>UniRef100_Q2Y0W8;UniRef90_Q2Y0W8;UniRef50_Q9Y6M7</t>
  </si>
  <si>
    <t>2B18_HUMAN</t>
  </si>
  <si>
    <t>HLA class II histocompatibility antigen, DRB1-8 beta chain</t>
  </si>
  <si>
    <t>UniRef100_Q30134;UniRef90_P04229;UniRef50_P04229</t>
  </si>
  <si>
    <t>DRB5_HUMAN</t>
  </si>
  <si>
    <t>HLA class II histocompatibility antigen, DR beta 5 chain</t>
  </si>
  <si>
    <t>HLA-DRB5</t>
  </si>
  <si>
    <t>ENSG00000198502</t>
  </si>
  <si>
    <t>ENSP00000364114</t>
  </si>
  <si>
    <t>FLQQDKYECHFFN[115]GTER;FLQQDKYECHFFN[115]GTERVR;YECHFFN[115]GTER</t>
  </si>
  <si>
    <t>Q30154</t>
  </si>
  <si>
    <t>UniRef100_Q30154;UniRef90_Q30154;UniRef50_P79483</t>
  </si>
  <si>
    <t>2B1A_HUMAN</t>
  </si>
  <si>
    <t>HLA class II histocompatibility antigen, DRB1-10 beta chain</t>
  </si>
  <si>
    <t>UniRef100_Q30167;UniRef90_P04229;UniRef50_P04229</t>
  </si>
  <si>
    <t>HFE_HUMAN</t>
  </si>
  <si>
    <t>Hereditary hemochromatosis protein</t>
  </si>
  <si>
    <t>HFE</t>
  </si>
  <si>
    <t>SP:1-22;NC:23-304;TM:305-329;CY:330-348</t>
  </si>
  <si>
    <t>ENSG00000010704</t>
  </si>
  <si>
    <t>ENSP00000417404</t>
  </si>
  <si>
    <t>110;130;234</t>
  </si>
  <si>
    <t>ALNYYPQN[115]ITMK</t>
  </si>
  <si>
    <t>Q30201</t>
  </si>
  <si>
    <t>3D-structure;Alternative splicing;Complete proteome;Disease mutation;Disulfide bond;Glycoprotein;Immunity;Ion transport;Iron;Iron transport;Membrane;MHC I;Polymorphism;Reference proteome;Signal;Transmembrane;Transmembrane helix;Transport</t>
  </si>
  <si>
    <t>UniRef100_Q30201;UniRef90_Q30201;UniRef50_Q30201</t>
  </si>
  <si>
    <t>1B81_HUMAN</t>
  </si>
  <si>
    <t>HLA class I histocompatibility antigen, B-81 alpha chain</t>
  </si>
  <si>
    <t>UniRef100_Q31610;UniRef90_P01889;UniRef50_P01892</t>
  </si>
  <si>
    <t>1B73_HUMAN</t>
  </si>
  <si>
    <t>HLA class I histocompatibility antigen, B-73 alpha chain</t>
  </si>
  <si>
    <t>SP:1-24;NC:25-305;TM:306-332;CY:333-363</t>
  </si>
  <si>
    <t>UniRef100_Q31612;UniRef90_P01889;UniRef50_P01892</t>
  </si>
  <si>
    <t>LPPR5_HUMAN</t>
  </si>
  <si>
    <t>Lipid phosphate phosphatase-related protein type 5</t>
  </si>
  <si>
    <t>LPPR5</t>
  </si>
  <si>
    <t>CY:1-11;TM:12-30;NC:31-66;TM:67-92;CY:93-121;TM:122-143;NC:144-195;TM:196-214;CY:215-220;TM:221-240;NC:241-251;TM:252-272;CY:273-321</t>
  </si>
  <si>
    <t>Alternative splicing;Complete proteome;Hydrolase;Membrane;Reference proteome;Transmembrane;Transmembrane helix</t>
  </si>
  <si>
    <t>UniRef100_Q32ZL2;UniRef90_Q32ZL2;UniRef50_Q32ZL2</t>
  </si>
  <si>
    <t>PTHD3_HUMAN</t>
  </si>
  <si>
    <t>Patched domain-containing protein 3</t>
  </si>
  <si>
    <t>PTCHD3</t>
  </si>
  <si>
    <t>NC:1-138;TM:139-159;CY:160-294;TM:295-317;NC:318-380;TM:381-402;CY:403-411;TM:412-434;NC:435-439;TM:440-465;CY:466-485;TM:486-505;NC:506-516;TM:517-539;CY:540-602;TM:603-624;NC:625-767</t>
  </si>
  <si>
    <t>ENSG00000182077;ENSG00000276595</t>
  </si>
  <si>
    <t>ENSP00000417658;ENSP00000484143</t>
  </si>
  <si>
    <t>192;275;279;530;678;692;737</t>
  </si>
  <si>
    <t>UniRef100_Q3KNS1;UniRef90_Q3KNS1;UniRef50_Q3KNS1</t>
  </si>
  <si>
    <t>TMM95_HUMAN</t>
  </si>
  <si>
    <t>Transmembrane protein 95</t>
  </si>
  <si>
    <t>TMEM95</t>
  </si>
  <si>
    <t>SP:1-16;NC:17-145;TM:146-165;CY:166-176</t>
  </si>
  <si>
    <t>ENSG00000182896</t>
  </si>
  <si>
    <t>ENSP00000460828</t>
  </si>
  <si>
    <t>UniRef100_Q3KNT9;UniRef90_Q3KNT9;UniRef50_Q3KNT9</t>
  </si>
  <si>
    <t>SOAT_HUMAN</t>
  </si>
  <si>
    <t>Solute carrier family 10 member 6</t>
  </si>
  <si>
    <t>SLC10A6</t>
  </si>
  <si>
    <t>NC:1-31;TM:32-53;CY:54-65;TM:66-90;NC:91-96;TM:97-119;CY:120-130;TM:131-150;NC:151-161;TM:162-184;CY:185-193;TM:194-216;NC:217-225;TM:226-247;CY:248-266;TM:267-285;NC:286-290;TM:291-311;CY:312-377</t>
  </si>
  <si>
    <t>ENSG00000145283</t>
  </si>
  <si>
    <t>ENSP00000273905</t>
  </si>
  <si>
    <t>4;14;157</t>
  </si>
  <si>
    <t>UniRef100_Q3KNW5;UniRef90_Q3KNW5;UniRef50_Q3KNW5</t>
  </si>
  <si>
    <t>CEA21_HUMAN</t>
  </si>
  <si>
    <t>Carcinoembryonic antigen-related cell adhesion molecule 21</t>
  </si>
  <si>
    <t>CEACAM21</t>
  </si>
  <si>
    <t>SP:1-36;NC:37-238;TM:239-261;CY:262-293</t>
  </si>
  <si>
    <t>ENSG00000007129;ENSG00000278565</t>
  </si>
  <si>
    <t>ENSP00000187608;ENSP00000385739;ENSP00000390697;ENSP00000483598</t>
  </si>
  <si>
    <t>111;169;223</t>
  </si>
  <si>
    <t>Alternative splicing;Complete proteome;Disulfide bond;Glycoprotein;Immunoglobulin domain;Membrane;Polymorphism;Reference proteome;Signal;Transmembrane;Transmembrane helix</t>
  </si>
  <si>
    <t>UniRef100_Q3KPI0;UniRef90_Q3KPI0;UniRef50_Q3KPI0</t>
  </si>
  <si>
    <t>GRM1B_HUMAN</t>
  </si>
  <si>
    <t>GRAM domain-containing protein 1B</t>
  </si>
  <si>
    <t>GRAMD1B</t>
  </si>
  <si>
    <t>NC:1-622;TM:623-646;CY:647-738</t>
  </si>
  <si>
    <t>ENSG00000023171</t>
  </si>
  <si>
    <t>ENSP00000436500</t>
  </si>
  <si>
    <t>14;259;284;382;423;492</t>
  </si>
  <si>
    <t>Alternative splicing;Complete proteome;Membrane;Phosphoprotein;Reference proteome;Transmembrane;Transmembrane helix</t>
  </si>
  <si>
    <t>UniRef100_Q3KR37;UniRef90_Q3KR37;UniRef50_Q3KR37</t>
  </si>
  <si>
    <t>DPCR1_HUMAN</t>
  </si>
  <si>
    <t>Diffuse panbronchiolitis critical region protein 1</t>
  </si>
  <si>
    <t>DPCR1</t>
  </si>
  <si>
    <t>SP:1-29;NC:30-445;TM:446-470;CY:471-517</t>
  </si>
  <si>
    <t>ENSG00000168631;ENSG00000232251;ENSG00000229284</t>
  </si>
  <si>
    <t>ENSP00000305948;ENSP00000448383;ENSP00000446847</t>
  </si>
  <si>
    <t>88;124;296;338;386;418;441</t>
  </si>
  <si>
    <t>90;200;340;343;380;381;382;391;404</t>
  </si>
  <si>
    <t>UniRef100_Q3MIW9;UniRef90_Q3MIW9;UniRef50_Q3MIW9</t>
  </si>
  <si>
    <t>K1644_HUMAN</t>
  </si>
  <si>
    <t>Uncharacterized protein KIAA1644</t>
  </si>
  <si>
    <t>KIAA1644</t>
  </si>
  <si>
    <t>SP:1-25;NC:26-97;TM:98-120;CY:121-199</t>
  </si>
  <si>
    <t>ENSG00000138944</t>
  </si>
  <si>
    <t>ENSP00000370568</t>
  </si>
  <si>
    <t>53;63;72;83;95</t>
  </si>
  <si>
    <t>UniRef100_Q3SXP7;UniRef90_Q3SXP7;UniRef50_Q3SXP7</t>
  </si>
  <si>
    <t>LRIT3_HUMAN</t>
  </si>
  <si>
    <t>Leucine-rich repeat, immunoglobulin-like domain and transmembrane domain-containing protein 3</t>
  </si>
  <si>
    <t>LRIT3</t>
  </si>
  <si>
    <t>SP:1-23;NC:24-580;TM:581-604;CY:605-679</t>
  </si>
  <si>
    <t>ENSG00000183423</t>
  </si>
  <si>
    <t>ENSP00000469759</t>
  </si>
  <si>
    <t>296;457;508</t>
  </si>
  <si>
    <t>Endoplasmic reticulum membrane (Single-pass membrane protein)</t>
  </si>
  <si>
    <t>Alternative splicing;Complete proteome;Congenital stationary night blindness;Disease mutation;Disulfide bond;Endoplasmic reticulum;Glycoprotein;Immunoglobulin domain;Leucine-rich repeat;Membrane;Polymorphism;Reference proteome;Repeat;Signal;Transmembrane;Transmembrane helix</t>
  </si>
  <si>
    <t>UniRef100_Q3SXY7;UniRef90_Q3SXY7;UniRef50_Q3SXY7</t>
  </si>
  <si>
    <t>F174B_HUMAN</t>
  </si>
  <si>
    <t>Membrane protein FAM174B</t>
  </si>
  <si>
    <t>FAM174B</t>
  </si>
  <si>
    <t>SP:1-29;NC:30-92;TM:93-114;CY:115-159</t>
  </si>
  <si>
    <t>ENSG00000185442</t>
  </si>
  <si>
    <t>ENSP00000329040</t>
  </si>
  <si>
    <t>53;71</t>
  </si>
  <si>
    <t>ESRPPPGPGPGN[115]TTR</t>
  </si>
  <si>
    <t>Q3ZCQ3</t>
  </si>
  <si>
    <t>UniRef100_Q3ZCQ3;UniRef90_Q3ZCQ3;UniRef50_Q3ZCQ3</t>
  </si>
  <si>
    <t>ZACN_HUMAN</t>
  </si>
  <si>
    <t>Zinc-activated ligand-gated ion channel</t>
  </si>
  <si>
    <t>ZACN</t>
  </si>
  <si>
    <t>SP:1-24;NC:25-233;TM:234-254;CY:255-264;TM:265-283;NC:284-293;TM:294-318;CY:319-368;TM:369-392;NC:393-412</t>
  </si>
  <si>
    <t>ENSG00000186919</t>
  </si>
  <si>
    <t>ENSP00000334854</t>
  </si>
  <si>
    <t>41;55;99;170</t>
  </si>
  <si>
    <t>Alternative splicing;Cell membrane;Complete proteome;Disulfide bond;Glycoprotein;Ion channel;Ion transport;Ligand-gated ion channel;Membrane;Polymorphism;Receptor;Reference proteome;Signal;Transmembrane;Transmembrane helix;Transport;Zinc</t>
  </si>
  <si>
    <t>UniRef100_Q401N2;UniRef90_Q401N2;UniRef50_Q401N2</t>
  </si>
  <si>
    <t>TIGIT_HUMAN</t>
  </si>
  <si>
    <t>T-cell immunoreceptor with Ig and ITIM domains</t>
  </si>
  <si>
    <t>TIGIT</t>
  </si>
  <si>
    <t>SP:1-15;NC:16-139;TM:140-163;CY:164-244</t>
  </si>
  <si>
    <t>ENSG00000181847</t>
  </si>
  <si>
    <t>ENSP00000373167;ENSP00000420552;ENSP00000419085</t>
  </si>
  <si>
    <t>Unknown_function;IG_Unknown_function</t>
  </si>
  <si>
    <t>32;101;236</t>
  </si>
  <si>
    <t>MMTGTIETTGN[115]ISAEK;TGTIETTGN[115]ISAEK;TIETTGN[115]ISAEK</t>
  </si>
  <si>
    <t>Q495A1</t>
  </si>
  <si>
    <t>3D-structure;Alternative splicing;Cell membrane;Complete proteome;Disulfide bond;Glycoprotein;Immunoglobulin domain;Membrane;Polymorphism;Reference proteome;Signal;Transmembrane;Transmembrane helix</t>
  </si>
  <si>
    <t>UniRef100_Q495A1;UniRef90_Q495A1;UniRef50_Q495A1</t>
  </si>
  <si>
    <t>S36A2_HUMAN</t>
  </si>
  <si>
    <t>Proton-coupled amino acid transporter 2</t>
  </si>
  <si>
    <t>SLC36A2</t>
  </si>
  <si>
    <t>CY:1-55;TM:56-78;NC:79-84;TM:85-106;CY:107-148;TM:149-169;NC:170-200;TM:201-218;CY:219-224;TM:225-246;NC:247-265;TM:266-285;CY:286-296;TM:297-319;NC:320-343;TM:344-370;CY:371-379;TM:380-400;NC:401-405;TM:406-426;CY:427-443;TM:444-463;NC:464-483</t>
  </si>
  <si>
    <t>ENSG00000186335</t>
  </si>
  <si>
    <t>ENSP00000334223</t>
  </si>
  <si>
    <t>SLC;APC;SLC36</t>
  </si>
  <si>
    <t>181;190;232;477</t>
  </si>
  <si>
    <t>Alternative splicing;Amino-acid transport;Cell membrane;Complete proteome;Cytoplasm;Disease mutation;Membrane;Polymorphism;Reference proteome;Transmembrane;Transmembrane helix;Transport</t>
  </si>
  <si>
    <t>UniRef100_Q495M3;UniRef90_Q495M3;UniRef50_Q495M3</t>
  </si>
  <si>
    <t>S36A3_HUMAN</t>
  </si>
  <si>
    <t>Proton-coupled amino acid transporter 3</t>
  </si>
  <si>
    <t>SLC36A3</t>
  </si>
  <si>
    <t>CY:1-47;TM:48-67;NC:68-72;TM:73-96;CY:97-135;TM:136-156;NC:157-188;TM:189-206;CY:207-212;TM:213-234;NC:235-252;TM:253-273;CY:274-284;TM:285-306;NC:307-332;TM:333-358;CY:359-364;TM:365-388;NC:389-393;TM:394-417;CY:418-429;TM:430-451;NC:452-470</t>
  </si>
  <si>
    <t>ENSG00000186334</t>
  </si>
  <si>
    <t>ENSP00000334750</t>
  </si>
  <si>
    <t>220;464</t>
  </si>
  <si>
    <t>Alternative splicing;Complete proteome;Membrane;Phosphoprotein;Polymorphism;Reference proteome;Transmembrane;Transmembrane helix</t>
  </si>
  <si>
    <t>UniRef100_Q495N2;UniRef90_Q495N2;UniRef50_Q495M3</t>
  </si>
  <si>
    <t>MMEL1_HUMAN</t>
  </si>
  <si>
    <t>Membrane metallo-endopeptidase-like 1</t>
  </si>
  <si>
    <t>MMEL1</t>
  </si>
  <si>
    <t>CY:1-27;TM:28-48;NC:49-779</t>
  </si>
  <si>
    <t>ENSG00000142606;ENSG00000277131</t>
  </si>
  <si>
    <t>ENSP00000367668;ENSP00000484606</t>
  </si>
  <si>
    <t>156;177;207;243;350;530;638;657</t>
  </si>
  <si>
    <t>Alternative splicing;Coiled coil;Complete proteome;Disulfide bond;Glycoprotein;Hydrolase;Membrane;Metal-binding;Metalloprotease;Polymorphism;Protease;Reference proteome;Secreted;Signal-anchor;Transmembrane;Transmembrane helix;Zinc</t>
  </si>
  <si>
    <t>UniRef100_Q495T6;UniRef90_Q495T6;UniRef50_Q495T6</t>
  </si>
  <si>
    <t>CLM2_HUMAN</t>
  </si>
  <si>
    <t>CMRF35-like molecule 2</t>
  </si>
  <si>
    <t>CD300E</t>
  </si>
  <si>
    <t>SP:1-17;NC:18-173;TM:174-195;CY:196-205</t>
  </si>
  <si>
    <t>ENSG00000186407</t>
  </si>
  <si>
    <t>ENSP00000376395</t>
  </si>
  <si>
    <t>CD300e</t>
  </si>
  <si>
    <t>Cell membrane;Complete proteome;Disulfide bond;Glycoprotein;Immunity;Immunoglobulin domain;Membrane;Polymorphism;Receptor;Reference proteome;Signal;Transmembrane;Transmembrane helix</t>
  </si>
  <si>
    <t>UniRef100_Q496F6;UniRef90_Q496F6;UniRef50_Q496F6</t>
  </si>
  <si>
    <t>NRN1L_HUMAN</t>
  </si>
  <si>
    <t>Neuritin-like protein</t>
  </si>
  <si>
    <t>NRN1L</t>
  </si>
  <si>
    <t>SP:1-35;NC:36-165</t>
  </si>
  <si>
    <t>ENSG00000188038</t>
  </si>
  <si>
    <t>ENSP00000342411</t>
  </si>
  <si>
    <t>Cell membrane;Complete proteome;Glycoprotein;GPI-anchor;Lipoprotein;Membrane;Reference proteome;Signal</t>
  </si>
  <si>
    <t>UniRef100_Q496H8;UniRef90_Q496H8;UniRef50_Q8C4W3</t>
  </si>
  <si>
    <t>SV2C_HUMAN</t>
  </si>
  <si>
    <t>Synaptic vesicle glycoprotein 2C</t>
  </si>
  <si>
    <t>SV2C</t>
  </si>
  <si>
    <t>CY:1-151;TM:152-176;NC:177-190;TM:191-210;CY:211-220;TM:221-243;NC:244-249;TM:250-267;CY:268-278;TM:279-301;NC:302-320;TM:321-339;CY:340-433;TM:434-454;NC:455-579;TM:580-603;CY:604-609;TM:610-629;NC:630-634;TM:635-658;CY:659-670;TM:671-693;NC:694-698;TM:699-718;CY:719-727</t>
  </si>
  <si>
    <t>ENSG00000122012</t>
  </si>
  <si>
    <t>ENSP00000423541</t>
  </si>
  <si>
    <t>SLC;MFS;SV2</t>
  </si>
  <si>
    <t>480;484;534;559;565</t>
  </si>
  <si>
    <t>Cytoplasmic vesicle, secretory vesicle, synaptic vesicle membrane (Multi-pass membrane protein)</t>
  </si>
  <si>
    <t>3D-structure;Cell junction;Complete proteome;Cytoplasmic vesicle;Glycoprotein;Membrane;Neurotransmitter transport;Polymorphism;Reference proteome;Synapse;Transmembrane;Transmembrane helix;Transport</t>
  </si>
  <si>
    <t>UniRef100_Q496J9;UniRef90_Q9Z2I6;UniRef50_Q9JIS5</t>
  </si>
  <si>
    <t>GPR33_HUMAN</t>
  </si>
  <si>
    <t>Probable G-protein coupled receptor 33</t>
  </si>
  <si>
    <t>GPR33</t>
  </si>
  <si>
    <t>NC:1-29;TM:30-53;CY:54-64;TM:65-84;NC:85-103;TM:104-124;CY:125-143;TM:144-166;NC:167-205;TM:206-225;CY:226-245;TM:246-263;NC:264-280;TM:281-302;CY:303-333</t>
  </si>
  <si>
    <t>ENSG00000214943</t>
  </si>
  <si>
    <t>ENSP00000421557</t>
  </si>
  <si>
    <t>5;12;19;105;272</t>
  </si>
  <si>
    <t>UniRef100_Q49SQ1;UniRef90_Q49SQ1;UniRef50_Q49SQ1</t>
  </si>
  <si>
    <t>SRCRM_HUMAN</t>
  </si>
  <si>
    <t>Scavenger receptor cysteine-rich domain-containing protein SCART1</t>
  </si>
  <si>
    <t>SP:1-19;NC:20-901;TM:902-926;CY:927-1027</t>
  </si>
  <si>
    <t>94;100;129;300;332;514;679;773</t>
  </si>
  <si>
    <t>Alternative splicing;Complete proteome;Disulfide bond;Glycoprotein;Immunity;Membrane;Reference proteome;Repeat;Signal;Transmembrane;Transmembrane helix</t>
  </si>
  <si>
    <t>UniRef100_Q4G0T1;UniRef90_Q4G0T1;UniRef50_Q4G0T1</t>
  </si>
  <si>
    <t>CDON_HUMAN</t>
  </si>
  <si>
    <t>Cell adhesion molecule-related/down-regulated by oncogenes</t>
  </si>
  <si>
    <t>CDON</t>
  </si>
  <si>
    <t>SP:1-25;NC:26-963;TM:964-989;CY:990-1287</t>
  </si>
  <si>
    <t>ENSG00000064309</t>
  </si>
  <si>
    <t>ENSP00000376458</t>
  </si>
  <si>
    <t>88;100;180;287;294;342;427;570;855;873;1062;1125</t>
  </si>
  <si>
    <t>213;216;565;575;674;680;681;687;688;824;1020;1021;1026;1043;1044;1047;1071;1074;1163;1185</t>
  </si>
  <si>
    <t>VADGDFVTLSCN[115]ASGLPVPVIR</t>
  </si>
  <si>
    <t>Q4KMG0</t>
  </si>
  <si>
    <t>3D-structure;Alternative splicing;Cell membrane;Complete proteome;Disease mutation;Disulfide bond;Glycoprotein;Holoprosencephaly;Immunoglobulin domain;Membrane;Polymorphism;Reference proteome;Repeat;Signal;Transmembrane;Transmembrane helix</t>
  </si>
  <si>
    <t>UniRef100_Q4KMG0;UniRef90_Q4KMG0;UniRef50_Q32MD9</t>
  </si>
  <si>
    <t>ANO6_HUMAN</t>
  </si>
  <si>
    <t>Anoctamin-6</t>
  </si>
  <si>
    <t>ANO6</t>
  </si>
  <si>
    <t>CY:1-295;TM:296-318;NC:319-375;TM:376-395;CY:396-452;TM:453-477;NC:478-509;TM:510-530;CY:531-553;TM:554-572;NC:573-669;TM:670-693;CY:694-726;TM:727-747;NC:748-824;TM:825-846;CY:847-910</t>
  </si>
  <si>
    <t>ENSG00000177119</t>
  </si>
  <si>
    <t>ENSP00000320087</t>
  </si>
  <si>
    <t>153;226;329;361;493;777;790;802</t>
  </si>
  <si>
    <t>LN[115]ITCESSK;NIN[115]GTDPIQK;IN[115]GTDPIQK;SVPPYGDHTSYTMEGYIN[115]NTLSIFK;SYTMEGYIN[115]NTLSIFK;YTMEGYIN[115]NTLSIFK;TMEGYIN[115]NTLSIFK;MEGYIN[115]NTLSIFK;EGYIN[115]NTLSIFK;SKGNPYSDLGN[115]HTTCR;GNPYSDLGN[115]HTTC;GNPYSDLGN[115]HTTCR;NPYSDLGN[115]HTTCR;PYSDLGN[115]HTTCR;YSDLGN[115]HTTCR;SDLGN[115]HTTCR</t>
  </si>
  <si>
    <t>361;493;777;802</t>
  </si>
  <si>
    <t>Q4KMQ2</t>
  </si>
  <si>
    <t>Alternative splicing;Cell membrane;Chloride;Chloride channel;Complete proteome;Glycoprotein;Ion channel;Ion transport;Lipid transport;Membrane;Polymorphism;Reference proteome;Transmembrane;Transmembrane helix;Transport;Voltage-gated channel</t>
  </si>
  <si>
    <t>UniRef100_Q4KMQ2;UniRef90_Q4KMQ2;UniRef50_Q4KMQ2</t>
  </si>
  <si>
    <t>NKAI1_HUMAN</t>
  </si>
  <si>
    <t>Sodium/potassium-transporting ATPase subunit beta-1-interacting protein 1</t>
  </si>
  <si>
    <t>NKAIN1</t>
  </si>
  <si>
    <t>SP:1-21;NC:22-33;TM:34-55;CY:56-61;TM:62-85;NC:86-149;TM:150-168;CY:169-207</t>
  </si>
  <si>
    <t>ENSG00000084628</t>
  </si>
  <si>
    <t>ENSP00000362841</t>
  </si>
  <si>
    <t>AuxillaryTransportUnit;NKAIN</t>
  </si>
  <si>
    <t>Alternative splicing;Cell membrane;Complete proteome;Glycoprotein;Membrane;Reference proteome;Signal;Transmembrane;Transmembrane helix</t>
  </si>
  <si>
    <t>UniRef100_Q4KMZ8;UniRef90_Q4KMZ8;UniRef50_Q4KMZ8</t>
  </si>
  <si>
    <t>S22A6_HUMAN</t>
  </si>
  <si>
    <t>Solute carrier family 22 member 6</t>
  </si>
  <si>
    <t>SLC22A6</t>
  </si>
  <si>
    <t>CY:1-11;TM:12-32;NC:33-137;TM:138-156;CY:157-164;TM:165-185;NC:186-191;TM:192-213;CY:214-222;TM:223-244;NC:245-249;TM:250-269;CY:270-336;TM:337-356;NC:357-367;TM:368-389;CY:390-396;TM:397-415;NC:416-426;TM:427-445;CY:446-456;TM:457-475;NC:476-486;TM:487-504;CY:505-563</t>
  </si>
  <si>
    <t>ENSG00000197901</t>
  </si>
  <si>
    <t>ENSP00000367102</t>
  </si>
  <si>
    <t>39;56;92;97;113</t>
  </si>
  <si>
    <t>39;92;97;113</t>
  </si>
  <si>
    <t>UniRef100_Q4U2R8;UniRef90_Q4U2R8;UniRef50_Q4U2R8</t>
  </si>
  <si>
    <t>DB01032</t>
  </si>
  <si>
    <t>AT135_HUMAN</t>
  </si>
  <si>
    <t>Probable cation-transporting ATPase 13A5</t>
  </si>
  <si>
    <t>ATP13A5</t>
  </si>
  <si>
    <t>CY:1-33;TM:34-53;NC:54-222;TM:223-243;CY:244-398;TM:399-422;NC:423-433;TM:434-457;CY:458-905;TM:906-927;NC:928-932;TM:933-953;CY:954-972;TM:973-995;NC:996-1045;TM:1046-1063;CY:1064-1074;TM:1075-1095;NC:1096-1112;TM:1113-1131;CY:1132-1218</t>
  </si>
  <si>
    <t>ENSG00000187527</t>
  </si>
  <si>
    <t>ENSP00000341942</t>
  </si>
  <si>
    <t>540;669;781;819;1014;1017;1021;1027;1031;1174</t>
  </si>
  <si>
    <t>ATP-binding;Complete proteome;Glycoprotein;Hydrolase;Magnesium;Membrane;Metal-binding;Nucleotide-binding;Polymorphism;Reference proteome;Transmembrane;Transmembrane helix</t>
  </si>
  <si>
    <t>UniRef100_Q4VNC0;UniRef90_Q4VNC0;UniRef50_Q4VNC1</t>
  </si>
  <si>
    <t>S39AC_HUMAN</t>
  </si>
  <si>
    <t>Zinc transporter ZIP12</t>
  </si>
  <si>
    <t>SLC39A12</t>
  </si>
  <si>
    <t>NC:1-204;TM:205-224;CY:225-366;TM:367-390;NC:391-398;TM:399-421;CY:422-447;TM:448-469;NC:470-535;TM:536-558;CY:559-601;TM:602-621;NC:622-631;TM:632-650;CY:651-661;TM:662-685;NC:686-691</t>
  </si>
  <si>
    <t>ENSG00000148482</t>
  </si>
  <si>
    <t>ENSP00000366586</t>
  </si>
  <si>
    <t>59;134;162;201;242;290</t>
  </si>
  <si>
    <t>Alternative splicing;Complete proteome;Ion transport;Membrane;Polymorphism;Reference proteome;Transmembrane;Transmembrane helix;Transport;Zinc;Zinc transport</t>
  </si>
  <si>
    <t>UniRef100_Q504Y0;UniRef90_Q504Y0;UniRef50_Q504Y0</t>
  </si>
  <si>
    <t>LRC24_HUMAN</t>
  </si>
  <si>
    <t>Leucine-rich repeat-containing protein 24</t>
  </si>
  <si>
    <t>LRRC24</t>
  </si>
  <si>
    <t>SP:1-20;NC:21-404;TM:405-426;CY:427-513</t>
  </si>
  <si>
    <t>ENSG00000254402</t>
  </si>
  <si>
    <t>ENSP00000434849</t>
  </si>
  <si>
    <t>83;334;363;474</t>
  </si>
  <si>
    <t>Complete proteome;Disulfide bond;Glycoprotein;Immunoglobulin domain;Leucine-rich repeat;Membrane;Reference proteome;Repeat;Signal;Transmembrane;Transmembrane helix</t>
  </si>
  <si>
    <t>UniRef100_Q50LG9;UniRef90_Q50LG9;UniRef50_Q50LG9</t>
  </si>
  <si>
    <t>SEZ6_HUMAN</t>
  </si>
  <si>
    <t>Seizure protein 6 homolog</t>
  </si>
  <si>
    <t>SEZ6</t>
  </si>
  <si>
    <t>SP:1-19;NC:20-924;TM:925-948;CY:949-994</t>
  </si>
  <si>
    <t>ENSG00000063015</t>
  </si>
  <si>
    <t>ENSP00000312942</t>
  </si>
  <si>
    <t>247;289;313;399;422;436;440;541;583;707</t>
  </si>
  <si>
    <t>247;289;313;399;422;436;440;541;583;707;978</t>
  </si>
  <si>
    <t>Alternative splicing;Cell membrane;Complete proteome;Disulfide bond;Glycoprotein;Membrane;Polymorphism;Reference proteome;Repeat;Signal;Sushi;Transmembrane;Transmembrane helix</t>
  </si>
  <si>
    <t>UniRef100_Q53EL9;UniRef90_Q53EL9;UniRef50_Q7TSK2</t>
  </si>
  <si>
    <t>CTL4_HUMAN</t>
  </si>
  <si>
    <t>Choline transporter-like protein 4</t>
  </si>
  <si>
    <t>SLC44A4</t>
  </si>
  <si>
    <t>CY:1-34;TM:35-58;NC:59-228;TM:229-250;CY:251-256;TM:257-275;NC:276-308;TM:309-330;CY:331-355;TM:356-380;NC:381-453;TM:454-476;CY:477-496;TM:497-519;NC:520-558;TM:559-582;CY:583-596;TM:597-618;NC:619-636;TM:637-660;CY:661-710</t>
  </si>
  <si>
    <t>ENSG00000204385;ENSG00000206378;ENSG00000229077;ENSG00000235336;ENSG00000228263;ENSG00000232180;ENSG00000231479</t>
  </si>
  <si>
    <t>ENSP00000229729;ENSP00000372870;ENSP00000414120;ENSP00000389244;ENSP00000399161;ENSP00000398852;ENSP00000393939;ENSP00000449232;ENSP00000448474;ENSP00000447704</t>
  </si>
  <si>
    <t>SLC;Other;SLC44</t>
  </si>
  <si>
    <t>29;69;155;186;197;298;393;405;416;678</t>
  </si>
  <si>
    <t>UniRef100_Q53GD3;UniRef90_Q53GD3;UniRef50_Q53GD3</t>
  </si>
  <si>
    <t>T4S20_HUMAN</t>
  </si>
  <si>
    <t>Transmembrane 4 L6 family member 20</t>
  </si>
  <si>
    <t>TM4SF20</t>
  </si>
  <si>
    <t>CY:1-11;TM:12-35;NC:36-49;TM:50-71;CY:72-82;TM:83-109;NC:110-185;TM:186-206;CY:207-229</t>
  </si>
  <si>
    <t>ENSG00000168955</t>
  </si>
  <si>
    <t>ENSP00000303028</t>
  </si>
  <si>
    <t>80;132;148;163</t>
  </si>
  <si>
    <t>Cell membrane;Complete proteome;Membrane;Polymorphism;Reference proteome;Transmembrane;Transmembrane helix</t>
  </si>
  <si>
    <t>UniRef100_Q53R12;UniRef90_Q53R12;UniRef50_Q53R12</t>
  </si>
  <si>
    <t>SDK2_HUMAN</t>
  </si>
  <si>
    <t>Protein sidekick-2</t>
  </si>
  <si>
    <t>SDK2</t>
  </si>
  <si>
    <t>SP:1-20;NC:21-1929;TM:1930-1953;CY:1954-2172</t>
  </si>
  <si>
    <t>ENSG00000069188</t>
  </si>
  <si>
    <t>ENSP00000376421</t>
  </si>
  <si>
    <t>193;223;403;551;577;609;704;743;804;936;948;1102;1205;1256;1341;1457;1575;1670;1689;1741;1815;2117</t>
  </si>
  <si>
    <t>NAAGEVQTSTYLAVTSIAPN[115]ITR;VISAGGN[115]DSR;AIN[115]LTWTKPFDGNSPLIR;TN[115]QSIMIQWQPPPESHQNGILK;TN[115]QSIMIQWQPPPESHQN[115]GILK;ISWEEYN[115]R;VTHYLPN[115]VTLEYR;IQTLQAPPDMAPAN[115]VSLR;PPDMAPAN[115]VSLR;ESVPSSGPTN[115]VSALATTSSSMLVR;FWLVEGN[115]SSR;LN[115]TTTANTATVEVLAPSAR;WALHSASVSHN[115]ASSF;WALHSASVSHN[115]ASSFIVDR;SASVSHN[115]ASSFIVDR;LKN[115]LTGYTAY</t>
  </si>
  <si>
    <t>403;577;609;704;936;948;1102;1205;1256;1341;1457;1689</t>
  </si>
  <si>
    <t>Q58EX2</t>
  </si>
  <si>
    <t>3D-structure;Alternative splicing;Cell adhesion;Complete proteome;Disulfide bond;Glycoprotein;Immunoglobulin domain;Membrane;Reference proteome;Repeat;Signal;Transmembrane;Transmembrane helix</t>
  </si>
  <si>
    <t>UniRef100_Q58EX2;UniRef90_Q58EX2;UniRef50_Q7Z5N4-3</t>
  </si>
  <si>
    <t>SPRN_HUMAN</t>
  </si>
  <si>
    <t>Shadow of prion protein</t>
  </si>
  <si>
    <t>SPRN</t>
  </si>
  <si>
    <t>SP:1-24;NC:25-151</t>
  </si>
  <si>
    <t>ENSG00000203772</t>
  </si>
  <si>
    <t>ENSP00000433712</t>
  </si>
  <si>
    <t>Amyloid;Cell membrane;Complete proteome;Glycoprotein;GPI-anchor;Lipoprotein;Membrane;Polymorphism;Prion;Reference proteome;Signal</t>
  </si>
  <si>
    <t>UniRef100_Q5BIV9;UniRef90_Q5BIV9;UniRef50_Q5BIV9</t>
  </si>
  <si>
    <t>S45A4_HUMAN</t>
  </si>
  <si>
    <t>Solute carrier family 45 member 4</t>
  </si>
  <si>
    <t>SLC45A4</t>
  </si>
  <si>
    <t>CY:1-63;TM:64-82;NC:83-87;TM:88-109;CY:110-120;TM:121-144;NC:145-153;TM:154-174;CY:175-193;TM:194-213;NC:214-232;TM:233-252;CY:253-512;TM:513-537;NC:538-557;TM:558-579;CY:580-590;TM:591-611;NC:612-616;TM:617-639;CY:640-659;TM:660-682;NC:683-693;TM:694-716;CY:717-768</t>
  </si>
  <si>
    <t>ENSG00000022567</t>
  </si>
  <si>
    <t>SLC;MFS;SLC45</t>
  </si>
  <si>
    <t>139;385;472;547;718</t>
  </si>
  <si>
    <t>APSN[115]STAWQAYNAGVK</t>
  </si>
  <si>
    <t>Q5BKX6</t>
  </si>
  <si>
    <t>Alternative splicing;Complete proteome;Membrane;Phosphoprotein;Polymorphism;Reference proteome;Transmembrane;Transmembrane helix;Transport</t>
  </si>
  <si>
    <t>UniRef100_Q5BKX6;UniRef90_Q5BKX6;UniRef50_Q5BKX6</t>
  </si>
  <si>
    <t>UROL1_HUMAN</t>
  </si>
  <si>
    <t>Uromodulin-like 1</t>
  </si>
  <si>
    <t>UMODL1</t>
  </si>
  <si>
    <t>SP:1-21;NC:22-1269;TM:1270-1293;CY:1294-1318</t>
  </si>
  <si>
    <t>ENSG00000177398</t>
  </si>
  <si>
    <t>ENSP00000386147</t>
  </si>
  <si>
    <t>89;109;172;222;322;335;339;410;417;585;624;713;751;809;852;948;984;1025;1030;1050;1128;1175;1207;1310</t>
  </si>
  <si>
    <t>89;109;172;222;322;335;339;410;417;585;624;670;713;751;809;852;948;984;1025;1030;1050;1128;1175;1207;1310</t>
  </si>
  <si>
    <t>Cell membrane (Single-pass type I membrane protein);Cytoplasm;Cytoplasm</t>
  </si>
  <si>
    <t>Alternative splicing;Calcium;Cell membrane;Complete proteome;Cytoplasm;Disulfide bond;EGF-like domain;Glycoprotein;Membrane;Polymorphism;Reference proteome;Repeat;Signal;Transmembrane;Transmembrane helix</t>
  </si>
  <si>
    <t>UniRef100_Q5DID0;UniRef90_Q5DID0;UniRef50_Q5DID0</t>
  </si>
  <si>
    <t>IGS11_HUMAN</t>
  </si>
  <si>
    <t>Immunoglobulin superfamily member 11</t>
  </si>
  <si>
    <t>IGSF11</t>
  </si>
  <si>
    <t>SP:1-21;NC:22-240;TM:241-267;CY:268-431</t>
  </si>
  <si>
    <t>ENSG00000144847</t>
  </si>
  <si>
    <t>ENSP00000377370</t>
  </si>
  <si>
    <t>102;108;204;308;360;389</t>
  </si>
  <si>
    <t>Alternative splicing;Cell adhesion;Cell membrane;Complete proteome;Disulfide bond;Glycoprotein;Growth regulation;Immunoglobulin domain;Membrane;Polymorphism;Receptor;Reference proteome;Repeat;Signal;Transmembrane;Transmembrane helix</t>
  </si>
  <si>
    <t>UniRef100_Q5DX21;UniRef90_Q5DX21;UniRef50_Q5DX21</t>
  </si>
  <si>
    <t>PRRT3_HUMAN</t>
  </si>
  <si>
    <t>Proline-rich transmembrane protein 3</t>
  </si>
  <si>
    <t>PRRT3</t>
  </si>
  <si>
    <t>SP:1-27;NC:28-472;TM:473-495;CY:496-501;TM:502-522;NC:523-541;TM:542-562;CY:563-571;TM:572-592;NC:593-598;TM:599-619;CY:620-638;TM:639-661;NC:662-679;TM:680-700;CY:701-981</t>
  </si>
  <si>
    <t>ENSG00000163704</t>
  </si>
  <si>
    <t>ENSP00000295984;ENSP00000392511</t>
  </si>
  <si>
    <t>379;452;811</t>
  </si>
  <si>
    <t>673;916</t>
  </si>
  <si>
    <t>Alternative splicing;Complete proteome;Direct protein sequencing;Glycoprotein;Membrane;Polymorphism;Reference proteome;Signal;Transmembrane;Transmembrane helix</t>
  </si>
  <si>
    <t>UniRef100_Q5FWE3;UniRef90_Q5FWE3;UniRef50_Q5FWE3</t>
  </si>
  <si>
    <t>XKR3_HUMAN</t>
  </si>
  <si>
    <t>XK-related protein 3</t>
  </si>
  <si>
    <t>XKR3</t>
  </si>
  <si>
    <t>CY:1-31;TM:32-54;NC:55-64;TM:65-88;CY:89-98;TM:99-117;NC:118-164;TM:165-185;CY:186-196;TM:197-220;NC:221-237;TM:238-258;CY:259-264;TM:265-283;NC:284-302;TM:303-325;CY:326-344;TM:345-365;NC:366-376;TM:377-398;CY:399-459</t>
  </si>
  <si>
    <t>ENSG00000172967</t>
  </si>
  <si>
    <t>ENSP00000331704</t>
  </si>
  <si>
    <t>Other_transporters;XK</t>
  </si>
  <si>
    <t>62;296;318</t>
  </si>
  <si>
    <t>UniRef100_Q5GH77;UniRef90_Q5GH77;UniRef50_Q5GH77</t>
  </si>
  <si>
    <t>MKS3_HUMAN</t>
  </si>
  <si>
    <t>Meckelin</t>
  </si>
  <si>
    <t>TMEM67</t>
  </si>
  <si>
    <t>SP:1-21;NC:22-525;TM:526-544;CY:545-563;TM:564-589;NC:590-608;TM:609-626;CY:627-688;TM:689-710;NC:711-729;TM:730-754;CY:755-765;TM:766-789;NC:790-938;TM:939-966;CY:967-995</t>
  </si>
  <si>
    <t>ENSG00000164953</t>
  </si>
  <si>
    <t>ENSP00000314488;ENSP00000389998</t>
  </si>
  <si>
    <t>141;179;242;318;774</t>
  </si>
  <si>
    <t>Cell membrane (Multi-pass membrane protein);Cytoplasm, cytoskeleton, cilium basal body;Endoplasmic reticulum membrane (Multi-pass membrane protein)</t>
  </si>
  <si>
    <t>Alternative splicing;Bardet-Biedl syndrome;Cell membrane;Cell projection;Ciliopathy;Cilium;Cilium biogenesis/degradation;Complete proteome;Cytoplasm;Cytoskeleton;Disease mutation;Endoplasmic reticulum;Glycoprotein;Joubert syndrome;Meckel syndrome;Membrane;Mental retardation;Nephronophthisis;Obesity;Polymorphism;Reference proteome;Transmembrane;Transmembrane helix</t>
  </si>
  <si>
    <t>UniRef100_Q5HYA8;UniRef90_Q5HYA8;UniRef50_Q5HYA8</t>
  </si>
  <si>
    <t>CRUM2_HUMAN</t>
  </si>
  <si>
    <t>Protein crumbs homolog 2</t>
  </si>
  <si>
    <t>CRB2</t>
  </si>
  <si>
    <t>SP:1-31;NC:32-1224;TM:1225-1247;CY:1248-1285</t>
  </si>
  <si>
    <t>ENSG00000148204</t>
  </si>
  <si>
    <t>ENSP00000362734</t>
  </si>
  <si>
    <t>235;438;478;669;690;786;800;836;886;926;1009;1141;1158</t>
  </si>
  <si>
    <t>EGPPAAFSGHN[115]ASSGR;ILLAEN[115]FTGCLGR</t>
  </si>
  <si>
    <t>886;1009</t>
  </si>
  <si>
    <t>Q5IJ48</t>
  </si>
  <si>
    <t>3D-structure;Alternative splicing;Calcium;Cell membrane;Complete proteome;Disulfide bond;EGF-like domain;Glycoprotein;Membrane;Polymorphism;Reference proteome;Repeat;Secreted;Signal;Transmembrane;Transmembrane helix</t>
  </si>
  <si>
    <t>UniRef100_Q5IJ48;UniRef90_Q5IJ48;UniRef50_Q5IJ48</t>
  </si>
  <si>
    <t>OR2BB_HUMAN</t>
  </si>
  <si>
    <t>Olfactory receptor 2B11</t>
  </si>
  <si>
    <t>OR2B11</t>
  </si>
  <si>
    <t>NC:1-29;TM:30-52;CY:53-63;TM:64-86;NC:87-105;TM:106-127;CY:128-146;TM:147-166;NC:167-201;TM:202-225;CY:226-241;TM:242-264;NC:265-276;TM:277-296;CY:297-317</t>
  </si>
  <si>
    <t>ENSG00000177535</t>
  </si>
  <si>
    <t>ENSP00000325682</t>
  </si>
  <si>
    <t>5;199</t>
  </si>
  <si>
    <t>UniRef100_Q5JQS5;UniRef90_Q5JQS5;UniRef50_O76002</t>
  </si>
  <si>
    <t>O10J3_HUMAN</t>
  </si>
  <si>
    <t>Olfactory receptor 10J3</t>
  </si>
  <si>
    <t>OR10J3</t>
  </si>
  <si>
    <t>NC:1-25;TM:26-49;CY:50-60;TM:61-82;NC:83-101;TM:102-121;CY:122-141;TM:142-162;NC:163-197;TM:198-222;CY:223-241;TM:242-261;NC:262-272;TM:273-290;CY:291-329</t>
  </si>
  <si>
    <t>ENSG00000196266</t>
  </si>
  <si>
    <t>ENSP00000331789</t>
  </si>
  <si>
    <t>UniRef100_Q5JRS4;UniRef90_Q5JRS4;UniRef50_Q5JRS4</t>
  </si>
  <si>
    <t>T255A_HUMAN</t>
  </si>
  <si>
    <t>Transmembrane protein 255A</t>
  </si>
  <si>
    <t>TMEM255A</t>
  </si>
  <si>
    <t>CY:1-28;TM:29-50;NC:51-61;TM:62-82;CY:83-88;TM:89-114;NC:115-220;TM:221-244;CY:245-349</t>
  </si>
  <si>
    <t>ENSG00000125355</t>
  </si>
  <si>
    <t>ENSP00000310110</t>
  </si>
  <si>
    <t>56;158;257</t>
  </si>
  <si>
    <t>Alternative splicing;Complete proteome;Membrane;Polymorphism;Reference proteome;Transmembrane;Transmembrane helix</t>
  </si>
  <si>
    <t>UniRef100_Q5JRV8;UniRef90_Q5JRV8;UniRef50_Q5JRV8</t>
  </si>
  <si>
    <t>SIRB2_HUMAN</t>
  </si>
  <si>
    <t>Signal-regulatory protein beta-2</t>
  </si>
  <si>
    <t>SIRPB2</t>
  </si>
  <si>
    <t>SP:1-32;NC:33-287;TM:288-311;CY:312-342</t>
  </si>
  <si>
    <t>ENSG00000196209</t>
  </si>
  <si>
    <t>ENSP00000352849</t>
  </si>
  <si>
    <t>116;179;231</t>
  </si>
  <si>
    <t>UniRef100_Q5JXA9;UniRef90_Q5JXA9;UniRef50_Q5JXA9</t>
  </si>
  <si>
    <t>GLRA4_HUMAN</t>
  </si>
  <si>
    <t>Glycine receptor subunit alpha-4</t>
  </si>
  <si>
    <t>GLRA4</t>
  </si>
  <si>
    <t>SP:1-28;NC:29-256;TM:257-279;CY:280-319;TM:320-339;NC:340-417</t>
  </si>
  <si>
    <t>ENSG00000188828</t>
  </si>
  <si>
    <t>ENSP00000361700</t>
  </si>
  <si>
    <t>UniRef100_Q5JXX5;UniRef90_Q5JXX5;UniRef50_P23415</t>
  </si>
  <si>
    <t>EPHAA_HUMAN</t>
  </si>
  <si>
    <t>Ephrin type-A receptor 10</t>
  </si>
  <si>
    <t>EPHA10</t>
  </si>
  <si>
    <t>SP:1-33;NC:34-564;TM:565-589;CY:590-1008</t>
  </si>
  <si>
    <t>ENSG00000183317</t>
  </si>
  <si>
    <t>ENSP00000362139</t>
  </si>
  <si>
    <t>311;486</t>
  </si>
  <si>
    <t>311;486;544</t>
  </si>
  <si>
    <t>Alternative splicing;ATP-binding;Cell membrane;Complete proteome;Glycoprotein;Kinase;Membrane;Nucleotide-binding;Polymorphism;Receptor;Reference proteome;Repeat;Secreted;Signal;Transferase;Transmembrane;Transmembrane helix;Tyrosine-protein kinase</t>
  </si>
  <si>
    <t>UniRef100_Q5JZY3;UniRef90_Q5JZY3;UniRef50_Q5JZY3</t>
  </si>
  <si>
    <t>RNFT1_HUMAN</t>
  </si>
  <si>
    <t>RING finger and transmembrane domain-containing protein 1</t>
  </si>
  <si>
    <t>RNFT1</t>
  </si>
  <si>
    <t>SP:1-16;NC:17-156;TM:157-185;CY:186-204;TM:205-223;NC:224-246;TM:247-272;CY:273-283;TM:284-306;NC:307-319;TM:320-340;CY:341-435</t>
  </si>
  <si>
    <t>ENSG00000189050</t>
  </si>
  <si>
    <t>ENSP00000304670</t>
  </si>
  <si>
    <t>Unknown_function;RNFT</t>
  </si>
  <si>
    <t>41;93;187;317</t>
  </si>
  <si>
    <t>Alternative splicing;Complete proteome;Membrane;Metal-binding;Reference proteome;Transmembrane;Transmembrane helix;Zinc;Zinc-finger</t>
  </si>
  <si>
    <t>UniRef100_Q5M7Z0;UniRef90_Q5M7Z0;UniRef50_Q5M7Z0</t>
  </si>
  <si>
    <t>FFAR4_HUMAN</t>
  </si>
  <si>
    <t>Free fatty acid receptor 4</t>
  </si>
  <si>
    <t>FFAR4</t>
  </si>
  <si>
    <t>NC:1-44;TM:45-65;CY:66-76;TM:77-100;NC:101-112;TM:113-134;CY:135-155;TM:156-179;NC:180-207;TM:208-227;CY:228-281;TM:282-306;NC:307-316;TM:317-337;CY:338-377</t>
  </si>
  <si>
    <t>ENSG00000186188</t>
  </si>
  <si>
    <t>ENSP00000360538</t>
  </si>
  <si>
    <t>21;338</t>
  </si>
  <si>
    <t>Alternative splicing;Cell membrane;Complete proteome;G-protein coupled receptor;Glycoprotein;Lipid-binding;Membrane;Phosphoprotein;Polymorphism;Receptor;Reference proteome;Transducer;Transmembrane;Transmembrane helix</t>
  </si>
  <si>
    <t>UniRef100_Q5NUL3;UniRef90_Q5NUL3;UniRef50_Q7TMA4</t>
  </si>
  <si>
    <t>NTCP5_HUMAN</t>
  </si>
  <si>
    <t>Sodium/bile acid cotransporter 5</t>
  </si>
  <si>
    <t>SLC10A5</t>
  </si>
  <si>
    <t>SP:1-21;NC:22-142;TM:143-163;CY:164-175;TM:176-199;NC:200-205;TM:206-227;CY:228-233;TM:234-255;NC:256-269;TM:270-291;CY:292-310;TM:311-329;NC:330-335;TM:336-355;CY:356-366;TM:367-388;NC:389-397;TM:398-418;CY:419-438</t>
  </si>
  <si>
    <t>ENSG00000253598</t>
  </si>
  <si>
    <t>ENSP00000428612</t>
  </si>
  <si>
    <t>56;85;99</t>
  </si>
  <si>
    <t>Complete proteome;Glycoprotein;Ion transport;Membrane;Polymorphism;Reference proteome;Signal;Sodium;Sodium transport;Symport;Transmembrane;Transmembrane helix;Transport</t>
  </si>
  <si>
    <t>UniRef100_Q5PT55;UniRef90_Q5PT55;UniRef50_Q5PT55</t>
  </si>
  <si>
    <t>CL12A_HUMAN</t>
  </si>
  <si>
    <t>C-type lectin domain family 12 member A</t>
  </si>
  <si>
    <t>CLEC12A</t>
  </si>
  <si>
    <t>CY:1-42;TM:43-66;NC:67-265</t>
  </si>
  <si>
    <t>ENSG00000172322</t>
  </si>
  <si>
    <t>ENSP00000347916</t>
  </si>
  <si>
    <t>14;80;88;98;105;165;210</t>
  </si>
  <si>
    <t>LQN[115]ISEELQR;QN[115]ISEELQR;N[115]ISEELQR;MACAAQN[115]ASLLK;DNIIN[115]SSAWVIR</t>
  </si>
  <si>
    <t>80;165;210</t>
  </si>
  <si>
    <t>Q5QGZ9</t>
  </si>
  <si>
    <t>Alternative splicing;Cell membrane;Complete proteome;Disulfide bond;Glycoprotein;Lectin;Membrane;Polymorphism;Receptor;Reference proteome;Signal-anchor;Transmembrane;Transmembrane helix</t>
  </si>
  <si>
    <t>UniRef100_Q5QGZ9;UniRef90_Q5QGZ9;UniRef50_Q5QGZ9</t>
  </si>
  <si>
    <t>PPR29_HUMAN</t>
  </si>
  <si>
    <t>Protein phosphatase 1 regulatory subunit 29</t>
  </si>
  <si>
    <t>ELFN2</t>
  </si>
  <si>
    <t>SP:1-22;NC:23-396;TM:397-419;CY:420-820</t>
  </si>
  <si>
    <t>ENSG00000166897</t>
  </si>
  <si>
    <t>ENSP00000385277;ENSP00000480338</t>
  </si>
  <si>
    <t>54;80;85;117;205;247;329;371</t>
  </si>
  <si>
    <t>FGN[115]LTDLN[115]LTK;LSN[115]LTEGMLR</t>
  </si>
  <si>
    <t>80;85;117</t>
  </si>
  <si>
    <t>Q5R3F8</t>
  </si>
  <si>
    <t>Complete proteome;Glycoprotein;Leucine-rich repeat;Membrane;Phosphoprotein;Protein phosphatase inhibitor;Reference proteome;Repeat;Signal;Transmembrane;Transmembrane helix</t>
  </si>
  <si>
    <t>UniRef100_Q5R3F8;UniRef90_Q5R3F8;UniRef50_Q5R3F8</t>
  </si>
  <si>
    <t>LY66F_HUMAN</t>
  </si>
  <si>
    <t>Lymphocyte antigen 6 complex locus protein G6f</t>
  </si>
  <si>
    <t>LY6G6F</t>
  </si>
  <si>
    <t>SP:1-16;NC:17-234;TM:235-257;CY:258-297</t>
  </si>
  <si>
    <t>ENSG00000204424;ENSG00000243804;ENSG00000241822;ENSG00000239741;ENSG00000240008;ENSG00000240957;ENSG00000243003</t>
  </si>
  <si>
    <t>ENSP00000364992;ENSP00000372912;ENSP00000404621;ENSP00000404884;ENSP00000409959;ENSP00000389102;ENSP00000407535</t>
  </si>
  <si>
    <t>Alternative splicing;Cell membrane;Complete proteome;Disulfide bond;Glycoprotein;Immunoglobulin domain;Membrane;Phosphoprotein;Polymorphism;Reference proteome;Signal;Transmembrane;Transmembrane helix</t>
  </si>
  <si>
    <t>UniRef100_Q5SQ64;UniRef90_Q5SQ64;UniRef50_Q5SQ64</t>
  </si>
  <si>
    <t>MUC21_HUMAN</t>
  </si>
  <si>
    <t>Mucin-21</t>
  </si>
  <si>
    <t>MUC21</t>
  </si>
  <si>
    <t>SP:1-20;NC:21-479;TM:480-502;CY:503-566</t>
  </si>
  <si>
    <t>ENSG00000204544</t>
  </si>
  <si>
    <t>ENSP00000365473;ENSP00000457640</t>
  </si>
  <si>
    <t>54;99;114;174;189;204;219;234;279;354;384;467</t>
  </si>
  <si>
    <t>Cell membrane (Single-pass type I membrane protein|Extracellular side</t>
  </si>
  <si>
    <t>Alternative splicing;Cell membrane;Complete proteome;Glycoprotein;Membrane;Polymorphism;Reference proteome;Repeat;Signal;Transmembrane;Transmembrane helix</t>
  </si>
  <si>
    <t>UniRef100_Q5SSG8;UniRef90_Q5SSG8;UniRef50_Q5SSG8</t>
  </si>
  <si>
    <t>CA101_HUMAN</t>
  </si>
  <si>
    <t>Uncharacterized protein C1orf101</t>
  </si>
  <si>
    <t>C1orf101</t>
  </si>
  <si>
    <t>SP:1-17;NC:18-903;TM:904-927;CY:928-951</t>
  </si>
  <si>
    <t>ENSG00000179397</t>
  </si>
  <si>
    <t>ENSP00000355492</t>
  </si>
  <si>
    <t>61;114;414;472;487;493;535;796;854;881;886</t>
  </si>
  <si>
    <t>UniRef100_Q5SY80;UniRef90_Q5SY80;UniRef50_Q5SY80</t>
  </si>
  <si>
    <t>FREM2_HUMAN</t>
  </si>
  <si>
    <t>FRAS1-related extracellular matrix protein 2</t>
  </si>
  <si>
    <t>FREM2</t>
  </si>
  <si>
    <t>SP:1-46;NC:47-3108;TM:3109-3134;CY:3135-3169</t>
  </si>
  <si>
    <t>ENSG00000150893</t>
  </si>
  <si>
    <t>ENSP00000280481</t>
  </si>
  <si>
    <t>16;358;682;1033;1117;1172;1244;1363;1369;1584;1716;1741;2121;2236;2427;3164</t>
  </si>
  <si>
    <t>GN[115]HSITQFTQADIDDMK;ATVSIN[115]DSVSDLPK;TGSICASENIN[115]DTLTR</t>
  </si>
  <si>
    <t>1716;2121;2427</t>
  </si>
  <si>
    <t>Q5SZK8</t>
  </si>
  <si>
    <t>Alternative splicing;Calcium;Cell adhesion;Cell membrane;Complete proteome;Developmental protein;Disease mutation;Glycoprotein;Membrane;Metal-binding;Polymorphism;Reference proteome;Repeat;Signal;Transmembrane;Transmembrane helix</t>
  </si>
  <si>
    <t>UniRef100_Q5SZK8;UniRef90_Q5SZK8;UniRef50_Q5SZK8</t>
  </si>
  <si>
    <t>NCMAP_HUMAN</t>
  </si>
  <si>
    <t>Noncompact myelin-associated protein</t>
  </si>
  <si>
    <t>NCMAP</t>
  </si>
  <si>
    <t>NC:1-29;TM:30-51;CY:52-102</t>
  </si>
  <si>
    <t>ENSG00000184454</t>
  </si>
  <si>
    <t>ENSP00000363513</t>
  </si>
  <si>
    <t>16;82</t>
  </si>
  <si>
    <t>Cell membrane;Complete proteome;Glycoprotein;Membrane;Reference proteome;Transmembrane;Transmembrane helix</t>
  </si>
  <si>
    <t>UniRef100_Q5T1S8;UniRef90_Q5T1S8;UniRef50_F1M2Z5</t>
  </si>
  <si>
    <t>TRML2_HUMAN</t>
  </si>
  <si>
    <t>Trem-like transcript 2 protein</t>
  </si>
  <si>
    <t>TREML2</t>
  </si>
  <si>
    <t>SP:1-18;NC:19-265;TM:266-289;CY:290-321</t>
  </si>
  <si>
    <t>ENSG00000112195</t>
  </si>
  <si>
    <t>ENSP00000418767</t>
  </si>
  <si>
    <t>IG;OtherTREM</t>
  </si>
  <si>
    <t>89;108</t>
  </si>
  <si>
    <t>Cell membrane;Complete proteome;Disulfide bond;Glycoprotein;Immunoglobulin domain;Membrane;Polymorphism;Receptor;Reference proteome;Signal;Transmembrane;Transmembrane helix</t>
  </si>
  <si>
    <t>UniRef100_Q5T2D2;UniRef90_Q5T2D2;UniRef50_Q5T2D2</t>
  </si>
  <si>
    <t>CSCL2_HUMAN</t>
  </si>
  <si>
    <t>CSC1-like protein 2</t>
  </si>
  <si>
    <t>TMEM63B</t>
  </si>
  <si>
    <t>NC:1-39;TM:40-62;CY:63-157;TM:158-178;NC:179-203;TM:204-223;CY:224-430;TM:431-456;NC:457-477;TM:478-499;CY:500-518;TM:519-543;NC:544-565;TM:566-586;CY:587-624;TM:625-653;NC:654-679;TM:680-699;CY:700-710;TM:711-733;NC:734-832</t>
  </si>
  <si>
    <t>ENSG00000137216</t>
  </si>
  <si>
    <t>ENSP00000259746;ENSP00000327154</t>
  </si>
  <si>
    <t>15;177;266;368;406;462;511</t>
  </si>
  <si>
    <t>LLATLGTTALN[115]NSNPK;LLATLGTTALN[115]N[115]SNPK;LATLGTTALN[115]NSNPK;ATLGTTALN[115]NSNPK;LGTTALN[115]NSNPK;GTTALN[115]NSNPK</t>
  </si>
  <si>
    <t>Q5T3F8</t>
  </si>
  <si>
    <t>Alternative splicing;Calcium;Complete proteome;Ion channel;Ion transport;Membrane;Phosphoprotein;Polymorphism;Reference proteome;Transmembrane;Transmembrane helix;Transport</t>
  </si>
  <si>
    <t>UniRef100_Q5T3F8;UniRef90_Q5T3F8;UniRef50_Q5T3F8</t>
  </si>
  <si>
    <t>MRP7_HUMAN</t>
  </si>
  <si>
    <t>Multidrug resistance-associated protein 7</t>
  </si>
  <si>
    <t>ABCC10</t>
  </si>
  <si>
    <t>SP:1-16;NC:17-31;TM:32-50;CY:51-69;TM:70-90;NC:91-101;TM:102-122;CY:123-133;TM:134-154;NC:155-168;TM:169-190;CY:191-284;TM:285-311;NC:312-322;TM:323-340;CY:341-392;TM:393-415;NC:416-420;TM:421-441;CY:442-504;TM:505-527;NC:528-538;TM:539-562;CY:563-878;TM:879-897;NC:898-933;TM:934-954;CY:955-965;TM:966-991;NC:992-1003;TM:1004-1026;CY:1027-1037;TM:1038-1058;NC:1059-1063;TM:1064-1081;CY:1082-1154;TM:1155-1172;NC:1173-1182;TM:1183-1203;CY:1204-1492</t>
  </si>
  <si>
    <t>ENSG00000124574</t>
  </si>
  <si>
    <t>ENSP00000361608</t>
  </si>
  <si>
    <t>917;959;1017;1430</t>
  </si>
  <si>
    <t>Alternative splicing;ATP-binding;Cell membrane;Complete proteome;Membrane;Nucleotide-binding;Phosphoprotein;Polymorphism;Reference proteome;Repeat;Transmembrane;Transmembrane helix;Transport</t>
  </si>
  <si>
    <t>UniRef100_Q5T3U5;UniRef90_Q5T3U5;UniRef50_Q5T3U5</t>
  </si>
  <si>
    <t>CXG2_HUMAN</t>
  </si>
  <si>
    <t>Gap junction gamma-2 protein</t>
  </si>
  <si>
    <t>GJC2</t>
  </si>
  <si>
    <t>CY:1-20;TM:21-42;NC:43-78;TM:79-100;CY:101-211;TM:212-234;NC:235-265;TM:266-285;CY:286-439</t>
  </si>
  <si>
    <t>ENSG00000198835</t>
  </si>
  <si>
    <t>ENSP00000355675</t>
  </si>
  <si>
    <t>3;18</t>
  </si>
  <si>
    <t>Cell junction;Cell membrane;Complete proteome;Disease mutation;Gap junction;Hereditary spastic paraplegia;Leukodystrophy;Membrane;Neurodegeneration;Phosphoprotein;Reference proteome;Transmembrane;Transmembrane helix</t>
  </si>
  <si>
    <t>UniRef100_Q5T442;UniRef90_Q5T442;UniRef50_Q5T442</t>
  </si>
  <si>
    <t>ZFY27_HUMAN</t>
  </si>
  <si>
    <t>Protrudin</t>
  </si>
  <si>
    <t>ZFYVE27</t>
  </si>
  <si>
    <t>CY:1-63;TM:64-85;NC:86-90;TM:91-109;CY:110-184;TM:185-208;NC:209-411</t>
  </si>
  <si>
    <t>ENSG00000155256</t>
  </si>
  <si>
    <t>ENSP00000377282</t>
  </si>
  <si>
    <t>209;349;406</t>
  </si>
  <si>
    <t>Cell membrane (Multi-pass membrane protein);Cell projection, growth cone membrane (Multi- pass membrane protein);Endoplasmic reticulum membrane (Multi-pass membrane protein);Recycling endosome membrane (Multi-pass membrane protein)</t>
  </si>
  <si>
    <t>3D-structure;Alternative splicing;Cell membrane;Cell projection;Complete proteome;Disease mutation;Endoplasmic reticulum;Endosome;Glycoprotein;Hereditary spastic paraplegia;Membrane;Metal-binding;Neurodegeneration;Phosphoprotein;Polymorphism;Reference proteome;Transmembrane;Transmembrane helix;Zinc;Zinc-finger</t>
  </si>
  <si>
    <t>UniRef100_Q5T4F4;UniRef90_Q5T4F4;UniRef50_Q5T4F4</t>
  </si>
  <si>
    <t>GP110_HUMAN</t>
  </si>
  <si>
    <t>Probable G-protein coupled receptor 110</t>
  </si>
  <si>
    <t>GPR110</t>
  </si>
  <si>
    <t>SP:1-19;NC:20-586;TM:587-610;CY:611-624;TM:625-646;NC:647-662;TM:663-685;CY:686-696;TM:697-720;NC:721-743;TM:744-767;CY:768-790;TM:791-811;NC:812-817;TM:818-841;CY:842-910</t>
  </si>
  <si>
    <t>ENSG00000153292</t>
  </si>
  <si>
    <t>ENSP00000283297;ENSP00000360299</t>
  </si>
  <si>
    <t>139;168;205;282;310;317;329;354;368;389;410;423;437;455;512;528;553;736;739;866</t>
  </si>
  <si>
    <t>FTNDLLN[115]SSSAIYSK</t>
  </si>
  <si>
    <t>Q5T601</t>
  </si>
  <si>
    <t>Alternative splicing;Cell membrane;Complete proteome;G-protein coupled receptor;Glycoprotein;Membrane;Polymorphism;Receptor;Reference proteome;Signal;Transducer;Transmembrane;Transmembrane helix</t>
  </si>
  <si>
    <t>UniRef100_Q5T601;UniRef90_Q5T601;UniRef50_Q5T601</t>
  </si>
  <si>
    <t>GPC6A_HUMAN</t>
  </si>
  <si>
    <t>G-protein coupled receptor family C group 6 member A</t>
  </si>
  <si>
    <t>GPRC6A</t>
  </si>
  <si>
    <t>SP:1-18;NC:19-592;TM:593-616;CY:617-627;TM:628-652;NC:653-664;TM:665-688;CY:689-701;TM:702-727;NC:728-747;TM:748-771;CY:772-782;TM:783-803;NC:804-808;TM:809-831;CY:832-926</t>
  </si>
  <si>
    <t>ENSG00000173612</t>
  </si>
  <si>
    <t>ENSP00000309493</t>
  </si>
  <si>
    <t>85;86;121;259;304;332;378;452;555;567;590;733;877;910</t>
  </si>
  <si>
    <t>85;86;121;259;304;332;378;452;555;567;590;733;877;882;910</t>
  </si>
  <si>
    <t>UniRef100_Q5T6X5;UniRef90_Q5T6X5;UniRef50_Q5T6X5</t>
  </si>
  <si>
    <t>GP158_HUMAN</t>
  </si>
  <si>
    <t>Probable G-protein coupled receptor 158</t>
  </si>
  <si>
    <t>GPR158</t>
  </si>
  <si>
    <t>SP:1-24;NC:25-416;TM:417-440;CY:441-451;TM:452-474;NC:475-485;TM:486-505;CY:506-525;TM:526-545;NC:546-579;TM:580-600;CY:601-611;TM:612-633;NC:634-643;TM:644-664;CY:665-1215</t>
  </si>
  <si>
    <t>ENSG00000151025</t>
  </si>
  <si>
    <t>ENSP00000365529</t>
  </si>
  <si>
    <t>98;143;215;274;333;697;846;884;944;1156</t>
  </si>
  <si>
    <t>Cell membrane;Complete proteome;G-protein coupled receptor;Glycoprotein;Isopeptide bond;Membrane;Polymorphism;Receptor;Reference proteome;Signal;Transducer;Transmembrane;Transmembrane helix;Ubl conjugation</t>
  </si>
  <si>
    <t>UniRef100_Q5T848;UniRef90_Q5T848;UniRef50_Q5T848</t>
  </si>
  <si>
    <t>NAGT1_HUMAN</t>
  </si>
  <si>
    <t>Sodium-dependent glucose transporter 1</t>
  </si>
  <si>
    <t>NAGLT1</t>
  </si>
  <si>
    <t>CY:1-6;TM:7-24;NC:25-33;TM:34-55;CY:56-60;TM:61-79;NC:80-91;TM:92-114;CY:115-124;TM:125-144;NC:145-182;TM:183-205;CY:206-225;TM:226-247;NC:248-271;TM:272-290;CY:291-296;TM:297-315;NC:316-320;TM:321-344;CY:345-355;TM:356-376;NC:377-384;TM:385-407;CY:408-518</t>
  </si>
  <si>
    <t>ENSG00000173214</t>
  </si>
  <si>
    <t>ENSP00000357840</t>
  </si>
  <si>
    <t>30;152;163;207;460</t>
  </si>
  <si>
    <t>LALGPTASAEN[115]HTESDFHPALN[115]QSSDADSEA</t>
  </si>
  <si>
    <t>152;163</t>
  </si>
  <si>
    <t>Q5TF39</t>
  </si>
  <si>
    <t>Apical cell membrane (Multi- pass membrane protein)</t>
  </si>
  <si>
    <t>Cell membrane;Complete proteome;Glycoprotein;Ion transport;Membrane;Polymorphism;Reference proteome;Sodium;Sodium transport;Sugar transport;Symport;Transmembrane;Transmembrane helix;Transport</t>
  </si>
  <si>
    <t>UniRef100_Q5TF39;UniRef90_Q5TF39;UniRef50_Q5TF39</t>
  </si>
  <si>
    <t>SIRBL_HUMAN</t>
  </si>
  <si>
    <t>Signal-regulatory protein beta-1 isoform 3</t>
  </si>
  <si>
    <t>ENSP00000279477;ENSP00000456826</t>
  </si>
  <si>
    <t>109;244;269;291;318</t>
  </si>
  <si>
    <t>UniRef100_Q5TFQ8;UniRef90_Q5TFQ8;UniRef50_Q9P1W8</t>
  </si>
  <si>
    <t>OR2G6_HUMAN</t>
  </si>
  <si>
    <t>Olfactory receptor 2G6</t>
  </si>
  <si>
    <t>OR2G6</t>
  </si>
  <si>
    <t>NC:1-25;TM:26-49;CY:50-59;TM:60-81;NC:82-98;TM:99-120;CY:121-139;TM:140-158;NC:159-199;TM:200-221;CY:222-240;TM:241-261;NC:262-272;TM:273-292;CY:293-316</t>
  </si>
  <si>
    <t>ENSG00000188558</t>
  </si>
  <si>
    <t>ENSP00000341291</t>
  </si>
  <si>
    <t>5;6;65</t>
  </si>
  <si>
    <t>UniRef100_Q5TZ20;UniRef90_Q5TZ20;UniRef50_O95918</t>
  </si>
  <si>
    <t>GP157_HUMAN</t>
  </si>
  <si>
    <t>Probable G-protein coupled receptor 157</t>
  </si>
  <si>
    <t>GPR157</t>
  </si>
  <si>
    <t>NC:1-15;TM:16-38;CY:39-48;TM:49-68;NC:69-87;TM:88-108;CY:109-119;TM:120-142;NC:143-167;TM:168-192;CY:193-226;TM:227-247;NC:248-258;TM:259-282;CY:283-335</t>
  </si>
  <si>
    <t>ENSG00000180758</t>
  </si>
  <si>
    <t>ENSP00000366628</t>
  </si>
  <si>
    <t>UniRef100_Q5UAW9;UniRef90_Q5UAW9;UniRef50_Q5UAW9</t>
  </si>
  <si>
    <t>LRC38_HUMAN</t>
  </si>
  <si>
    <t>Leucine-rich repeat-containing protein 38</t>
  </si>
  <si>
    <t>LRRC38</t>
  </si>
  <si>
    <t>SP:1-27;NC:28-249;TM:250-273;CY:274-294</t>
  </si>
  <si>
    <t>ENSG00000162494</t>
  </si>
  <si>
    <t>ENSP00000365253</t>
  </si>
  <si>
    <t>89;115;204</t>
  </si>
  <si>
    <t>Cell membrane;Complete proteome;Disulfide bond;Ion channel;Ion transport;Leucine-rich repeat;Membrane;Polymorphism;Reference proteome;Repeat;Signal;Transmembrane;Transmembrane helix;Transport</t>
  </si>
  <si>
    <t>UniRef100_Q5VT99;UniRef90_Q5VT99;UniRef50_Q5VT99</t>
  </si>
  <si>
    <t>VSIG8_HUMAN</t>
  </si>
  <si>
    <t>V-set and immunoglobulin domain-containing protein 8</t>
  </si>
  <si>
    <t>VSIG8</t>
  </si>
  <si>
    <t>SP:1-21;NC:22-261;TM:262-287;CY:288-414</t>
  </si>
  <si>
    <t>ENSG00000243284;ENSG00000188004</t>
  </si>
  <si>
    <t>ENSP00000357080</t>
  </si>
  <si>
    <t>Alternative splicing;Complete proteome;Disulfide bond;Immunoglobulin domain;Membrane;Reference proteome;Repeat;Signal;Transmembrane;Transmembrane helix</t>
  </si>
  <si>
    <t>UniRef100_Q5VU13;UniRef90_Q5VU13;UniRef50_Q5VU13</t>
  </si>
  <si>
    <t>284677;391123</t>
  </si>
  <si>
    <t>P210L_HUMAN</t>
  </si>
  <si>
    <t>Nuclear pore membrane glycoprotein 210-like</t>
  </si>
  <si>
    <t>NUP210L</t>
  </si>
  <si>
    <t>SP:1-36;NC:37-1810;TM:1811-1832;CY:1833-1888</t>
  </si>
  <si>
    <t>ENSG00000143552</t>
  </si>
  <si>
    <t>ENSP00000357547</t>
  </si>
  <si>
    <t>84;177;304;348;416;433;495;502;522;812;824;906;931;1120;1265;1332;1366;1445;1555;1575;1699;1758;1772;1859</t>
  </si>
  <si>
    <t>UniRef100_Q5VU65;UniRef90_Q5VU65;UniRef50_Q5VU65</t>
  </si>
  <si>
    <t>CAHD1_HUMAN</t>
  </si>
  <si>
    <t>VWFA and cache domain-containing protein 1</t>
  </si>
  <si>
    <t>CACHD1</t>
  </si>
  <si>
    <t>SP:1-37;NC:38-1096;TM:1097-1117;CY:1118-1274</t>
  </si>
  <si>
    <t>ENSG00000158966</t>
  </si>
  <si>
    <t>ENSP00000360113</t>
  </si>
  <si>
    <t>AuxillaryTransportUnit;CACNA2D</t>
  </si>
  <si>
    <t>145;329;373;568;587;905;940;985</t>
  </si>
  <si>
    <t>EAYN[115]VSYAWK</t>
  </si>
  <si>
    <t>Q5VU97</t>
  </si>
  <si>
    <t>Alternative splicing;Calcium;Calcium transport;Complete proteome;Glycoprotein;Ion transport;Membrane;Polymorphism;Reference proteome;Repeat;Signal;Transmembrane;Transmembrane helix;Transport</t>
  </si>
  <si>
    <t>UniRef100_Q5VU97;UniRef90_Q5VU97;UniRef50_Q5VU97</t>
  </si>
  <si>
    <t>F1711_HUMAN</t>
  </si>
  <si>
    <t>Protein FAM171A1</t>
  </si>
  <si>
    <t>FAM171A1</t>
  </si>
  <si>
    <t>SP:1-18;NC:19-303;TM:304-327;CY:328-890</t>
  </si>
  <si>
    <t>ENSG00000148468</t>
  </si>
  <si>
    <t>ENSP00000367356</t>
  </si>
  <si>
    <t>159;190;194;214;446;570;660;733</t>
  </si>
  <si>
    <t>LPEN[115]TSYSDLTAF;LPEN[115]TSYSDLTAFLTAASSPSEVDSFPYLR;GLDGN[115]GTGN[115]STR</t>
  </si>
  <si>
    <t>159;190;194</t>
  </si>
  <si>
    <t>Q5VUB5</t>
  </si>
  <si>
    <t>Complete proteome;Glycoprotein;Membrane;Phosphoprotein;Polymorphism;Reference proteome;Signal;Transmembrane;Transmembrane helix</t>
  </si>
  <si>
    <t>UniRef100_Q5VUB5;UniRef90_Q5VUB5;UniRef50_Q5VUB5</t>
  </si>
  <si>
    <t>K0319_HUMAN</t>
  </si>
  <si>
    <t>Dyslexia-associated protein KIAA0319</t>
  </si>
  <si>
    <t>KIAA0319</t>
  </si>
  <si>
    <t>SP:1-22;NC:23-955;TM:956-981;CY:982-1072</t>
  </si>
  <si>
    <t>ENSG00000137261</t>
  </si>
  <si>
    <t>ENSP00000367459;ENSP00000437656</t>
  </si>
  <si>
    <t>196;219;262;394;421;498;513;536;551;715;733;1023;1056</t>
  </si>
  <si>
    <t>Cell membrane (Single-pass type I membrane protein);Early endosome membrane (Single-pass type I membrane protein)</t>
  </si>
  <si>
    <t>3D-structure;Alternative splicing;Cell membrane;Complete proteome;Developmental protein;Endosome;Glycoprotein;Membrane;Neurogenesis;Polymorphism;Reference proteome;Repeat;Signal;Transmembrane;Transmembrane helix</t>
  </si>
  <si>
    <t>UniRef100_Q5VV43;UniRef90_Q5VV43;UniRef50_Q5VV43</t>
  </si>
  <si>
    <t>ATRN1_HUMAN</t>
  </si>
  <si>
    <t>Attractin-like protein 1</t>
  </si>
  <si>
    <t>ATRNL1</t>
  </si>
  <si>
    <t>SP:1-24;NC:25-1230;TM:1231-1254;CY:1255-1379</t>
  </si>
  <si>
    <t>ENSG00000107518</t>
  </si>
  <si>
    <t>ENSP00000347152</t>
  </si>
  <si>
    <t>76;174;198;214;272;326;380;542;590;697;704;763;778;817;831;842;898;942;1033;1149;1157;1201;1210</t>
  </si>
  <si>
    <t>Alternative splicing;Complete proteome;Disulfide bond;EGF-like domain;Glycoprotein;Kelch repeat;Laminin EGF-like domain;Lectin;Membrane;Polymorphism;Reference proteome;Repeat;Signal;Transmembrane;Transmembrane helix</t>
  </si>
  <si>
    <t>UniRef100_Q5VV63;UniRef90_Q5VV63;UniRef50_O75882</t>
  </si>
  <si>
    <t>GP107_HUMAN</t>
  </si>
  <si>
    <t>Protein GPR107</t>
  </si>
  <si>
    <t>GPR107</t>
  </si>
  <si>
    <t>SP:1-18;NC:19-264;TM:265-284;CY:285-295;TM:296-314;NC:315-333;TM:334-357;CY:358-368;TM:369-387;NC:388-402;TM:403-421;CY:422-496;TM:497-519;NC:520-524;TM:525-544;CY:545-600</t>
  </si>
  <si>
    <t>ENSG00000148358</t>
  </si>
  <si>
    <t>ENSP00000361483;ENSP00000483750</t>
  </si>
  <si>
    <t>70;169;211;587</t>
  </si>
  <si>
    <t>DGYMVVN[115]VSSLSLNEPEDK;VLGQSQEPNVNPASAGN[115]QTQK;VNPASAGN[115]QTQK</t>
  </si>
  <si>
    <t>70;169</t>
  </si>
  <si>
    <t>Q5VW38</t>
  </si>
  <si>
    <t>Golgi apparatus, trans-Golgi network membrane (Multi-pass membrane protein)</t>
  </si>
  <si>
    <t>Alternative splicing;Complete proteome;Disulfide bond;Glycoprotein;Golgi apparatus;Membrane;Polymorphism;Reference proteome;Signal;Transmembrane;Transmembrane helix</t>
  </si>
  <si>
    <t>UniRef100_Q5VW38;UniRef90_Q5VW38;UniRef50_Q5VW38</t>
  </si>
  <si>
    <t>IL23R_HUMAN</t>
  </si>
  <si>
    <t>Interleukin-23 receptor</t>
  </si>
  <si>
    <t>IL23R</t>
  </si>
  <si>
    <t>SP:1-23;NC:24-353;TM:354-377;CY:378-629</t>
  </si>
  <si>
    <t>ENSG00000162594</t>
  </si>
  <si>
    <t>ENSP00000321345</t>
  </si>
  <si>
    <t>29;47;81;141;180;232;262;273;377;421;422;471;577</t>
  </si>
  <si>
    <t>Alternative splicing;Cell membrane;Complete proteome;Glycoprotein;Immunity;Inflammatory response;Innate immunity;Membrane;Phosphoprotein;Polymorphism;Receptor;Reference proteome;Repeat;Signal;Transmembrane;Transmembrane helix</t>
  </si>
  <si>
    <t>UniRef100_Q5VWK5;UniRef90_Q5VWK5;UniRef50_Q5VWK5</t>
  </si>
  <si>
    <t>SUSD4_HUMAN</t>
  </si>
  <si>
    <t>Sushi domain-containing protein 4</t>
  </si>
  <si>
    <t>SUSD4</t>
  </si>
  <si>
    <t>SP:1-41;NC:42-319;TM:320-340;CY:341-490</t>
  </si>
  <si>
    <t>ENSG00000143502</t>
  </si>
  <si>
    <t>ENSP00000344219;ENSP00000355843</t>
  </si>
  <si>
    <t>104;134;192</t>
  </si>
  <si>
    <t>Alternative splicing;Complete proteome;Disulfide bond;Glycoprotein;Membrane;Reference proteome;Repeat;Signal;Sushi;Transmembrane;Transmembrane helix</t>
  </si>
  <si>
    <t>UniRef100_Q5VX71;UniRef90_Q5VX71;UniRef50_Q5VX71</t>
  </si>
  <si>
    <t>NKAI2_HUMAN</t>
  </si>
  <si>
    <t>Sodium/potassium-transporting ATPase subunit beta-1-interacting protein 2</t>
  </si>
  <si>
    <t>NKAIN2</t>
  </si>
  <si>
    <t>SP:1-24;NC:25-33;TM:34-53;CY:54-64;TM:65-85;NC:86-150;TM:151-169;CY:170-208</t>
  </si>
  <si>
    <t>ENSG00000188580</t>
  </si>
  <si>
    <t>ENSP00000357402</t>
  </si>
  <si>
    <t>Alternative splicing;Cell membrane;Chromosomal rearrangement;Complete proteome;Membrane;Reference proteome;Transmembrane;Transmembrane helix</t>
  </si>
  <si>
    <t>UniRef100_Q5VXU1;UniRef90_Q5VXU1;UniRef50_Q5VXU1</t>
  </si>
  <si>
    <t>PEAR1_HUMAN</t>
  </si>
  <si>
    <t>Platelet endothelial aggregation receptor 1</t>
  </si>
  <si>
    <t>PEAR1</t>
  </si>
  <si>
    <t>SP:1-18;NC:19-753;TM:754-777;CY:778-1037</t>
  </si>
  <si>
    <t>ENSG00000187800</t>
  </si>
  <si>
    <t>ENSP00000292357;ENSP00000344465</t>
  </si>
  <si>
    <t>152;153;271;392;446;476;491;575;626;634;703;860</t>
  </si>
  <si>
    <t>GAN[115]CSQPCQCGPGEK</t>
  </si>
  <si>
    <t>Q5VY43</t>
  </si>
  <si>
    <t>Cell membrane;Complete proteome;Direct protein sequencing;Disulfide bond;EGF-like domain;Glycoprotein;Membrane;Phosphoprotein;Polymorphism;Reference proteome;Repeat;Signal;Transmembrane;Transmembrane helix</t>
  </si>
  <si>
    <t>UniRef100_Q5VY43;UniRef90_Q5VY43;UniRef50_Q8VIK5</t>
  </si>
  <si>
    <t>RET1L_HUMAN</t>
  </si>
  <si>
    <t>Retinoic acid early transcript 1L protein</t>
  </si>
  <si>
    <t>RAET1L</t>
  </si>
  <si>
    <t>SP:1-27;NC:28-246</t>
  </si>
  <si>
    <t>ENSG00000155918</t>
  </si>
  <si>
    <t>ENSP00000286380;ENSP00000356310</t>
  </si>
  <si>
    <t>Ligand;NKG2DL</t>
  </si>
  <si>
    <t>68;82;112</t>
  </si>
  <si>
    <t>UniRef100_Q5VY80;UniRef90_Q5VY80;UniRef50_Q5VY80</t>
  </si>
  <si>
    <t>MALR1_HUMAN</t>
  </si>
  <si>
    <t>MAM and LDL-receptor class A domain-containing protein 1</t>
  </si>
  <si>
    <t>MALRD1</t>
  </si>
  <si>
    <t>NC:1-1391;TM:1392-1415;CY:1416-1473</t>
  </si>
  <si>
    <t>ENSG00000204740</t>
  </si>
  <si>
    <t>ENSP00000412763</t>
  </si>
  <si>
    <t>109;230;285;345;437;495;644;703;710;889;1103;1149;1349;1439</t>
  </si>
  <si>
    <t>11;33;60;70;126;170;180;260;269;279;396;413;442;476;501;511;612;622;719;823;826;836;919;943;955;1001;1104;1120;1179;1206;1216;1392;1440</t>
  </si>
  <si>
    <t>Complete proteome;Disulfide bond;Membrane;Polymorphism;Reference proteome;Repeat;Transmembrane;Transmembrane helix</t>
  </si>
  <si>
    <t>UniRef100_Q5VYJ5;UniRef90_Q5VYJ5;UniRef50_Q5VYJ5</t>
  </si>
  <si>
    <t>IZUM3_HUMAN</t>
  </si>
  <si>
    <t>Izumo sperm-egg fusion protein 3</t>
  </si>
  <si>
    <t>IZUMO3</t>
  </si>
  <si>
    <t>SP:1-20;NC:21-174;TM:175-200;CY:201-239</t>
  </si>
  <si>
    <t>ENSG00000205442</t>
  </si>
  <si>
    <t>ENSP00000438895</t>
  </si>
  <si>
    <t>96;126</t>
  </si>
  <si>
    <t>Cell membrane;Complete proteome;Glycoprotein;Membrane;Reference proteome;Signal;Transmembrane;Transmembrane helix</t>
  </si>
  <si>
    <t>UniRef100_Q5VZ72;UniRef90_Q5VZ72;UniRef50_A6PWV3</t>
  </si>
  <si>
    <t>ANO1_HUMAN</t>
  </si>
  <si>
    <t>Anoctamin-1</t>
  </si>
  <si>
    <t>ANO1</t>
  </si>
  <si>
    <t>CY:1-329;TM:330-355;NC:356-407;TM:408-427;CY:428-515;TM:516-542;NC:543-561;TM:562-586;CY:587-605;TM:606-627;NC:628-732;TM:733-755;CY:756-795;TM:796-816;NC:817-882;TM:883-903;CY:904-986</t>
  </si>
  <si>
    <t>ENSG00000131620</t>
  </si>
  <si>
    <t>ENSP00000347454</t>
  </si>
  <si>
    <t>76;185;375;551;824;832;839;845</t>
  </si>
  <si>
    <t>Alternative splicing;Calcium;Cell membrane;Chloride;Chloride channel;Complete proteome;Cytoplasm;Developmental protein;Glycoprotein;Ion channel;Ion transport;Membrane;Polymorphism;Reference proteome;Transmembrane;Transmembrane helix;Transport</t>
  </si>
  <si>
    <t>UniRef100_Q5XXA6;UniRef90_Q5XXA6;UniRef50_Q5XXA6</t>
  </si>
  <si>
    <t>DB04941</t>
  </si>
  <si>
    <t>2B1D_HUMAN</t>
  </si>
  <si>
    <t>HLA class II histocompatibility antigen, DRB1-13 beta chain</t>
  </si>
  <si>
    <t>ENSP00000331343;ENSP00000382378;ENSP00000412168;ENSP00000392280</t>
  </si>
  <si>
    <t>UniRef100_Q5Y7A7;UniRef90_P04229;UniRef50_P04229</t>
  </si>
  <si>
    <t>CD276_HUMAN</t>
  </si>
  <si>
    <t>CD276 antigen</t>
  </si>
  <si>
    <t>CD276</t>
  </si>
  <si>
    <t>SP:1-28;NC:29-465;TM:466-488;CY:489-534</t>
  </si>
  <si>
    <t>ENSG00000103855</t>
  </si>
  <si>
    <t>ENSP00000320084;ENSP00000441087</t>
  </si>
  <si>
    <t>91;104;189;215;309;322;407;433</t>
  </si>
  <si>
    <t>91;189;215;309;407;433</t>
  </si>
  <si>
    <t>QLVHSFAEGQDQGSAYAN[115]R;QLVHSFAEGQDQGSAYAN[115]RTALFPDLLAQGN[115]ASLR;SFAEGQDQGSAYAN[115]R;FAEGQDQGSAYAN[115]R;AEGQDQGSAYAN[115]R;DQGSAYAN[115]R;DQGSAYAN[115]RTALFPDLLAQGN[115]ASLR;TALFPDLLAQGN[115]ASLR;ALFPDLLAQGN[115]ASLR;LFPDLLAQGN[115]ASLR;FPDLLAQGN[115]ASLR;PDLLAQGN[115]ASLR;DLLAQGN[115]ASLR;LLAQGN[115]ASLR;LAQGN[115]ASLR;GYPEAEVFWQDGQGVPLTGN[115]VTTSQMANEQGLFDVH;VVLGAN[115]GTYSC;VVLGAN[115]GTYSCL;VVLGAN[115]GTYSCLVR;VLGAN[115]GTYSCLVR;LGAN[115]GTYSCLVR;QLVHSFTEGRDQGSAYAN[115]R</t>
  </si>
  <si>
    <t>91;104;189;215;309</t>
  </si>
  <si>
    <t>Q5ZPR3</t>
  </si>
  <si>
    <t>Alternative splicing;Complete proteome;Direct protein sequencing;Disulfide bond;Glycoprotein;Immunoglobulin domain;Membrane;Phosphoprotein;Polymorphism;Reference proteome;Repeat;Signal;Transmembrane;Transmembrane helix</t>
  </si>
  <si>
    <t>UniRef100_Q5ZPR3;UniRef90_Q5ZPR3;UniRef50_Q5ZPR3</t>
  </si>
  <si>
    <t>MUC17_HUMAN</t>
  </si>
  <si>
    <t>Mucin-17</t>
  </si>
  <si>
    <t>MUC17</t>
  </si>
  <si>
    <t>SP:1-25;NC:26-4390;TM:4391-4414;CY:4415-4493</t>
  </si>
  <si>
    <t>ENSG00000169876</t>
  </si>
  <si>
    <t>ENSP00000302716</t>
  </si>
  <si>
    <t>471;696;898;1345;1364;1717;1741;2077;2194;2818;3344;3496;3614;4116;4205;4236;4267;4297;4305</t>
  </si>
  <si>
    <t>471;696;898;1345;1364;1390;1717;1741;2077;2194;2818;3344;3496;3614;4116;4122;4205;4236;4267;4297;4305</t>
  </si>
  <si>
    <t>Cell membrane (Single-pass membrane protein);Cell membrane;Secreted</t>
  </si>
  <si>
    <t>Alternative splicing;Cell membrane;Complete proteome;Disulfide bond;Glycoprotein;Membrane;Polymorphism;Reference proteome;Repeat;Secreted;Signal;Transmembrane;Transmembrane helix</t>
  </si>
  <si>
    <t>UniRef100_Q685J3;UniRef90_Q685J3;UniRef50_Q685J3</t>
  </si>
  <si>
    <t>STEA4_HUMAN</t>
  </si>
  <si>
    <t>Metalloreductase STEAP4</t>
  </si>
  <si>
    <t>STEAP4</t>
  </si>
  <si>
    <t>CY:1-201;TM:202-220;NC:221-245;TM:246-271;CY:272-292;TM:293-316;NC:317-346;TM:347-366;CY:367-385;TM:386-403;NC:404-414;TM:415-440;CY:441-459</t>
  </si>
  <si>
    <t>ENSG00000127954</t>
  </si>
  <si>
    <t>ENSP00000369419</t>
  </si>
  <si>
    <t>Other_transporters;STEAP</t>
  </si>
  <si>
    <t>14;158;323</t>
  </si>
  <si>
    <t>LGN[115]LTVTQAILK</t>
  </si>
  <si>
    <t>Q687X5</t>
  </si>
  <si>
    <t>Cell membrane;Golgi apparatus membrane (Multi-pass membrane protein)</t>
  </si>
  <si>
    <t>Alternative splicing;Cell membrane;Complete proteome;Copper;FAD;Flavoprotein;Glycoprotein;Golgi apparatus;Ion transport;Iron;Iron transport;Membrane;Metal-binding;NAD;Oxidoreductase;Polymorphism;Reference proteome;Transmembrane;Transmembrane helix;Transport</t>
  </si>
  <si>
    <t>UniRef100_Q687X5;UniRef90_Q687X5;UniRef50_Q687X5</t>
  </si>
  <si>
    <t>NR3L1_HUMAN</t>
  </si>
  <si>
    <t>Natural cytotoxicity triggering receptor 3 ligand 1</t>
  </si>
  <si>
    <t>NCR3LG1</t>
  </si>
  <si>
    <t>SP:1-21;NC:22-262;TM:263-284;CY:285-454</t>
  </si>
  <si>
    <t>ENSG00000188211</t>
  </si>
  <si>
    <t>ENSP00000341637;ENSP00000434394</t>
  </si>
  <si>
    <t>43;57;174;208;216;242;260;289;401</t>
  </si>
  <si>
    <t>NMDGTFN[115]VTSCLK;LN[115]SSQEDPGTVYQ;LN[115]SSQEDPGTVYQCVVR;SN[115]FTLTAAR</t>
  </si>
  <si>
    <t>208;216;242</t>
  </si>
  <si>
    <t>Q68D85</t>
  </si>
  <si>
    <t>3D-structure;Cell membrane;Complete proteome;Disulfide bond;Glycoprotein;Immunoglobulin domain;Membrane;Reference proteome;Repeat;Signal;Transmembrane;Transmembrane helix</t>
  </si>
  <si>
    <t>UniRef100_Q68D85;UniRef90_Q68D85;UniRef50_Q68D85</t>
  </si>
  <si>
    <t>LMBD2_HUMAN</t>
  </si>
  <si>
    <t>LMBR1 domain-containing protein 2</t>
  </si>
  <si>
    <t>LMBRD2</t>
  </si>
  <si>
    <t>NC:1-5;TM:6-22;CY:23-32;TM:33-53;NC:54-108;TM:109-129;CY:130-151;TM:152-171;NC:172-182;TM:183-207;CY:208-384;TM:385-409;NC:410-429;TM:430-452;CY:453-471;TM:472-494;NC:495-528;TM:529-548;CY:549-695</t>
  </si>
  <si>
    <t>ENSG00000164187</t>
  </si>
  <si>
    <t>ENSP00000296603</t>
  </si>
  <si>
    <t>70;78;255;343;624;631;642</t>
  </si>
  <si>
    <t>HAAAN[115]SSPPENSN[115]IT;HAAAN[115]SSPPENSN[115]ITG;HAAAN[115]SSPPEN[115]SNITG</t>
  </si>
  <si>
    <t>70;78</t>
  </si>
  <si>
    <t>Q68DH5</t>
  </si>
  <si>
    <t>Coiled coil;Complete proteome;Glycoprotein;Membrane;Reference proteome;Transmembrane;Transmembrane helix</t>
  </si>
  <si>
    <t>UniRef100_Q68DH5;UniRef90_Q8C561;UniRef50_Q8C561</t>
  </si>
  <si>
    <t>RNF43_HUMAN</t>
  </si>
  <si>
    <t>E3 ubiquitin-protein ligase RNF43</t>
  </si>
  <si>
    <t>RNF43</t>
  </si>
  <si>
    <t>SP:1-23;NC:24-198;TM:199-218;CY:219-783</t>
  </si>
  <si>
    <t>ENSG00000108375</t>
  </si>
  <si>
    <t>ENSP00000385328;ENSP00000462764;ENSP00000463069</t>
  </si>
  <si>
    <t>62;92;315;481</t>
  </si>
  <si>
    <t>62;315;481</t>
  </si>
  <si>
    <t>Cell membrane (Single-pass type I membrane protein);Endoplasmic reticulum membrane (Single-pass type I membrane protein);Nucleus envelope</t>
  </si>
  <si>
    <t>3D-structure;Alternative splicing;Cell membrane;Complete proteome;Disulfide bond;Endoplasmic reticulum;Glycoprotein;Ligase;Membrane;Metal-binding;Nucleus;Polymorphism;Reference proteome;Signal;Transmembrane;Transmembrane helix;Ubl conjugation;Ubl conjugation pathway;Wnt signaling pathway;Zinc;Zinc-finger</t>
  </si>
  <si>
    <t>UniRef100_Q68DV7;UniRef90_Q68DV7;UniRef50_Q68DV7</t>
  </si>
  <si>
    <t>Endoplasmic Reticulum;Nucleus;Plasma membrane</t>
  </si>
  <si>
    <t>ENK6_HUMAN</t>
  </si>
  <si>
    <t>Endogenous retrovirus group K member 6 Env polyprotein</t>
  </si>
  <si>
    <t>ERVK-6</t>
  </si>
  <si>
    <t>UniRef100_Q69384;UniRef90_O42043;UniRef50_O42043</t>
  </si>
  <si>
    <t>S6A19_HUMAN</t>
  </si>
  <si>
    <t>Sodium-dependent neutral amino acid transporter B(0)AT1</t>
  </si>
  <si>
    <t>SLC6A19</t>
  </si>
  <si>
    <t>CY:1-39;TM:40-58;NC:59-69;TM:70-88;CY:89-117;TM:118-141;NC:142-192;TM:193-211;CY:212-222;TM:223-242;NC:243-271;TM:272-292;CY:293-303;TM:304-325;NC:326-414;TM:415-436;CY:437-456;TM:457-476;NC:477-487;TM:488-511;CY:512-531;TM:532-552;NC:553-580;TM:581-603;CY:604-634</t>
  </si>
  <si>
    <t>ENSG00000174358</t>
  </si>
  <si>
    <t>ENSP00000305302</t>
  </si>
  <si>
    <t>158;182;258;354;368</t>
  </si>
  <si>
    <t>Amino-acid transport;Complete proteome;Disease mutation;Glycoprotein;Membrane;Polymorphism;Reference proteome;Symport;Transmembrane;Transmembrane helix;Transport</t>
  </si>
  <si>
    <t>UniRef100_Q695T7;UniRef90_Q695T7;UniRef50_Q695T7</t>
  </si>
  <si>
    <t>FCRL6_HUMAN</t>
  </si>
  <si>
    <t>Fc receptor-like protein 6</t>
  </si>
  <si>
    <t>FCRL6</t>
  </si>
  <si>
    <t>SP:1-15;NC:16-308;TM:309-330;CY:331-434</t>
  </si>
  <si>
    <t>ENSG00000181036</t>
  </si>
  <si>
    <t>ENSP00000357086</t>
  </si>
  <si>
    <t>65;250;273</t>
  </si>
  <si>
    <t>EN[115]QTLSMGAATVQSR;IVGN[115]HSAPCGGTTSLLFPVK;SEQDAGN[115]YSCEAENSVSR</t>
  </si>
  <si>
    <t>Q6DN72</t>
  </si>
  <si>
    <t>UniRef100_Q6DN72;UniRef90_Q6DN72;UniRef50_Q6DN72</t>
  </si>
  <si>
    <t>GP139_HUMAN</t>
  </si>
  <si>
    <t>Probable G-protein coupled receptor 139</t>
  </si>
  <si>
    <t>GPR139</t>
  </si>
  <si>
    <t>NC:1-29;TM:30-52;CY:53-62;TM:63-86;NC:87-106;TM:107-128;CY:129-147;TM:148-166;NC:167-181;TM:182-208;CY:209-227;TM:228-252;NC:253-268;TM:269-288;CY:289-353</t>
  </si>
  <si>
    <t>ENSG00000180269</t>
  </si>
  <si>
    <t>ENSP00000458791</t>
  </si>
  <si>
    <t>11;318</t>
  </si>
  <si>
    <t>UniRef100_Q6DWJ6;UniRef90_Q80UC8;UniRef50_Q80UC8</t>
  </si>
  <si>
    <t>VASN_HUMAN</t>
  </si>
  <si>
    <t>Vasorin</t>
  </si>
  <si>
    <t>VASN</t>
  </si>
  <si>
    <t>SP:1-23;NC:24-575;TM:576-599;CY:600-673</t>
  </si>
  <si>
    <t>ENSG00000168140;ENSG00000274334</t>
  </si>
  <si>
    <t>ENSP00000306864;ENSP00000481884</t>
  </si>
  <si>
    <t>101;117;273;500;528</t>
  </si>
  <si>
    <t>DLSQNQIASLPSGVFQPLAN[115]LSNLDLTANR;SQNQIASLPSGVFQPLAN[115]LSNLDLTANR;VFQPLAN[115]LSNLDLTANR;LAN[115]LSNLDLTANR;AN[115]LSNLDLTANR;LHEITN[115]ETF;LHEITN[115]ETFR;HEITN[115]ETFR;PASLAEYTVTQLRPN[115]ATYSVCVMPLGPGR</t>
  </si>
  <si>
    <t>101;117;528</t>
  </si>
  <si>
    <t>Q6EMK4</t>
  </si>
  <si>
    <t>Complete proteome;Disulfide bond;EGF-like domain;Glycoprotein;Leucine-rich repeat;Membrane;Polymorphism;Reference proteome;Repeat;Secreted;Signal;Transmembrane;Transmembrane helix</t>
  </si>
  <si>
    <t>UniRef100_Q6EMK4;UniRef90_Q6EMK4;UniRef50_Q6EMK4</t>
  </si>
  <si>
    <t>LAIR1_HUMAN</t>
  </si>
  <si>
    <t>Leukocyte-associated immunoglobulin-like receptor 1</t>
  </si>
  <si>
    <t>LAIR1</t>
  </si>
  <si>
    <t>SP:1-21;NC:22-163;TM:164-186;CY:187-287</t>
  </si>
  <si>
    <t>ENSG00000167613;ENSG00000276053;ENSG00000278154;ENSG00000274110;ENSG00000276163</t>
  </si>
  <si>
    <t>ENSP00000301193;ENSP00000375622;ENSP00000418998;ENSP00000479682;ENSP00000479133;ENSP00000479707</t>
  </si>
  <si>
    <t>CD305</t>
  </si>
  <si>
    <t>STYN[115]DTEDVSQASPSESEA;STYN[115]DTEDVSQASPSESEAR</t>
  </si>
  <si>
    <t>Q6GTX8</t>
  </si>
  <si>
    <t>3D-structure;Adaptive immunity;Alternative splicing;Cell membrane;Complete proteome;Disulfide bond;Glycoprotein;Immunity;Immunoglobulin domain;Membrane;Phosphoprotein;Polymorphism;Receptor;Reference proteome;Signal;Transmembrane;Transmembrane helix</t>
  </si>
  <si>
    <t>UniRef100_Q6GTX8;UniRef90_Q6GTX8;UniRef50_Q6GTX8</t>
  </si>
  <si>
    <t>TM225_HUMAN</t>
  </si>
  <si>
    <t>Transmembrane protein 225</t>
  </si>
  <si>
    <t>TMEM225</t>
  </si>
  <si>
    <t>CY:1-11;TM:12-30;NC:31-64;TM:65-85;CY:86-96;TM:97-119;NC:120-138;TM:139-160;CY:161-225</t>
  </si>
  <si>
    <t>ENSG00000204300</t>
  </si>
  <si>
    <t>ENSP00000364166</t>
  </si>
  <si>
    <t>6;46</t>
  </si>
  <si>
    <t>Complete proteome;Membrane;Polymorphism;Reference proteome;Transmembrane;Transmembrane helix</t>
  </si>
  <si>
    <t>UniRef100_Q6GV28;UniRef90_Q6GV28;UniRef50_Q6GV28</t>
  </si>
  <si>
    <t>RET1G_HUMAN</t>
  </si>
  <si>
    <t>Retinoic acid early transcript 1G protein</t>
  </si>
  <si>
    <t>RAET1G</t>
  </si>
  <si>
    <t>SP:1-28;NC:29-223;TM:224-242;CY:243-334</t>
  </si>
  <si>
    <t>ENSG00000203722</t>
  </si>
  <si>
    <t>ENSP00000356329</t>
  </si>
  <si>
    <t>Cell membrane (Lipid-anchor, GPI-anchor);Cell membrane (Single-pass type I membrane protein);Endoplasmic reticulum;Secreted</t>
  </si>
  <si>
    <t>Alternative splicing;Cell membrane;Complete proteome;Disulfide bond;Endoplasmic reticulum;Glycoprotein;GPI-anchor;Lipoprotein;Membrane;Polymorphism;Reference proteome;Secreted;Signal;Transmembrane;Transmembrane helix</t>
  </si>
  <si>
    <t>UniRef100_Q6H3X3;UniRef90_Q6H3X3;UniRef50_Q6H3X3</t>
  </si>
  <si>
    <t>SIGIR_HUMAN</t>
  </si>
  <si>
    <t>Single Ig IL-1-related receptor</t>
  </si>
  <si>
    <t>SIGIRR</t>
  </si>
  <si>
    <t>NC:1-117;TM:118-140;CY:141-410</t>
  </si>
  <si>
    <t>ENSG00000185187</t>
  </si>
  <si>
    <t>ENSP00000333656;ENSP00000380756;ENSP00000403104</t>
  </si>
  <si>
    <t>31;73;86;102;217;394</t>
  </si>
  <si>
    <t>Alternative splicing;Complete proteome;Disulfide bond;Glycoprotein;Immunoglobulin domain;Membrane;Phosphoprotein;Polymorphism;Reference proteome;Signal-anchor;Transmembrane;Transmembrane helix</t>
  </si>
  <si>
    <t>UniRef100_Q6IA17;UniRef90_Q6IA17;UniRef50_Q6IA17</t>
  </si>
  <si>
    <t>TM211_HUMAN</t>
  </si>
  <si>
    <t>Transmembrane protein 211</t>
  </si>
  <si>
    <t>TMEM211</t>
  </si>
  <si>
    <t>SP:1-20;NC:21-67;TM:68-91;CY:92-110;TM:111-132;NC:133-151;TM:152-172;CY:173-200</t>
  </si>
  <si>
    <t>ENSG00000206069</t>
  </si>
  <si>
    <t>ENSP00000385494;ENSP00000387813</t>
  </si>
  <si>
    <t>Unknown_function;LHFP</t>
  </si>
  <si>
    <t>Complete proteome;Membrane;Reference proteome;Transmembrane;Transmembrane helix</t>
  </si>
  <si>
    <t>UniRef100_Q6ICI0;UniRef90_Q6ICI0;UniRef50_Q6ICI0</t>
  </si>
  <si>
    <t>T132E_HUMAN</t>
  </si>
  <si>
    <t>Transmembrane protein 132E</t>
  </si>
  <si>
    <t>TMEM132E</t>
  </si>
  <si>
    <t>SP:1-29;NC:30-799;TM:800-824;CY:825-984</t>
  </si>
  <si>
    <t>ENSG00000181291</t>
  </si>
  <si>
    <t>ENSP00000316532</t>
  </si>
  <si>
    <t>70;91;228;309</t>
  </si>
  <si>
    <t>EARPPSPAVAN[115]SSLQR</t>
  </si>
  <si>
    <t>Q6IEE7</t>
  </si>
  <si>
    <t>UniRef100_Q6IEE7;UniRef90_Q6IEE7;UniRef50_Q6IEE7</t>
  </si>
  <si>
    <t>OR5MA_HUMAN</t>
  </si>
  <si>
    <t>Olfactory receptor 5M10</t>
  </si>
  <si>
    <t>OR5M10</t>
  </si>
  <si>
    <t>NC:1-25;TM:26-48;CY:49-59;TM:60-77;NC:78-96;TM:97-119;CY:120-139;TM:140-158;NC:159-197;TM:198-221;CY:222-241;TM:242-261;NC:262-272;TM:273-292;CY:293-315</t>
  </si>
  <si>
    <t>ENSG00000254834</t>
  </si>
  <si>
    <t>ENSP00000436004</t>
  </si>
  <si>
    <t>5;76</t>
  </si>
  <si>
    <t>UniRef100_Q6IEU7;UniRef90_Q6IEU7;UniRef50_Q6IEU7</t>
  </si>
  <si>
    <t>OR4CB_HUMAN</t>
  </si>
  <si>
    <t>Olfactory receptor 4C11</t>
  </si>
  <si>
    <t>OR4C11</t>
  </si>
  <si>
    <t>NC:1-23;TM:24-46;CY:47-56;TM:57-80;NC:81-99;TM:100-118;CY:119-137;TM:138-161;NC:162-193;TM:194-222;CY:223-234;TM:235-256;NC:257-267;TM:268-287;CY:288-310</t>
  </si>
  <si>
    <t>ENSG00000172188</t>
  </si>
  <si>
    <t>ENSP00000306651</t>
  </si>
  <si>
    <t>4;225</t>
  </si>
  <si>
    <t>UniRef100_Q6IEV9;UniRef90_Q6IEV9;UniRef50_Q8NGB6</t>
  </si>
  <si>
    <t>OR4F3_HUMAN</t>
  </si>
  <si>
    <t>Olfactory receptor 4F3/4F16/4F29</t>
  </si>
  <si>
    <t>OR4F3</t>
  </si>
  <si>
    <t>ENSG00000273547;ENSG00000278566;ENSG00000230178</t>
  </si>
  <si>
    <t>ENSP00000329982;ENSP00000409316;ENSP00000394282</t>
  </si>
  <si>
    <t>UniRef100_Q6IEY1;UniRef90_Q6IEY1;UniRef50_Q6IEY1</t>
  </si>
  <si>
    <t>26683;729759;81399</t>
  </si>
  <si>
    <t>OR2T5_HUMAN</t>
  </si>
  <si>
    <t>Olfactory receptor 2T5</t>
  </si>
  <si>
    <t>OR2T5</t>
  </si>
  <si>
    <t>NC:1-28;TM:29-52;CY:53-63;TM:64-85;NC:86-104;TM:105-124;CY:125-143;TM:144-166;NC:167-201;TM:202-229;CY:230-240;TM:241-264;NC:265-275;TM:276-296;CY:297-315</t>
  </si>
  <si>
    <t>ENSG00000203661;ENSG00000273827;ENSG00000275102</t>
  </si>
  <si>
    <t>ENSP00000355429;ENSP00000480545;ENSP00000480714</t>
  </si>
  <si>
    <t>3;9</t>
  </si>
  <si>
    <t>UniRef100_Q6IEZ7;UniRef90_Q6IEZ7;UniRef50_Q8NHC8</t>
  </si>
  <si>
    <t>OR2T2_HUMAN</t>
  </si>
  <si>
    <t>Olfactory receptor 2T2</t>
  </si>
  <si>
    <t>OR2T2</t>
  </si>
  <si>
    <t>NC:1-25;TM:26-49;CY:50-60;TM:61-82;NC:83-101;TM:102-121;CY:122-140;TM:141-161;NC:162-198;TM:199-226;CY:227-237;TM:238-258;NC:259-274;TM:275-293;CY:294-324</t>
  </si>
  <si>
    <t>ENSG00000196240;ENSG00000276821;ENSG00000275754</t>
  </si>
  <si>
    <t>ENSP00000343062;ENSP00000482837;ENSP00000481002</t>
  </si>
  <si>
    <t>UniRef100_Q6IF00;UniRef90_Q6IF00;UniRef50_Q8NHC8</t>
  </si>
  <si>
    <t>OR2A2_HUMAN</t>
  </si>
  <si>
    <t>Olfactory receptor 2A2</t>
  </si>
  <si>
    <t>OR2A2</t>
  </si>
  <si>
    <t>NC:1-20;TM:21-49;CY:50-56;TM:57-75;NC:76-97;TM:98-119;CY:120-137;TM:138-157;NC:158-195;TM:196-220;CY:221-236;TM:237-260;NC:261-271;TM:272-291;CY:292-318</t>
  </si>
  <si>
    <t>ENSG00000221989</t>
  </si>
  <si>
    <t>ENSP00000386209</t>
  </si>
  <si>
    <t>UniRef100_Q6IF42;UniRef90_Q6IF42;UniRef50_Q6IF42</t>
  </si>
  <si>
    <t>O52W1_HUMAN</t>
  </si>
  <si>
    <t>Olfactory receptor 52W1</t>
  </si>
  <si>
    <t>OR52W1</t>
  </si>
  <si>
    <t>NC:1-30;TM:31-53;CY:54-64;TM:65-83;NC:84-102;TM:103-125;CY:126-144;TM:145-167;NC:168-201;TM:202-226;CY:227-239;TM:240-263;NC:264-277;TM:278-299;CY:300-320</t>
  </si>
  <si>
    <t>ENSG00000175485</t>
  </si>
  <si>
    <t>ENSP00000309673</t>
  </si>
  <si>
    <t>UniRef100_Q6IF63;UniRef90_Q6IF63;UniRef50_Q6IF63</t>
  </si>
  <si>
    <t>O4A47_HUMAN</t>
  </si>
  <si>
    <t>Olfactory receptor 4A47</t>
  </si>
  <si>
    <t>OR4A47</t>
  </si>
  <si>
    <t>NC:1-23;TM:24-47;CY:48-56;TM:57-77;NC:78-99;TM:100-123;CY:124-135;TM:136-156;NC:157-191;TM:192-219;CY:220-234;TM:235-257;NC:258-268;TM:269-287;CY:288-309</t>
  </si>
  <si>
    <t>ENSG00000237388</t>
  </si>
  <si>
    <t>ENSP00000412752</t>
  </si>
  <si>
    <t>6;87;225</t>
  </si>
  <si>
    <t>UniRef100_Q6IF82;UniRef90_Q6IF82;UniRef50_Q8NGB6</t>
  </si>
  <si>
    <t>O10K2_HUMAN</t>
  </si>
  <si>
    <t>Olfactory receptor 10K2</t>
  </si>
  <si>
    <t>OR10K2</t>
  </si>
  <si>
    <t>NC:1-25;TM:26-46;CY:47-57;TM:58-78;NC:79-97;TM:98-120;CY:121-139;TM:140-164;NC:165-195;TM:196-219;CY:220-239;TM:240-260;NC:261-271;TM:272-291;CY:292-312</t>
  </si>
  <si>
    <t>ENSG00000180708</t>
  </si>
  <si>
    <t>ENSP00000324251</t>
  </si>
  <si>
    <t>5;265</t>
  </si>
  <si>
    <t>UniRef100_Q6IF99;UniRef90_Q6IF99;UniRef50_Q8NGX3</t>
  </si>
  <si>
    <t>O52E8_HUMAN</t>
  </si>
  <si>
    <t>Olfactory receptor 52E8</t>
  </si>
  <si>
    <t>OR52E8</t>
  </si>
  <si>
    <t>NC:1-29;TM:30-54;CY:55-65;TM:66-84;NC:85-104;TM:105-126;CY:127-145;TM:146-169;NC:170-206;TM:207-228;CY:229-243;TM:244-265;NC:266-275;TM:276-298;CY:299-317</t>
  </si>
  <si>
    <t>ENSG00000183269</t>
  </si>
  <si>
    <t>ENSP00000444054</t>
  </si>
  <si>
    <t>9;208</t>
  </si>
  <si>
    <t>UniRef100_Q6IFG1;UniRef90_Q6IFG1;UniRef50_Q8NGJ2</t>
  </si>
  <si>
    <t>OR6B2_HUMAN</t>
  </si>
  <si>
    <t>Olfactory receptor 6B2</t>
  </si>
  <si>
    <t>OR6B2</t>
  </si>
  <si>
    <t>NC:1-24;TM:25-48;CY:49-58;TM:59-75;NC:76-100;TM:101-120;CY:121-139;TM:140-160;NC:161-199;TM:200-221;CY:222-238;TM:239-260;NC:261-272;TM:273-292;CY:293-312</t>
  </si>
  <si>
    <t>ENSG00000182083</t>
  </si>
  <si>
    <t>ENSP00000384563</t>
  </si>
  <si>
    <t>UniRef100_Q6IFH4;UniRef90_Q6IFH4;UniRef50_Q6IFH4</t>
  </si>
  <si>
    <t>O7E24_HUMAN</t>
  </si>
  <si>
    <t>Olfactory receptor 7E24</t>
  </si>
  <si>
    <t>OR7E24</t>
  </si>
  <si>
    <t>NC:1-43;TM:44-66;CY:67-77;TM:78-96;NC:97-116;TM:117-138;CY:139-157;TM:158-176;NC:177-214;TM:215-237;CY:238-256;TM:257-278;NC:279-289;TM:290-309;CY:310-339</t>
  </si>
  <si>
    <t>ENSG00000237521</t>
  </si>
  <si>
    <t>ENSP00000387523</t>
  </si>
  <si>
    <t>23;83</t>
  </si>
  <si>
    <t>UniRef100_Q6IFN5;UniRef90_Q6IFN5;UniRef50_Q8NH92</t>
  </si>
  <si>
    <t>PTCRA_HUMAN</t>
  </si>
  <si>
    <t>Pre T-cell antigen receptor alpha</t>
  </si>
  <si>
    <t>PTCRA</t>
  </si>
  <si>
    <t>SP:1-23;NC:24-146;TM:147-167;CY:168-281</t>
  </si>
  <si>
    <t>ENSG00000171611</t>
  </si>
  <si>
    <t>ENSP00000304447</t>
  </si>
  <si>
    <t>3D-structure;Alternative splicing;Complete proteome;Disulfide bond;Glycoprotein;Membrane;Polymorphism;Receptor;Reference proteome;Signal;Transmembrane;Transmembrane helix</t>
  </si>
  <si>
    <t>UniRef100_Q6ISU1;UniRef90_Q6ISU1;UniRef50_Q6ISU1</t>
  </si>
  <si>
    <t>ANO7_HUMAN</t>
  </si>
  <si>
    <t>Anoctamin-7</t>
  </si>
  <si>
    <t>ANO7</t>
  </si>
  <si>
    <t>CY:1-353;TM:354-376;NC:377-422;TM:423-441;CY:442-497;TM:498-524;NC:525-547;TM:548-570;CY:571-587;TM:588-609;NC:610-712;TM:713-737;CY:738-761;TM:762-786;NC:787-842;TM:843-864;CY:865-933</t>
  </si>
  <si>
    <t>ENSG00000146205</t>
  </si>
  <si>
    <t>ENSP00000274979</t>
  </si>
  <si>
    <t>164;201;809;824;904</t>
  </si>
  <si>
    <t>320;323</t>
  </si>
  <si>
    <t>Cell junction;Cell membrane (Multi-pass membrane protein);Endoplasmic reticulum;Cytoplasm, cytosol</t>
  </si>
  <si>
    <t>Alternative splicing;Cell junction;Cell membrane;Complete proteome;Cytoplasm;Endoplasmic reticulum;Glycoprotein;Lipid transport;Membrane;Polymorphism;Reference proteome;Transmembrane;Transmembrane helix;Transport</t>
  </si>
  <si>
    <t>UniRef100_Q6IWH7;UniRef90_Q6IWH7;UniRef50_Q6IWH7</t>
  </si>
  <si>
    <t>Cytoskeleton;Endoplasmic Reticulum;Endosome;Extracellular space;Golgi apparatus;Lysosome;Mitochondrion;Peroxisome</t>
  </si>
  <si>
    <t>NCKX6_HUMAN</t>
  </si>
  <si>
    <t>Sodium/potassium/calcium exchanger 6, mitochondrial</t>
  </si>
  <si>
    <t>SLC8B1</t>
  </si>
  <si>
    <t>NC:1-97;TM:98-119;CY:120-138;TM:139-161;NC:162-166;TM:167-191;CY:192-201;TM:202-221;NC:222-226;TM:227-251;CY:252-323;TM:324-344;NC:345-356;TM:357-377;CY:378-385;TM:386-407;NC:408-418;TM:419-437;CY:438-448;TM:449-466;NC:467-485;TM:486-511;CY:512-523;TM:524-543;NC:544-554;TM:555-578;CY:579-584</t>
  </si>
  <si>
    <t>ENSG00000089060</t>
  </si>
  <si>
    <t>ENSP00000202831;ENSP00000447091</t>
  </si>
  <si>
    <t>SLC;Other;SLC24</t>
  </si>
  <si>
    <t>46;60;125</t>
  </si>
  <si>
    <t>VCGLN[115]VSDR</t>
  </si>
  <si>
    <t>Q6J4K2</t>
  </si>
  <si>
    <t>Cell membrane (Multi-pass membrane protein);Mitochondrion inner membrane (Multi-pass membrane protein)</t>
  </si>
  <si>
    <t>Alternative splicing;Antiport;Calcium;Calcium transport;Cell membrane;Complete proteome;Glycoprotein;Ion transport;Lithium;Membrane;Mitochondrion;Mitochondrion inner membrane;Polymorphism;Reference proteome;Sensory transduction;Sodium;Sodium transport;Transit peptide;Transmembrane;Transmembrane helix;Transport</t>
  </si>
  <si>
    <t>UniRef100_Q6J4K2;UniRef90_Q6J4K2;UniRef50_Q6J4K2</t>
  </si>
  <si>
    <t>HPHL1_HUMAN</t>
  </si>
  <si>
    <t>Hephaestin-like protein 1</t>
  </si>
  <si>
    <t>HEPHL1</t>
  </si>
  <si>
    <t>SP:1-24;NC:25-1113;TM:1114-1135;CY:1136-1159</t>
  </si>
  <si>
    <t>ENSG00000181333</t>
  </si>
  <si>
    <t>ENSP00000313699</t>
  </si>
  <si>
    <t>161;236;407;589;772;935</t>
  </si>
  <si>
    <t>Complete proteome;Copper;Copper transport;Disulfide bond;Glycoprotein;Ion transport;Membrane;Metal-binding;Oxidoreductase;Polymorphism;Reference proteome;Repeat;Signal;Transmembrane;Transmembrane helix;Transport</t>
  </si>
  <si>
    <t>UniRef100_Q6MZM0;UniRef90_Q6MZM0;UniRef50_Q6MZM0</t>
  </si>
  <si>
    <t>TEN4_HUMAN</t>
  </si>
  <si>
    <t>Teneurin-4</t>
  </si>
  <si>
    <t>TENM4</t>
  </si>
  <si>
    <t>CY:1-340;TM:341-366;NC:367-2769</t>
  </si>
  <si>
    <t>ENSG00000149256</t>
  </si>
  <si>
    <t>ENSP00000278550;ENSP00000483150</t>
  </si>
  <si>
    <t>Other;Teneurin</t>
  </si>
  <si>
    <t>77;151;204;467;940;1259;1609;1705;1741;1799;1884;1985;2099;2188;2328;2646</t>
  </si>
  <si>
    <t>FN[115]VSLGK;LTN[115]VTFPTGQVSSFR;LNGVN[115]VTYSPGGYIAGIQR;LN[115]GVN[115]VTYSPGGYIAGIQR;VGPYAN[115]TTR;GPYAN[115]TTR;PYAN[115]TTR</t>
  </si>
  <si>
    <t>467;1705;1884;2188</t>
  </si>
  <si>
    <t>Q6N022</t>
  </si>
  <si>
    <t>Cell projection;Cytoplasm;Membrane (Single-pass membrane protein);Nucleus</t>
  </si>
  <si>
    <t>Cell projection;Complete proteome;Cytoplasm;Developmental protein;Differentiation;Disulfide bond;EGF-like domain;Glycoprotein;Membrane;Nucleus;Polymorphism;Reference proteome;Repeat;Transmembrane;Transmembrane helix</t>
  </si>
  <si>
    <t>UniRef100_Q6N022;UniRef90_Q3UHK6;UniRef50_Q9DER5</t>
  </si>
  <si>
    <t>MFSD5_HUMAN</t>
  </si>
  <si>
    <t>Molybdate-anion transporter</t>
  </si>
  <si>
    <t>MFSD5</t>
  </si>
  <si>
    <t>SP:1-18;NC:19-45;TM:46-65;CY:66-77;TM:78-99;NC:100-129;TM:130-153;CY:154-173;TM:174-196;NC:197-201;TM:202-222;CY:223-248;TM:249-271;NC:272-280;TM:281-302;CY:303-313;TM:314-332;NC:333-343;TM:344-364;CY:365-375;TM:376-396;NC:397-407;TM:408-430;CY:431-450</t>
  </si>
  <si>
    <t>ENSG00000182544</t>
  </si>
  <si>
    <t>ENSP00000332624</t>
  </si>
  <si>
    <t>Alternative splicing;Cell membrane;Complete proteome;Ion transport;Membrane;Reference proteome;Transmembrane;Transmembrane helix;Transport</t>
  </si>
  <si>
    <t>UniRef100_Q6N075;UniRef90_Q6N075;UniRef50_Q6N075</t>
  </si>
  <si>
    <t>CK087_HUMAN</t>
  </si>
  <si>
    <t>Uncharacterized protein C11orf87</t>
  </si>
  <si>
    <t>C11orf87</t>
  </si>
  <si>
    <t>SP:1-23;NC:24-61;TM:62-84;CY:85-197</t>
  </si>
  <si>
    <t>ENSG00000185742</t>
  </si>
  <si>
    <t>ENSP00000331581</t>
  </si>
  <si>
    <t>19;26;145</t>
  </si>
  <si>
    <t>UniRef100_Q6NUJ2;UniRef90_Q6NUJ2;UniRef50_Q6NUJ2</t>
  </si>
  <si>
    <t>TECT3_HUMAN</t>
  </si>
  <si>
    <t>Tectonic-3</t>
  </si>
  <si>
    <t>TCTN3</t>
  </si>
  <si>
    <t>SP:1-22;NC:23-581;TM:582-604;CY:605-607</t>
  </si>
  <si>
    <t>ENSG00000119977</t>
  </si>
  <si>
    <t>ENSP00000265993;ENSP00000360261;ENSP00000483364</t>
  </si>
  <si>
    <t>78;165;179;279;331;347;410;487</t>
  </si>
  <si>
    <t>Alternative splicing;Apoptosis;Ciliopathy;Cilium biogenesis/degradation;Complete proteome;Disease mutation;Glycoprotein;Joubert syndrome;Membrane;Reference proteome;Signal;Transmembrane;Transmembrane helix</t>
  </si>
  <si>
    <t>UniRef100_Q6NUS6;UniRef90_Q6NUS6;UniRef50_Q6NUS6</t>
  </si>
  <si>
    <t>MFS12_HUMAN</t>
  </si>
  <si>
    <t>Major facilitator superfamily domain-containing protein 12</t>
  </si>
  <si>
    <t>MFSD12</t>
  </si>
  <si>
    <t>NC:1-23;TM:24-47;CY:48-97;TM:98-122;NC:123-127;TM:128-147;CY:148-167;TM:168-189;NC:190-216;TM:217-237;CY:238-275;TM:276-300;NC:301-311;TM:312-330;CY:331-341;TM:342-360;NC:361-365;TM:366-390;CY:391-401;TM:402-423;NC:424-442;TM:443-467;CY:468-480</t>
  </si>
  <si>
    <t>ENSG00000161091</t>
  </si>
  <si>
    <t>ENSP00000347583</t>
  </si>
  <si>
    <t>178;219;292;341</t>
  </si>
  <si>
    <t>Alternative splicing;Complete proteome;Membrane;Polymorphism;Reference proteome;Transmembrane;Transmembrane helix;Transport</t>
  </si>
  <si>
    <t>UniRef100_Q6NUT3;UniRef90_Q6NUT3;UniRef50_Q6NUT3</t>
  </si>
  <si>
    <t>GP153_HUMAN</t>
  </si>
  <si>
    <t>Probable G-protein coupled receptor 153</t>
  </si>
  <si>
    <t>GPR153</t>
  </si>
  <si>
    <t>NC:1-11;TM:12-32;CY:33-43;TM:44-65;NC:66-85;TM:86-106;CY:107-126;TM:127-150;NC:151-169;TM:170-198;CY:199-243;TM:244-265;NC:266-274;TM:275-299;CY:300-609</t>
  </si>
  <si>
    <t>ENSG00000158292</t>
  </si>
  <si>
    <t>ENSP00000367125</t>
  </si>
  <si>
    <t>UniRef100_Q6NV75;UniRef90_Q6NV75;UniRef50_Q6NV75</t>
  </si>
  <si>
    <t>NIPA3_HUMAN</t>
  </si>
  <si>
    <t>Magnesium transporter NIPA3</t>
  </si>
  <si>
    <t>NIPAL1</t>
  </si>
  <si>
    <t>NC:1-65;TM:66-88;CY:89-114;TM:115-134;NC:135-139;TM:140-160;CY:161-171;TM:172-189;NC:190-208;TM:209-228;CY:229-235;TM:236-254;NC:255-273;TM:274-294;CY:295-304;TM:305-326;NC:327-336;TM:337-357;CY:358-410</t>
  </si>
  <si>
    <t>ENSG00000163293</t>
  </si>
  <si>
    <t>ENSP00000295461</t>
  </si>
  <si>
    <t>25;35;50;55;302</t>
  </si>
  <si>
    <t>Complete proteome;Glycoprotein;Ion transport;Magnesium;Membrane;Polymorphism;Reference proteome;Transmembrane;Transmembrane helix;Transport</t>
  </si>
  <si>
    <t>UniRef100_Q6NVV3;UniRef90_Q6NVV3;UniRef50_Q9JJC8</t>
  </si>
  <si>
    <t>RGMB_HUMAN</t>
  </si>
  <si>
    <t>RGM domain family member B</t>
  </si>
  <si>
    <t>RGMB</t>
  </si>
  <si>
    <t>SP:1-19;NC:20-437</t>
  </si>
  <si>
    <t>ENSG00000174136</t>
  </si>
  <si>
    <t>ENSP00000423256</t>
  </si>
  <si>
    <t>120;383;413</t>
  </si>
  <si>
    <t>383;413</t>
  </si>
  <si>
    <t>127;128;129;130;249;341</t>
  </si>
  <si>
    <t>Cell membrane (Lipid-anchor, GPI-anchor);Membrane raft</t>
  </si>
  <si>
    <t>3D-structure;Autocatalytic cleavage;Cell membrane;Complete proteome;Disulfide bond;Glycoprotein;GPI-anchor;Lipoprotein;Membrane;Reference proteome;Signal</t>
  </si>
  <si>
    <t>UniRef100_Q6NW40;UniRef90_Q6NW40;UniRef50_Q6NW40</t>
  </si>
  <si>
    <t>PLB1_HUMAN</t>
  </si>
  <si>
    <t>Phospholipase B1, membrane-associated</t>
  </si>
  <si>
    <t>PLB1</t>
  </si>
  <si>
    <t>SP:1-25;NC:26-1414;TM:1415-1438;CY:1439-1458</t>
  </si>
  <si>
    <t>ENSG00000163803</t>
  </si>
  <si>
    <t>ENSP00000330442</t>
  </si>
  <si>
    <t>173;240;493;529;590;690;783;797;809;1055;1113;1114;1275;1378</t>
  </si>
  <si>
    <t>Apical cell membrane (Single- pass type I membrane protein)</t>
  </si>
  <si>
    <t>Alternative splicing;Cell membrane;Complete proteome;Glycoprotein;Hydrolase;Lipid degradation;Lipid metabolism;Membrane;Polymorphism;Reference proteome;Repeat;Signal;Transmembrane;Transmembrane helix</t>
  </si>
  <si>
    <t>UniRef100_Q6P1J6;UniRef90_Q6P1J6;UniRef50_Q6P1J6</t>
  </si>
  <si>
    <t>NPAL3_HUMAN</t>
  </si>
  <si>
    <t>NIPA-like protein 3</t>
  </si>
  <si>
    <t>NIPAL3</t>
  </si>
  <si>
    <t>NC:1-33;TM:34-54;CY:55-74;TM:75-96;NC:97-101;TM:102-121;CY:122-132;TM:133-154;NC:155-173;TM:174-194;CY:195-201;TM:202-229;NC:230-240;TM:241-259;CY:260-270;TM:271-293;NC:294-299;TM:300-320;CY:321-406</t>
  </si>
  <si>
    <t>ENSG00000001461</t>
  </si>
  <si>
    <t>ENSP00000363520</t>
  </si>
  <si>
    <t>166;370</t>
  </si>
  <si>
    <t>Alternative splicing;Complete proteome;Glycoprotein;Membrane;Phosphoprotein;Reference proteome;Transmembrane;Transmembrane helix</t>
  </si>
  <si>
    <t>UniRef100_Q6P499;UniRef90_Q6P499;UniRef50_Q6P499</t>
  </si>
  <si>
    <t>CNNM4_HUMAN</t>
  </si>
  <si>
    <t>Metal transporter CNNM4</t>
  </si>
  <si>
    <t>CNNM4</t>
  </si>
  <si>
    <t>NC:1-178;TM:179-199;CY:200-240;IM:241-261;CY:262-264;TM:265-285;NC:286-293;TM:294-316;CY:317-775</t>
  </si>
  <si>
    <t>ENSG00000158158</t>
  </si>
  <si>
    <t>ENSP00000366275</t>
  </si>
  <si>
    <t>55;85;122;127;254;518</t>
  </si>
  <si>
    <t>LYGYSLGN[115]ISSNLISFTEVDDAETLHK;SLGN[115]ISSNLISFTEVDDAETLHK;DLVVQQLVN[115]VSR;LVVQQLVN[115]VSR;GN[115]TSGVLVVLTK</t>
  </si>
  <si>
    <t>85;122;127</t>
  </si>
  <si>
    <t>Q6P4Q7</t>
  </si>
  <si>
    <t>3D-structure;Alternative splicing;Amelogenesis imperfecta;Biomineralization;CBS domain;Cell membrane;Complete proteome;Cone-rod dystrophy;Disease mutation;Glycoprotein;Ion transport;Membrane;Phosphoprotein;Polymorphism;Reference proteome;Repeat;Sensory transduction;Transmembrane;Transmembrane helix;Transport;Vision</t>
  </si>
  <si>
    <t>UniRef100_Q6P4Q7;UniRef90_Q6P4Q7;UniRef50_Q6P4Q7</t>
  </si>
  <si>
    <t>S39A4_HUMAN</t>
  </si>
  <si>
    <t>Zinc transporter ZIP4</t>
  </si>
  <si>
    <t>SLC39A4</t>
  </si>
  <si>
    <t>SP:1-22;NC:23-326;TM:327-348;CY:349-358;TM:359-380;NC:381-400;TM:401-420;CY:421-558;TM:559-581;NC:582-586;TM:587-606;CY:607-617;TM:618-641;NC:642-647</t>
  </si>
  <si>
    <t>ENSG00000147804</t>
  </si>
  <si>
    <t>ENSP00000301305</t>
  </si>
  <si>
    <t>Cell membrane (Multi-pass membrane protein);Recycling endosome membrane (Multi- pass membrane protein)</t>
  </si>
  <si>
    <t>Alternative splicing;Cell membrane;Complete proteome;Disease mutation;Endosome;Glycoprotein;Ion transport;Membrane;Polymorphism;Reference proteome;Signal;Transmembrane;Transmembrane helix;Transport;Zinc;Zinc transport</t>
  </si>
  <si>
    <t>UniRef100_Q6P5W5;UniRef90_Q6P5W5;UniRef50_Q6P5W5</t>
  </si>
  <si>
    <t>F171B_HUMAN</t>
  </si>
  <si>
    <t>Protein FAM171B</t>
  </si>
  <si>
    <t>FAM171B</t>
  </si>
  <si>
    <t>SP:1-28;NC:29-353;TM:354-378;CY:379-826</t>
  </si>
  <si>
    <t>ENSG00000144369</t>
  </si>
  <si>
    <t>ENSP00000304108</t>
  </si>
  <si>
    <t>108;113;213;268;391;432;476;500;581;701;792</t>
  </si>
  <si>
    <t>UniRef100_Q6P995;UniRef90_Q6P995;UniRef50_Q6P995</t>
  </si>
  <si>
    <t>TM154_HUMAN</t>
  </si>
  <si>
    <t>Transmembrane protein 154</t>
  </si>
  <si>
    <t>TMEM154</t>
  </si>
  <si>
    <t>SP:1-22;NC:23-75;TM:76-100;CY:101-183</t>
  </si>
  <si>
    <t>ENSG00000170006</t>
  </si>
  <si>
    <t>ENSP00000302144</t>
  </si>
  <si>
    <t>Complete proteome;Membrane;Phosphoprotein;Polymorphism;Reference proteome;Signal;Transmembrane;Transmembrane helix</t>
  </si>
  <si>
    <t>UniRef100_Q6P9G4;UniRef90_Q6P9G4;UniRef50_Q6P9G4</t>
  </si>
  <si>
    <t>EMB_HUMAN</t>
  </si>
  <si>
    <t>Embigin</t>
  </si>
  <si>
    <t>EMB</t>
  </si>
  <si>
    <t>SP:1-32;NC:33-262;TM:263-281;CY:282-327</t>
  </si>
  <si>
    <t>ENSG00000170571</t>
  </si>
  <si>
    <t>ENSP00000302289</t>
  </si>
  <si>
    <t>54;61;75;85;100;189;196;213;218;322</t>
  </si>
  <si>
    <t>EEIMANNFSLESHN[115]ISLTEHSSMPVEK;EEIMANN[115]FSLESHN[115]ISLTEHSSMPVEK;EEIMAN[115]N[115]FSLESHN[115]ISLTEHSSMPVEK;IMANNFSLESHN[115]ISLTEHSSMPVEK;IMANN[115]FSLESHN[115]ISLTEHSSMPVEK;NFSLESHN[115]ISLTEHSSMPVEK;N[115]FSLESHN[115]ISLTEHSSMPVEK;SLESHN[115]ISLTEHSSMPVEK;SHN[115]ISLTEHSSMPVEK;TTSGDLNAVN[115]VTWK;TSGDLNAVN[115]VTWK;SGDLNAVN[115]VTWK;GDLNAVN[115]VTWK;DLNAVN[115]VTWK;CQNCFPLN[115]WTWYSSN[115]GSVK;YVIN[115]GTYANETK;YVIN[115]GTYAN[115]ETK;YVIN[115]GTYAN[115]ETKLK;VIN[115]GTYAN[115]ETK;IN[115]GTYAN[115]ETK;GTYAN[115]ETK</t>
  </si>
  <si>
    <t>54;61;100;189;196;213;218</t>
  </si>
  <si>
    <t>Q6PCB8</t>
  </si>
  <si>
    <t>Alternative splicing;Cell junction;Cell membrane;Complete proteome;Disulfide bond;Glycoprotein;Immunoglobulin domain;Membrane;Reference proteome;Repeat;Signal;Synapse;Transmembrane;Transmembrane helix</t>
  </si>
  <si>
    <t>UniRef100_Q6PCB8;UniRef90_Q6PCB8;UniRef50_O88775</t>
  </si>
  <si>
    <t>CXB7_HUMAN</t>
  </si>
  <si>
    <t>Gap junction beta-7 protein</t>
  </si>
  <si>
    <t>GJB7</t>
  </si>
  <si>
    <t>CY:1-20;TM:21-39;NC:40-76;TM:77-98;CY:99-118;TM:119-143;NC:144-177;TM:178-203;CY:204-223</t>
  </si>
  <si>
    <t>ENSG00000164411</t>
  </si>
  <si>
    <t>ENSP00000296882;ENSP00000435355</t>
  </si>
  <si>
    <t>UniRef100_Q6PEY0;UniRef90_Q6PEY0;UniRef50_Q6PEY0</t>
  </si>
  <si>
    <t>LIRA6_HUMAN</t>
  </si>
  <si>
    <t>Leukocyte immunoglobulin-like receptor subfamily A member 6</t>
  </si>
  <si>
    <t>LILRA6</t>
  </si>
  <si>
    <t>SP:1-23;NC:24-447;TM:448-466;CY:467-481</t>
  </si>
  <si>
    <t>ENSG00000244482;ENSG00000274148;ENSG00000275539</t>
  </si>
  <si>
    <t>ENSP00000375615;ENSP00000379651;ENSP00000412929;ENSP00000480300</t>
  </si>
  <si>
    <t>UniRef100_Q6PI73;UniRef90_Q6PI73;UniRef50_Q8N149</t>
  </si>
  <si>
    <t>TRAT1_HUMAN</t>
  </si>
  <si>
    <t>T-cell receptor-associated transmembrane adapter 1</t>
  </si>
  <si>
    <t>TRAT1</t>
  </si>
  <si>
    <t>NC:1-11;TM:12-33;CY:34-186</t>
  </si>
  <si>
    <t>ENSG00000163519</t>
  </si>
  <si>
    <t>ENSP00000295756</t>
  </si>
  <si>
    <t>29;104</t>
  </si>
  <si>
    <t>Adaptive immunity;Cell membrane;Complete proteome;Direct protein sequencing;Disulfide bond;Immunity;Membrane;Phosphoprotein;Polymorphism;Reference proteome;Signal-anchor;Transmembrane;Transmembrane helix</t>
  </si>
  <si>
    <t>UniRef100_Q6PIZ9;UniRef90_Q6PIZ9;UniRef50_Q6PIZ9</t>
  </si>
  <si>
    <t>RHDF2_HUMAN</t>
  </si>
  <si>
    <t>Inactive rhomboid protein 2</t>
  </si>
  <si>
    <t>RHBDF2</t>
  </si>
  <si>
    <t>CY:1-404;TM:405-426;NC:427-656;TM:657-681;CY:682-692;TM:693-712;NC:713-717;TM:718-736;CY:737-747;TM:748-768;NC:769-773;TM:774-792;CY:793-802;TM:803-825;NC:826-856</t>
  </si>
  <si>
    <t>ENSG00000129667</t>
  </si>
  <si>
    <t>ENSP00000322775</t>
  </si>
  <si>
    <t>26;379;584;751</t>
  </si>
  <si>
    <t>SN[115]HTGFLHMDCEIK</t>
  </si>
  <si>
    <t>Q6PJF5</t>
  </si>
  <si>
    <t>Cell membrane;Endoplasmic reticulum membrane (Multi-pass membrane protein)</t>
  </si>
  <si>
    <t>Alternative splicing;Cell membrane;Complete proteome;Disease mutation;Endoplasmic reticulum;Growth factor binding;Membrane;Palmoplantar keratoderma;Phosphoprotein;Polymorphism;Protein transport;Reference proteome;Transmembrane;Transmembrane helix;Transport</t>
  </si>
  <si>
    <t>UniRef100_Q6PJF5;UniRef90_Q6PJF5;UniRef50_Q6PJF5</t>
  </si>
  <si>
    <t>LRFN4_HUMAN</t>
  </si>
  <si>
    <t>Leucine-rich repeat and fibronectin type-III domain-containing protein 4</t>
  </si>
  <si>
    <t>LRFN4</t>
  </si>
  <si>
    <t>SP:1-16;NC:17-517;TM:518-539;CY:540-635</t>
  </si>
  <si>
    <t>ENSG00000173621</t>
  </si>
  <si>
    <t>ENSP00000312535</t>
  </si>
  <si>
    <t>25;70;324;333;376;440</t>
  </si>
  <si>
    <t>Complete proteome;Disulfide bond;Glycoprotein;Immunoglobulin domain;Leucine-rich repeat;Membrane;Phosphoprotein;Polymorphism;Reference proteome;Repeat;Signal;Transmembrane;Transmembrane helix</t>
  </si>
  <si>
    <t>UniRef100_Q6PJG9;UniRef90_Q80XU8;UniRef50_Q80XU8</t>
  </si>
  <si>
    <t>GP179_HUMAN</t>
  </si>
  <si>
    <t>Probable G-protein coupled receptor 179</t>
  </si>
  <si>
    <t>GPR179</t>
  </si>
  <si>
    <t>SP:1-27;NC:28-378;TM:379-402;CY:403-412;TM:413-438;NC:439-449;TM:450-469;CY:470-489;TM:490-511;NC:512-543;TM:544-564;CY:565-575;TM:576-597;NC:598-605;TM:606-629;CY:630-2367</t>
  </si>
  <si>
    <t>75;298;822;1552;1696;1729</t>
  </si>
  <si>
    <t>Cell membrane;Complete proteome;Congenital stationary night blindness;Disease mutation;G-protein coupled receptor;Glycoprotein;Membrane;Polymorphism;Receptor;Reference proteome;Sensory transduction;Signal;Transducer;Transmembrane;Transmembrane helix;Vision</t>
  </si>
  <si>
    <t>UniRef100_Q6PRD1;UniRef90_Q6PRD1;UniRef50_Q6PRD1</t>
  </si>
  <si>
    <t>GTR7_HUMAN</t>
  </si>
  <si>
    <t>Solute carrier family 2, facilitated glucose transporter member 7</t>
  </si>
  <si>
    <t>SLC2A7</t>
  </si>
  <si>
    <t>CY:1-20;TM:21-40;NC:41-73;TM:74-99;CY:100-107;TM:108-128;NC:129-133;TM:134-156;CY:157-167;TM:168-192;NC:193-197;TM:198-219;CY:220-283;TM:284-304;NC:305-321;TM:322-342;CY:343-349;TM:350-372;NC:373-377;TM:378-396;CY:397-415;TM:416-437;NC:438-442;TM:443-465;CY:466-512</t>
  </si>
  <si>
    <t>ENSG00000197241</t>
  </si>
  <si>
    <t>ENSP00000383698</t>
  </si>
  <si>
    <t>41;57</t>
  </si>
  <si>
    <t>3D-structure;Complete proteome;Glycoprotein;Membrane;Polymorphism;Reference proteome;Sugar transport;Transmembrane;Transmembrane helix;Transport</t>
  </si>
  <si>
    <t>UniRef100_Q6PXP3;UniRef90_Q6PXP3;UniRef50_Q6PXP3</t>
  </si>
  <si>
    <t>MO2R2_HUMAN</t>
  </si>
  <si>
    <t>Cell surface glycoprotein CD200 receptor 2</t>
  </si>
  <si>
    <t>CD200R1L</t>
  </si>
  <si>
    <t>SP:1-21;NC:22-235;TM:236-261;CY:262-271</t>
  </si>
  <si>
    <t>ENSG00000206531</t>
  </si>
  <si>
    <t>ENSP00000381272</t>
  </si>
  <si>
    <t>30;39;86;92;155;189;217</t>
  </si>
  <si>
    <t>Alternative splicing;Complete proteome;Disulfide bond;Glycoprotein;Immunoglobulin domain;Membrane;Polymorphism;Receptor;Reference proteome;Signal;Transmembrane;Transmembrane helix</t>
  </si>
  <si>
    <t>UniRef100_Q6Q8B3;UniRef90_Q6Q8B3;UniRef50_Q6XJV4</t>
  </si>
  <si>
    <t>GP133_HUMAN</t>
  </si>
  <si>
    <t>Probable G-protein coupled receptor 133</t>
  </si>
  <si>
    <t>GPR133</t>
  </si>
  <si>
    <t>SP:1-25;NC:26-568;TM:569-592;CY:593-603;TM:604-623;NC:624-634;TM:635-654;CY:655-673;TM:674-694;NC:695-712;TM:713-737;CY:738-757;TM:758-780;NC:781-785;TM:786-809;CY:810-874</t>
  </si>
  <si>
    <t>ENSG00000111452</t>
  </si>
  <si>
    <t>ENSP00000261654</t>
  </si>
  <si>
    <t>90;185;282;302;319;394;476;501;533;607;845</t>
  </si>
  <si>
    <t>UniRef100_Q6QNK2;UniRef90_Q6QNK2;UniRef50_Q6QNK2</t>
  </si>
  <si>
    <t>S22AP_HUMAN</t>
  </si>
  <si>
    <t>Solute carrier family 22 member 25</t>
  </si>
  <si>
    <t>SLC22A25</t>
  </si>
  <si>
    <t>CY:1-11;TM:12-32;NC:33-146;TM:147-166;CY:167-177;TM:178-198;NC:199-203;TM:204-225;CY:226-232;TM:233-254;NC:255-259;TM:260-280;CY:281-349;TM:350-368;NC:369-378;TM:379-400;CY:401-407;TM:408-427;NC:428-432;TM:433-453;CY:454-473;TM:474-492;NC:493-497;TM:498-516;CY:517-547</t>
  </si>
  <si>
    <t>ENSG00000196600</t>
  </si>
  <si>
    <t>ENSP00000307443</t>
  </si>
  <si>
    <t>56;102;107</t>
  </si>
  <si>
    <t>Complete proteome;Glycoprotein;Membrane;Polymorphism;Reference proteome;Transmembrane;Transmembrane helix;Transport</t>
  </si>
  <si>
    <t>UniRef100_Q6T423;UniRef90_Q6T423;UniRef50_Q8IVM8</t>
  </si>
  <si>
    <t>OPN5_HUMAN</t>
  </si>
  <si>
    <t>Opsin-5</t>
  </si>
  <si>
    <t>OPN5</t>
  </si>
  <si>
    <t>NC:1-35;TM:36-56;CY:57-75;TM:76-100;NC:101-107;TM:108-129;CY:130-148;TM:149-170;NC:171-197;TM:198-220;CY:221-252;TM:253-277;NC:278-282;TM:283-303;CY:304-354</t>
  </si>
  <si>
    <t>ENSG00000124818</t>
  </si>
  <si>
    <t>ENSP00000360255</t>
  </si>
  <si>
    <t>Chromophore;Complete proteome;Disulfide bond;G-protein coupled receptor;Glycoprotein;Lipoprotein;Membrane;Palmitate;Photoreceptor protein;Receptor;Reference proteome;Retinal protein;Sensory transduction;Transducer;Transmembrane;Transmembrane helix</t>
  </si>
  <si>
    <t>UniRef100_Q6U736;UniRef90_Q6VZZ7;UniRef50_Q6VZZ7</t>
  </si>
  <si>
    <t>S4A10_HUMAN</t>
  </si>
  <si>
    <t>Sodium-driven chloride bicarbonate exchanger</t>
  </si>
  <si>
    <t>SLC4A10</t>
  </si>
  <si>
    <t>CY:1-508;TM:509-531;NC:532-537;TM:538-558;CY:559-562;TM:563-580;NC:581-596;TM:597-620;CY:621-626;TM:627-645;NC:646-724;TM:725-743;CY:744-762;TM:763-781;NC:782-810;TM:811-830;CY:831-850;TM:851-875;NC:876-910;TM:911-930;CY:931-936;TM:937-956;NC:957-995;TM:996-1019;CY:1020-1118</t>
  </si>
  <si>
    <t>ENSG00000144290</t>
  </si>
  <si>
    <t>ENSP00000393066</t>
  </si>
  <si>
    <t>176;279;457;677;687;697;1083</t>
  </si>
  <si>
    <t>31;91;261;264;276</t>
  </si>
  <si>
    <t>Alternative splicing;Antiport;Cell membrane;Complete proteome;Ion transport;Membrane;Reference proteome;Sodium;Sodium transport;Symport;Transmembrane;Transmembrane helix;Transport</t>
  </si>
  <si>
    <t>UniRef100_Q6U841;UniRef90_Q5DTL9;UniRef50_Q5DTL9</t>
  </si>
  <si>
    <t>PLET1_HUMAN</t>
  </si>
  <si>
    <t>Placenta-expressed transcript 1 protein</t>
  </si>
  <si>
    <t>PLET1</t>
  </si>
  <si>
    <t>SP:1-25;NC:26-207</t>
  </si>
  <si>
    <t>ENSG00000188771</t>
  </si>
  <si>
    <t>ENSP00000341412</t>
  </si>
  <si>
    <t>67;98;122</t>
  </si>
  <si>
    <t>98;122</t>
  </si>
  <si>
    <t>Apical cell membrane (Lipid- anchor, GPI-anchor)</t>
  </si>
  <si>
    <t>Cell membrane;Complete proteome;Differentiation;Glycoprotein;GPI-anchor;Lipoprotein;Membrane;Polymorphism;Reference proteome;Signal</t>
  </si>
  <si>
    <t>UniRef100_Q6UQ28;UniRef90_Q6UQ28;UniRef50_Q6UQ28</t>
  </si>
  <si>
    <t>CSPG4_HUMAN</t>
  </si>
  <si>
    <t>Chondroitin sulfate proteoglycan 4</t>
  </si>
  <si>
    <t>CSPG4</t>
  </si>
  <si>
    <t>SP:1-29;NC:30-2222;TM:2223-2246;CY:2247-2322</t>
  </si>
  <si>
    <t>ENSG00000173546</t>
  </si>
  <si>
    <t>ENSP00000312506</t>
  </si>
  <si>
    <t>130;348;427;685;772;1131;1202;1364;1449;1645;1909;2016;2034;2040;2075;2250</t>
  </si>
  <si>
    <t>3;305;307;308;1301;1811;2184;2191;2192;2193;2195;2203;2204;2272</t>
  </si>
  <si>
    <t>LGLTPEATN[115]ASLL;LGLTPEATN[115]ASLLGCMEDLSVNGQR;LGLTPEATN[115]ASLLGCMEDLSVN[115]GQR;LAQGSAMPILPAN[115]LSVETN;VAN[115]GSSLVVPQGGQGTIDTAVLH;VAN[115]GSSLVVPQGGQGTIDTAVLHLDTNLDIR;AGQPATAFSQQDLLDGAVLYSHN[115]GSLSPR;TAFSQQDLLDGAVLYSHN[115]GSLSPR;SQQDLLDGAVLYSHN[115]GSLSPR;AIPLEAQN[115]FSVPEGGSLTLAPPLLR;EAQN[115]FSVPEGGSLTLAPPLLR;YVHDGSETLTDSFVLMAN[115]ASEMDR;FVLMAN[115]ASEMDR;VLMAN[115]ASEMDR;MAN[115]ASEMDR;LFHAQQDSTGEALVN[115]FTQAEVY;LFHAQQDSTGEALVN[115]FTQAEVYAGN;LAFVAN[115]GSSVAGIFQL;QIDQGEVVFAFTN[115]FSSSHDHFR;AFTN[115]FSSSHDHFR;TN[115]FSSSHDHFR;N[115]FSSSHDHFR;GVN[115]ASAVVN[115]VTVR;ASAVVN[115]VTVR;SAVVN[115]VTVR;LDPTVLDAGELAN[115]R;DPTVLDAGELAN[115]R;PTVLDAGELAN[115]R;VLDAGELAN[115]R</t>
  </si>
  <si>
    <t>348;685;1131;1202;1364;1449;1645;1909;2016;2034;2040;2075</t>
  </si>
  <si>
    <t>Q6UVK1</t>
  </si>
  <si>
    <t>Apical cell membrane (Single- pass type I membrane protein|Extracellular side;Cell projection, lamellipodium membrane (Single-pass type I membrane protein|Extracellular side</t>
  </si>
  <si>
    <t>Angiogenesis;Cell membrane;Cell projection;Complete proteome;Developmental protein;Differentiation;Disulfide bond;Glycoprotein;Membrane;Phosphoprotein;Polymorphism;Proteoglycan;Reference proteome;Repeat;Signal;Tissue remodeling;Transducer;Transmembrane;Transmembrane helix</t>
  </si>
  <si>
    <t>UniRef100_Q6UVK1;UniRef90_Q6UVK1;UniRef50_Q6UVK1</t>
  </si>
  <si>
    <t>ARAID_HUMAN</t>
  </si>
  <si>
    <t>All-trans retinoic acid-induced differentiation factor</t>
  </si>
  <si>
    <t>ATRAID</t>
  </si>
  <si>
    <t>SP:1-30;NC:31-197;TM:198-220;CY:221-229</t>
  </si>
  <si>
    <t>ENSG00000138085</t>
  </si>
  <si>
    <t>ENSP00000476080</t>
  </si>
  <si>
    <t>44;79;157;168</t>
  </si>
  <si>
    <t>LPEICTQCPGSVQN[115]LSK;PEICTQCPGSVQN[115]LSK;GTILGLDLQN[115]CSLEDPGPNFHQAH</t>
  </si>
  <si>
    <t>44;79</t>
  </si>
  <si>
    <t>Q6UW56</t>
  </si>
  <si>
    <t>Cell membrane (Single-pass membrane protein);Nucleus envelope</t>
  </si>
  <si>
    <t>Alternative promoter usage;Alternative splicing;Cell membrane;Complete proteome;Differentiation;Direct protein sequencing;Disulfide bond;EGF-like domain;Glycoprotein;Membrane;Nucleus;Polymorphism;Reference proteome;Signal;Transmembrane;Transmembrane helix</t>
  </si>
  <si>
    <t>UniRef100_Q6UW56;UniRef90_Q6UW56;UniRef50_Q6UW56</t>
  </si>
  <si>
    <t>EPGN_HUMAN</t>
  </si>
  <si>
    <t>Epigen</t>
  </si>
  <si>
    <t>EPGN</t>
  </si>
  <si>
    <t>SP:1-20;NC:21-110;TM:111-133;CY:134-154</t>
  </si>
  <si>
    <t>ENSG00000182585</t>
  </si>
  <si>
    <t>ENSP00000411898</t>
  </si>
  <si>
    <t>Membrane (Single- pass type I membrane protein);Membrane (Single- pass type I membrane protein);Secreted;Secreted;Secreted;Secreted</t>
  </si>
  <si>
    <t>Alternative splicing;Complete proteome;Direct protein sequencing;Disulfide bond;EGF-like domain;Glycoprotein;Growth factor;Membrane;Reference proteome;Secreted;Signal;Transmembrane;Transmembrane helix</t>
  </si>
  <si>
    <t>UniRef100_Q6UW88;UniRef90_Q6UW88;UniRef50_Q6UW88</t>
  </si>
  <si>
    <t>I27RA_HUMAN</t>
  </si>
  <si>
    <t>Interleukin-27 receptor subunit alpha</t>
  </si>
  <si>
    <t>IL27RA</t>
  </si>
  <si>
    <t>SP:1-36;NC:37-516;TM:517-538;CY:539-636</t>
  </si>
  <si>
    <t>ENSG00000104998</t>
  </si>
  <si>
    <t>ENSP00000263379</t>
  </si>
  <si>
    <t>51;76;302;311;374;382;467;563</t>
  </si>
  <si>
    <t>76;302;382</t>
  </si>
  <si>
    <t>VSAVN[115]ATSWEPLTN[115]LSLVCLDSASAPR;LPPGN[115]LSALLPGN[115]FTVGVPYR;PPGN[115]LSALLPGN[115]FTVGVPYR</t>
  </si>
  <si>
    <t>302;311;374;382</t>
  </si>
  <si>
    <t>Q6UWB1</t>
  </si>
  <si>
    <t>Complete proteome;Glycoprotein;Membrane;Receptor;Reference proteome;Repeat;Signal;Transmembrane;Transmembrane helix</t>
  </si>
  <si>
    <t>UniRef100_Q6UWB1;UniRef90_Q6UWB1;UniRef50_Q6UWB1</t>
  </si>
  <si>
    <t>PARM1_HUMAN</t>
  </si>
  <si>
    <t>Prostate androgen-regulated mucin-like protein 1</t>
  </si>
  <si>
    <t>PARM1</t>
  </si>
  <si>
    <t>SP:1-20;NC:21-257;TM:258-280;CY:281-310</t>
  </si>
  <si>
    <t>ENSG00000169116</t>
  </si>
  <si>
    <t>ENSP00000370224</t>
  </si>
  <si>
    <t>58;62;80;176</t>
  </si>
  <si>
    <t>N[115]ISIESR</t>
  </si>
  <si>
    <t>Q6UWI2</t>
  </si>
  <si>
    <t>Cell membrane (Single-pass type I membrane protein);Endosome membrane (Single-pass type I membrane protein);Golgi apparatus membrane (Single- pass type I membrane protein)</t>
  </si>
  <si>
    <t>Cell membrane;Complete proteome;Direct protein sequencing;Endosome;Glycoprotein;Golgi apparatus;Membrane;Polymorphism;Reference proteome;Signal;Transmembrane;Transmembrane helix</t>
  </si>
  <si>
    <t>UniRef100_Q6UWI2;UniRef90_Q6UWI2;UniRef50_Q6UWI2</t>
  </si>
  <si>
    <t>Endosome;Golgi apparatus;Plasma membrane</t>
  </si>
  <si>
    <t>Cytoskeleton;Cytosol;Endoplasmic Reticulum;Extracellular space;Lysosome;Mitochondrion;Peroxisome</t>
  </si>
  <si>
    <t>TMCO3_HUMAN</t>
  </si>
  <si>
    <t>Transmembrane and coiled-coil domain-containing protein 3</t>
  </si>
  <si>
    <t>TMCO3</t>
  </si>
  <si>
    <t>SP:1-22;NC:23-283;TM:284-306;CY:307-317;TM:318-337;NC:338-351;TM:352-373;CY:374-414;TM:415-436;NC:437-453;TM:454-477;CY:478-497;TM:498-518;NC:519-553;TM:554-573;CY:574-578;TM:579-602;NC:603-607;TM:608-629;CY:630-640;TM:641-662;NC:663-677</t>
  </si>
  <si>
    <t>ENSG00000150403</t>
  </si>
  <si>
    <t>ENSP00000389399</t>
  </si>
  <si>
    <t>104;174;206;230</t>
  </si>
  <si>
    <t>ELN[115]ESENSVFQAVYGLQR;VEEEEANSKQN[115]ITK</t>
  </si>
  <si>
    <t>104;230</t>
  </si>
  <si>
    <t>Q6UWJ1</t>
  </si>
  <si>
    <t>Alternative splicing;Antiport;Coiled coil;Complete proteome;Glycoprotein;Ion transport;Membrane;Polymorphism;Reference proteome;Signal;Transmembrane;Transmembrane helix;Transport</t>
  </si>
  <si>
    <t>UniRef100_Q6UWJ1;UniRef90_Q6UWJ1;UniRef50_Q6UWJ1</t>
  </si>
  <si>
    <t>C16L2_HUMAN</t>
  </si>
  <si>
    <t>CD164 sialomucin-like 2 protein</t>
  </si>
  <si>
    <t>CD164L2</t>
  </si>
  <si>
    <t>SP:1-29;NC:30-139;TM:140-163;CY:164-174</t>
  </si>
  <si>
    <t>ENSG00000174950</t>
  </si>
  <si>
    <t>ENSP00000363139;ENSP00000363142</t>
  </si>
  <si>
    <t>71;103</t>
  </si>
  <si>
    <t>UniRef100_Q6UWJ8;UniRef90_Q6UWJ8;UniRef50_Q6UWJ8</t>
  </si>
  <si>
    <t>SUSD1_HUMAN</t>
  </si>
  <si>
    <t>Sushi domain-containing protein 1</t>
  </si>
  <si>
    <t>SUSD1</t>
  </si>
  <si>
    <t>SP:1-29;NC:30-720;TM:721-744;CY:745-747</t>
  </si>
  <si>
    <t>ENSG00000106868</t>
  </si>
  <si>
    <t>ENSP00000363388</t>
  </si>
  <si>
    <t>87;112;193;253;308;348;367;371;402;407;439;447;470;498;503;542;563;645</t>
  </si>
  <si>
    <t>HAILVGN[115]HSSR;INDVSLFN[115]DTCVR;EETVN[115]LTTDSR;ATSFN[115]FTTR;EFAQEMTFN[115]ISSSSR</t>
  </si>
  <si>
    <t>253;308;348;447;542</t>
  </si>
  <si>
    <t>Q6UWL2</t>
  </si>
  <si>
    <t>Alternative splicing;Calcium;Complete proteome;Disulfide bond;EGF-like domain;Glycoprotein;Membrane;Polymorphism;Reference proteome;Repeat;Signal;Sushi;Transmembrane;Transmembrane helix</t>
  </si>
  <si>
    <t>UniRef100_Q6UWL2;UniRef90_Q6UWL2;UniRef50_Q6UWL2</t>
  </si>
  <si>
    <t>KIRR2_HUMAN</t>
  </si>
  <si>
    <t>Kin of IRRE-like protein 2</t>
  </si>
  <si>
    <t>KIRREL2</t>
  </si>
  <si>
    <t>SP:1-20;NC:21-510;TM:511-534;CY:535-708</t>
  </si>
  <si>
    <t>ENSG00000126259</t>
  </si>
  <si>
    <t>ENSP00000353331</t>
  </si>
  <si>
    <t>143;301;484</t>
  </si>
  <si>
    <t>Alternative splicing;Cell membrane;Complete proteome;Direct protein sequencing;Disulfide bond;Glycoprotein;Immunoglobulin domain;Membrane;Polymorphism;Reference proteome;Repeat;Signal;Transmembrane;Transmembrane helix</t>
  </si>
  <si>
    <t>UniRef100_Q6UWL6;UniRef90_Q6UWL6;UniRef50_Q6UWL6</t>
  </si>
  <si>
    <t>LYPD4_HUMAN</t>
  </si>
  <si>
    <t>Ly6/PLAUR domain-containing protein 4</t>
  </si>
  <si>
    <t>LYPD4</t>
  </si>
  <si>
    <t>SP:1-26;NC:27-246</t>
  </si>
  <si>
    <t>ENSG00000273111</t>
  </si>
  <si>
    <t>ENSP00000476510</t>
  </si>
  <si>
    <t>117;183</t>
  </si>
  <si>
    <t>Alternative splicing;Cell membrane;Complete proteome;Glycoprotein;GPI-anchor;Lipoprotein;Membrane;Polymorphism;Reference proteome;Repeat;Signal</t>
  </si>
  <si>
    <t>UniRef100_Q6UWN0;UniRef90_Q6UWN0;UniRef50_Q6UWN0</t>
  </si>
  <si>
    <t>LYPD5_HUMAN</t>
  </si>
  <si>
    <t>Ly6/PLAUR domain-containing protein 5</t>
  </si>
  <si>
    <t>LYPD5</t>
  </si>
  <si>
    <t>SP:1-25;NC:26-251</t>
  </si>
  <si>
    <t>ENSG00000159871</t>
  </si>
  <si>
    <t>ENSP00000367185</t>
  </si>
  <si>
    <t>120;174</t>
  </si>
  <si>
    <t>Alternative splicing;Cell membrane;Complete proteome;Direct protein sequencing;Glycoprotein;GPI-anchor;Lipoprotein;Membrane;Polymorphism;Reference proteome;Signal</t>
  </si>
  <si>
    <t>UniRef100_Q6UWN5;UniRef90_Q6UWN5;UniRef50_Q6UWN5</t>
  </si>
  <si>
    <t>ENPP6_HUMAN</t>
  </si>
  <si>
    <t>Ectonucleotide pyrophosphatase/phosphodiesterase family member 6</t>
  </si>
  <si>
    <t>ENPP6</t>
  </si>
  <si>
    <t>SP:1-22;NC:23-440</t>
  </si>
  <si>
    <t>ENSG00000164303</t>
  </si>
  <si>
    <t>ENSP00000296741</t>
  </si>
  <si>
    <t>100;118;341;404</t>
  </si>
  <si>
    <t>Cell membrane;Complete proteome;Disulfide bond;Glycoprotein;GPI-anchor;Hydrolase;Lipid degradation;Lipid metabolism;Lipoprotein;Membrane;Polymorphism;Reference proteome;Signal</t>
  </si>
  <si>
    <t>UniRef100_Q6UWR7;UniRef90_Q6UWR7;UniRef50_Q6UWR7</t>
  </si>
  <si>
    <t>MPZL3_HUMAN</t>
  </si>
  <si>
    <t>Myelin protein zero-like protein 3</t>
  </si>
  <si>
    <t>MPZL3</t>
  </si>
  <si>
    <t>SP:1-31;NC:32-157;TM:158-180;CY:181-235</t>
  </si>
  <si>
    <t>ENSG00000160588</t>
  </si>
  <si>
    <t>ENSP00000278949</t>
  </si>
  <si>
    <t>Alternative splicing;Cell adhesion;Complete proteome;Direct protein sequencing;Disulfide bond;Glycoprotein;Immunoglobulin domain;Membrane;Polymorphism;Reference proteome;Signal;Transmembrane;Transmembrane helix</t>
  </si>
  <si>
    <t>UniRef100_Q6UWV2;UniRef90_Q6UWV2;UniRef50_Q6UWV2</t>
  </si>
  <si>
    <t>LMBRL_HUMAN</t>
  </si>
  <si>
    <t>Protein LMBR1L</t>
  </si>
  <si>
    <t>LMBR1L</t>
  </si>
  <si>
    <t>NC:1-23;TM:24-42;CY:43-62;TM:63-87;NC:88-111;TM:112-134;CY:135-154;TM:155-176;NC:177-195;TM:196-218;CY:219-300;TM:301-323;NC:324-349;TM:350-372;CY:373-391;TM:392-410;NC:411-430;TM:431-452;CY:453-489</t>
  </si>
  <si>
    <t>ENSG00000139636</t>
  </si>
  <si>
    <t>ENSP00000267102</t>
  </si>
  <si>
    <t>105;121</t>
  </si>
  <si>
    <t>Alternative splicing;Cell membrane;Complete proteome;Endocytosis;Membrane;Receptor;Reference proteome;Transmembrane;Transmembrane helix</t>
  </si>
  <si>
    <t>UniRef100_Q6UX01;UniRef90_Q6UX01;UniRef50_Q8WVP7</t>
  </si>
  <si>
    <t>LAYN_HUMAN</t>
  </si>
  <si>
    <t>Layilin</t>
  </si>
  <si>
    <t>LAYN</t>
  </si>
  <si>
    <t>SP:1-21;NC:22-232;TM:233-258;CY:259-382</t>
  </si>
  <si>
    <t>ENSG00000204381</t>
  </si>
  <si>
    <t>ENSP00000364765</t>
  </si>
  <si>
    <t>117;312</t>
  </si>
  <si>
    <t>117;312;337</t>
  </si>
  <si>
    <t>Alternative splicing;Complete proteome;Disulfide bond;Glycoprotein;Lectin;Membrane;Phosphoprotein;Polymorphism;Reference proteome;Repeat;Signal;Transmembrane;Transmembrane helix</t>
  </si>
  <si>
    <t>UniRef100_Q6UX15;UniRef90_Q6UX15;UniRef50_Q6UX15</t>
  </si>
  <si>
    <t>VSTM1_HUMAN</t>
  </si>
  <si>
    <t>V-set and transmembrane domain-containing protein 1</t>
  </si>
  <si>
    <t>VSTM1</t>
  </si>
  <si>
    <t>SP:1-16;NC:17-135;TM:136-157;CY:158-236</t>
  </si>
  <si>
    <t>ENSG00000189068;ENSG00000274953;ENSG00000276159;ENSG00000274887;ENSG00000275330;ENSG00000275577;ENSG00000276066;ENSG00000275962;ENSG00000277607;ENSG00000276363</t>
  </si>
  <si>
    <t>ENSP00000343366;ENSP00000482197;ENSP00000478582;ENSP00000480533;ENSP00000482555;ENSP00000483412;ENSP00000482985;ENSP00000480547;ENSP00000484844;ENSP00000484806</t>
  </si>
  <si>
    <t>44;55;64</t>
  </si>
  <si>
    <t>VEAESN[115]VTLK</t>
  </si>
  <si>
    <t>Q6UX27</t>
  </si>
  <si>
    <t>Membrane (Single- pass membrane protein);Secreted</t>
  </si>
  <si>
    <t>Alternative splicing;Complete proteome;Cytokine;Direct protein sequencing;Disulfide bond;Glycoprotein;Immunity;Immunoglobulin domain;Membrane;Polymorphism;Reference proteome;Secreted;Signal;Transmembrane;Transmembrane helix</t>
  </si>
  <si>
    <t>UniRef100_Q6UX27;UniRef90_Q6UX27;UniRef50_Q6UX27</t>
  </si>
  <si>
    <t>PXDC2_HUMAN</t>
  </si>
  <si>
    <t>Plexin domain-containing protein 2</t>
  </si>
  <si>
    <t>PLXDC2</t>
  </si>
  <si>
    <t>SP:1-28;NC:29-453;TM:454-478;CY:479-529</t>
  </si>
  <si>
    <t>ENSG00000120594</t>
  </si>
  <si>
    <t>ENSP00000366460</t>
  </si>
  <si>
    <t>103;160;213;221;316;345</t>
  </si>
  <si>
    <t>389;420</t>
  </si>
  <si>
    <t>UniRef100_Q6UX71;UniRef90_Q6UX71;UniRef50_Q6UX71</t>
  </si>
  <si>
    <t>LYPD8_HUMAN</t>
  </si>
  <si>
    <t>Ly6/PLAUR domain-containing protein 8</t>
  </si>
  <si>
    <t>LYPD8</t>
  </si>
  <si>
    <t>SP:1-21;NC:22-237</t>
  </si>
  <si>
    <t>45;73;107;118;132;172;175;185</t>
  </si>
  <si>
    <t>UniRef100_Q6UX82;UniRef90_Q6UX82;UniRef50_Q6UX82</t>
  </si>
  <si>
    <t>LYPD2_HUMAN</t>
  </si>
  <si>
    <t>Ly6/PLAUR domain-containing protein 2</t>
  </si>
  <si>
    <t>LYPD2</t>
  </si>
  <si>
    <t>SP:1-24;NC:25-125</t>
  </si>
  <si>
    <t>ENSG00000197353</t>
  </si>
  <si>
    <t>ENSP00000352163</t>
  </si>
  <si>
    <t>UniRef100_Q6UXB3;UniRef90_Q6UXB3;UniRef50_Q6UXB3</t>
  </si>
  <si>
    <t>CLC4G_HUMAN</t>
  </si>
  <si>
    <t>C-type lectin domain family 4 member G</t>
  </si>
  <si>
    <t>CLEC4G</t>
  </si>
  <si>
    <t>CY:1-31;TM:32-53;NC:54-293</t>
  </si>
  <si>
    <t>ENSG00000182566</t>
  </si>
  <si>
    <t>ENSP00000327599</t>
  </si>
  <si>
    <t>73;159</t>
  </si>
  <si>
    <t>21;24</t>
  </si>
  <si>
    <t>Coiled coil;Complete proteome;Disulfide bond;Glycoprotein;Lectin;Membrane;Reference proteome;Signal-anchor;Transmembrane;Transmembrane helix</t>
  </si>
  <si>
    <t>UniRef100_Q6UXB4;UniRef90_Q6UXB4;UniRef50_Q6UXB4</t>
  </si>
  <si>
    <t>PI16_HUMAN</t>
  </si>
  <si>
    <t>Peptidase inhibitor 16</t>
  </si>
  <si>
    <t>PI16</t>
  </si>
  <si>
    <t>SP:1-27;NC:28-443;TM:444-462;CY:463-463</t>
  </si>
  <si>
    <t>ENSG00000164530</t>
  </si>
  <si>
    <t>ENSP00000362778;ENSP00000478888</t>
  </si>
  <si>
    <t>114;403;409</t>
  </si>
  <si>
    <t>EHYN[115]LSAATCSPGQMCGH;EHYN[115]LSAATCSPGQMCGHYTQVVWAK</t>
  </si>
  <si>
    <t>Q6UXB8</t>
  </si>
  <si>
    <t>Alternative splicing;Complete proteome;Direct protein sequencing;Glycoprotein;Membrane;Polymorphism;Protease inhibitor;Reference proteome;Signal;Transmembrane;Transmembrane helix</t>
  </si>
  <si>
    <t>UniRef100_Q6UXB8;UniRef90_Q6UXB8;UniRef50_Q6UXB8</t>
  </si>
  <si>
    <t>AEGP_HUMAN</t>
  </si>
  <si>
    <t>Apical endosomal glycoprotein</t>
  </si>
  <si>
    <t>MAMDC4</t>
  </si>
  <si>
    <t>SP:1-22;NC:23-1150;TM:1151-1171;CY:1172-1216</t>
  </si>
  <si>
    <t>ENSG00000177943</t>
  </si>
  <si>
    <t>ENSP00000411339;ENSP00000435513</t>
  </si>
  <si>
    <t>203;281;339;583;636;835</t>
  </si>
  <si>
    <t>21;23;75;85;111;145;170;176;180;218;280;286;300;385;503;513;539;590;600;665;675;677;705;728;753;763;767;808;830;842;892;926;939;982;987;995;997;1038;1055;1083;1093;1176</t>
  </si>
  <si>
    <t>Alternative splicing;Complete proteome;Disulfide bond;Glycoprotein;Membrane;Polymorphism;Protein transport;Reference proteome;Repeat;Signal;Transmembrane;Transmembrane helix;Transport</t>
  </si>
  <si>
    <t>UniRef100_Q6UXC1;UniRef90_Q6UXC1;UniRef50_Q63191</t>
  </si>
  <si>
    <t>SE6L2_HUMAN</t>
  </si>
  <si>
    <t>Seizure 6-like protein 2</t>
  </si>
  <si>
    <t>SEZ6L2</t>
  </si>
  <si>
    <t>SP:1-27;NC:28-844;TM:845-867;CY:868-910</t>
  </si>
  <si>
    <t>ENSG00000174938</t>
  </si>
  <si>
    <t>ENSP00000312550</t>
  </si>
  <si>
    <t>176;222;247;332;355;373;473;517;641</t>
  </si>
  <si>
    <t>LLAN[115]SSMLGEGQVLR;IVSPEPGGAVGPN[115]LTCR</t>
  </si>
  <si>
    <t>247;373</t>
  </si>
  <si>
    <t>Q6UXD5</t>
  </si>
  <si>
    <t>Alternative splicing;Cell membrane;Complete proteome;Disulfide bond;Endoplasmic reticulum;Glycoprotein;Membrane;Polymorphism;Reference proteome;Repeat;Signal;Sushi;Transmembrane;Transmembrane helix</t>
  </si>
  <si>
    <t>UniRef100_Q6UXD5;UniRef90_Q4V9Z5;UniRef50_Q4V9Z5</t>
  </si>
  <si>
    <t>MFSD7_HUMAN</t>
  </si>
  <si>
    <t>Major facilitator superfamily domain-containing protein 7</t>
  </si>
  <si>
    <t>MFSD7</t>
  </si>
  <si>
    <t>CY:1-29;TM:30-50;NC:51-69;TM:70-90;CY:91-96;TM:97-115;NC:116-125;TM:126-145;CY:146-164;TM:165-186;NC:187-191;TM:192-215;CY:216-248;TM:249-270;NC:271-281;TM:282-306;CY:307-317;TM:318-336;NC:337-341;TM:342-365;CY:366-376;TM:377-400;NC:401-420;TM:421-442;CY:443-560</t>
  </si>
  <si>
    <t>ENSG00000169026</t>
  </si>
  <si>
    <t>ENSP00000384616</t>
  </si>
  <si>
    <t>40;43</t>
  </si>
  <si>
    <t>UniRef100_Q6UXD7;UniRef90_Q6UXD7;UniRef50_Q6UXD7</t>
  </si>
  <si>
    <t>BTNL3_HUMAN</t>
  </si>
  <si>
    <t>Butyrophilin-like protein 3</t>
  </si>
  <si>
    <t>BTNL3</t>
  </si>
  <si>
    <t>SP:1-17;NC:18-234;TM:235-259;CY:260-466</t>
  </si>
  <si>
    <t>ENSG00000168903</t>
  </si>
  <si>
    <t>ENSP00000341787</t>
  </si>
  <si>
    <t>103;368</t>
  </si>
  <si>
    <t>Alternative splicing;Complete proteome;Immunoglobulin domain;Membrane;Reference proteome;Signal;Transmembrane;Transmembrane helix</t>
  </si>
  <si>
    <t>UniRef100_Q6UXE8;UniRef90_Q6UXE8;UniRef50_Q6UX41</t>
  </si>
  <si>
    <t>TM108_HUMAN</t>
  </si>
  <si>
    <t>Transmembrane protein 108</t>
  </si>
  <si>
    <t>TMEM108</t>
  </si>
  <si>
    <t>SP:1-28;NC:29-468;TM:469-490;CY:491-575</t>
  </si>
  <si>
    <t>ENSG00000144868</t>
  </si>
  <si>
    <t>ENSP00000324651;ENSP00000376838</t>
  </si>
  <si>
    <t>178;223;261;446;504;509</t>
  </si>
  <si>
    <t>UniRef100_Q6UXF1;UniRef90_Q6UXF1;UniRef50_Q6UXF1</t>
  </si>
  <si>
    <t>K1324_HUMAN</t>
  </si>
  <si>
    <t>UPF0577 protein KIAA1324</t>
  </si>
  <si>
    <t>KIAA1324</t>
  </si>
  <si>
    <t>SP:1-41;NC:42-907;TM:908-931;CY:932-1013</t>
  </si>
  <si>
    <t>ENSG00000116299</t>
  </si>
  <si>
    <t>ENSP00000358955</t>
  </si>
  <si>
    <t>153;390;391;404;544;576;672;717;947</t>
  </si>
  <si>
    <t>153;391;544;576;717;947</t>
  </si>
  <si>
    <t>Cell membrane (Single-pass type I membrane protein);Golgi apparatus, trans-Golgi network membrane (Single-pass type I membrane protein);Late endosome membrane (Single-pass type I membrane protein);Lysosome membrane (Single-pass membrane protein)</t>
  </si>
  <si>
    <t>Alternative splicing;Autophagy;Cell membrane;Complete proteome;Disulfide bond;Endosome;Glycoprotein;Golgi apparatus;Lysosome;Membrane;Polymorphism;Reference proteome;Signal;Transmembrane;Transmembrane helix</t>
  </si>
  <si>
    <t>UniRef100_Q6UXG2;UniRef90_Q6UXG2;UniRef50_Q6UXG2</t>
  </si>
  <si>
    <t>CLM9_HUMAN</t>
  </si>
  <si>
    <t>CMRF35-like molecule 9</t>
  </si>
  <si>
    <t>CD300LG</t>
  </si>
  <si>
    <t>SP:1-19;NC:20-247;TM:248-273;CY:274-332</t>
  </si>
  <si>
    <t>ENSG00000161649</t>
  </si>
  <si>
    <t>ENSP00000321005</t>
  </si>
  <si>
    <t>CD300g</t>
  </si>
  <si>
    <t>Apical cell membrane (Single-pass type I membrane protein);Basolateral cell membrane (Single-pass type I membrane protein);Endosome, multivesicular body membrane (Single-pass type I membrane protein)</t>
  </si>
  <si>
    <t>Alternative splicing;Cell membrane;Complete proteome;Direct protein sequencing;Disulfide bond;Endosome;Glycoprotein;Immunity;Immunoglobulin domain;Membrane;Polymorphism;Receptor;Reference proteome;Signal;Transmembrane;Transmembrane helix</t>
  </si>
  <si>
    <t>UniRef100_Q6UXG3;UniRef90_Q6UXG3;UniRef50_Q6UXG3</t>
  </si>
  <si>
    <t>BTNL9_HUMAN</t>
  </si>
  <si>
    <t>Butyrophilin-like protein 9</t>
  </si>
  <si>
    <t>BTNL9</t>
  </si>
  <si>
    <t>SP:1-34;NC:35-257;TM:258-277;CY:278-535</t>
  </si>
  <si>
    <t>ENSG00000165810</t>
  </si>
  <si>
    <t>ENSP00000330200</t>
  </si>
  <si>
    <t>102;139;224;464;516</t>
  </si>
  <si>
    <t>Alternative splicing;Coiled coil;Complete proteome;Disulfide bond;Glycoprotein;Immunoglobulin domain;Membrane;Polymorphism;Reference proteome;Signal;Transmembrane;Transmembrane helix</t>
  </si>
  <si>
    <t>UniRef100_Q6UXG8;UniRef90_Q6UXG8;UniRef50_Q6UXG8</t>
  </si>
  <si>
    <t>ISLR2_HUMAN</t>
  </si>
  <si>
    <t>Immunoglobulin superfamily containing leucine-rich repeat protein 2</t>
  </si>
  <si>
    <t>ISLR2</t>
  </si>
  <si>
    <t>SP:1-21;NC:22-589;TM:590-614;CY:615-745</t>
  </si>
  <si>
    <t>ENSG00000167178</t>
  </si>
  <si>
    <t>ENSP00000355402;ENSP00000411443;ENSP00000411834;ENSP00000455531;ENSP00000458080</t>
  </si>
  <si>
    <t>52;121;337;364;474;563</t>
  </si>
  <si>
    <t>Cell membrane;Complete proteome;Developmental protein;Disulfide bond;Glycoprotein;Immunoglobulin domain;Leucine-rich repeat;Membrane;Neurogenesis;Polymorphism;Reference proteome;Repeat;Signal;Transmembrane;Transmembrane helix</t>
  </si>
  <si>
    <t>UniRef100_Q6UXK2;UniRef90_Q6UXK2;UniRef50_Q5RKR3</t>
  </si>
  <si>
    <t>LRRN1_HUMAN</t>
  </si>
  <si>
    <t>Leucine-rich repeat neuronal protein 1</t>
  </si>
  <si>
    <t>LRRN1</t>
  </si>
  <si>
    <t>SP:1-25;NC:26-630;TM:631-653;CY:654-716</t>
  </si>
  <si>
    <t>ENSG00000175928</t>
  </si>
  <si>
    <t>ENSP00000314901</t>
  </si>
  <si>
    <t>69;96;106;117;385;517;582;611</t>
  </si>
  <si>
    <t>VN[115]GTLLDGTQVLK</t>
  </si>
  <si>
    <t>Q6UXK5</t>
  </si>
  <si>
    <t>Complete proteome;Direct protein sequencing;Disulfide bond;Glycoprotein;Immunoglobulin domain;Leucine-rich repeat;Membrane;Polymorphism;Reference proteome;Repeat;Signal;Transmembrane;Transmembrane helix</t>
  </si>
  <si>
    <t>UniRef100_Q6UXK5;UniRef90_Q6UXK5;UniRef50_Q6UXK5</t>
  </si>
  <si>
    <t>I20RB_HUMAN</t>
  </si>
  <si>
    <t>Interleukin-20 receptor subunit beta</t>
  </si>
  <si>
    <t>IL20RB</t>
  </si>
  <si>
    <t>SP:1-29;NC:30-231;TM:232-254;CY:255-311</t>
  </si>
  <si>
    <t>ENSG00000174564</t>
  </si>
  <si>
    <t>ENSP00000328133</t>
  </si>
  <si>
    <t>40;134</t>
  </si>
  <si>
    <t>3D-structure;Alternative splicing;Complete proteome;Direct protein sequencing;Disulfide bond;Glycoprotein;Membrane;Receptor;Reference proteome;Repeat;Signal;Transmembrane;Transmembrane helix</t>
  </si>
  <si>
    <t>UniRef100_Q6UXL0;UniRef90_Q6UXL0;UniRef50_Q6UXL0</t>
  </si>
  <si>
    <t>LRIG3_HUMAN</t>
  </si>
  <si>
    <t>Leucine-rich repeats and immunoglobulin-like domains protein 3</t>
  </si>
  <si>
    <t>LRIG3</t>
  </si>
  <si>
    <t>SP:1-26;NC:27-804;TM:805-830;CY:831-1119</t>
  </si>
  <si>
    <t>ENSG00000139263</t>
  </si>
  <si>
    <t>ENSP00000326759</t>
  </si>
  <si>
    <t>122;156;274;442;469;515;688;729;905;987;999;1016</t>
  </si>
  <si>
    <t>Cell membrane (Single-pass type I membrane protein);Cytoplasmic vesicle membrane (Single-pass type I membrane protein)</t>
  </si>
  <si>
    <t>Alternative splicing;Cell membrane;Complete proteome;Cytoplasmic vesicle;Developmental protein;Disulfide bond;Glycoprotein;Immunoglobulin domain;Leucine-rich repeat;Membrane;Reference proteome;Repeat;Signal;Transmembrane;Transmembrane helix</t>
  </si>
  <si>
    <t>UniRef100_Q6UXM1;UniRef90_Q6UXM1;UniRef50_Q6UXM1</t>
  </si>
  <si>
    <t>CLC9A_HUMAN</t>
  </si>
  <si>
    <t>C-type lectin domain family 9 member A</t>
  </si>
  <si>
    <t>CLEC9A</t>
  </si>
  <si>
    <t>CY:1-31;TM:32-56;NC:57-241</t>
  </si>
  <si>
    <t>ENSG00000197992</t>
  </si>
  <si>
    <t>ENSP00000348074</t>
  </si>
  <si>
    <t>81;109;223</t>
  </si>
  <si>
    <t>3D-structure;Complete proteome;Disulfide bond;Endocytosis;Glycoprotein;Lectin;Membrane;Polymorphism;Receptor;Reference proteome;Signal-anchor;Transmembrane;Transmembrane helix</t>
  </si>
  <si>
    <t>UniRef100_Q6UXN8;UniRef90_Q6UXN8;UniRef50_Q8BRU4</t>
  </si>
  <si>
    <t>GSG1L_HUMAN</t>
  </si>
  <si>
    <t>Germ cell-specific gene 1-like protein</t>
  </si>
  <si>
    <t>GSG1L</t>
  </si>
  <si>
    <t>CY:1-8;TM:9-30;NC:31-133;TM:134-158;CY:159-169;TM:170-194;NC:195-215;TM:216-241;CY:242-331</t>
  </si>
  <si>
    <t>ENSG00000169181</t>
  </si>
  <si>
    <t>ENSP00000394954</t>
  </si>
  <si>
    <t>58;62</t>
  </si>
  <si>
    <t>Alternative splicing;Cell junction;Cell membrane;Complete proteome;Membrane;Reference proteome;Synapse;Transmembrane;Transmembrane helix</t>
  </si>
  <si>
    <t>UniRef100_Q6UXU4;UniRef90_D3ZK93;UniRef50_D3ZK93</t>
  </si>
  <si>
    <t>GFRAL_HUMAN</t>
  </si>
  <si>
    <t>GDNF family receptor alpha-like</t>
  </si>
  <si>
    <t>GFRAL</t>
  </si>
  <si>
    <t>SP:1-21;NC:22-351;TM:352-372;CY:373-394</t>
  </si>
  <si>
    <t>ENSG00000187871</t>
  </si>
  <si>
    <t>ENSP00000343636</t>
  </si>
  <si>
    <t>23;50;62;67;103;116</t>
  </si>
  <si>
    <t>Complete proteome;Glycoprotein;Membrane;Polymorphism;Receptor;Reference proteome;Signal;Transmembrane;Transmembrane helix</t>
  </si>
  <si>
    <t>UniRef100_Q6UXV0;UniRef90_Q6UXV0;UniRef50_Q6SJE0</t>
  </si>
  <si>
    <t>TMIG1_HUMAN</t>
  </si>
  <si>
    <t>Transmembrane and immunoglobulin domain-containing protein 1</t>
  </si>
  <si>
    <t>TMIGD1</t>
  </si>
  <si>
    <t>SP:1-32;NC:33-222;TM:223-241;CY:242-262</t>
  </si>
  <si>
    <t>ENSG00000182271</t>
  </si>
  <si>
    <t>ENSP00000332404</t>
  </si>
  <si>
    <t>58;83;118;158;190</t>
  </si>
  <si>
    <t>Alternative splicing;Complete proteome;Disulfide bond;Glycoprotein;Immunoglobulin domain;Membrane;Reference proteome;Repeat;Signal;Transmembrane;Transmembrane helix</t>
  </si>
  <si>
    <t>UniRef100_Q6UXZ0;UniRef90_Q6UXZ0;UniRef50_Q6UXZ0</t>
  </si>
  <si>
    <t>CLM4_HUMAN</t>
  </si>
  <si>
    <t>CMRF35-like molecule 4</t>
  </si>
  <si>
    <t>CD300LD</t>
  </si>
  <si>
    <t>SP:1-18;NC:19-165;TM:166-187;CY:188-194</t>
  </si>
  <si>
    <t>ENSG00000204345</t>
  </si>
  <si>
    <t>ENSP00000364501</t>
  </si>
  <si>
    <t>CD300d</t>
  </si>
  <si>
    <t>28;68</t>
  </si>
  <si>
    <t>UniRef100_Q6UXZ3;UniRef90_Q6UXZ3;UniRef50_Q6UXZ3</t>
  </si>
  <si>
    <t>UNC5D_HUMAN</t>
  </si>
  <si>
    <t>Netrin receptor UNC5D</t>
  </si>
  <si>
    <t>UNC5D</t>
  </si>
  <si>
    <t>SP:1-33;NC:34-379;TM:380-403;CY:404-953</t>
  </si>
  <si>
    <t>ENSG00000156687</t>
  </si>
  <si>
    <t>ENSP00000385143</t>
  </si>
  <si>
    <t>117;228;353;376;505;515;532;887;934;946</t>
  </si>
  <si>
    <t>17;20;26;91;133;139;193;255;258;261;272;311;314;317;577;631;644;762;779;875;905</t>
  </si>
  <si>
    <t>UniRef100_Q6UXZ4;UniRef90_Q8K1S2;UniRef50_Q8K1S2</t>
  </si>
  <si>
    <t>CEA20_HUMAN</t>
  </si>
  <si>
    <t>Carcinoembryonic antigen-related cell adhesion molecule 20</t>
  </si>
  <si>
    <t>CEACAM20</t>
  </si>
  <si>
    <t>SP:1-30;NC:31-446;TM:447-470;CY:471-585</t>
  </si>
  <si>
    <t>96;105;280;306;317;368;415;513</t>
  </si>
  <si>
    <t>Complete proteome;Disulfide bond;Glycoprotein;Immunoglobulin domain;Membrane;Polymorphism;Reference proteome;Repeat;Signal;Transmembrane;Transmembrane helix</t>
  </si>
  <si>
    <t>UniRef100_Q6UY09;UniRef90_Q6UY09;UniRef50_Q6UY09</t>
  </si>
  <si>
    <t>DLK2_HUMAN</t>
  </si>
  <si>
    <t>Protein delta homolog 2</t>
  </si>
  <si>
    <t>DLK2</t>
  </si>
  <si>
    <t>SP:1-26;NC:27-306;TM:307-329;CY:330-383</t>
  </si>
  <si>
    <t>ENSG00000171462</t>
  </si>
  <si>
    <t>ENSP00000349893;ENSP00000361566</t>
  </si>
  <si>
    <t>Alternative splicing;Calcium;Complete proteome;Disulfide bond;EGF-like domain;Glycoprotein;Membrane;Polymorphism;Reference proteome;Repeat;Signal;Transmembrane;Transmembrane helix</t>
  </si>
  <si>
    <t>UniRef100_Q6UY11;UniRef90_Q8K1E3;UniRef50_Q8K1E3</t>
  </si>
  <si>
    <t>LIGO4_HUMAN</t>
  </si>
  <si>
    <t>Leucine-rich repeat and immunoglobulin-like domain-containing nogo receptor-interacting protein 4</t>
  </si>
  <si>
    <t>LINGO4</t>
  </si>
  <si>
    <t>SP:1-32;NC:33-531;TM:532-557;CY:558-593</t>
  </si>
  <si>
    <t>ENSG00000213171</t>
  </si>
  <si>
    <t>ENSP00000357810</t>
  </si>
  <si>
    <t>191;253;263;492;508;515</t>
  </si>
  <si>
    <t>UniRef100_Q6UY18;UniRef90_Q149C3;UniRef50_Q149C3</t>
  </si>
  <si>
    <t>FAT4_HUMAN</t>
  </si>
  <si>
    <t>Protocadherin Fat 4</t>
  </si>
  <si>
    <t>FAT4</t>
  </si>
  <si>
    <t>SP:1-42;NC:43-4501;TM:4502-4526;CY:4527-4981</t>
  </si>
  <si>
    <t>ENSG00000196159</t>
  </si>
  <si>
    <t>ENSP00000377862</t>
  </si>
  <si>
    <t>84;237;393;416;435;483;551;615;676;721;825;880;946;1085;1101;1104;1225;1296;1389;1514;1828;1899;1967;2119;2387;2430;2681;2921;2937;3036;3140;3217;3392;3477;3706;3758;4017;4267;4312;4624;4874</t>
  </si>
  <si>
    <t>LSESHALFAIN[115]SSTGALYTTSTIDR;ELASQIVLN[115]ISAR;ATDGDLGDN[115]GTVR;DFYQATISESAAN[115]LTQVLR;IN[115]ITVSDVNDHTPK;LTGELDREEVSN[115]YTLTVVATDK;IN[115]ATTGEIFNK;YQN[115]VTGFSNVNINR;YSISSGNEEGIFAIN[115]SSTGILTLAK;SHALLLYNYDN[115]QTGDR;N[115]GTATVLSVDR</t>
  </si>
  <si>
    <t>84;551;615;1225;1828;2119;2921;2937;3140;4017;4312</t>
  </si>
  <si>
    <t>Q6V0I7</t>
  </si>
  <si>
    <t>Alternative splicing;Calcium;Cell adhesion;Complete proteome;Deafness;Disease mutation;Disulfide bond;EGF-like domain;Glycoprotein;Membrane;Mental retardation;Phosphoprotein;Polymorphism;Reference proteome;Repeat;Signal;Transmembrane;Transmembrane helix</t>
  </si>
  <si>
    <t>UniRef100_Q6V0I7;UniRef90_Q2PZL6;UniRef50_Q2PZL6</t>
  </si>
  <si>
    <t>PCD23_HUMAN</t>
  </si>
  <si>
    <t>Protocadherin-23</t>
  </si>
  <si>
    <t>DCHS2</t>
  </si>
  <si>
    <t>NC:1-2533;TM:2534-2562;CY:2563-2916</t>
  </si>
  <si>
    <t>ENSG00000197410</t>
  </si>
  <si>
    <t>ENSP00000485514</t>
  </si>
  <si>
    <t>220;245;406;467;539;673;820;1032;1140;1209;1443;1599;1615;1874;2024;2042;2100;2209;2474;2522;2635;2872</t>
  </si>
  <si>
    <t>Alternative splicing;Calcium;Cell adhesion;Complete proteome;Glycoprotein;Membrane;Polymorphism;Reference proteome;Repeat;Transmembrane;Transmembrane helix</t>
  </si>
  <si>
    <t>UniRef100_Q6V1P9;UniRef90_Q6V1P9;UniRef50_Q6V1P9</t>
  </si>
  <si>
    <t>NPSR1_HUMAN</t>
  </si>
  <si>
    <t>Neuropeptide S receptor</t>
  </si>
  <si>
    <t>NPSR1</t>
  </si>
  <si>
    <t>NC:1-53;TM:54-73;CY:74-83;TM:84-103;NC:104-122;TM:123-144;CY:145-164;TM:165-185;NC:186-209;TM:210-233;CY:234-271;TM:272-293;NC:294-312;TM:313-333;CY:334-371</t>
  </si>
  <si>
    <t>ENSG00000187258</t>
  </si>
  <si>
    <t>ENSP00000353788</t>
  </si>
  <si>
    <t>4;250</t>
  </si>
  <si>
    <t>Cell membrane (Multi- pass membrane protein);Cytoplasm;Cell membrane (Multi-pass membrane protein);Cell membrane (Multi-pass membrane protein);Cytoplasm;Cytoplasm;Cytoplasm;Cytoplasm</t>
  </si>
  <si>
    <t>Alternative splicing;Asthma;Cell membrane;Complete proteome;Cytoplasm;Disulfide bond;G-protein coupled receptor;Glycoprotein;Membrane;Polymorphism;Receptor;Reference proteome;Transducer;Transmembrane;Transmembrane helix</t>
  </si>
  <si>
    <t>UniRef100_Q6W5P4;UniRef90_Q6W5P4;UniRef50_Q6W5P4</t>
  </si>
  <si>
    <t>S36A4_HUMAN</t>
  </si>
  <si>
    <t>Proton-coupled amino acid transporter 4</t>
  </si>
  <si>
    <t>SLC36A4</t>
  </si>
  <si>
    <t>NC:1-87;TM:88-111;CY:112-153;TM:154-175;NC:176-208;TM:209-226;CY:227-232;TM:233-254;NC:255-273;TM:274-293;CY:294-305;TM:306-327;NC:328-352;TM:353-371;CY:372-391;TM:392-409;NC:410-414;TM:415-438;CY:439-449;TM:450-472;NC:473-504</t>
  </si>
  <si>
    <t>ENSG00000180773</t>
  </si>
  <si>
    <t>ENSP00000317382</t>
  </si>
  <si>
    <t>194;197;240;453;495</t>
  </si>
  <si>
    <t>VFISN[115]STNSSNPCER;VFISN[115]STN[115]SSNPCER;VVAGTPQSPFLNLN[115]STCLTSGL</t>
  </si>
  <si>
    <t>194;197;495</t>
  </si>
  <si>
    <t>Q6YBV0</t>
  </si>
  <si>
    <t>Acetylation;Alternative splicing;Amino-acid transport;Complete proteome;Glycoprotein;Membrane;Polymorphism;Reference proteome;Symport;Transmembrane;Transmembrane helix;Transport</t>
  </si>
  <si>
    <t>UniRef100_Q6YBV0;UniRef90_Q6YBV0;UniRef50_Q6YBV0</t>
  </si>
  <si>
    <t>CD109_HUMAN</t>
  </si>
  <si>
    <t>CD109 antigen</t>
  </si>
  <si>
    <t>CD109</t>
  </si>
  <si>
    <t>SP:1-21;NC:22-1445</t>
  </si>
  <si>
    <t>ENSG00000156535</t>
  </si>
  <si>
    <t>ENSP00000287097</t>
  </si>
  <si>
    <t>41;68;118;247;279;287;291;337;365;397;419;513;600;645;800;1042;1086;1244;1355</t>
  </si>
  <si>
    <t>41;68;118;247;279;287;291;337;365;397;419;513;523;600;645;800;1042;1086;1244;1355</t>
  </si>
  <si>
    <t>PGGN[115]VTIGVELLEHCPSQVTVK;AELLKTASN[115]LTVSVLEAEGVFEK;AELLKTASN[115]LTVSVLEAEGVFEKGSFK;TASN[115]LTVSVLEAEGVFEK;TASN[115]LTVSVLEAEGVFEKG;TASN[115]LTVSVLEAEGVFEKGSFK;SN[115]LTVSVLEAEGVFEK;TQDEILFSN[115]STR;HLN[115]GTITAK;INGSAN[115]FSFNDEEMK;IN[115]GSANFSFN[115]DEEMK;IN[115]GSAN[115]FSFNDEEMK;N[115]VSTNVFFK;FDYTTVLKPSLN[115]FTATVK;DYTTVLKPSLN[115]FTATVK;TTVLKPSLN[115]FTATVK;KPSLN[115]FTATVK;PSLN[115]FTATVK;N[115]YTEYWSGSNSGNQ;N[115]YTEYWSGSNSGNQK;N[115]YTEYWSGSNSGN[115]QK;N[115]YTEYWSGSN[115]SGNQK;MEAVQKIN[115]YTVPQSGTFK;IN[115]YTVPQSGTF;IN[115]YTVPQSGTFK;IN[115]YTVPQSGTFKIEFPILEDSSELQLK;GQLVAVGKQN[115]STMFSLTPENSWTPK;QN[115]STMFSLTPENSWTPK;QN[115]STMFSLTPEN[115]SWTPK;AVFQECGLWVLTDAN[115]LTK;QECGLWVLTDAN[115]LTK;GLWVLTDAN[115]LTK;LWVLTDAN[115]LTK;WVLTDAN[115]LTK;GISDN[115]YTLALITYALSSVGSPK</t>
  </si>
  <si>
    <t>41;68;118;247;287;291;337;365;397;419;513;645;1086</t>
  </si>
  <si>
    <t>Q6YHK3</t>
  </si>
  <si>
    <t>Alternative splicing;Bait region;Cell membrane;Complete proteome;Direct protein sequencing;Disulfide bond;Glycoprotein;GPI-anchor;Lipoprotein;Membrane;Polymorphism;Protease inhibitor;Reference proteome;Serine protease inhibitor;Signal;Thioester bond</t>
  </si>
  <si>
    <t>UniRef100_Q6YHK3;UniRef90_Q6YHK3;UniRef50_Q6YHK3</t>
  </si>
  <si>
    <t>T184A_HUMAN</t>
  </si>
  <si>
    <t>Transmembrane protein 184A</t>
  </si>
  <si>
    <t>TMEM184A</t>
  </si>
  <si>
    <t>NC:1-46;TM:47-69;CY:70-88;TM:89-110;NC:111-129;TM:130-151;CY:152-186;TM:187-207;NC:208-218;TM:219-243;CY:244-254;TM:255-278;NC:279-302;TM:303-324;CY:325-413</t>
  </si>
  <si>
    <t>ENSG00000164855</t>
  </si>
  <si>
    <t>ENSP00000297477</t>
  </si>
  <si>
    <t>3;40;228;366</t>
  </si>
  <si>
    <t>UniRef100_Q6ZMB5;UniRef90_Q6ZMB5;UniRef50_Q3UFJ6</t>
  </si>
  <si>
    <t>SIG15_HUMAN</t>
  </si>
  <si>
    <t>Sialic acid-binding Ig-like lectin 15</t>
  </si>
  <si>
    <t>SIGLEC15</t>
  </si>
  <si>
    <t>SP:1-23;NC:24-260;TM:261-284;CY:285-328</t>
  </si>
  <si>
    <t>ENSG00000197046</t>
  </si>
  <si>
    <t>ENSP00000374125</t>
  </si>
  <si>
    <t>172;312</t>
  </si>
  <si>
    <t>UniRef100_Q6ZMC9;UniRef90_Q6ZMC9;UniRef50_Q6ZMC9</t>
  </si>
  <si>
    <t>SPNS3_HUMAN</t>
  </si>
  <si>
    <t>Protein spinster homolog 3</t>
  </si>
  <si>
    <t>SPNS3</t>
  </si>
  <si>
    <t>CY:1-43;TM:44-66;NC:67-83;TM:84-104;CY:105-111;TM:112-131;NC:132-136;TM:137-161;CY:162-172;TM:173-192;NC:193-203;TM:204-224;CY:225-259;TM:260-281;NC:282-308;TM:309-330;CY:331-341;TM:342-362;NC:363-368;TM:369-393;CY:394-449;TM:450-471;NC:472-512</t>
  </si>
  <si>
    <t>ENSG00000182557</t>
  </si>
  <si>
    <t>ENSP00000347721</t>
  </si>
  <si>
    <t>SLC;MFS;Spinster</t>
  </si>
  <si>
    <t>Alternative splicing;Complete proteome;Lipid transport;Membrane;Polymorphism;Reference proteome;Transmembrane;Transmembrane helix;Transport</t>
  </si>
  <si>
    <t>UniRef100_Q6ZMD2;UniRef90_Q6ZMD2;UniRef50_Q6ZMD2</t>
  </si>
  <si>
    <t>S39A5_HUMAN</t>
  </si>
  <si>
    <t>Zinc transporter ZIP5</t>
  </si>
  <si>
    <t>SLC39A5</t>
  </si>
  <si>
    <t>SP:1-24;NC:25-211;TM:212-234;CY:235-244;TM:245-266;NC:267-285;TM:286-307;CY:308-444;TM:445-465;NC:466-475;TM:476-497;CY:498-508;TM:509-529;NC:530-540</t>
  </si>
  <si>
    <t>ENSG00000139540</t>
  </si>
  <si>
    <t>ENSP00000266980;ENSP00000405360</t>
  </si>
  <si>
    <t>50;92;160;334;395</t>
  </si>
  <si>
    <t>Cell membrane;Complete proteome;Glycoprotein;Ion transport;Membrane;Reference proteome;Signal;Transmembrane;Transmembrane helix;Transport;Zinc;Zinc transport</t>
  </si>
  <si>
    <t>UniRef100_Q6ZMH5;UniRef90_Q6ZMH5;UniRef50_Q9D856</t>
  </si>
  <si>
    <t>GLDN_HUMAN</t>
  </si>
  <si>
    <t>Gliomedin</t>
  </si>
  <si>
    <t>GLDN</t>
  </si>
  <si>
    <t>CY:1-18;TM:19-38;NC:39-551</t>
  </si>
  <si>
    <t>ENSG00000186417</t>
  </si>
  <si>
    <t>ENSP00000335196</t>
  </si>
  <si>
    <t>130;329;357;378;464</t>
  </si>
  <si>
    <t>Alternative splicing;Cell membrane;Collagen;Complete proteome;Developmental protein;Differentiation;Glycoprotein;Membrane;Neurogenesis;Polymorphism;Reference proteome;Repeat;Signal-anchor;Transmembrane;Transmembrane helix</t>
  </si>
  <si>
    <t>UniRef100_Q6ZMI3;UniRef90_Q6ZMI3;UniRef50_Q8BMF8</t>
  </si>
  <si>
    <t>SCAR5_HUMAN</t>
  </si>
  <si>
    <t>Scavenger receptor class A member 5</t>
  </si>
  <si>
    <t>SCARA5</t>
  </si>
  <si>
    <t>CY:1-60;TM:61-81;NC:82-495</t>
  </si>
  <si>
    <t>ENSG00000168079</t>
  </si>
  <si>
    <t>ENSP00000346990</t>
  </si>
  <si>
    <t>102;134;193;231;254;300;397</t>
  </si>
  <si>
    <t>VLVSN[115]ASEDTR</t>
  </si>
  <si>
    <t>Q6ZMJ2</t>
  </si>
  <si>
    <t>Alternative splicing;Cell membrane;Coiled coil;Complete proteome;Disulfide bond;Glycoprotein;Ion transport;Iron;Iron transport;Membrane;Polymorphism;Receptor;Reference proteome;Signal-anchor;Transmembrane;Transmembrane helix;Transport</t>
  </si>
  <si>
    <t>UniRef100_Q6ZMJ2;UniRef90_Q6ZMJ2;UniRef50_Q8K299</t>
  </si>
  <si>
    <t>UNC5A_HUMAN</t>
  </si>
  <si>
    <t>Netrin receptor UNC5A</t>
  </si>
  <si>
    <t>UNC5A</t>
  </si>
  <si>
    <t>SP:1-25;NC:26-303;TM:304-327;CY:328-842</t>
  </si>
  <si>
    <t>ENSG00000113763</t>
  </si>
  <si>
    <t>ENSP00000332737</t>
  </si>
  <si>
    <t>107;218;287;441;682;725;816</t>
  </si>
  <si>
    <t>8;19;81;123;129;183;245;248;251;261;531;544;664;681;709;711;777;807</t>
  </si>
  <si>
    <t>LADTAN[115]YTCVAK</t>
  </si>
  <si>
    <t>Q6ZN44</t>
  </si>
  <si>
    <t>3D-structure;Alternative splicing;Apoptosis;Cell membrane;Complete proteome;Developmental protein;Disulfide bond;Glycoprotein;Immunoglobulin domain;Membrane;Phosphoprotein;Receptor;Reference proteome;Signal;Transmembrane;Transmembrane helix</t>
  </si>
  <si>
    <t>UniRef100_Q6ZN44;UniRef90_Q6ZN44;UniRef50_Q6ZN44</t>
  </si>
  <si>
    <t>FRRS1_HUMAN</t>
  </si>
  <si>
    <t>Ferric-chelate reductase 1</t>
  </si>
  <si>
    <t>FRRS1</t>
  </si>
  <si>
    <t>SP:1-20;NC:21-373;TM:374-395;CY:396-415;TM:416-435;NC:436-446;TM:447-466;CY:467-486;TM:487-506;NC:507-512;TM:513-531;CY:532-569;TM:570-589;NC:590-592</t>
  </si>
  <si>
    <t>ENSG00000156869</t>
  </si>
  <si>
    <t>138;308;321;479;578</t>
  </si>
  <si>
    <t>Alternative splicing;Complete proteome;Electron transport;Glycoprotein;Heme;Iron;Membrane;Metal-binding;Oxidoreductase;Reference proteome;Transmembrane;Transmembrane helix;Transport</t>
  </si>
  <si>
    <t>UniRef100_Q6ZNA5;UniRef90_Q6ZNA5;UniRef50_Q8K385</t>
  </si>
  <si>
    <t>LAAT1_HUMAN</t>
  </si>
  <si>
    <t>Lysosomal amino acid transporter 1 homolog</t>
  </si>
  <si>
    <t>PQLC2</t>
  </si>
  <si>
    <t>NC:1-38;TM:39-58;CY:59-69;TM:70-91;NC:92-100;TM:101-119;CY:120-130;TM:131-157;NC:158-176;TM:177-197;CY:198-216;TM:217-235;NC:236-254;TM:255-276;CY:277-291</t>
  </si>
  <si>
    <t>ENSG00000040487</t>
  </si>
  <si>
    <t>ENSP00000364295;ENSP00000364297</t>
  </si>
  <si>
    <t>Alternative splicing;Amino-acid transport;Complete proteome;Glycoprotein;Lysosome;Membrane;Polymorphism;Reference proteome;Repeat;Transmembrane;Transmembrane helix;Transport</t>
  </si>
  <si>
    <t>UniRef100_Q6ZP29;UniRef90_Q6ZP29;UniRef50_Q6ZP29</t>
  </si>
  <si>
    <t>TM182_HUMAN</t>
  </si>
  <si>
    <t>Transmembrane protein 182</t>
  </si>
  <si>
    <t>TMEM182</t>
  </si>
  <si>
    <t>SP:1-26;NC:27-114;TM:115-141;CY:142-152;TM:153-175;NC:176-196;TM:197-222;CY:223-229</t>
  </si>
  <si>
    <t>ENSG00000170417</t>
  </si>
  <si>
    <t>ENSP00000394178</t>
  </si>
  <si>
    <t>47;68;85;102</t>
  </si>
  <si>
    <t>57;73</t>
  </si>
  <si>
    <t>UniRef100_Q6ZP80;UniRef90_Q6ZP80;UniRef50_Q6ZP80</t>
  </si>
  <si>
    <t>SO4C1_HUMAN</t>
  </si>
  <si>
    <t>Solute carrier organic anion transporter family member 4C1</t>
  </si>
  <si>
    <t>SLCO4C1</t>
  </si>
  <si>
    <t>CY:1-107;TM:108-130;NC:131-142;TM:143-165;CY:166-173;TM:174-195;NC:196-228;TM:229-250;CY:251-270;TM:271-293;NC:294-312;TM:313-333;CY:334-381;TM:382-404;NC:405-418;TM:419-444;CY:445-455;TM:456-474;NC:475-576;TM:577-603;CY:604-613;TM:614-636;NC:637-666;TM:667-690;CY:691-724</t>
  </si>
  <si>
    <t>ENSG00000173930</t>
  </si>
  <si>
    <t>ENSP00000309741</t>
  </si>
  <si>
    <t>69;127;214;489;506;544</t>
  </si>
  <si>
    <t>VYYN[115]CSCIER</t>
  </si>
  <si>
    <t>Q6ZQN7</t>
  </si>
  <si>
    <t>Cell membrane;Complete proteome;Developmental protein;Differentiation;Disulfide bond;Ion transport;Membrane;Reference proteome;Spermatogenesis;Transmembrane;Transmembrane helix;Transport</t>
  </si>
  <si>
    <t>UniRef100_Q6ZQN7;UniRef90_Q6ZQN7;UniRef50_Q6ZQN7</t>
  </si>
  <si>
    <t>CTSRG_HUMAN</t>
  </si>
  <si>
    <t>Cation channel sperm-associated protein subunit gamma</t>
  </si>
  <si>
    <t>CATSPERG</t>
  </si>
  <si>
    <t>SP:1-37;NC:38-1066;TM:1067-1092;CY:1093-1159</t>
  </si>
  <si>
    <t>ENSG00000099338</t>
  </si>
  <si>
    <t>ENSP00000386962</t>
  </si>
  <si>
    <t>102;355;426;574</t>
  </si>
  <si>
    <t>33;709</t>
  </si>
  <si>
    <t>Complete proteome;Developmental protein;Differentiation;Glycoprotein;Membrane;Polymorphism;Reference proteome;Signal;Spermatogenesis;Transmembrane;Transmembrane helix</t>
  </si>
  <si>
    <t>UniRef100_Q6ZRH7;UniRef90_Q6ZRH7;UniRef50_Q6ZRH7</t>
  </si>
  <si>
    <t>QSOX2_HUMAN</t>
  </si>
  <si>
    <t>Sulfhydryl oxidase 2</t>
  </si>
  <si>
    <t>QSOX2</t>
  </si>
  <si>
    <t>SP:1-21;NC:22-659;TM:660-682;CY:683-698</t>
  </si>
  <si>
    <t>ENSG00000165661</t>
  </si>
  <si>
    <t>ENSP00000351536</t>
  </si>
  <si>
    <t>77;178;218;266</t>
  </si>
  <si>
    <t>QTMIDFLQN[115]HTEGSRPPACPR;LGVSSVPSCYLIYPN[115]GSHGLINVVK;LGVSSVPSCYLIYPN[115]GSHGLINVVKPLR</t>
  </si>
  <si>
    <t>178;266</t>
  </si>
  <si>
    <t>Q6ZRP7</t>
  </si>
  <si>
    <t>Cell membrane (Single-pass membrane protein);Membrane (Single-pass membrane protein);Nucleus membrane (Single-pass membrane protein);Secreted</t>
  </si>
  <si>
    <t>Cell membrane;Complete proteome;Disulfide bond;FAD;Flavoprotein;Glycoprotein;Membrane;Nucleus;Oxidoreductase;Phosphoprotein;Polymorphism;Reference proteome;Secreted;Signal;Transmembrane;Transmembrane helix</t>
  </si>
  <si>
    <t>UniRef100_Q6ZRP7;UniRef90_Q6ZRP7;UniRef50_Q6ZRP7</t>
  </si>
  <si>
    <t>Extracellular space;Nucleus;Plasma membrane</t>
  </si>
  <si>
    <t>CL17A_HUMAN</t>
  </si>
  <si>
    <t>C-type lectin domain family 17, member A</t>
  </si>
  <si>
    <t>CLEC17A</t>
  </si>
  <si>
    <t>CY:1-169;TM:170-193;NC:194-378</t>
  </si>
  <si>
    <t>ENSG00000187912</t>
  </si>
  <si>
    <t>ENSP00000393719</t>
  </si>
  <si>
    <t>28;54;80;118;215;237;285</t>
  </si>
  <si>
    <t>TN[115]MTGMAGLAGLK</t>
  </si>
  <si>
    <t>Q6ZS10</t>
  </si>
  <si>
    <t>Alternative splicing;Calcium;Complete proteome;Disulfide bond;Glycoprotein;Lectin;Mannose-binding;Membrane;Metal-binding;Receptor;Reference proteome;Signal-anchor;Transmembrane;Transmembrane helix</t>
  </si>
  <si>
    <t>UniRef100_Q6ZS10;UniRef90_Q6ZS10;UniRef50_Q6ZS10</t>
  </si>
  <si>
    <t>SHSA6_HUMAN</t>
  </si>
  <si>
    <t>Protein shisa-6 homolog</t>
  </si>
  <si>
    <t>SHISA6</t>
  </si>
  <si>
    <t>SP:1-25;NC:26-175;TM:176-198;CY:199-500</t>
  </si>
  <si>
    <t>ENSG00000188803</t>
  </si>
  <si>
    <t>ENSP00000387157</t>
  </si>
  <si>
    <t>32;59;111;175;452</t>
  </si>
  <si>
    <t>Alternative splicing;Complete proteome;Glycoprotein;Membrane;Phosphoprotein;Reference proteome;Signal;Transmembrane;Transmembrane helix</t>
  </si>
  <si>
    <t>UniRef100_Q6ZSJ9;UniRef90_Q6ZSJ9;UniRef50_Q6ZSJ9</t>
  </si>
  <si>
    <t>MOT12_HUMAN</t>
  </si>
  <si>
    <t>Monocarboxylate transporter 12</t>
  </si>
  <si>
    <t>SLC16A12</t>
  </si>
  <si>
    <t>NC:1-16;TM:17-43;CY:44-56;TM:57-79;NC:80-85;TM:86-105;CY:106-111;TM:112-133;NC:134-143;TM:144-168;CY:169-174;TM:175-195;NC:196-252;TM:253-276;CY:277-287;TM:288-306;NC:307-317;TM:318-337;CY:338-344;TM:345-367;NC:368-377;TM:378-398;CY:399-408;TM:409-432;NC:433-486</t>
  </si>
  <si>
    <t>ENSG00000152779</t>
  </si>
  <si>
    <t>ENSP00000343022</t>
  </si>
  <si>
    <t>303;457</t>
  </si>
  <si>
    <t>Cataract;Cell membrane;Complete proteome;Membrane;Polymorphism;Reference proteome;Symport;Transmembrane;Transmembrane helix;Transport</t>
  </si>
  <si>
    <t>UniRef100_Q6ZSM3;UniRef90_Q6ZSM3;UniRef50_Q6ZSM3</t>
  </si>
  <si>
    <t>MFSD6_HUMAN</t>
  </si>
  <si>
    <t>Major facilitator superfamily domain-containing protein 6</t>
  </si>
  <si>
    <t>MFSD6</t>
  </si>
  <si>
    <t>CY:1-72;TM:73-93;NC:94-104;TM:105-124;CY:125-132;TM:133-152;NC:153-285;TM:286-309;CY:310-328;TM:329-348;NC:349-367;TM:368-388;CY:389-448;TM:449-471;NC:472-477;TM:478-500;CY:501-511;TM:512-529;NC:530-540;TM:541-560;CY:561-579;TM:580-599;NC:600-604;TM:605-625;CY:626-791</t>
  </si>
  <si>
    <t>ENSG00000151690</t>
  </si>
  <si>
    <t>ENSP00000281416;ENSP00000376141</t>
  </si>
  <si>
    <t>38;171;182;207;243;414;415;476</t>
  </si>
  <si>
    <t>Acetylation;Complete proteome;Membrane;Phosphoprotein;Polymorphism;Reference proteome;Transmembrane;Transmembrane helix</t>
  </si>
  <si>
    <t>UniRef100_Q6ZSS7;UniRef90_Q6ZSS7;UniRef50_Q6ZSS7</t>
  </si>
  <si>
    <t>CDHR3_HUMAN</t>
  </si>
  <si>
    <t>Cadherin-related family member 3</t>
  </si>
  <si>
    <t>CDHR3</t>
  </si>
  <si>
    <t>SP:1-19;NC:20-709;TM:710-735;CY:736-885</t>
  </si>
  <si>
    <t>ENSG00000128536</t>
  </si>
  <si>
    <t>ENSP00000325954</t>
  </si>
  <si>
    <t>186;257;384;624</t>
  </si>
  <si>
    <t>Alternative splicing;Calcium;Cell adhesion;Cell membrane;Complete proteome;Glycoprotein;Membrane;Polymorphism;Reference proteome;Repeat;Signal;Transmembrane;Transmembrane helix</t>
  </si>
  <si>
    <t>UniRef100_Q6ZTQ4;UniRef90_Q6ZTQ4;UniRef50_Q6ZTQ4</t>
  </si>
  <si>
    <t>TMM26_HUMAN</t>
  </si>
  <si>
    <t>Transmembrane protein 26</t>
  </si>
  <si>
    <t>TMEM26</t>
  </si>
  <si>
    <t>SP:1-26;NC:27-35;TM:36-54;CY:55-63;TM:64-83;NC:84-142;TM:143-163;CY:164-205;TM:206-224;NC:225-243;TM:244-263;CY:264-269;TM:270-290;NC:291-295;TM:296-315;CY:316-368</t>
  </si>
  <si>
    <t>ENSG00000196932</t>
  </si>
  <si>
    <t>ENSP00000382237;ENSP00000425286</t>
  </si>
  <si>
    <t>102;110;135;344</t>
  </si>
  <si>
    <t>SIQAEGTSQN[115]TSR;IQAEGTSQN[115]TSR;KEDFN[115]QTLTSNE;KEDFN[115]QTLTSNEQTS;KEDFN[115]QTLTSNEQTSR;KEDFN[115]QTLTSN[115]EQTSR;EDFN[115]QTLTSNEQTSR</t>
  </si>
  <si>
    <t>102;110</t>
  </si>
  <si>
    <t>Q6ZUK4</t>
  </si>
  <si>
    <t>UniRef100_Q6ZUK4;UniRef90_Q6ZUK4;UniRef50_Q6ZUK4</t>
  </si>
  <si>
    <t>K154L_HUMAN</t>
  </si>
  <si>
    <t>UPF0606 protein KIAA1549L</t>
  </si>
  <si>
    <t>KIAA1549L</t>
  </si>
  <si>
    <t>NC:1-1179;TM:1180-1204;CY:1205-1849</t>
  </si>
  <si>
    <t>ENSG00000110427</t>
  </si>
  <si>
    <t>ENSP00000315295</t>
  </si>
  <si>
    <t>145;279;511;579;585;687;879;909;984;994;1007;1013;1076;1293;1299;1344;1703;1820</t>
  </si>
  <si>
    <t>105;311;665</t>
  </si>
  <si>
    <t>Alternative splicing;Coiled coil;Complete proteome;Membrane;Reference proteome;Transmembrane;Transmembrane helix</t>
  </si>
  <si>
    <t>UniRef100_Q6ZVL6;UniRef90_Q6ZVL6;UniRef50_Q6ZVL6</t>
  </si>
  <si>
    <t>RGMC_HUMAN</t>
  </si>
  <si>
    <t>Hemojuvelin</t>
  </si>
  <si>
    <t>HFE2</t>
  </si>
  <si>
    <t>SP:1-35;NC:36-426</t>
  </si>
  <si>
    <t>ENSG00000168509</t>
  </si>
  <si>
    <t>ENSP00000337014</t>
  </si>
  <si>
    <t>118;213;372</t>
  </si>
  <si>
    <t>Alternative splicing;Autocatalytic cleavage;Cell membrane;Complete proteome;Disease mutation;Disulfide bond;Glycoprotein;GPI-anchor;Lipoprotein;Membrane;Polymorphism;Reference proteome;Signal</t>
  </si>
  <si>
    <t>UniRef100_Q6ZVN8;UniRef90_Q6ZVN8;UniRef50_Q6ZVN8</t>
  </si>
  <si>
    <t>PTHD4_HUMAN</t>
  </si>
  <si>
    <t>Patched domain-containing protein 4</t>
  </si>
  <si>
    <t>PTCHD4</t>
  </si>
  <si>
    <t>CY:1-42;TM:43-61;NC:62-230;TM:231-251;CY:252-262;TM:263-285;NC:286-295;TM:296-316;CY:317-335;TM:336-355;NC:356-374;TM:375-394;CY:395-636;TM:637-655;NC:656-660;TM:661-680;CY:681-685;TM:686-707;NC:708-712;TM:713-738;CY:739-758;TM:759-776;NC:777-787;TM:788-811;CY:812-846</t>
  </si>
  <si>
    <t>ENSG00000244694</t>
  </si>
  <si>
    <t>ENSP00000341914</t>
  </si>
  <si>
    <t>291;514;531;562;567;762;779</t>
  </si>
  <si>
    <t>UniRef100_Q6ZW05;UniRef90_Q6ZW05;UniRef50_Q6ZW05</t>
  </si>
  <si>
    <t>5HT3D_HUMAN</t>
  </si>
  <si>
    <t>5-hydroxytryptamine receptor 3D</t>
  </si>
  <si>
    <t>HTR3D</t>
  </si>
  <si>
    <t>SP:1-24;NC:25-232;TM:233-254;CY:255-264;TM:265-285;NC:286-305;TM:306-330;CY:331-431;TM:432-452;NC:453-454</t>
  </si>
  <si>
    <t>ENSG00000186090</t>
  </si>
  <si>
    <t>ENSP00000371929</t>
  </si>
  <si>
    <t>58;66;159</t>
  </si>
  <si>
    <t>Alternative splicing;Cell membrane;Complete proteome;Glycoprotein;Ion channel;Ion transport;Ligand-gated ion channel;Membrane;Polymorphism;Receptor;Reference proteome;Signal;Transmembrane;Transmembrane helix;Transport</t>
  </si>
  <si>
    <t>UniRef100_Q70Z44;UniRef90_Q70Z44;UniRef50_Q70Z44</t>
  </si>
  <si>
    <t>NCKX5_HUMAN</t>
  </si>
  <si>
    <t>Sodium/potassium/calcium exchanger 5</t>
  </si>
  <si>
    <t>SLC24A5</t>
  </si>
  <si>
    <t>SP:1-29;NC:30-68;TM:69-91;CY:92-111;TM:112-132;NC:133-137;TM:138-160;CY:161-171;TM:172-191;NC:192-196;TM:197-217;CY:218-305;TM:306-322;NC:323-333;TM:334-357;CY:358-368;TM:369-391;NC:392-402;TM:403-425;CY:426-437;TM:438-461;NC:462-466;TM:467-487;CY:488-500</t>
  </si>
  <si>
    <t>ENSG00000188467</t>
  </si>
  <si>
    <t>ENSP00000341550</t>
  </si>
  <si>
    <t>42;426;446</t>
  </si>
  <si>
    <t>Golgi apparatus, trans-Golgi network membrane (Multi-pass membrane protein);Melanosome</t>
  </si>
  <si>
    <t>Albinism;Alternative splicing;Antiport;Calcium;Calcium transport;Complete proteome;Golgi apparatus;Ion transport;Membrane;Polymorphism;Potassium;Potassium transport;Reference proteome;Sensory transduction;Signal;Sodium;Sodium transport;Symport;Transmembrane;Transmembrane helix;Transport</t>
  </si>
  <si>
    <t>UniRef100_Q71RS6;UniRef90_Q71RS6;UniRef50_Q71RS6</t>
  </si>
  <si>
    <t>PGAP1_HUMAN</t>
  </si>
  <si>
    <t>GPI inositol-deacylase</t>
  </si>
  <si>
    <t>PGAP1</t>
  </si>
  <si>
    <t>CY:1-11;TM:12-32;NC:33-637;TM:638-655;CY:656-666;TM:667-690;NC:691-733;TM:734-759;CY:760-818;TM:819-838;NC:839-853;TM:854-873;CY:874-889;TM:890-915;NC:916-922</t>
  </si>
  <si>
    <t>ENSG00000197121</t>
  </si>
  <si>
    <t>ENSP00000346809</t>
  </si>
  <si>
    <t>234;363;402;558</t>
  </si>
  <si>
    <t>HIN[115]LTTLSVAGGFR;LHIAQPEN[115]NTHVALFK</t>
  </si>
  <si>
    <t>234;558</t>
  </si>
  <si>
    <t>Q75T13</t>
  </si>
  <si>
    <t>Alternative splicing;Complete proteome;Disease mutation;Endoplasmic reticulum;Glycoprotein;Hydrolase;Membrane;Mental retardation;Protein transport;Reference proteome;Transmembrane;Transmembrane helix;Transport</t>
  </si>
  <si>
    <t>UniRef100_Q75T13;UniRef90_Q75T13;UniRef50_Q75T13</t>
  </si>
  <si>
    <t>ANO5_HUMAN</t>
  </si>
  <si>
    <t>Anoctamin-5</t>
  </si>
  <si>
    <t>ANO5</t>
  </si>
  <si>
    <t>CY:1-300;TM:301-324;NC:325-382;TM:383-401;CY:402-457;TM:458-485;NC:486-511;TM:512-533;CY:534-555;TM:556-578;NC:579-678;TM:679-701;CY:702-732;TM:733-753;NC:754-830;TM:831-854;CY:855-913</t>
  </si>
  <si>
    <t>ENSG00000171714</t>
  </si>
  <si>
    <t>ENSP00000315371</t>
  </si>
  <si>
    <t>335;366;380;768;778;791</t>
  </si>
  <si>
    <t>LN[115]STCLASK</t>
  </si>
  <si>
    <t>Q75V66</t>
  </si>
  <si>
    <t>Cell membrane;Complete proteome;Disease mutation;Endoplasmic reticulum;Glycoprotein;Limb-girdle muscular dystrophy;Membrane;Osteogenesis imperfecta;Polymorphism;Reference proteome;Transmembrane;Transmembrane helix</t>
  </si>
  <si>
    <t>UniRef100_Q75V66;UniRef90_Q75V66;UniRef50_Q75V66</t>
  </si>
  <si>
    <t>BT2A1_HUMAN</t>
  </si>
  <si>
    <t>Butyrophilin subfamily 2 member A1</t>
  </si>
  <si>
    <t>BTN2A1</t>
  </si>
  <si>
    <t>SP:1-28;NC:29-248;TM:249-269;CY:270-527</t>
  </si>
  <si>
    <t>ENSG00000112763</t>
  </si>
  <si>
    <t>46;114;120;216;222</t>
  </si>
  <si>
    <t>46;114;120;222</t>
  </si>
  <si>
    <t>GPTDPILATVGEN[115]TTLR;TDPILATVGEN[115]TTLR;PILATVGEN[115]TTLR;GSVALVIHN[115]ITAQEN[115]GTYR;LVIHN[115]ITAQEN[115]GTYR;N[115]ITAQEN[115]GTYR;N[115]MSCSIN[115]NTLLGQK;SCSIN[115]NTLLGQK</t>
  </si>
  <si>
    <t>Q7KYR7</t>
  </si>
  <si>
    <t>UniRef100_Q7KYR7;UniRef90_Q7KYR7;UniRef50_A4QPC6</t>
  </si>
  <si>
    <t>SV2A_HUMAN</t>
  </si>
  <si>
    <t>Synaptic vesicle glycoprotein 2A</t>
  </si>
  <si>
    <t>SV2A</t>
  </si>
  <si>
    <t>CY:1-165;TM:166-190;NC:191-204;TM:205-225;CY:226-233;TM:234-254;NC:255-262;TM:263-281;CY:282-292;TM:293-315;NC:316-333;TM:334-352;CY:353-445;TM:446-468;NC:469-594;TM:595-618;CY:619-624;TM:625-644;NC:645-649;TM:650-673;CY:674-684;TM:685-707;NC:708-712;TM:713-733;CY:734-742</t>
  </si>
  <si>
    <t>ENSG00000159164</t>
  </si>
  <si>
    <t>ENSP00000358142</t>
  </si>
  <si>
    <t>498;548;573</t>
  </si>
  <si>
    <t>VEHVTFN[115]FTLEN;VEHVTFN[115]FTLENQIHR;LIN[115]STFLH;LIN[115]STFLHN;LIN[115]STFLHNK;N[115]STFLHNK</t>
  </si>
  <si>
    <t>498;573</t>
  </si>
  <si>
    <t>Q7L0J3</t>
  </si>
  <si>
    <t>Cell junction, synapse;Cytoplasmic vesicle, secretory vesicle, synaptic vesicle membrane (Multi-pass membrane protein)</t>
  </si>
  <si>
    <t>Alternative splicing;Cell junction;Complete proteome;Cytoplasmic vesicle;Glycoprotein;Membrane;Neurotransmitter transport;Phosphoprotein;Reference proteome;Synapse;Transmembrane;Transmembrane helix;Transport</t>
  </si>
  <si>
    <t>UniRef100_Q7L0J3;UniRef90_Q9JIS5;UniRef50_Q9JIS5</t>
  </si>
  <si>
    <t>DB01202</t>
  </si>
  <si>
    <t>TRIL_HUMAN</t>
  </si>
  <si>
    <t>TLR4 interactor with leucine rich repeats</t>
  </si>
  <si>
    <t>TRIL</t>
  </si>
  <si>
    <t>SP:1-23;NC:24-696;TM:697-721;CY:722-811</t>
  </si>
  <si>
    <t>ENSG00000255690</t>
  </si>
  <si>
    <t>ENSP00000479256</t>
  </si>
  <si>
    <t>73;209;411;478;589</t>
  </si>
  <si>
    <t>422;531;533</t>
  </si>
  <si>
    <t>FLN[115]LSANELQPSLR</t>
  </si>
  <si>
    <t>Q7L0X0</t>
  </si>
  <si>
    <t>Complete proteome;Glycoprotein;Immunity;Inflammatory response;Innate immunity;Leucine-rich repeat;Membrane;Polymorphism;Reference proteome;Repeat;Signal;Transmembrane;Transmembrane helix</t>
  </si>
  <si>
    <t>UniRef100_Q7L0X0;UniRef90_Q7L0X0;UniRef50_Q7L0X0</t>
  </si>
  <si>
    <t>SV2B_HUMAN</t>
  </si>
  <si>
    <t>Synaptic vesicle glycoprotein 2B</t>
  </si>
  <si>
    <t>SV2B</t>
  </si>
  <si>
    <t>CY:1-108;TM:109-132;NC:133-148;TM:149-169;CY:170-179;TM:180-200;NC:201-205;TM:206-224;CY:225-235;TM:236-258;NC:259-277;TM:278-297;CY:298-389;TM:390-411;NC:412-536;TM:537-559;CY:560-566;TM:567-586;NC:587-591;TM:592-614;CY:615-625;TM:626-648;NC:649-653;TM:654-674;CY:675-683</t>
  </si>
  <si>
    <t>ENSG00000185518</t>
  </si>
  <si>
    <t>ENSP00000332818;ENSP00000377779;ENSP00000450992</t>
  </si>
  <si>
    <t>23;185;441;491;516</t>
  </si>
  <si>
    <t>Cytoplasmic vesicle, secretory vesicle, acrosome;Cytoplasmic vesicle, secretory vesicle, synaptic vesicle membrane (Multi-pass membrane protein)</t>
  </si>
  <si>
    <t>UniRef100_Q7L1I2;UniRef90_Q8BG39;UniRef50_Q8BG39</t>
  </si>
  <si>
    <t>LIGO2_HUMAN</t>
  </si>
  <si>
    <t>Leucine-rich repeat and immunoglobulin-like domain-containing nogo receptor-interacting protein 2</t>
  </si>
  <si>
    <t>LINGO2</t>
  </si>
  <si>
    <t>SP:1-32;NC:33-540;TM:541-566;CY:567-606</t>
  </si>
  <si>
    <t>ENSG00000174482</t>
  </si>
  <si>
    <t>ENSP00000310126;ENSP00000369328;ENSP00000479634</t>
  </si>
  <si>
    <t>38;130;188;250;260;279;327;491;512;522;527</t>
  </si>
  <si>
    <t>UniRef100_Q7L985;UniRef90_Q7L985;UniRef50_Q96FE5</t>
  </si>
  <si>
    <t>S26A9_HUMAN</t>
  </si>
  <si>
    <t>Solute carrier family 26 member 9</t>
  </si>
  <si>
    <t>SLC26A9</t>
  </si>
  <si>
    <t>CY:1-45;TM:46-63;NC:64-90;TM:91-117;CY:118-123;TM:124-143;NC:144-173;TM:174-199;CY:200-207;TM:208-230;NC:231-250;TM:251-269;CY:270-333;TM:334-355;NC:356-375;TM:376-397;CY:398-405;TM:406-427;NC:428-465;TM:466-495;CY:496-791</t>
  </si>
  <si>
    <t>ENSG00000174502</t>
  </si>
  <si>
    <t>ENSP00000356103</t>
  </si>
  <si>
    <t>153;156;613;618</t>
  </si>
  <si>
    <t>UniRef100_Q7LBE3;UniRef90_Q7LBE3;UniRef50_Q7LBE3</t>
  </si>
  <si>
    <t>OTOP1_HUMAN</t>
  </si>
  <si>
    <t>Otopetrin-1</t>
  </si>
  <si>
    <t>OTOP1</t>
  </si>
  <si>
    <t>CY:1-64;TM:65-86;NC:87-91;TM:92-111;CY:112-131;TM:132-156;NC:157-167;TM:168-185;CY:186-196;TM:197-217;NC:218-267;TM:268-289;CY:290-309;TM:310-335;NC:336-347;TM:348-372;CY:373-392;TM:393-413;NC:414-424;TM:425-444;CY:445-541;TM:542-563;NC:564-575;TM:576-597;CY:598-612</t>
  </si>
  <si>
    <t>ENSG00000163982</t>
  </si>
  <si>
    <t>ENSP00000296358</t>
  </si>
  <si>
    <t>220;240;253;554</t>
  </si>
  <si>
    <t>Membrane (Multi-pass membrane protein);Secreted, extracellular space</t>
  </si>
  <si>
    <t>Biomineralization;Complete proteome;Membrane;Polymorphism;Reference proteome;Secreted;Transmembrane;Transmembrane helix</t>
  </si>
  <si>
    <t>UniRef100_Q7RTM1;UniRef90_Q7RTM1;UniRef50_Q80VM9</t>
  </si>
  <si>
    <t>OTOP2_HUMAN</t>
  </si>
  <si>
    <t>Otopetrin-2</t>
  </si>
  <si>
    <t>OTOP2</t>
  </si>
  <si>
    <t>CY:1-29;TM:30-51;NC:52-61;TM:62-81;CY:82-100;TM:101-120;NC:121-136;TM:137-156;CY:157-167;TM:168-188;NC:189-240;TM:241-262;CY:263-288;TM:289-310;NC:311-325;TM:326-349;CY:350-369;TM:370-392;NC:393-397;TM:398-417;CY:418-495;TM:496-515;NC:516-526;TM:527-547;CY:548-562</t>
  </si>
  <si>
    <t>ENSG00000183034</t>
  </si>
  <si>
    <t>ENSP00000332528;ENSP00000463837</t>
  </si>
  <si>
    <t>205;403</t>
  </si>
  <si>
    <t>UniRef100_Q7RTS6;UniRef90_Q7RTS6;UniRef50_Q7RTS6</t>
  </si>
  <si>
    <t>S29A4_HUMAN</t>
  </si>
  <si>
    <t>Equilibrative nucleoside transporter 4</t>
  </si>
  <si>
    <t>SLC29A4</t>
  </si>
  <si>
    <t>NC:1-67;TM:68-88;CY:89-103;TM:104-126;NC:127-137;TM:138-158;CY:159-165;TM:166-188;NC:189-230;TM:231-252;CY:253-350;TM:351-374;NC:375-385;TM:386-406;CY:407-416;TM:417-439;NC:440-450;TM:451-470;CY:471-483;TM:484-507;NC:508-530</t>
  </si>
  <si>
    <t>ENSG00000164638</t>
  </si>
  <si>
    <t>ENSP00000297195;ENSP00000380081</t>
  </si>
  <si>
    <t>304;396;523</t>
  </si>
  <si>
    <t>DAHGSCLHASTAN[115]GSILAGL</t>
  </si>
  <si>
    <t>Q7RTT9</t>
  </si>
  <si>
    <t>Apical cell membrane (Multi-pass membrane protein);Cell membrane (Multi-pass membrane protein)</t>
  </si>
  <si>
    <t>UniRef100_Q7RTT9;UniRef90_Q7RTT9;UniRef50_Q7RTT9</t>
  </si>
  <si>
    <t>OTOAN_HUMAN</t>
  </si>
  <si>
    <t>Otoancorin</t>
  </si>
  <si>
    <t>OTOA</t>
  </si>
  <si>
    <t>SP:1-22;NC:23-1153</t>
  </si>
  <si>
    <t>ENSG00000155719</t>
  </si>
  <si>
    <t>ENSP00000286149</t>
  </si>
  <si>
    <t>156;211;244;289;321;394;398;460;544;812;911;974</t>
  </si>
  <si>
    <t>622;1136</t>
  </si>
  <si>
    <t>Apical cell membrane (Lipid- anchor, GPI-anchor|Extracellular side;Secreted, extracellular space, extracellular matrix</t>
  </si>
  <si>
    <t>Alternative splicing;Cell membrane;Complete proteome;Deafness;Extracellular matrix;Glycoprotein;GPI-anchor;Hearing;Lipoprotein;Membrane;Non-syndromic deafness;Reference proteome;Secreted;Signal</t>
  </si>
  <si>
    <t>UniRef100_Q7RTW8;UniRef90_Q7RTW8;UniRef50_Q7RTW8</t>
  </si>
  <si>
    <t>TS1R3_HUMAN</t>
  </si>
  <si>
    <t>Taste receptor type 1 member 3</t>
  </si>
  <si>
    <t>TAS1R3</t>
  </si>
  <si>
    <t>SP:1-20;NC:21-567;TM:568-591;CY:592-602;TM:603-624;NC:625-639;TM:640-660;CY:661-679;TM:680-701;NC:702-728;TM:729-751;CY:752-762;TM:763-783;NC:784-790;TM:791-811;CY:812-852</t>
  </si>
  <si>
    <t>ENSG00000169962</t>
  </si>
  <si>
    <t>ENSP00000344411</t>
  </si>
  <si>
    <t>85;130;264;285;380;411;432;475;737</t>
  </si>
  <si>
    <t>Cell membrane;Complete proteome;G-protein coupled receptor;Glycoprotein;Membrane;Polymorphism;Receptor;Reference proteome;Sensory transduction;Signal;Taste;Transducer;Transmembrane;Transmembrane helix</t>
  </si>
  <si>
    <t>UniRef100_Q7RTX0;UniRef90_Q7RTX0;UniRef50_Q7RTX0</t>
  </si>
  <si>
    <t>TS1R1_HUMAN</t>
  </si>
  <si>
    <t>Taste receptor type 1 member 1</t>
  </si>
  <si>
    <t>TAS1R1</t>
  </si>
  <si>
    <t>SP:1-20;NC:21-567;TM:568-592;CY:593-603;TM:604-623;NC:624-635;TM:636-660;CY:661-679;TM:680-702;NC:703-725;TM:726-749;CY:750-760;TM:761-782;NC:783-790;TM:791-810;CY:811-841</t>
  </si>
  <si>
    <t>ENSG00000173662</t>
  </si>
  <si>
    <t>ENSP00000331867</t>
  </si>
  <si>
    <t>87;88;95;291;479;529;822</t>
  </si>
  <si>
    <t>Alternative splicing;Cell membrane;Complete proteome;G-protein coupled receptor;Glycoprotein;Membrane;Polymorphism;Receptor;Reference proteome;Sensory transduction;Signal;Taste;Transducer;Transmembrane;Transmembrane helix</t>
  </si>
  <si>
    <t>UniRef100_Q7RTX1;UniRef90_Q7RTX1;UniRef50_Q7RTX1</t>
  </si>
  <si>
    <t>PRS41_HUMAN</t>
  </si>
  <si>
    <t>Putative serine protease 41</t>
  </si>
  <si>
    <t>PRSS41</t>
  </si>
  <si>
    <t>SP:1-19;NC:20-318</t>
  </si>
  <si>
    <t>211;284</t>
  </si>
  <si>
    <t>211;284;304</t>
  </si>
  <si>
    <t>Cell membrane;Complete proteome;Disulfide bond;Glycoprotein;GPI-anchor;Hydrolase;Lipoprotein;Membrane;Polymorphism;Protease;Reference proteome;Serine protease;Signal</t>
  </si>
  <si>
    <t>UniRef100_Q7RTY9;UniRef90_Q7RTY9;UniRef50_Q9Y6M0</t>
  </si>
  <si>
    <t>LPPR4_HUMAN</t>
  </si>
  <si>
    <t>Lipid phosphate phosphatase-related protein type 4</t>
  </si>
  <si>
    <t>LPPR4</t>
  </si>
  <si>
    <t>CY:1-63;TM:64-88;NC:89-119;TM:120-146;CY:147-252;TM:253-271;NC:272-276;TM:277-296;CY:297-307;TM:308-328;NC:329-763</t>
  </si>
  <si>
    <t>214;219;268;362;432;455;513;543;568</t>
  </si>
  <si>
    <t>UniRef100_Q7Z2D5;UniRef90_Q7Z2D5;UniRef50_Q7Z2D5</t>
  </si>
  <si>
    <t>S36A1_HUMAN</t>
  </si>
  <si>
    <t>Proton-coupled amino acid transporter 1</t>
  </si>
  <si>
    <t>SLC36A1</t>
  </si>
  <si>
    <t>CY:1-48;TM:49-71;NC:72-77;TM:78-99;CY:100-141;TM:142-162;NC:163-193;TM:194-211;CY:212-217;TM:218-239;NC:240-258;TM:259-278;CY:279-289;TM:290-313;NC:314-337;TM:338-363;CY:364-372;TM:373-393;NC:394-398;TM:399-419;CY:420-437;TM:438-456;NC:457-476</t>
  </si>
  <si>
    <t>ENSG00000123643</t>
  </si>
  <si>
    <t>ENSP00000243389;ENSP00000428140</t>
  </si>
  <si>
    <t>31;45;110;174;183;225;470</t>
  </si>
  <si>
    <t>Cell membrane (Multi-pass membrane protein);Lysosome membrane (Multi-pass membrane protein)</t>
  </si>
  <si>
    <t>Alternative splicing;Amino-acid transport;Cell membrane;Complete proteome;Disulfide bond;Glycoprotein;Lysosome;Membrane;Polymorphism;Reference proteome;Symport;Transmembrane;Transmembrane helix;Transport</t>
  </si>
  <si>
    <t>UniRef100_Q7Z2H8;UniRef90_Q7Z2H8;UniRef50_Q495M3</t>
  </si>
  <si>
    <t>Cytoskeleton;Cytosol;Endosome;Extracellular space;Golgi apparatus;Mitochondrion;Nucleus;Peroxisome</t>
  </si>
  <si>
    <t>DB00145;DB00160</t>
  </si>
  <si>
    <t>ERMP1_HUMAN</t>
  </si>
  <si>
    <t>Endoplasmic reticulum metallopeptidase 1</t>
  </si>
  <si>
    <t>ERMP1</t>
  </si>
  <si>
    <t>CY:1-70;TM:71-88;NC:89-399;TM:400-424;CY:425-453;TM:454-478;NC:479-487;TM:488-510;CY:511-521;TM:522-540;NC:541-545;TM:546-566;CY:567-580;TM:581-602;NC:603-621;TM:622-644;CY:645-651;TM:652-674;NC:675-904</t>
  </si>
  <si>
    <t>ENSG00000099219</t>
  </si>
  <si>
    <t>ENSP00000340427;ENSP00000417160;ENSP00000432986</t>
  </si>
  <si>
    <t>182;517;730;819</t>
  </si>
  <si>
    <t>IPEIN[115]DSIR</t>
  </si>
  <si>
    <t>Q7Z2K6</t>
  </si>
  <si>
    <t>Acetylation;Alternative splicing;Complete proteome;Disulfide bond;Endoplasmic reticulum;Glycoprotein;Hydrolase;Membrane;Metal-binding;Metalloprotease;Polymorphism;Protease;Reference proteome;Transmembrane;Transmembrane helix;Zinc</t>
  </si>
  <si>
    <t>UniRef100_Q7Z2K6;UniRef90_Q7Z2K6;UniRef50_Q7Z2K6</t>
  </si>
  <si>
    <t>NEGR1_HUMAN</t>
  </si>
  <si>
    <t>Neuronal growth regulator 1</t>
  </si>
  <si>
    <t>NEGR1</t>
  </si>
  <si>
    <t>SP:1-33;NC:34-354</t>
  </si>
  <si>
    <t>ENSG00000172260</t>
  </si>
  <si>
    <t>ENSP00000350364</t>
  </si>
  <si>
    <t>73;155;275;286;294;307</t>
  </si>
  <si>
    <t>IYDISNDMTVNEGTN[115]VTLTCLATGKPEPSISWR;LFNGQQGIIIQN[115]FSTR;LFN[115]GQQGIIIQN[115]FSTR;FNGQQGIIIQN[115]FSTR;FN[115]GQQGIIIQN[115]FSTR;GQQGIIIQN[115]FSTR;SILTVTN[115]VTQEHFGN[115]YTCVAANK;SILTVTN[115]VTQEHFGN[115]YTCVAAN[115]K</t>
  </si>
  <si>
    <t>155;275;286;294</t>
  </si>
  <si>
    <t>Q7Z3B1</t>
  </si>
  <si>
    <t>Alternative splicing;Cell adhesion;Cell membrane;Complete proteome;Disulfide bond;Glycoprotein;GPI-anchor;Immunoglobulin domain;Lipoprotein;Membrane;Phosphoprotein;Reference proteome;Repeat;Signal</t>
  </si>
  <si>
    <t>UniRef100_Q7Z3B1;UniRef90_Q7Z3B1;UniRef50_Q80Z24</t>
  </si>
  <si>
    <t>ATG9A_HUMAN</t>
  </si>
  <si>
    <t>Autophagy-related protein 9A</t>
  </si>
  <si>
    <t>ATG9A</t>
  </si>
  <si>
    <t>CY:1-69;TM:70-92;NC:93-129;TM:130-148;CY:149-289;TM:290-314;NC:315-371;TM:372-394;CY:395-405;TM:406-425;NC:426-472;TM:473-494;CY:495-839</t>
  </si>
  <si>
    <t>ENSG00000198925</t>
  </si>
  <si>
    <t>ENSP00000355173;ENSP00000379983;ENSP00000386710</t>
  </si>
  <si>
    <t>99;129;224;507</t>
  </si>
  <si>
    <t>MVN[115]HSLHPTEPVK</t>
  </si>
  <si>
    <t>Q7Z3C6</t>
  </si>
  <si>
    <t>Cytoplasmic vesicle, autophagosome membrane (Multi-pass membrane protein);Endoplasmic reticulum membrane (Multi-pass membrane protein);Golgi apparatus, trans-Golgi network membrane (Multi-pass membrane protein);Late endosome membrane (Multi-pass membrane protein)</t>
  </si>
  <si>
    <t>Acetylation;Alternative splicing;Autophagy;Complete proteome;Cytoplasmic vesicle;Endoplasmic reticulum;Endosome;Glycoprotein;Golgi apparatus;Membrane;Phosphoprotein;Polymorphism;Protein transport;Reference proteome;Transmembrane;Transmembrane helix;Transport</t>
  </si>
  <si>
    <t>UniRef100_Q7Z3C6;UniRef90_Q7Z3C6;UniRef50_Q7Z3C6</t>
  </si>
  <si>
    <t>Cytoskeleton;Cytosol;Endoplasmic Reticulum;Extracellular space;Lysosome;Mitochondrion;Nucleus;Peroxisome;Plasma membrane</t>
  </si>
  <si>
    <t>LYSM3_HUMAN</t>
  </si>
  <si>
    <t>LysM and putative peptidoglycan-binding domain-containing protein 3</t>
  </si>
  <si>
    <t>LYSMD3</t>
  </si>
  <si>
    <t>NC:1-215;TM:216-239;CY:240-306</t>
  </si>
  <si>
    <t>ENSG00000176018</t>
  </si>
  <si>
    <t>ENSP00000314518</t>
  </si>
  <si>
    <t>7;26;148</t>
  </si>
  <si>
    <t>UniRef100_Q7Z3D4;UniRef90_Q7Z3D4;UniRef50_Q7Z3D4</t>
  </si>
  <si>
    <t>GP155_HUMAN</t>
  </si>
  <si>
    <t>Integral membrane protein GPR155</t>
  </si>
  <si>
    <t>GPR155</t>
  </si>
  <si>
    <t>NC:1-41;TM:42-60;CY:61-79;TM:80-97;NC:98-102;TM:103-124;CY:125-134;TM:135-154;NC:155-165;TM:166-188;CY:189-209;TM:210-232;NC:233-244;TM:245-264;CY:265-274;TM:275-293;NC:294-312;TM:313-334;CY:335-344;TM:345-366;NC:367-382;TM:383-403;CY:404-414;TM:415-434;NC:435-439;TM:440-461;CY:462-479;TM:480-501;NC:502-520;TM:521-541;CY:542-658;TM:659-680;NC:681-691;TM:692-713;CY:714-870</t>
  </si>
  <si>
    <t>ENSG00000163328</t>
  </si>
  <si>
    <t>ENSP00000295500;ENSP00000376334;ENSP00000376335</t>
  </si>
  <si>
    <t>9;15;29;94;198;309;381;543;612;672</t>
  </si>
  <si>
    <t>MNSNLPAEN[115]LTIAVN[115]MTK;MN[115]SNLPAENLTIAVN[115]MTK</t>
  </si>
  <si>
    <t>9;15</t>
  </si>
  <si>
    <t>Q7Z3F1</t>
  </si>
  <si>
    <t>UniRef100_Q7Z3F1;UniRef90_Q7Z3F1;UniRef50_Q7Z3F1</t>
  </si>
  <si>
    <t>S46A3_HUMAN</t>
  </si>
  <si>
    <t>Solute carrier family 46 member 3</t>
  </si>
  <si>
    <t>SLC46A3</t>
  </si>
  <si>
    <t>SP:1-20;NC:21-73;TM:74-94;CY:95-103;TM:104-126;NC:127-131;TM:132-155;CY:156-167;TM:168-191;NC:192-197;TM:198-218;CY:219-257;TM:258-284;NC:285-295;TM:296-318;CY:319-324;TM:325-344;NC:345-350;TM:351-372;CY:373-383;TM:384-406;NC:407-412;TM:413-436;CY:437-461</t>
  </si>
  <si>
    <t>ENSG00000139508</t>
  </si>
  <si>
    <t>ENSP00000266943</t>
  </si>
  <si>
    <t>SLC;MFS;SLC46</t>
  </si>
  <si>
    <t>38;46;53;143;229;251</t>
  </si>
  <si>
    <t>Alternative splicing;Complete proteome;Glycoprotein;Membrane;Reference proteome;Signal;Transmembrane;Transmembrane helix</t>
  </si>
  <si>
    <t>UniRef100_Q7Z3Q1;UniRef90_Q7Z3Q1;UniRef50_Q7Z3Q1</t>
  </si>
  <si>
    <t>OR2W3_HUMAN</t>
  </si>
  <si>
    <t>Olfactory receptor 2W3</t>
  </si>
  <si>
    <t>OR2W3</t>
  </si>
  <si>
    <t>NC:1-25;TM:26-48;CY:49-59;TM:60-79;NC:80-97;TM:98-120;CY:121-139;TM:140-158;NC:159-198;TM:199-221;CY:222-237;TM:238-260;NC:261-271;TM:272-292;CY:293-314</t>
  </si>
  <si>
    <t>ENSG00000238243</t>
  </si>
  <si>
    <t>ENSP00000353516</t>
  </si>
  <si>
    <t>5;42</t>
  </si>
  <si>
    <t>UniRef100_Q7Z3T1;UniRef90_Q7Z3T1;UniRef50_O95371</t>
  </si>
  <si>
    <t>TMC7_HUMAN</t>
  </si>
  <si>
    <t>Transmembrane channel-like protein 7</t>
  </si>
  <si>
    <t>TMC7</t>
  </si>
  <si>
    <t>NC:1-166;TM:167-191;CY:192-214;TM:215-235;NC:236-265;TM:266-284;CY:285-362;TM:363-384;NC:385-404;TM:405-426;CY:427-495;TM:496-514;NC:515-554;TM:555-578;CY:579-598;TM:599-620;NC:621-666;TM:667-688;CY:689-723</t>
  </si>
  <si>
    <t>ENSG00000170537</t>
  </si>
  <si>
    <t>ENSP00000304710</t>
  </si>
  <si>
    <t>24;84;96;198;259;319;638</t>
  </si>
  <si>
    <t>ACGPFTNFN[115]TTWEVIPK</t>
  </si>
  <si>
    <t>Q7Z402</t>
  </si>
  <si>
    <t>UniRef100_Q7Z402;UniRef90_Q7Z402;UniRef50_Q7Z402</t>
  </si>
  <si>
    <t>CSMD2_HUMAN</t>
  </si>
  <si>
    <t>CUB and sushi domain-containing protein 2</t>
  </si>
  <si>
    <t>CSMD2</t>
  </si>
  <si>
    <t>NC:1-3410;TM:3411-3432;CY:3433-3487</t>
  </si>
  <si>
    <t>ENSG00000121904</t>
  </si>
  <si>
    <t>ENSP00000241312;ENSP00000362486</t>
  </si>
  <si>
    <t>Unknown_function;CSMD</t>
  </si>
  <si>
    <t>25;34;51;581;680;949;983;1009;1028;1158;1178;1194;1393;1566;1638;1786;1799;1876;2012;2098;2185;2190;2223;2394;2430;2731;2809;2878;2937;2971;3001;3055;3143;3175;3307;3407</t>
  </si>
  <si>
    <t>Alternative splicing;Cell membrane;Complete proteome;Direct protein sequencing;Disulfide bond;Glycoprotein;Membrane;Polymorphism;Reference proteome;Repeat;Sushi;Transmembrane;Transmembrane helix</t>
  </si>
  <si>
    <t>UniRef100_Q7Z408;UniRef90_Q7Z408;UniRef50_Q96PZ7-2</t>
  </si>
  <si>
    <t>KCNKI_HUMAN</t>
  </si>
  <si>
    <t>Potassium channel subfamily K member 18</t>
  </si>
  <si>
    <t>KCNK18</t>
  </si>
  <si>
    <t>CY:1-23;TM:24-44;NC:45-102;IM:103-129;TM:130-148;CY:149-280;TM:281-301;NC:302-313;IM:314-328;NC:329-334;TM:335-355;CY:356-384</t>
  </si>
  <si>
    <t>ENSG00000186795</t>
  </si>
  <si>
    <t>ENSP00000334650</t>
  </si>
  <si>
    <t>70;96</t>
  </si>
  <si>
    <t>Cell membrane;Complete proteome;Glycoprotein;Ion channel;Ion transport;Membrane;Phosphoprotein;Polymorphism;Potassium;Potassium channel;Potassium transport;Reference proteome;Transmembrane;Transmembrane helix;Transport</t>
  </si>
  <si>
    <t>UniRef100_Q7Z418;UniRef90_Q7Z418;UniRef50_Q7Z418</t>
  </si>
  <si>
    <t>PK1L2_HUMAN</t>
  </si>
  <si>
    <t>Polycystic kidney disease protein 1-like 2</t>
  </si>
  <si>
    <t>PKD1L2</t>
  </si>
  <si>
    <t>SP:1-17;NC:18-1345;TM:1346-1365;CY:1366-1552;TM:1553-1574;NC:1575-1593;TM:1594-1615;CY:1616-1818;TM:1819-1843;NC:1844-1862;TM:1863-1886;CY:1887-1944;TM:1945-1967;NC:1968-2145;TM:2146-2170;CY:2171-2181;TM:2182-2202;NC:2203-2221;TM:2222-2243;CY:2244-2269;TM:2270-2291;NC:2292-2310;TM:2311-2333;CY:2334-2372;TM:2373-2398;NC:2399-2459</t>
  </si>
  <si>
    <t>ENSG00000166473;ENSG00000279362</t>
  </si>
  <si>
    <t>96;110;166;268;283;307;432;441;490;529;536;675;730;737;796;1153;1176;1186;1217;1637;1702;1917;2002;2072</t>
  </si>
  <si>
    <t>Alternative splicing;Complete proteome;Disulfide bond;Glycoprotein;Ion channel;Ion transport;Lectin;Membrane;Polymorphism;Reference proteome;Signal;Transmembrane;Transmembrane helix;Transport</t>
  </si>
  <si>
    <t>UniRef100_Q7Z442;UniRef90_Q7Z442;UniRef50_Q7Z442</t>
  </si>
  <si>
    <t>PK1L3_HUMAN</t>
  </si>
  <si>
    <t>Polycystic kidney disease protein 1-like 3</t>
  </si>
  <si>
    <t>PKD1L3</t>
  </si>
  <si>
    <t>SP:1-20;NC:21-698;TM:699-718;CY:719-905;TM:906-924;NC:925-942;TM:943-964;CY:965-1151;TM:1152-1175;NC:1176-1194;TM:1195-1216;CY:1217-1280;TM:1281-1301;NC:1302-1463;TM:1464-1482;CY:1483-1501;TM:1502-1522;NC:1523-1550;TM:1551-1571;CY:1572-1590;TM:1591-1614;NC:1615-1619;TM:1620-1639;CY:1640-1652;TM:1653-1678;NC:1679-1732</t>
  </si>
  <si>
    <t>ENSG00000277481</t>
  </si>
  <si>
    <t>ENSP00000480090</t>
  </si>
  <si>
    <t>154;286;344;363;404;417;426;515;526;537;568;575;642;927</t>
  </si>
  <si>
    <t>Calcium;Calcium channel;Calcium transport;Cell membrane;Complete proteome;Disulfide bond;Glycoprotein;Ion channel;Ion transport;Lectin;Membrane;Polymorphism;Reference proteome;Signal;Transmembrane;Transmembrane helix;Transport</t>
  </si>
  <si>
    <t>UniRef100_Q7Z443;UniRef90_Q7Z443;UniRef50_Q7Z443</t>
  </si>
  <si>
    <t>LRP10_HUMAN</t>
  </si>
  <si>
    <t>Low-density lipoprotein receptor-related protein 10</t>
  </si>
  <si>
    <t>LRP10</t>
  </si>
  <si>
    <t>SP:1-16;NC:17-440;TM:441-463;CY:464-713</t>
  </si>
  <si>
    <t>ENSG00000197324</t>
  </si>
  <si>
    <t>ENSP00000352601</t>
  </si>
  <si>
    <t>56;111;193;299</t>
  </si>
  <si>
    <t>59;137;222;292;311;342;416;431;563;702</t>
  </si>
  <si>
    <t>TSPAN[115]CTWLILGSK;GFN[115]ATYHVR</t>
  </si>
  <si>
    <t>56;299</t>
  </si>
  <si>
    <t>Q7Z4F1</t>
  </si>
  <si>
    <t>Alternative splicing;Coated pit;Complete proteome;Disulfide bond;Endocytosis;Glycoprotein;Membrane;Phosphoprotein;Polymorphism;Receptor;Reference proteome;Repeat;Signal;Transmembrane;Transmembrane helix</t>
  </si>
  <si>
    <t>UniRef100_Q7Z4F1;UniRef90_Q7Z4F1;UniRef50_Q7Z4F1</t>
  </si>
  <si>
    <t>MDGA2_HUMAN</t>
  </si>
  <si>
    <t>MAM domain-containing glycosylphosphatidylinositol anchor protein 2</t>
  </si>
  <si>
    <t>MDGA2</t>
  </si>
  <si>
    <t>SP:1-20;NC:21-956</t>
  </si>
  <si>
    <t>ENSG00000139915</t>
  </si>
  <si>
    <t>ENSP00000382178</t>
  </si>
  <si>
    <t>92;213;237;434;443;504;610;703</t>
  </si>
  <si>
    <t>Alternative splicing;Cell membrane;Complete proteome;Disulfide bond;Glycoprotein;GPI-anchor;Immunoglobulin domain;Lipoprotein;Membrane;Polymorphism;Reference proteome;Repeat;Signal</t>
  </si>
  <si>
    <t>UniRef100_Q7Z553;UniRef90_Q7Z553;UniRef50_Q7Z553</t>
  </si>
  <si>
    <t>VN1R4_HUMAN</t>
  </si>
  <si>
    <t>Vomeronasal type-1 receptor 4</t>
  </si>
  <si>
    <t>VN1R4</t>
  </si>
  <si>
    <t>NC:1-5;TM:6-30;CY:31-48;TM:49-71;NC:72-88;TM:89-108;CY:109-127;TM:128-149;NC:150-183;TM:184-206;CY:207-234;TM:235-259;NC:260-264;TM:265-285;CY:286-301</t>
  </si>
  <si>
    <t>ENSG00000228567</t>
  </si>
  <si>
    <t>ENSP00000310856</t>
  </si>
  <si>
    <t>GPCR;V1R</t>
  </si>
  <si>
    <t>154;157;268</t>
  </si>
  <si>
    <t>Cell membrane;Complete proteome;G-protein coupled receptor;Glycoprotein;Membrane;Pheromone response;Polymorphism;Receptor;Reference proteome;Transducer;Transmembrane;Transmembrane helix</t>
  </si>
  <si>
    <t>UniRef100_Q7Z5H5;UniRef90_Q7Z5H5;UniRef50_Q7Z5H5</t>
  </si>
  <si>
    <t>SDK1_HUMAN</t>
  </si>
  <si>
    <t>Protein sidekick-1</t>
  </si>
  <si>
    <t>SDK1</t>
  </si>
  <si>
    <t>NC:1-2007;TM:2008-2031;CY:2032-2213</t>
  </si>
  <si>
    <t>ENSG00000146555</t>
  </si>
  <si>
    <t>ENSP00000385899</t>
  </si>
  <si>
    <t>271;301;550;563;572;655;679;710;782;821;882;1015;1024;1080;1137;1282;1333;1654;1748;1767;1819;1893;2040;2081</t>
  </si>
  <si>
    <t>LTHTLN[115]STTHEYK;GN[115]HTQSALLAGLR;IYYWEADSQN[115]ETEK;LKN[115]LTSHTK;TITYGPELQAN[115]ITAGPAEGSPGSPR</t>
  </si>
  <si>
    <t>1024;1333;1748;1767;1893</t>
  </si>
  <si>
    <t>Q7Z5N4</t>
  </si>
  <si>
    <t>Alternative splicing;Cell adhesion;Complete proteome;Disulfide bond;Glycoprotein;Immunoglobulin domain;Membrane;Polymorphism;Reference proteome;Repeat;Signal;Transmembrane;Transmembrane helix</t>
  </si>
  <si>
    <t>UniRef100_Q7Z5N4;UniRef90_Q7Z5N4;UniRef50_Q7Z5N4</t>
  </si>
  <si>
    <t>GP142_HUMAN</t>
  </si>
  <si>
    <t>Probable G-protein coupled receptor 142</t>
  </si>
  <si>
    <t>GPR142</t>
  </si>
  <si>
    <t>NC:1-158;TM:159-179;CY:180-192;TM:193-217;NC:218-236;TM:237-257;CY:258-277;TM:278-297;NC:298-314;TM:315-337;CY:338-356;TM:357-380;NC:381-395;TM:396-417;CY:418-462</t>
  </si>
  <si>
    <t>ENSG00000257008</t>
  </si>
  <si>
    <t>ENSP00000335158</t>
  </si>
  <si>
    <t>UniRef100_Q7Z601;UniRef90_Q7Z601;UniRef50_Q7Z601</t>
  </si>
  <si>
    <t>GP141_HUMAN</t>
  </si>
  <si>
    <t>Probable G-protein coupled receptor 141</t>
  </si>
  <si>
    <t>GPR141</t>
  </si>
  <si>
    <t>NC:1-19;TM:20-43;CY:44-53;TM:54-75;NC:76-94;TM:95-116;CY:117-131;TM:132-152;NC:153-180;TM:181-207;CY:208-227;TM:228-248;NC:249-267;TM:268-286;CY:287-305</t>
  </si>
  <si>
    <t>ENSG00000187037</t>
  </si>
  <si>
    <t>ENSP00000334540;ENSP00000390410</t>
  </si>
  <si>
    <t>5;9</t>
  </si>
  <si>
    <t>UniRef100_Q7Z602;UniRef90_Q7Z602;UniRef50_Q7Z602</t>
  </si>
  <si>
    <t>CEA19_HUMAN</t>
  </si>
  <si>
    <t>Carcinoembryonic antigen-related cell adhesion molecule 19</t>
  </si>
  <si>
    <t>CEACAM19</t>
  </si>
  <si>
    <t>SP:1-32;NC:33-156;TM:157-182;CY:183-300</t>
  </si>
  <si>
    <t>ENSG00000186567</t>
  </si>
  <si>
    <t>ENSP00000384887</t>
  </si>
  <si>
    <t>UniRef100_Q7Z692;UniRef90_Q7Z692;UniRef50_Q7Z692</t>
  </si>
  <si>
    <t>BTLA_HUMAN</t>
  </si>
  <si>
    <t>B- and T-lymphocyte attenuator</t>
  </si>
  <si>
    <t>BTLA</t>
  </si>
  <si>
    <t>SP:1-30;NC:31-153;TM:154-178;CY:179-289</t>
  </si>
  <si>
    <t>ENSG00000186265</t>
  </si>
  <si>
    <t>ENSP00000333919</t>
  </si>
  <si>
    <t>CD272</t>
  </si>
  <si>
    <t>75;94;110;261</t>
  </si>
  <si>
    <t>LN[115]GTTCVK;ILHFEPVLPNDN[115]GSYR;FEPVLPNDN[115]GSYR;PNDN[115]GSYR</t>
  </si>
  <si>
    <t>75;110</t>
  </si>
  <si>
    <t>Q7Z6A9</t>
  </si>
  <si>
    <t>3D-structure;Adaptive immunity;Alternative splicing;Complete proteome;Disulfide bond;Glycoprotein;Immunity;Immunoglobulin domain;Membrane;Phosphoprotein;Polymorphism;Receptor;Reference proteome;Signal;Transmembrane;Transmembrane helix</t>
  </si>
  <si>
    <t>UniRef100_Q7Z6A9;UniRef90_Q7Z6A9;UniRef50_Q7Z6A9</t>
  </si>
  <si>
    <t>MILR1_HUMAN</t>
  </si>
  <si>
    <t>Allergin-1</t>
  </si>
  <si>
    <t>MILR1</t>
  </si>
  <si>
    <t>SP:1-22;NC:23-227;TM:228-249;CY:250-343</t>
  </si>
  <si>
    <t>ENSG00000271605</t>
  </si>
  <si>
    <t>ENSP00000480749;ENSP00000482801</t>
  </si>
  <si>
    <t>51;60;89;151;157;182</t>
  </si>
  <si>
    <t>157;182</t>
  </si>
  <si>
    <t>GQN[115]VSMFCSHK;GEPAIFN[115]LSITEAHESGPYK;PAIFN[115]LSITEAHESGPYK;YDREPAEFN[115]LTK;EPAEFN[115]LTK</t>
  </si>
  <si>
    <t>51;89;182</t>
  </si>
  <si>
    <t>Q7Z6M3</t>
  </si>
  <si>
    <t>Alternative splicing;Cell membrane;Complete proteome;Disulfide bond;Glycoprotein;Immunoglobulin domain;Membrane;Phosphoprotein;Reference proteome;Repeat;Signal;Transmembrane;Transmembrane helix</t>
  </si>
  <si>
    <t>UniRef100_Q7Z6M3;UniRef90_Q7Z6M3;UniRef50_Q7Z6M3</t>
  </si>
  <si>
    <t>VTCN1_HUMAN</t>
  </si>
  <si>
    <t>V-set domain-containing T-cell activation inhibitor 1</t>
  </si>
  <si>
    <t>VTCN1</t>
  </si>
  <si>
    <t>SP:1-24;NC:25-256;TM:257-279;CY:280-282</t>
  </si>
  <si>
    <t>ENSG00000134258</t>
  </si>
  <si>
    <t>ENSP00000358470</t>
  </si>
  <si>
    <t>112;160;190;196;205;216;220</t>
  </si>
  <si>
    <t>205;216;220</t>
  </si>
  <si>
    <t>3D-structure;Adaptive immunity;Alternative splicing;Cell membrane;Complete proteome;Disulfide bond;Glycoprotein;Immunity;Immunoglobulin domain;Lipoprotein;Membrane;Reference proteome;Repeat;Signal;Transmembrane;Transmembrane helix</t>
  </si>
  <si>
    <t>UniRef100_Q7Z7D3;UniRef90_Q7Z7D3;UniRef50_Q7Z7D3</t>
  </si>
  <si>
    <t>LHPL4_HUMAN</t>
  </si>
  <si>
    <t>Lipoma HMGIC fusion partner-like 4 protein</t>
  </si>
  <si>
    <t>LHFPL4</t>
  </si>
  <si>
    <t>CY:1-20;TM:21-46;NC:47-93;TM:94-118;CY:119-126;TM:127-147;NC:148-174;TM:175-197;CY:198-247</t>
  </si>
  <si>
    <t>ENSG00000156959</t>
  </si>
  <si>
    <t>ENSP00000287585</t>
  </si>
  <si>
    <t>UniRef100_Q7Z7J7;UniRef90_Q5U4E0;UniRef50_Q5U4E0</t>
  </si>
  <si>
    <t>MEGF8_HUMAN</t>
  </si>
  <si>
    <t>Multiple epidermal growth factor-like domains protein 8</t>
  </si>
  <si>
    <t>MEGF8</t>
  </si>
  <si>
    <t>SP:1-27;NC:28-2647;TM:2648-2670;CY:2671-2845</t>
  </si>
  <si>
    <t>ENSG00000105429</t>
  </si>
  <si>
    <t>ENSP00000251268</t>
  </si>
  <si>
    <t>50;134;217;261;421;637;693;810;962;1048;1115;1201;1226;1271;1391;1399;1463;1600;1887;1969;1990;2043;2066;2190;2214;2229;2248;2275;2356;2401;2628;2839</t>
  </si>
  <si>
    <t>267;2138</t>
  </si>
  <si>
    <t>VN[115]STELFHVDR;ALLTN[115]VSSVALGSR;PVCAQGCVN[115]GSCVEPDHCR</t>
  </si>
  <si>
    <t>421;1271;2229</t>
  </si>
  <si>
    <t>Q7Z7M0</t>
  </si>
  <si>
    <t>Alternative splicing;Calcium;Complete proteome;Craniosynostosis;Disease mutation;Disulfide bond;EGF-like domain;Glycoprotein;Kelch repeat;Laminin EGF-like domain;Membrane;Phosphoprotein;Reference proteome;Repeat;Signal;Transmembrane;Transmembrane helix</t>
  </si>
  <si>
    <t>UniRef100_Q7Z7M0;UniRef90_Q7Z7M0;UniRef50_Q7Z7M0</t>
  </si>
  <si>
    <t>GP144_HUMAN</t>
  </si>
  <si>
    <t>Probable G-protein coupled receptor 144</t>
  </si>
  <si>
    <t>GPR144</t>
  </si>
  <si>
    <t>NC:1-660;TM:661-685;CY:686-696;TM:697-714;NC:715-721;TM:722-745;CY:746-762;TM:763-783;NC:784-801;TM:802-825;CY:826-857;TM:858-876;NC:877-881;TM:882-904;CY:905-963</t>
  </si>
  <si>
    <t>ENSG00000180264</t>
  </si>
  <si>
    <t>ENSP00000335156</t>
  </si>
  <si>
    <t>271;634;696</t>
  </si>
  <si>
    <t>UniRef100_Q7Z7M1;UniRef90_Q7Z7M1;UniRef50_Q7Z7M1</t>
  </si>
  <si>
    <t>T179B_HUMAN</t>
  </si>
  <si>
    <t>Transmembrane protein 179B</t>
  </si>
  <si>
    <t>TMEM179B</t>
  </si>
  <si>
    <t>SP:1-26;NC:27-63;TM:64-86;CY:87-97;TM:98-123;NC:124-168;TM:169-187;CY:188-219</t>
  </si>
  <si>
    <t>ENSG00000185475</t>
  </si>
  <si>
    <t>ENSP00000333697</t>
  </si>
  <si>
    <t>48;136</t>
  </si>
  <si>
    <t>SLCNSIISLN[115]TTISCSEAQK</t>
  </si>
  <si>
    <t>Q7Z7N9</t>
  </si>
  <si>
    <t>Complete proteome;Membrane;Phosphoprotein;Reference proteome;Transmembrane;Transmembrane helix</t>
  </si>
  <si>
    <t>UniRef100_Q7Z7N9;UniRef90_Q7Z7N9;UniRef50_Q7Z7N9</t>
  </si>
  <si>
    <t>AMGO2_HUMAN</t>
  </si>
  <si>
    <t>Amphoterin-induced protein 2</t>
  </si>
  <si>
    <t>AMIGO2</t>
  </si>
  <si>
    <t>SP:1-21;NC:22-397;TM:398-419;CY:420-522</t>
  </si>
  <si>
    <t>ENSG00000139211</t>
  </si>
  <si>
    <t>ENSP00000266581;ENSP00000406020;ENSP00000449034</t>
  </si>
  <si>
    <t>58;104;281;288;345;373;381;384</t>
  </si>
  <si>
    <t>HNN[115]ITSISTGSF;HNN[115]ITSISTGSFSTTPN;HNN[115]ITSISTGSFSTTPNL;HNN[115]ITSISTGSFSTTPNLK</t>
  </si>
  <si>
    <t>Q86SJ2</t>
  </si>
  <si>
    <t>Cell adhesion;Cell membrane;Complete proteome;Disulfide bond;Glycoprotein;Immunoglobulin domain;Leucine-rich repeat;Membrane;Nucleus;Reference proteome;Repeat;Signal;Transmembrane;Transmembrane helix</t>
  </si>
  <si>
    <t>UniRef100_Q86SJ2;UniRef90_Q86SJ2;UniRef50_Q7TNJ4</t>
  </si>
  <si>
    <t>DSG4_HUMAN</t>
  </si>
  <si>
    <t>Desmoglein-4</t>
  </si>
  <si>
    <t>DSG4</t>
  </si>
  <si>
    <t>SP:1-23;NC:24-631;TM:632-653;CY:654-1040</t>
  </si>
  <si>
    <t>ENSG00000175065</t>
  </si>
  <si>
    <t>ENSP00000311859</t>
  </si>
  <si>
    <t>36;110;545;878;979</t>
  </si>
  <si>
    <t>Alternative splicing;Calcium;Cell adhesion;Cell junction;Cell membrane;Cleavage on pair of basic residues;Complete proteome;Disease mutation;Glycoprotein;Hypotrichosis;Membrane;Metal-binding;Polymorphism;Reference proteome;Repeat;Signal;Transmembrane;Transmembrane helix</t>
  </si>
  <si>
    <t>UniRef100_Q86SJ6;UniRef90_Q86SJ6;UniRef50_Q86SJ6</t>
  </si>
  <si>
    <t>MRGRG_HUMAN</t>
  </si>
  <si>
    <t>Mas-related G-protein coupled receptor member G</t>
  </si>
  <si>
    <t>MRGPRG</t>
  </si>
  <si>
    <t>NC:1-13;TM:14-36;CY:37-46;TM:47-67;NC:68-78;TM:79-101;CY:102-120;TM:121-140;NC:141-162;TM:163-185;CY:186-195;TM:196-217;NC:218-222;TM:223-241;CY:242-289</t>
  </si>
  <si>
    <t>ENSG00000182170</t>
  </si>
  <si>
    <t>ENSP00000330612</t>
  </si>
  <si>
    <t>UniRef100_Q86SM5;UniRef90_Q86SM5;UniRef50_Q86SM5</t>
  </si>
  <si>
    <t>MRGRE_HUMAN</t>
  </si>
  <si>
    <t>Mas-related G-protein coupled receptor member E</t>
  </si>
  <si>
    <t>MRGPRE</t>
  </si>
  <si>
    <t>NC:1-22;TM:23-46;CY:47-58;TM:59-81;NC:82-101;TM:102-127;CY:128-138;TM:139-158;NC:159-177;TM:178-202;CY:203-214;TM:215-237;NC:238-248;TM:249-268;CY:269-312</t>
  </si>
  <si>
    <t>ENSG00000184350</t>
  </si>
  <si>
    <t>ENSP00000374482</t>
  </si>
  <si>
    <t>UniRef100_Q86SM8;UniRef90_Q86SM8;UniRef50_Q86SM8</t>
  </si>
  <si>
    <t>GP149_HUMAN</t>
  </si>
  <si>
    <t>Probable G-protein coupled receptor 149</t>
  </si>
  <si>
    <t>GPR149</t>
  </si>
  <si>
    <t>NC:1-33;TM:34-56;CY:57-66;TM:67-90;NC:91-109;TM:110-131;CY:132-150;TM:151-175;NC:176-188;TM:189-210;CY:211-310;TM:311-331;NC:332-344;TM:345-363;CY:364-731</t>
  </si>
  <si>
    <t>ENSG00000174948</t>
  </si>
  <si>
    <t>ENSP00000374390</t>
  </si>
  <si>
    <t>7;11;21;63;400;639;686</t>
  </si>
  <si>
    <t>UniRef100_Q86SP6;UniRef90_Q86SP6;UniRef50_Q924Y8</t>
  </si>
  <si>
    <t>EMR4_HUMAN</t>
  </si>
  <si>
    <t>Putative EGF-like module-containing mucin-like hormone receptor-like 4</t>
  </si>
  <si>
    <t>EMR4P</t>
  </si>
  <si>
    <t>SP:1-14;NC:15-191;TM:192-214;CY:215-225;TM:226-244;NC:245-250;TM:251-273;CY:274-299;TM:300-321;NC:322-337;TM:338-363;CY:364-382;TM:383-404;NC:405-414;TM:415-438;CY:439-457</t>
  </si>
  <si>
    <t>26;106;162;220;245;289</t>
  </si>
  <si>
    <t>Alternative splicing;Calcium;Cell membrane;Complete proteome;Disulfide bond;EGF-like domain;G-protein coupled receptor;Glycoprotein;Membrane;Receptor;Reference proteome;Repeat;Signal;Transducer;Transmembrane;Transmembrane helix</t>
  </si>
  <si>
    <t>UniRef100_Q86SQ3;UniRef90_Q86SQ3;UniRef50_Q86SQ3</t>
  </si>
  <si>
    <t>GP126_HUMAN</t>
  </si>
  <si>
    <t>G-protein coupled receptor 126</t>
  </si>
  <si>
    <t>GPR126</t>
  </si>
  <si>
    <t>SP:1-37;NC:38-865;TM:866-889;CY:890-900;TM:901-922;NC:923-928;TM:929-950;CY:951-969;TM:970-991;NC:992-1019;TM:1020-1048;CY:1049-1068;TM:1069-1089;NC:1090-1094;TM:1095-1116;CY:1117-1221</t>
  </si>
  <si>
    <t>ENSG00000112414</t>
  </si>
  <si>
    <t>ENSP00000230173</t>
  </si>
  <si>
    <t>121;143;206;258;314;324;353;438;445;452;485;488;505;563;593;600;605;667;673;695;704;732;750;776;811;818;903;1056;1169;1193;1201</t>
  </si>
  <si>
    <t>GFN[115]ASYIR;LWN[115]FTMNAK;ILSN[115]LSCNVK;ILSN[115]LSCNVKG;ALLVYN[115]ATN[115]NTNLEGK;LLVYN[115]ATN[115]NTNLEGK;LVYN[115]ATNNTN[115]LEGK;LVYN[115]ATNN[115]TNLEGK;LVYN[115]ATNN[115]TN[115]LEGK;LVYN[115]ATN[115]NTNLEGK;VYN[115]ATN[115]NTNLEGK;YN[115]ATN[115]NTNLEGK;LLKNN[115]ESLDEGLR;LLKNN[115]ESLDEGLRLHTVNVR;NN[115]ESLDEGLR;IDLN[115]STSHVN[115]ITTR;SIGN[115]ITIQNLK;SIGN[115]ITIQN[115]LK</t>
  </si>
  <si>
    <t>143;314;324;485;488;505;667;673;776</t>
  </si>
  <si>
    <t>Q86SQ4</t>
  </si>
  <si>
    <t>Alternative splicing;Cell membrane;Complete proteome;Direct protein sequencing;Disulfide bond;G-protein coupled receptor;Glycoprotein;Membrane;Phosphoprotein;Polymorphism;Receptor;Reference proteome;Signal;Transducer;Transmembrane;Transmembrane helix</t>
  </si>
  <si>
    <t>UniRef100_Q86SQ4;UniRef90_Q86SQ4;UniRef50_Q86SQ4</t>
  </si>
  <si>
    <t>GP123_HUMAN</t>
  </si>
  <si>
    <t>Probable G-protein coupled receptor 123</t>
  </si>
  <si>
    <t>GPR123</t>
  </si>
  <si>
    <t>NC:1-19;TM:20-42;CY:43-53;TM:54-74;NC:75-84;TM:85-105;CY:106-134;TM:135-155;NC:156-178;TM:179-199;CY:200-257;TM:258-277;NC:278-284;TM:285-304;CY:305-560</t>
  </si>
  <si>
    <t>ENSG00000197177</t>
  </si>
  <si>
    <t>ENSP00000475778</t>
  </si>
  <si>
    <t>75;556</t>
  </si>
  <si>
    <t>169;314</t>
  </si>
  <si>
    <t>UniRef100_Q86SQ6;UniRef90_Q86SQ6;UniRef50_Q86SQ6</t>
  </si>
  <si>
    <t>ILDR1_HUMAN</t>
  </si>
  <si>
    <t>Immunoglobulin-like domain-containing receptor 1</t>
  </si>
  <si>
    <t>ILDR1</t>
  </si>
  <si>
    <t>SP:1-23;NC:24-164;TM:165-187;CY:188-546</t>
  </si>
  <si>
    <t>ENSG00000145103</t>
  </si>
  <si>
    <t>ENSP00000345667</t>
  </si>
  <si>
    <t>Cell membrane (Single-pass type I membrane protein);Cytoplasm, cytosol</t>
  </si>
  <si>
    <t>Alternative splicing;Cell membrane;Complete proteome;Cytoplasm;Deafness;Disease mutation;Disulfide bond;Immunoglobulin domain;Membrane;Non-syndromic deafness;Receptor;Reference proteome;Signal;Transmembrane;Transmembrane helix</t>
  </si>
  <si>
    <t>UniRef100_Q86SU0;UniRef90_Q86SU0;UniRef50_Q86SU0</t>
  </si>
  <si>
    <t>CLC14_HUMAN</t>
  </si>
  <si>
    <t>C-type lectin domain family 14 member A</t>
  </si>
  <si>
    <t>CLEC14A</t>
  </si>
  <si>
    <t>SP:1-21;NC:22-396;TM:397-421;CY:422-490</t>
  </si>
  <si>
    <t>ENSG00000176435</t>
  </si>
  <si>
    <t>ENSP00000353013</t>
  </si>
  <si>
    <t>189;381</t>
  </si>
  <si>
    <t>PGAASN[115]LSYR</t>
  </si>
  <si>
    <t>Q86T13</t>
  </si>
  <si>
    <t>Complete proteome;Direct protein sequencing;Disulfide bond;EGF-like domain;Glycoprotein;Lectin;Membrane;Reference proteome;Signal;Transmembrane;Transmembrane helix</t>
  </si>
  <si>
    <t>UniRef100_Q86T13;UniRef90_Q86T13;UniRef50_Q86T13</t>
  </si>
  <si>
    <t>TM11B_HUMAN</t>
  </si>
  <si>
    <t>Transmembrane protease serine 11B</t>
  </si>
  <si>
    <t>TMPRSS11B</t>
  </si>
  <si>
    <t>CY:1-11;TM:12-39;NC:40-416</t>
  </si>
  <si>
    <t>ENSG00000185873</t>
  </si>
  <si>
    <t>ENSP00000330475</t>
  </si>
  <si>
    <t>72;87;107;231;261;315;336;364</t>
  </si>
  <si>
    <t>Cell membrane;Complete proteome;Disulfide bond;Glycoprotein;Hydrolase;Membrane;Polymorphism;Protease;Reference proteome;Serine protease;Signal-anchor;Transmembrane;Transmembrane helix</t>
  </si>
  <si>
    <t>UniRef100_Q86T26;UniRef90_Q86T26;UniRef50_Q86T26</t>
  </si>
  <si>
    <t>T150A_HUMAN</t>
  </si>
  <si>
    <t>Transmembrane protein 150A</t>
  </si>
  <si>
    <t>TMEM150A</t>
  </si>
  <si>
    <t>SP:1-24;NC:25-77;TM:78-97;CY:98-108;TM:109-129;NC:130-139;TM:140-163;CY:164-174;TM:175-196;NC:197-205;TM:206-226;CY:227-271</t>
  </si>
  <si>
    <t>ENSG00000168890</t>
  </si>
  <si>
    <t>ENSP00000334708;ENSP00000387292</t>
  </si>
  <si>
    <t>37;41;111</t>
  </si>
  <si>
    <t>UniRef100_Q86TG1;UniRef90_Q86TG1;UniRef50_Q86TG1</t>
  </si>
  <si>
    <t>TM110_HUMAN</t>
  </si>
  <si>
    <t>Transmembrane protein 110</t>
  </si>
  <si>
    <t>TMEM110</t>
  </si>
  <si>
    <t>NC:1-34;TM:35-54;CY:55-68;TM:69-91;NC:92-102;TM:103-129;CY:130-154;TM:155-176;NC:177-194;TM:195-217;CY:218-294</t>
  </si>
  <si>
    <t>ENSG00000213533</t>
  </si>
  <si>
    <t>ENSP00000347195</t>
  </si>
  <si>
    <t>7;238</t>
  </si>
  <si>
    <t>67;131</t>
  </si>
  <si>
    <t>UniRef100_Q86TL2;UniRef90_Q86TL2;UniRef50_Q86TL2</t>
  </si>
  <si>
    <t>CN037_HUMAN</t>
  </si>
  <si>
    <t>Uncharacterized protein C14orf37</t>
  </si>
  <si>
    <t>C14orf37</t>
  </si>
  <si>
    <t>SP:1-27;NC:28-710;TM:711-734;CY:735-774</t>
  </si>
  <si>
    <t>ENSG00000139971</t>
  </si>
  <si>
    <t>ENSP00000267485</t>
  </si>
  <si>
    <t>57;189</t>
  </si>
  <si>
    <t>UniRef100_Q86TY3;UniRef90_Q86TY3;UniRef50_Q86TY3</t>
  </si>
  <si>
    <t>TSN33_HUMAN</t>
  </si>
  <si>
    <t>Tetraspanin-33</t>
  </si>
  <si>
    <t>TSPAN33</t>
  </si>
  <si>
    <t>CY:1-20;TM:21-46;NC:47-64;TM:65-86;CY:87-96;TM:97-118;NC:119-235;TM:236-261;CY:262-283</t>
  </si>
  <si>
    <t>ENSG00000158457</t>
  </si>
  <si>
    <t>ENSP00000483872</t>
  </si>
  <si>
    <t>DWSQNMYFN[115]CSEDNPSR;DWSQNMYFN[115]CSEDN[115]PSR;MYFN[115]CSEDNPSR;FN[115]CSEDNPSR;FN[115]CSEDN[115]PSR;N[115]CSEDNPSR</t>
  </si>
  <si>
    <t>Q86UF1</t>
  </si>
  <si>
    <t>Complete proteome;Disulfide bond;Glycoprotein;Membrane;Reference proteome;Transmembrane;Transmembrane helix</t>
  </si>
  <si>
    <t>UniRef100_Q86UF1;UniRef90_Q8R3S2;UniRef50_Q8R3S2</t>
  </si>
  <si>
    <t>SO6A1_HUMAN</t>
  </si>
  <si>
    <t>Solute carrier organic anion transporter family member 6A1</t>
  </si>
  <si>
    <t>SLCO6A1</t>
  </si>
  <si>
    <t>CY:1-108;TM:109-130;NC:131-149;TM:150-166;CY:167-171;TM:172-193;NC:194-228;TM:229-251;CY:252-271;TM:272-291;NC:292-311;TM:312-335;CY:336-382;TM:383-403;NC:404-420;TM:421-444;CY:445-454;TM:455-475;NC:476-579;TM:580-602;CY:603-612;TM:613-632;NC:633-667;TM:668-691;CY:692-719</t>
  </si>
  <si>
    <t>ENSG00000205359</t>
  </si>
  <si>
    <t>ENSP00000369135;ENSP00000421339</t>
  </si>
  <si>
    <t>294;300;305;497;546;661</t>
  </si>
  <si>
    <t>Alternative splicing;Cell membrane;Complete proteome;Disulfide bond;Glycoprotein;Membrane;Polymorphism;Reference proteome;Transmembrane;Transmembrane helix;Transport</t>
  </si>
  <si>
    <t>UniRef100_Q86UG4;UniRef90_Q86UG4;UniRef50_Q86UG4</t>
  </si>
  <si>
    <t>ABCAC_HUMAN</t>
  </si>
  <si>
    <t>ATP-binding cassette sub-family A member 12</t>
  </si>
  <si>
    <t>ABCA12</t>
  </si>
  <si>
    <t>CY:1-23;TM:24-43;NC:44-1066;TM:1067-1090;CY:1091-1110;TM:1111-1133;NC:1134-1144;TM:1145-1167;CY:1168-1173;TM:1174-1196;NC:1197-1249;TM:1250-1271;CY:1272-1745;TM:1746-1765;NC:1766-1986;TM:1987-2009;CY:2010-2039;TM:2040-2061;NC:2062-2067;TM:2068-2089;CY:2090-2098;TM:2099-2123;NC:2124-2185;TM:2186-2207;CY:2208-2595</t>
  </si>
  <si>
    <t>ENSG00000144452</t>
  </si>
  <si>
    <t>ENSP00000272895</t>
  </si>
  <si>
    <t>156;174;214;275;333;367;383;412;435;528;543;577;608;623;648;752;776;826;920;963;1170;1524;1663;1704;1769;1819;1835;1860;1876;1921;1952;2178;2208;2223;2275;2318;2542;2547</t>
  </si>
  <si>
    <t>Alternative splicing;ATP-binding;Complete proteome;Disease mutation;Glycoprotein;Ichthyosis;Membrane;Nucleotide-binding;Polymorphism;Reference proteome;Repeat;Transmembrane;Transmembrane helix;Transport</t>
  </si>
  <si>
    <t>UniRef100_Q86UK0;UniRef90_Q86UK0;UniRef50_Q86UK0</t>
  </si>
  <si>
    <t>LBN_HUMAN</t>
  </si>
  <si>
    <t>Limbin</t>
  </si>
  <si>
    <t>EVC2</t>
  </si>
  <si>
    <t>SP:1-26;NC:27-298;TM:299-321;CY:322-1308</t>
  </si>
  <si>
    <t>ENSG00000173040</t>
  </si>
  <si>
    <t>ENSP00000342144;ENSP00000431981</t>
  </si>
  <si>
    <t>190;199;220;273;288;413;565</t>
  </si>
  <si>
    <t>Cell membrane (Single-pass type I membrane protein);Cell projection, cilium;Cell projection, cilium membrane;Cytoplasm, cytoskeleton, cilium basal body;Nucleus</t>
  </si>
  <si>
    <t>Alternative splicing;Cell membrane;Cell projection;Ciliopathy;Cilium;Coiled coil;Complete proteome;Cytoplasm;Cytoskeleton;Disease mutation;Dwarfism;Ectodermal dysplasia;Glycoprotein;Membrane;Nucleus;Polymorphism;Reference proteome;Signal;Transmembrane;Transmembrane helix</t>
  </si>
  <si>
    <t>UniRef100_Q86UK5;UniRef90_Q86UK5;UniRef50_Q86UK5</t>
  </si>
  <si>
    <t>R4RL1_HUMAN</t>
  </si>
  <si>
    <t>Reticulon-4 receptor-like 1</t>
  </si>
  <si>
    <t>RTN4RL1</t>
  </si>
  <si>
    <t>SP:1-22;NC:23-441</t>
  </si>
  <si>
    <t>ENSG00000185924</t>
  </si>
  <si>
    <t>ENSP00000330631</t>
  </si>
  <si>
    <t>87;174;230;303;355</t>
  </si>
  <si>
    <t>Cell membrane;Complete proteome;Glycoprotein;GPI-anchor;Leucine-rich repeat;Lipoprotein;Membrane;Receptor;Reference proteome;Repeat;Signal</t>
  </si>
  <si>
    <t>UniRef100_Q86UN2;UniRef90_Q86UN2;UniRef50_Q86UN2</t>
  </si>
  <si>
    <t>R4RL2_HUMAN</t>
  </si>
  <si>
    <t>Reticulon-4 receptor-like 2</t>
  </si>
  <si>
    <t>RTN4RL2</t>
  </si>
  <si>
    <t>SP:1-37;NC:38-420</t>
  </si>
  <si>
    <t>ENSG00000186907</t>
  </si>
  <si>
    <t>ENSP00000335397</t>
  </si>
  <si>
    <t>50;93;180;236;325</t>
  </si>
  <si>
    <t>Alternative splicing;Cell membrane;Complete proteome;Glycoprotein;GPI-anchor;Leucine-rich repeat;Lipoprotein;Membrane;Receptor;Reference proteome;Repeat;Signal</t>
  </si>
  <si>
    <t>UniRef100_Q86UN3;UniRef90_Q86UN3;UniRef50_Q86UN3</t>
  </si>
  <si>
    <t>CAD24_HUMAN</t>
  </si>
  <si>
    <t>Cadherin-24</t>
  </si>
  <si>
    <t>CDH24</t>
  </si>
  <si>
    <t>SP:1-22;NC:23-639;TM:640-662;CY:663-819</t>
  </si>
  <si>
    <t>ENSG00000139880</t>
  </si>
  <si>
    <t>ENSP00000267383;ENSP00000380517</t>
  </si>
  <si>
    <t>446;548;563</t>
  </si>
  <si>
    <t>UniRef100_Q86UP0;UniRef90_Q86UP0;UniRef50_Q86UP0</t>
  </si>
  <si>
    <t>CUZD1_HUMAN</t>
  </si>
  <si>
    <t>CUB and zona pellucida-like domain-containing protein 1</t>
  </si>
  <si>
    <t>CUZD1</t>
  </si>
  <si>
    <t>SP:1-26;NC:27-570;TM:571-593;CY:594-607</t>
  </si>
  <si>
    <t>ENSG00000138161</t>
  </si>
  <si>
    <t>ENSP00000357900;ENSP00000376540</t>
  </si>
  <si>
    <t>29;57;67;148;271;370;394;419</t>
  </si>
  <si>
    <t>Cytoplasmic vesicle, secretory vesicle membrane (Single-pass type I membrane protein)</t>
  </si>
  <si>
    <t>Alternative splicing;Cell adhesion;Cell cycle;Cell division;Complete proteome;Cytoplasmic vesicle;Disulfide bond;Glycoprotein;Membrane;Polymorphism;Reference proteome;Repeat;Signal;Transmembrane;Transmembrane helix</t>
  </si>
  <si>
    <t>UniRef100_Q86UP6;UniRef90_Q86UP6;UniRef50_P70412</t>
  </si>
  <si>
    <t>ABCAD_HUMAN</t>
  </si>
  <si>
    <t>ATP-binding cassette sub-family A member 13</t>
  </si>
  <si>
    <t>ABCA13</t>
  </si>
  <si>
    <t>CY:1-23;TM:24-43;NC:44-3569;TM:3570-3591;CY:3592-3611;TM:3612-3636;NC:3637-3647;TM:3648-3669;CY:3670-3677;TM:3678-3699;NC:3700-3704;TM:3705-3729;CY:3730-3749;TM:3750-3773;NC:3774-4229;TM:4230-4249;CY:4250-4455;TM:4456-4477;NC:4478-4507;TM:4508-4529;CY:4530-4535;TM:4536-4556;NC:4557-4567;TM:4568-4592;CY:4593-4606;TM:4607-4625;NC:4626-4652;TM:4653-4675;CY:4676-5058</t>
  </si>
  <si>
    <t>ENSG00000179869</t>
  </si>
  <si>
    <t>84;160;225;237;292;404;415;521;536;566;710;769;858;872;925;1006;1026;1088;1111;1130;1134;1215;1273;1312;1336;1352;1366;1379;1409;1452;1494;1506;1568;1569;1695;1764;1785;1826;1875;1910;1933;1963;2033;2151;2174;2197;2228;2377;2397;2452;2461;2507;2626;2661;2686;2727;2756;2794;2806;2833;2860;3005;3019;3061;3076;3092;3102;3335;3426;3707;3929;3957;4304;4329;4347;4385;4722;4931;5009;5021</t>
  </si>
  <si>
    <t>13;3754</t>
  </si>
  <si>
    <t>Alternative splicing;ATP-binding;Complete proteome;Membrane;Nucleotide-binding;Polymorphism;Reference proteome;Repeat;Transmembrane;Transmembrane helix;Transport</t>
  </si>
  <si>
    <t>UniRef100_Q86UQ4;UniRef90_Q86UQ4;UniRef50_Q86UQ4</t>
  </si>
  <si>
    <t>OSTA_HUMAN</t>
  </si>
  <si>
    <t>Organic solute transporter subunit alpha</t>
  </si>
  <si>
    <t>SLC51A</t>
  </si>
  <si>
    <t>NC:1-50;TM:51-69;CY:70-87;TM:88-108;NC:109-119;TM:120-139;CY:140-178;TM:179-202;NC:203-217;TM:218-238;CY:239-255;TM:256-276;NC:277-294;TM:295-317;CY:318-340</t>
  </si>
  <si>
    <t>ENSG00000163959</t>
  </si>
  <si>
    <t>ENSP00000296327</t>
  </si>
  <si>
    <t>Cell membrane;Complete proteome;Endoplasmic reticulum;Membrane;Polymorphism;Reference proteome;Transmembrane;Transmembrane helix;Transport</t>
  </si>
  <si>
    <t>UniRef100_Q86UW1;UniRef90_Q86UW1;UniRef50_Q8R000</t>
  </si>
  <si>
    <t>OSTB_HUMAN</t>
  </si>
  <si>
    <t>Organic solute transporter subunit beta</t>
  </si>
  <si>
    <t>SLC51B</t>
  </si>
  <si>
    <t>NC:1-35;TM:36-57;CY:58-128</t>
  </si>
  <si>
    <t>ENSG00000186198</t>
  </si>
  <si>
    <t>ENSP00000335292</t>
  </si>
  <si>
    <t>Cell membrane;Complete proteome;Membrane;Reference proteome;Transmembrane;Transmembrane helix;Transport</t>
  </si>
  <si>
    <t>UniRef100_Q86UW2;UniRef90_Q86UW2;UniRef50_Q86UW2</t>
  </si>
  <si>
    <t>ADR2_HUMAN</t>
  </si>
  <si>
    <t>Adiponectin receptor protein 2</t>
  </si>
  <si>
    <t>ADIPOR2</t>
  </si>
  <si>
    <t>CY:1-148;TM:149-168;NC:169-182;TM:183-206;CY:207-217;TM:218-237;NC:238-246;TM:247-267;CY:268-277;TM:278-298;NC:299-309;TM:310-330;CY:331-349;TM:350-366;NC:367-386</t>
  </si>
  <si>
    <t>ENSG00000006831</t>
  </si>
  <si>
    <t>ENSP00000349616</t>
  </si>
  <si>
    <t>Other_receptors;ADIPO-PAQR</t>
  </si>
  <si>
    <t>35;171</t>
  </si>
  <si>
    <t>Complete proteome;Fatty acid metabolism;Lipid metabolism;Membrane;Polymorphism;Receptor;Reference proteome;Transmembrane;Transmembrane helix</t>
  </si>
  <si>
    <t>UniRef100_Q86V24;UniRef90_Q86V24;UniRef50_Q96A54</t>
  </si>
  <si>
    <t>TIKI1_HUMAN</t>
  </si>
  <si>
    <t>Metalloprotease TIKI1</t>
  </si>
  <si>
    <t>TRABD2A</t>
  </si>
  <si>
    <t>SP:1-21;NC:22-476;TM:477-498;CY:499-505</t>
  </si>
  <si>
    <t>ENSG00000186854</t>
  </si>
  <si>
    <t>ENSP00000387075</t>
  </si>
  <si>
    <t>220;229;278;336</t>
  </si>
  <si>
    <t>229;278;336</t>
  </si>
  <si>
    <t>Alternative splicing;Cell membrane;Complete proteome;Glycoprotein;Hydrolase;Membrane;Metal-binding;Metalloprotease;Polymorphism;Protease;Reference proteome;Signal;Transmembrane;Transmembrane helix;Wnt signaling pathway</t>
  </si>
  <si>
    <t>UniRef100_Q86V40;UniRef90_Q86V40;UniRef50_Q86V40</t>
  </si>
  <si>
    <t>GP180_HUMAN</t>
  </si>
  <si>
    <t>Integral membrane protein GPR180</t>
  </si>
  <si>
    <t>GPR180</t>
  </si>
  <si>
    <t>SP:1-22;NC:23-172;TM:173-193;CY:194-204;TM:205-226;NC:227-248;TM:249-269;CY:270-283;TM:284-304;NC:305-322;TM:323-344;CY:345-358;TM:359-382;NC:383-388;TM:389-409;CY:410-440</t>
  </si>
  <si>
    <t>ENSG00000152749</t>
  </si>
  <si>
    <t>ENSP00000366157</t>
  </si>
  <si>
    <t>105;110</t>
  </si>
  <si>
    <t>UniRef100_Q86V85;UniRef90_Q86V85;UniRef50_Q86V85</t>
  </si>
  <si>
    <t>C163A_HUMAN</t>
  </si>
  <si>
    <t>Scavenger receptor cysteine-rich type 1 protein M130</t>
  </si>
  <si>
    <t>CD163</t>
  </si>
  <si>
    <t>SP:1-45;NC:46-1050;TM:1051-1071;CY:1072-1156</t>
  </si>
  <si>
    <t>ENSG00000177575</t>
  </si>
  <si>
    <t>ENSP00000352071</t>
  </si>
  <si>
    <t>23;105;123;140;231;320;445;685;694;767;1001;1027;1112</t>
  </si>
  <si>
    <t>EDAAVN[115]CTDISVQK</t>
  </si>
  <si>
    <t>Q86VB7</t>
  </si>
  <si>
    <t>Acute phase;Alternative splicing;Cell membrane;Complete proteome;Disulfide bond;Glycoprotein;Inflammatory response;Membrane;Phosphoprotein;Polymorphism;Reference proteome;Repeat;Secreted;Signal;Transmembrane;Transmembrane helix</t>
  </si>
  <si>
    <t>UniRef100_Q86VB7;UniRef90_Q86VB7;UniRef50_Q86VB7</t>
  </si>
  <si>
    <t>DB05389</t>
  </si>
  <si>
    <t>SERC5_HUMAN</t>
  </si>
  <si>
    <t>Serine incorporator 5</t>
  </si>
  <si>
    <t>SERINC5</t>
  </si>
  <si>
    <t>NC:1-36;TM:37-59;CY:60-90;TM:91-112;NC:113-124;TM:125-144;CY:145-155;TM:156-174;NC:175-193;TM:194-219;CY:220-230;TM:231-252;NC:253-258;TM:259-279;CY:280-311;TM:312-333;NC:334-388;TM:389-411;CY:412-423</t>
  </si>
  <si>
    <t>ENSG00000164300</t>
  </si>
  <si>
    <t>113;183;294</t>
  </si>
  <si>
    <t>Alternative splicing;Complete proteome;Endoplasmic reticulum;Glycoprotein;Lipid biosynthesis;Lipid metabolism;Membrane;Phospholipid biosynthesis;Phospholipid metabolism;Reference proteome;Transmembrane;Transmembrane helix</t>
  </si>
  <si>
    <t>UniRef100_Q86VE9;UniRef90_Q86VE9;UniRef50_Q86VE9</t>
  </si>
  <si>
    <t>LRRT4_HUMAN</t>
  </si>
  <si>
    <t>Leucine-rich repeat transmembrane neuronal protein 4</t>
  </si>
  <si>
    <t>LRRTM4</t>
  </si>
  <si>
    <t>SP:1-32;NC:33-424;TM:425-447;CY:448-590</t>
  </si>
  <si>
    <t>ENSG00000176204</t>
  </si>
  <si>
    <t>ENSP00000386357;ENSP00000387297</t>
  </si>
  <si>
    <t>58;126;291;501</t>
  </si>
  <si>
    <t>Alternative splicing;Cell junction;Cell membrane;Complete proteome;Glycoprotein;Leucine-rich repeat;Membrane;Postsynaptic cell membrane;Reference proteome;Repeat;Signal;Synapse;Transmembrane;Transmembrane helix</t>
  </si>
  <si>
    <t>UniRef100_Q86VH4;UniRef90_Q80XG9;UniRef50_Q80XG9</t>
  </si>
  <si>
    <t>LRRT3_HUMAN</t>
  </si>
  <si>
    <t>Leucine-rich repeat transmembrane neuronal protein 3</t>
  </si>
  <si>
    <t>LRRTM3</t>
  </si>
  <si>
    <t>SP:1-30;NC:31-419;TM:420-442;CY:443-581</t>
  </si>
  <si>
    <t>ENSG00000198739</t>
  </si>
  <si>
    <t>ENSP00000355187</t>
  </si>
  <si>
    <t>126;357;496;504;518</t>
  </si>
  <si>
    <t>UniRef100_Q86VH5;UniRef90_Q86VH5;UniRef50_Q80XG9-2</t>
  </si>
  <si>
    <t>VS10L_HUMAN</t>
  </si>
  <si>
    <t>V-set and immunoglobulin domain-containing protein 10-like</t>
  </si>
  <si>
    <t>VSIG10L</t>
  </si>
  <si>
    <t>SP:1-27;NC:28-775;TM:776-803;CY:804-867</t>
  </si>
  <si>
    <t>ENSG00000186806</t>
  </si>
  <si>
    <t>ENSP00000335623</t>
  </si>
  <si>
    <t>32;88;96;144;423;487;641;650</t>
  </si>
  <si>
    <t>UniRef100_Q86VR7;UniRef90_Q86VR7;UniRef50_Q86VR7</t>
  </si>
  <si>
    <t>S22AG_HUMAN</t>
  </si>
  <si>
    <t>Solute carrier family 22 member 16</t>
  </si>
  <si>
    <t>SLC22A16</t>
  </si>
  <si>
    <t>CY:1-20;TM:21-41;NC:42-151;TM:152-175;CY:176-182;TM:183-203;NC:204-208;TM:209-231;CY:232-241;TM:242-263;NC:264-268;TM:269-288;CY:289-359;TM:360-376;NC:377-387;TM:388-409;CY:410-416;TM:417-435;NC:436-440;TM:441-464;CY:465-475;TM:476-495;NC:496-500;TM:501-522;CY:523-577</t>
  </si>
  <si>
    <t>ENSG00000004809</t>
  </si>
  <si>
    <t>ENSP00000357915</t>
  </si>
  <si>
    <t>31;57;65;68;108;345;352;546;558</t>
  </si>
  <si>
    <t>EN[115]TSSLGYEYTGSK</t>
  </si>
  <si>
    <t>Q86VW1</t>
  </si>
  <si>
    <t>Alternative splicing;Cell membrane;Complete proteome;Developmental protein;Differentiation;Glycoprotein;Ion transport;Membrane;Polymorphism;Reference proteome;Spermatogenesis;Transmembrane;Transmembrane helix;Transport</t>
  </si>
  <si>
    <t>UniRef100_Q86VW1;UniRef90_Q86VW1;UniRef50_Q86VW1</t>
  </si>
  <si>
    <t>P2RY8_HUMAN</t>
  </si>
  <si>
    <t>P2Y purinoceptor 8</t>
  </si>
  <si>
    <t>P2RY8</t>
  </si>
  <si>
    <t>NC:1-19;TM:20-45;CY:46-57;TM:58-82;NC:83-87;TM:88-106;CY:107-138;TM:139-159;NC:160-187;TM:188-214;CY:215-234;TM:235-261;NC:262-273;TM:274-296;CY:297-359</t>
  </si>
  <si>
    <t>ENSG00000182162</t>
  </si>
  <si>
    <t>ENSP00000370697</t>
  </si>
  <si>
    <t>5;11;64</t>
  </si>
  <si>
    <t>MQVPN[115]STGPDN[115]ATLQM;MQVPN[115]STGPDN[115]ATLQMLR;PN[115]STGPDN[115]ATLQMLR</t>
  </si>
  <si>
    <t>5;11</t>
  </si>
  <si>
    <t>Q86VZ1</t>
  </si>
  <si>
    <t>UniRef100_Q86VZ1;UniRef90_Q86VZ1;UniRef50_Q86VZ1</t>
  </si>
  <si>
    <t>LRP11_HUMAN</t>
  </si>
  <si>
    <t>Low-density lipoprotein receptor-related protein 11</t>
  </si>
  <si>
    <t>LRP11</t>
  </si>
  <si>
    <t>SP:1-37;NC:38-451;TM:452-474;CY:475-500</t>
  </si>
  <si>
    <t>ENSG00000120256</t>
  </si>
  <si>
    <t>ENSP00000239367</t>
  </si>
  <si>
    <t>164;291;401</t>
  </si>
  <si>
    <t>31;127;245;406</t>
  </si>
  <si>
    <t>PAPPAAVLGCYLFN[115]CTAR</t>
  </si>
  <si>
    <t>Q86VZ4</t>
  </si>
  <si>
    <t>Alternative splicing;Complete proteome;Disulfide bond;Glycoprotein;Membrane;Polymorphism;Receptor;Reference proteome;Signal;Transmembrane;Transmembrane helix</t>
  </si>
  <si>
    <t>UniRef100_Q86VZ4;UniRef90_Q86VZ4;UniRef50_Q86VZ4</t>
  </si>
  <si>
    <t>TPRA1_HUMAN</t>
  </si>
  <si>
    <t>Transmembrane protein adipocyte-associated 1</t>
  </si>
  <si>
    <t>TPRA1</t>
  </si>
  <si>
    <t>NC:1-44;TM:45-65;CY:66-77;TM:78-100;NC:101-119;TM:120-139;CY:140-150;TM:151-173;NC:174-192;TM:193-212;CY:213-227;TM:228-254;NC:255-265;TM:266-284;CY:285-373</t>
  </si>
  <si>
    <t>ENSG00000163870</t>
  </si>
  <si>
    <t>ENSP00000347748;ENSP00000413428;ENSP00000418298</t>
  </si>
  <si>
    <t>11;23;361</t>
  </si>
  <si>
    <t>UniRef100_Q86W33;UniRef90_Q86W33;UniRef50_Q86W33</t>
  </si>
  <si>
    <t>KCMB4_HUMAN</t>
  </si>
  <si>
    <t>Calcium-activated potassium channel subunit beta-4</t>
  </si>
  <si>
    <t>KCNMB4</t>
  </si>
  <si>
    <t>CY:1-19;TM:20-42;NC:43-168;TM:169-194;CY:195-210</t>
  </si>
  <si>
    <t>ENSG00000135643</t>
  </si>
  <si>
    <t>ENSP00000258111</t>
  </si>
  <si>
    <t>53;90</t>
  </si>
  <si>
    <t>Complete proteome;Glycoprotein;Ion channel;Ion transport;Membrane;Phosphoprotein;Polymorphism;Reference proteome;Transmembrane;Transmembrane helix;Transport</t>
  </si>
  <si>
    <t>UniRef100_Q86W47;UniRef90_Q86W47;UniRef50_Q86W47</t>
  </si>
  <si>
    <t>UN93A_HUMAN</t>
  </si>
  <si>
    <t>Protein unc-93 homolog A</t>
  </si>
  <si>
    <t>UNC93A</t>
  </si>
  <si>
    <t>SP:1-23;NC:24-38;TM:39-60;CY:61-69;TM:70-91;NC:92-96;TM:97-117;CY:118-136;TM:137-160;NC:161-198;TM:199-222;CY:223-256;TM:257-275;NC:276-287;TM:288-310;CY:311-319;TM:320-340;NC:341-345;TM:346-364;CY:365-384;TM:385-405;NC:406-410;TM:411-428;CY:429-457</t>
  </si>
  <si>
    <t>ENSG00000112494</t>
  </si>
  <si>
    <t>ENSP00000230256</t>
  </si>
  <si>
    <t>UniRef100_Q86WB7;UniRef90_Q86WB7;UniRef50_Q86WB7</t>
  </si>
  <si>
    <t>OSTM1_HUMAN</t>
  </si>
  <si>
    <t>Osteopetrosis-associated transmembrane protein 1</t>
  </si>
  <si>
    <t>OSTM1</t>
  </si>
  <si>
    <t>SP:1-31;NC:32-283;TM:284-305;CY:306-334</t>
  </si>
  <si>
    <t>ENSG00000081087</t>
  </si>
  <si>
    <t>ENSP00000193322</t>
  </si>
  <si>
    <t>93;128;135;163;177;184;194;216;263;274</t>
  </si>
  <si>
    <t>ELLLDFAN[115]SSAELTGCLVR;AAGN[115]TSESQSCAR;AEPGTHLCIDVEDAMN[115]ITR</t>
  </si>
  <si>
    <t>93;135;263</t>
  </si>
  <si>
    <t>Q86WC4</t>
  </si>
  <si>
    <t>Complete proteome;Glycoprotein;Lysosome;Membrane;Osteopetrosis;Phosphoprotein;Polymorphism;Reference proteome;Signal;Transmembrane;Transmembrane helix</t>
  </si>
  <si>
    <t>UniRef100_Q86WC4;UniRef90_Q86WC4;UniRef50_Q86WC4</t>
  </si>
  <si>
    <t>LHPL1_HUMAN</t>
  </si>
  <si>
    <t>Lipoma HMGIC fusion partner-like 1 protein</t>
  </si>
  <si>
    <t>LHFPL1</t>
  </si>
  <si>
    <t>SP:1-20;NC:21-78;TM:79-107;CY:108-118;TM:119-140;NC:141-166;TM:167-189;CY:190-220</t>
  </si>
  <si>
    <t>ENSG00000182508</t>
  </si>
  <si>
    <t>ENSP00000361036</t>
  </si>
  <si>
    <t>UniRef100_Q86WI0;UniRef90_Q86WI0;UniRef50_Q86WI0</t>
  </si>
  <si>
    <t>PKHL1_HUMAN</t>
  </si>
  <si>
    <t>Fibrocystin-L</t>
  </si>
  <si>
    <t>PKHD1L1</t>
  </si>
  <si>
    <t>SP:1-20;NC:21-4207;TM:4208-4233;CY:4234-4243</t>
  </si>
  <si>
    <t>ENSG00000205038</t>
  </si>
  <si>
    <t>ENSP00000367655</t>
  </si>
  <si>
    <t>124;236;315;348;619;787;807;864;885;1002;1012;1064;1123;1190;1257;1288;1323;1372;1415;1546;1570;1706;1738;1797;1825;1860;1956;1961;2058;2138;2183;2355;2363;2568;2613;2908;2929;2944;2953;2965;3034;3045;3102;3133;3227;3501;3545;3729;3825;4007;4033;4041;4141;4152;4237</t>
  </si>
  <si>
    <t>124;236;315;348;619;787;807;864;885;1002;1012;1064;1123;1190;1257;1288;1323;1372;1415;1546;1570;1706;1738;1797;1825;1860;1956;1961;2005;2058;2138;2183;2355;2363;2568;2613;2908;2929;2944;2953;2965;3034;3045;3102;3133;3227;3501;3545;3668;3729;3825;4007;4033;4041;4141;4152;4237</t>
  </si>
  <si>
    <t>1457;1835;2947;3017;3041;3583;4006;4053;4055;4063;4190;4191;4192;4195;4196</t>
  </si>
  <si>
    <t>AIEVNENN[115]ITALVTPLPV</t>
  </si>
  <si>
    <t>Q86WI1</t>
  </si>
  <si>
    <t>Complete proteome;Glycoprotein;Membrane;Polymorphism;Receptor;Reference proteome;Repeat;Signal;Transmembrane;Transmembrane helix</t>
  </si>
  <si>
    <t>UniRef100_Q86WI1;UniRef90_Q86WI1;UniRef50_Q86WI1</t>
  </si>
  <si>
    <t>Cytosol;Extracellular space</t>
  </si>
  <si>
    <t>AMGO1_HUMAN</t>
  </si>
  <si>
    <t>Amphoterin-induced protein 1</t>
  </si>
  <si>
    <t>AMIGO1</t>
  </si>
  <si>
    <t>SP:1-27;NC:28-372;TM:373-393;CY:394-493</t>
  </si>
  <si>
    <t>ENSG00000181754</t>
  </si>
  <si>
    <t>ENSP00000358878;ENSP00000358880</t>
  </si>
  <si>
    <t>72;264;315;349;360</t>
  </si>
  <si>
    <t>VLDEVTN[115]GTVSVSK</t>
  </si>
  <si>
    <t>Q86WK6</t>
  </si>
  <si>
    <t>Cell membrane (Single-pass type I membrane protein);Cell projection, axon</t>
  </si>
  <si>
    <t>Cell adhesion;Cell membrane;Cell projection;Complete proteome;Developmental protein;Differentiation;Disulfide bond;Glycoprotein;Immunoglobulin domain;Leucine-rich repeat;Membrane;Neurogenesis;Phosphoprotein;Reference proteome;Repeat;Signal;Transmembrane;Transmembrane helix</t>
  </si>
  <si>
    <t>UniRef100_Q86WK6;UniRef90_Q86WK6;UniRef50_Q80ZD8</t>
  </si>
  <si>
    <t>AMGO3_HUMAN</t>
  </si>
  <si>
    <t>Amphoterin-induced protein 3</t>
  </si>
  <si>
    <t>AMIGO3</t>
  </si>
  <si>
    <t>SP:1-19;NC:20-382;TM:383-403;CY:404-504</t>
  </si>
  <si>
    <t>ENSG00000176020</t>
  </si>
  <si>
    <t>ENSP00000323096</t>
  </si>
  <si>
    <t>107;272;301;362;368</t>
  </si>
  <si>
    <t>Cell adhesion;Complete proteome;Disulfide bond;Glycoprotein;Immunoglobulin domain;Leucine-rich repeat;Membrane;Reference proteome;Repeat;Signal;Transmembrane;Transmembrane helix</t>
  </si>
  <si>
    <t>UniRef100_Q86WK7;UniRef90_Q86WK7;UniRef50_Q80ZD5</t>
  </si>
  <si>
    <t>VSIG1_HUMAN</t>
  </si>
  <si>
    <t>V-set and immunoglobulin domain-containing protein 1</t>
  </si>
  <si>
    <t>VSIG1</t>
  </si>
  <si>
    <t>SP:1-21;NC:22-233;TM:234-257;CY:258-387</t>
  </si>
  <si>
    <t>ENSG00000101842</t>
  </si>
  <si>
    <t>ENSP00000217957</t>
  </si>
  <si>
    <t>32;38;98;133;200;219</t>
  </si>
  <si>
    <t>UniRef100_Q86XK7;UniRef90_Q86XK7;UniRef50_Q9D2J4</t>
  </si>
  <si>
    <t>CTSRD_HUMAN</t>
  </si>
  <si>
    <t>Cation channel sperm-associated protein subunit delta</t>
  </si>
  <si>
    <t>CATSPERD</t>
  </si>
  <si>
    <t>SP:1-20;NC:21-718;TM:719-741;CY:742-798</t>
  </si>
  <si>
    <t>ENSG00000174898</t>
  </si>
  <si>
    <t>ENSP00000371037</t>
  </si>
  <si>
    <t>123;230;240;472;538;630</t>
  </si>
  <si>
    <t>Cell projection, cilium, flagellum membrane (Single-pass type I membrane protein)</t>
  </si>
  <si>
    <t>Alternative splicing;Cell membrane;Cell projection;Cilium;Complete proteome;Developmental protein;Differentiation;Flagellum;Glycoprotein;Membrane;Polymorphism;Reference proteome;Signal;Spermatogenesis;Transmembrane;Transmembrane helix</t>
  </si>
  <si>
    <t>UniRef100_Q86XM0;UniRef90_Q86XM0;UniRef50_Q86XM0</t>
  </si>
  <si>
    <t>PRIMA_HUMAN</t>
  </si>
  <si>
    <t>Proline-rich membrane anchor 1</t>
  </si>
  <si>
    <t>PRIMA1</t>
  </si>
  <si>
    <t>SP:1-28;NC:29-88;TM:89-115;CY:116-153</t>
  </si>
  <si>
    <t>ENSG00000175785;ENSG00000274089</t>
  </si>
  <si>
    <t>ENSP00000376848;ENSP00000376851;ENSP00000479082</t>
  </si>
  <si>
    <t>79;128</t>
  </si>
  <si>
    <t>Cell junction;Cell junction, synapse;Cell membrane (Single-pass type I membrane protein)</t>
  </si>
  <si>
    <t>Alternative splicing;Cell junction;Cell membrane;Complete proteome;Disulfide bond;Glycoprotein;Membrane;Neurotransmitter degradation;Polymorphism;Reference proteome;Signal;Synapse;Transmembrane;Transmembrane helix</t>
  </si>
  <si>
    <t>UniRef100_Q86XR5;UniRef90_Q86XR5;UniRef50_Q86XR5</t>
  </si>
  <si>
    <t>GOLI_HUMAN</t>
  </si>
  <si>
    <t>E3 ubiquitin-protein ligase RNF130</t>
  </si>
  <si>
    <t>RNF130</t>
  </si>
  <si>
    <t>SP:1-27;NC:28-194;TM:195-218;CY:219-419</t>
  </si>
  <si>
    <t>ENSG00000113269</t>
  </si>
  <si>
    <t>ENSP00000430999;ENSP00000430237</t>
  </si>
  <si>
    <t>29;40;112;135;172;189</t>
  </si>
  <si>
    <t>ALIN[115]VTVQEPGR</t>
  </si>
  <si>
    <t>Q86XS8</t>
  </si>
  <si>
    <t>Cytoplasm;Membrane (Single-pass type I membrane protein)</t>
  </si>
  <si>
    <t>Alternative splicing;Apoptosis;Complete proteome;Cytoplasm;Glycoprotein;Ligase;Membrane;Metal-binding;Phosphoprotein;Reference proteome;Signal;Transmembrane;Transmembrane helix;Ubl conjugation pathway;Zinc;Zinc-finger</t>
  </si>
  <si>
    <t>UniRef100_Q86XS8;UniRef90_Q86XS8;UniRef50_Q86XS8</t>
  </si>
  <si>
    <t>TM219_HUMAN</t>
  </si>
  <si>
    <t>Insulin-like growth factor-binding protein 3 receptor</t>
  </si>
  <si>
    <t>TMEM219</t>
  </si>
  <si>
    <t>SP:1-38;NC:39-204;TM:205-227;CY:228-240</t>
  </si>
  <si>
    <t>ENSG00000149932</t>
  </si>
  <si>
    <t>ENSP00000279396;ENSP00000388485;ENSP00000456960;ENSP00000457492</t>
  </si>
  <si>
    <t>73;101;167</t>
  </si>
  <si>
    <t>Apoptosis;Cell membrane;Complete proteome;Glycoprotein;Membrane;Receptor;Reference proteome;Signal;Transmembrane;Transmembrane helix</t>
  </si>
  <si>
    <t>UniRef100_Q86XT9;UniRef90_Q86XT9;UniRef50_Q86XT9</t>
  </si>
  <si>
    <t>FRAS1_HUMAN</t>
  </si>
  <si>
    <t>Extracellular matrix protein FRAS1</t>
  </si>
  <si>
    <t>FRAS1</t>
  </si>
  <si>
    <t>SP:1-26;NC:27-3901;TM:3902-3923;CY:3924-4008</t>
  </si>
  <si>
    <t>ENSG00000138759</t>
  </si>
  <si>
    <t>361;728;1093;1108;1504;1777;1948;1978;2563;2664;2682;2908;2985;3070;3218;3676;3875</t>
  </si>
  <si>
    <t>41;108;172;234;298;374;449;521;960</t>
  </si>
  <si>
    <t>SEIHSIN[115]ITIER;VIIN[115]DTEDEPTLEFDK</t>
  </si>
  <si>
    <t>1948;2664</t>
  </si>
  <si>
    <t>Q86XX4</t>
  </si>
  <si>
    <t>Alternative splicing;Calcium;Cell membrane;Complete proteome;Glycoprotein;Membrane;Metal-binding;Phosphoprotein;Polymorphism;Reference proteome;Repeat;Signal;Transmembrane;Transmembrane helix</t>
  </si>
  <si>
    <t>UniRef100_Q86XX4;UniRef90_Q86XX4;UniRef50_Q86XX4</t>
  </si>
  <si>
    <t>GPR97_HUMAN</t>
  </si>
  <si>
    <t>Probable G-protein coupled receptor 97</t>
  </si>
  <si>
    <t>GPR97</t>
  </si>
  <si>
    <t>SP:1-20;NC:21-270;TM:271-293;CY:294-306;TM:307-325;NC:326-344;TM:345-366;CY:367-377;TM:378-398;NC:399-431;TM:432-457;CY:458-483;TM:484-506;NC:507-511;TM:512-529;CY:530-549</t>
  </si>
  <si>
    <t>ENSG00000182885</t>
  </si>
  <si>
    <t>ENSP00000332900</t>
  </si>
  <si>
    <t>98;144;210;413</t>
  </si>
  <si>
    <t>Cell membrane;Complete proteome;Direct protein sequencing;G-protein coupled receptor;Glycoprotein;Membrane;Polymorphism;Receptor;Reference proteome;Signal;Transducer;Transmembrane;Transmembrane helix</t>
  </si>
  <si>
    <t>UniRef100_Q86Y34;UniRef90_Q86Y34;UniRef50_Q86Y34</t>
  </si>
  <si>
    <t>NRROS_HUMAN</t>
  </si>
  <si>
    <t>Negative regulator of reactive oxygen species</t>
  </si>
  <si>
    <t>NRROS</t>
  </si>
  <si>
    <t>SP:1-18;NC:19-649;TM:650-674;CY:675-692</t>
  </si>
  <si>
    <t>ENSG00000174004</t>
  </si>
  <si>
    <t>ENSP00000328625</t>
  </si>
  <si>
    <t>21;74;155;232;292;309;312;408;427;500;622</t>
  </si>
  <si>
    <t>Cell membrane;Complete proteome;Endoplasmic reticulum;Glycoprotein;Immunity;Inflammatory response;Innate immunity;Leucine-rich repeat;Membrane;Reference proteome;Repeat;Signal;Transmembrane;Transmembrane helix</t>
  </si>
  <si>
    <t>UniRef100_Q86YC3;UniRef90_Q86YC3;UniRef50_Q8BMT4</t>
  </si>
  <si>
    <t>TMM25_HUMAN</t>
  </si>
  <si>
    <t>Transmembrane protein 25</t>
  </si>
  <si>
    <t>TMEM25</t>
  </si>
  <si>
    <t>SP:1-26;NC:27-234;TM:235-259;CY:260-366</t>
  </si>
  <si>
    <t>ENSG00000149582</t>
  </si>
  <si>
    <t>ENSP00000315635</t>
  </si>
  <si>
    <t>106;119;162;175;192;205;295;324</t>
  </si>
  <si>
    <t>SLAHN[115]LSVVATNDVGVTSASLPAPGLLATR</t>
  </si>
  <si>
    <t>Q86YD3</t>
  </si>
  <si>
    <t>Cell membrane (Single-pass type I membrane protein);Secreted;Secreted;Cell membrane (Single-pass type I membrane protein)</t>
  </si>
  <si>
    <t>Alternative splicing;Cell membrane;Complete proteome;Direct protein sequencing;Disulfide bond;Glycoprotein;Immunoglobulin domain;Membrane;Polymorphism;Reference proteome;Secreted;Signal;Transmembrane;Transmembrane helix</t>
  </si>
  <si>
    <t>UniRef100_Q86YD3;UniRef90_Q86YD3;UniRef50_Q86YD3</t>
  </si>
  <si>
    <t>LRAD3_HUMAN</t>
  </si>
  <si>
    <t>Low-density lipoprotein receptor class A domain-containing protein 3</t>
  </si>
  <si>
    <t>LDLRAD3</t>
  </si>
  <si>
    <t>SP:1-17;NC:18-171;TM:172-194;CY:195-345</t>
  </si>
  <si>
    <t>ENSG00000179241</t>
  </si>
  <si>
    <t>ENSP00000318607</t>
  </si>
  <si>
    <t>24;105;230;249</t>
  </si>
  <si>
    <t>2;47;270</t>
  </si>
  <si>
    <t>Alternative splicing;Cell membrane;Complete proteome;Disulfide bond;Glycoprotein;Lipoprotein;Membrane;Receptor;Reference proteome;Repeat;Signal;Transmembrane;Transmembrane helix</t>
  </si>
  <si>
    <t>UniRef100_Q86YD5;UniRef90_A2AR95;UniRef50_A2AR95</t>
  </si>
  <si>
    <t>JAML1_HUMAN</t>
  </si>
  <si>
    <t>Junctional adhesion molecule-like</t>
  </si>
  <si>
    <t>AMICA1</t>
  </si>
  <si>
    <t>SP:1-19;NC:20-274;TM:275-296;CY:297-394</t>
  </si>
  <si>
    <t>ENSG00000160593</t>
  </si>
  <si>
    <t>ENSP00000348635</t>
  </si>
  <si>
    <t>24;76;231;302;307;376</t>
  </si>
  <si>
    <t>340;370</t>
  </si>
  <si>
    <t>YYSN[115]LSVPIGR;ESDGGN[115]YTCSIHLGNLVFK</t>
  </si>
  <si>
    <t>76;231</t>
  </si>
  <si>
    <t>Q86YT9</t>
  </si>
  <si>
    <t>Alternative splicing;Cell adhesion;Cell junction;Cell membrane;Complete proteome;Direct protein sequencing;Disulfide bond;Glycoprotein;Immunity;Immunoglobulin domain;Membrane;Polymorphism;Reference proteome;Repeat;Signal;Transmembrane;Transmembrane helix</t>
  </si>
  <si>
    <t>UniRef100_Q86YT9;UniRef90_Q86YT9;UniRef50_Q86YT9</t>
  </si>
  <si>
    <t>INLR1_HUMAN</t>
  </si>
  <si>
    <t>Interferon lambda receptor 1</t>
  </si>
  <si>
    <t>IFNLR1</t>
  </si>
  <si>
    <t>SP:1-22;NC:23-226;TM:227-252;CY:253-520</t>
  </si>
  <si>
    <t>ENSG00000185436</t>
  </si>
  <si>
    <t>ENSP00000327824</t>
  </si>
  <si>
    <t>29;36;142;169;444</t>
  </si>
  <si>
    <t>339;367;377</t>
  </si>
  <si>
    <t>3D-structure;Alternative splicing;Antiviral defense;Complete proteome;Disulfide bond;Glycoprotein;Membrane;Receptor;Reference proteome;Signal;Transmembrane;Transmembrane helix</t>
  </si>
  <si>
    <t>UniRef100_Q8IU57;UniRef90_Q8IU57;UniRef50_Q8IU57</t>
  </si>
  <si>
    <t>TMPS6_HUMAN</t>
  </si>
  <si>
    <t>Transmembrane protease serine 6</t>
  </si>
  <si>
    <t>TMPRSS6</t>
  </si>
  <si>
    <t>CY:1-52;TM:53-76;NC:77-811</t>
  </si>
  <si>
    <t>ENSG00000187045</t>
  </si>
  <si>
    <t>ENSP00000385453</t>
  </si>
  <si>
    <t>136;184;216;338;433;453;518</t>
  </si>
  <si>
    <t>186;574;575</t>
  </si>
  <si>
    <t>73;153;247;263;312;368;382;402;588;590;611;630;638;643;703;707;775;783;805</t>
  </si>
  <si>
    <t>Alternative splicing;Cell membrane;Complete proteome;Disease mutation;Disulfide bond;Glycoprotein;Hydrolase;Membrane;Polymorphism;Protease;Reference proteome;Repeat;Serine protease;Signal-anchor;Transmembrane;Transmembrane helix;Zymogen</t>
  </si>
  <si>
    <t>UniRef100_Q8IU80;UniRef90_Q8IU80;UniRef50_Q8IU80</t>
  </si>
  <si>
    <t>ABCA9_HUMAN</t>
  </si>
  <si>
    <t>ATP-binding cassette sub-family A member 9</t>
  </si>
  <si>
    <t>ABCA9</t>
  </si>
  <si>
    <t>CY:1-30;TM:31-49;NC:50-224;TM:225-245;CY:246-264;TM:265-288;NC:289-293;TM:294-320;CY:321-328;TM:329-351;NC:352-356;TM:357-377;CY:378-396;TM:397-420;NC:421-862;TM:863-884;CY:885-1025;TM:1026-1045;NC:1046-1064;TM:1065-1085;CY:1086-1098;TM:1099-1125;NC:1126-1135;TM:1136-1154;CY:1155-1160;TM:1161-1182;NC:1183-1201;TM:1202-1223;CY:1224-1624</t>
  </si>
  <si>
    <t>ENSG00000154258</t>
  </si>
  <si>
    <t>ENSP00000342216</t>
  </si>
  <si>
    <t>72;120;195;244;456;545;556;617;920;949;999;1311;1376</t>
  </si>
  <si>
    <t>UniRef100_Q8IUA7;UniRef90_Q8IUA7;UniRef50_Q8IUA7</t>
  </si>
  <si>
    <t>SPP2C_HUMAN</t>
  </si>
  <si>
    <t>Signal peptide peptidase-like 2C</t>
  </si>
  <si>
    <t>SPPL2C</t>
  </si>
  <si>
    <t>SP:1-21;NC:22-184;TM:185-207;CY:208-250;TM:251-273;NC:274-278;TM:279-301;CY:302-319;TM:320-341;NC:342-346;TM:347-365;CY:366-376;TM:377-396;NC:397-440;TM:441-459;CY:460-470;TM:471-493;NC:494-498;TM:499-518;CY:519-684</t>
  </si>
  <si>
    <t>ENSG00000185294</t>
  </si>
  <si>
    <t>ENSP00000332488</t>
  </si>
  <si>
    <t>33;100;374</t>
  </si>
  <si>
    <t>Endoplasmic reticulum membrane (Multi-pass membrane protein);Membrane (Multi-pass membrane protein)</t>
  </si>
  <si>
    <t>Complete proteome;Endoplasmic reticulum;Glycoprotein;Hydrolase;Membrane;Polymorphism;Protease;Reference proteome;Signal;Transmembrane;Transmembrane helix</t>
  </si>
  <si>
    <t>UniRef100_Q8IUH8;UniRef90_Q8IUH8;UniRef50_Q8IUH8</t>
  </si>
  <si>
    <t>PLDX1_HUMAN</t>
  </si>
  <si>
    <t>Plexin domain-containing protein 1</t>
  </si>
  <si>
    <t>PLXDC1</t>
  </si>
  <si>
    <t>SP:1-18;NC:19-422;TM:423-447;CY:448-500</t>
  </si>
  <si>
    <t>ENSG00000161381</t>
  </si>
  <si>
    <t>ENSP00000323927</t>
  </si>
  <si>
    <t>80;88;115;189;197;321;412</t>
  </si>
  <si>
    <t>80;88;115;189;197;264;321;412</t>
  </si>
  <si>
    <t>ELWVDVAEAN[115]R</t>
  </si>
  <si>
    <t>Q8IUK5</t>
  </si>
  <si>
    <t>Cell junction, tight junction;Cell membrane (Single-pass type I membrane protein);Secreted;Secreted;Cytoplasm</t>
  </si>
  <si>
    <t>Alternative splicing;Cell junction;Cell membrane;Complete proteome;Cytoplasm;Glycoprotein;Membrane;Polymorphism;Reference proteome;Secreted;Signal;Tight junction;Transmembrane;Transmembrane helix</t>
  </si>
  <si>
    <t>UniRef100_Q8IUK5;UniRef90_Q8IUK5;UniRef50_Q8IUK5</t>
  </si>
  <si>
    <t>RELL1_HUMAN</t>
  </si>
  <si>
    <t>RELT-like protein 1</t>
  </si>
  <si>
    <t>RELL1</t>
  </si>
  <si>
    <t>SP:1-23;NC:24-57;TM:58-80;CY:81-271</t>
  </si>
  <si>
    <t>ENSG00000181826</t>
  </si>
  <si>
    <t>ENSP00000313385;ENSP00000398778</t>
  </si>
  <si>
    <t>31;49;107;207</t>
  </si>
  <si>
    <t>LVAPDN[115]GSSR</t>
  </si>
  <si>
    <t>Q8IUW5</t>
  </si>
  <si>
    <t>Cell membrane;Coiled coil;Complete proteome;Glycoprotein;Membrane;Phosphoprotein;Reference proteome;Signal;Transmembrane;Transmembrane helix</t>
  </si>
  <si>
    <t>UniRef100_Q8IUW5;UniRef90_Q8IUW5;UniRef50_Q8IUW5</t>
  </si>
  <si>
    <t>HDBP1_HUMAN</t>
  </si>
  <si>
    <t>Glycosylphosphatidylinositol-anchored high density lipoprotein-binding protein 1</t>
  </si>
  <si>
    <t>GPIHBP1</t>
  </si>
  <si>
    <t>SP:1-20;NC:21-184</t>
  </si>
  <si>
    <t>ENSG00000277494</t>
  </si>
  <si>
    <t>ENSP00000480053</t>
  </si>
  <si>
    <t>78;82</t>
  </si>
  <si>
    <t>Apical cell membrane (Lipid- anchor, GPI-anchor);Basolateral cell membrane (Lipid-anchor, GPI-anchor);Cell membrane (Peripheral membrane protein|Extracellular side</t>
  </si>
  <si>
    <t>Cell membrane;Complete proteome;Disease mutation;Disulfide bond;Glycoprotein;GPI-anchor;HDL;Lipid-binding;Lipoprotein;Membrane;Polymorphism;Reference proteome;Signal;Transport</t>
  </si>
  <si>
    <t>UniRef100_Q8IV16;UniRef90_Q8IV16;UniRef50_Q8IV16</t>
  </si>
  <si>
    <t>S41A1_HUMAN</t>
  </si>
  <si>
    <t>Solute carrier family 41 member 1</t>
  </si>
  <si>
    <t>SLC41A1</t>
  </si>
  <si>
    <t>NC:1-97;TM:98-122;CY:123-180;TM:181-204;NC:205-210;TM:211-241;CY:242-252;TM:253-276;NC:277-284;TM:285-305;CY:306-316;TM:317-337;NC:338-408;TM:409-427;CY:428-437;TM:438-459;NC:460-478;TM:479-504;CY:505-513</t>
  </si>
  <si>
    <t>ENSG00000133065</t>
  </si>
  <si>
    <t>ENSP00000356105</t>
  </si>
  <si>
    <t>SLC;Other;SLC41</t>
  </si>
  <si>
    <t>14;69;74;476</t>
  </si>
  <si>
    <t>Cell membrane;Complete proteome;Ion transport;Magnesium;Membrane;Reference proteome;Repeat;Transmembrane;Transmembrane helix;Transport</t>
  </si>
  <si>
    <t>UniRef100_Q8IVJ1;UniRef90_Q8IVJ1;UniRef50_Q8IVJ1</t>
  </si>
  <si>
    <t>S22A9_HUMAN</t>
  </si>
  <si>
    <t>Solute carrier family 22 member 9</t>
  </si>
  <si>
    <t>SLC22A9</t>
  </si>
  <si>
    <t>CY:1-13;TM:14-35;NC:36-146;TM:147-166;CY:167-177;TM:178-198;NC:199-203;TM:204-222;CY:223-233;TM:234-254;NC:255-259;TM:260-280;CY:281-350;TM:351-368;NC:369-379;TM:380-401;CY:402-410;TM:411-429;NC:430-436;TM:437-457;CY:458-468;TM:469-491;NC:492-496;TM:497-516;CY:517-553</t>
  </si>
  <si>
    <t>ENSG00000149742</t>
  </si>
  <si>
    <t>ENSP00000279178</t>
  </si>
  <si>
    <t>39;56;62;102;107;473</t>
  </si>
  <si>
    <t>UniRef100_Q8IVM8;UniRef90_Q8IVM8;UniRef50_Q8IVM8</t>
  </si>
  <si>
    <t>IGDC3_HUMAN</t>
  </si>
  <si>
    <t>Immunoglobulin superfamily DCC subclass member 3</t>
  </si>
  <si>
    <t>IGDCC3</t>
  </si>
  <si>
    <t>SP:1-39;NC:40-639;TM:640-661;CY:662-814</t>
  </si>
  <si>
    <t>ENSG00000174498</t>
  </si>
  <si>
    <t>ENSP00000332773</t>
  </si>
  <si>
    <t>93;246;381;382;580;604;634</t>
  </si>
  <si>
    <t>246;382;604;634</t>
  </si>
  <si>
    <t>UniRef100_Q8IVU1;UniRef90_Q8IVU1;UniRef50_Q8BQC3</t>
  </si>
  <si>
    <t>SPNS2_HUMAN</t>
  </si>
  <si>
    <t>Protein spinster homolog 2</t>
  </si>
  <si>
    <t>SPNS2</t>
  </si>
  <si>
    <t>NC:1-141;TM:142-162;CY:163-168;TM:169-188;NC:189-193;TM:194-217;CY:218-228;TM:229-249;NC:250-260;TM:261-281;CY:282-314;TM:315-337;NC:338-363;TM:364-385;CY:386-396;TM:397-417;NC:418-423;TM:424-451;CY:452-459;TM:460-482;NC:483-501;TM:502-527;CY:528-549</t>
  </si>
  <si>
    <t>ENSG00000183018</t>
  </si>
  <si>
    <t>ENSP00000333292</t>
  </si>
  <si>
    <t>Complete proteome;Lipid transport;Membrane;Reference proteome;Transmembrane;Transmembrane helix;Transport</t>
  </si>
  <si>
    <t>UniRef100_Q8IVW8;UniRef90_Q91VM4;UniRef50_Q91VM4</t>
  </si>
  <si>
    <t>VSTM4_HUMAN</t>
  </si>
  <si>
    <t>V-set and transmembrane domain-containing protein 4</t>
  </si>
  <si>
    <t>VSTM4</t>
  </si>
  <si>
    <t>SP:1-22;NC:23-176;TM:177-201;CY:202-320</t>
  </si>
  <si>
    <t>ENSG00000165633</t>
  </si>
  <si>
    <t>ENSP00000331062</t>
  </si>
  <si>
    <t>25;41;89;144;222;286</t>
  </si>
  <si>
    <t>VVQYYGN[115]FSR</t>
  </si>
  <si>
    <t>Q8IW00</t>
  </si>
  <si>
    <t>Alternative splicing;Cell membrane;Complete proteome;Disulfide bond;Glycoprotein;Immunoglobulin domain;Membrane;Polymorphism;Reference proteome;Secreted;Signal;Transmembrane;Transmembrane helix</t>
  </si>
  <si>
    <t>UniRef100_Q8IW00;UniRef90_Q8IW00;UniRef50_Q8IW00</t>
  </si>
  <si>
    <t>SLIK4_HUMAN</t>
  </si>
  <si>
    <t>SLIT and NTRK-like protein 4</t>
  </si>
  <si>
    <t>SLITRK4</t>
  </si>
  <si>
    <t>SP:1-18;NC:19-617;TM:618-643;CY:644-837</t>
  </si>
  <si>
    <t>81;216;325;423;798</t>
  </si>
  <si>
    <t>GDVFHN[115]LTNLR</t>
  </si>
  <si>
    <t>Q8IW52</t>
  </si>
  <si>
    <t>UniRef100_Q8IW52;UniRef90_Q810B8;UniRef50_Q810B8</t>
  </si>
  <si>
    <t>CTL2_HUMAN</t>
  </si>
  <si>
    <t>Choline transporter-like protein 2</t>
  </si>
  <si>
    <t>SLC44A2</t>
  </si>
  <si>
    <t>CY:1-33;TM:34-56;NC:57-231;TM:232-252;CY:253-258;TM:259-277;NC:278-314;TM:315-336;CY:337-360;TM:361-380;NC:381-452;TM:453-479;CY:480-499;TM:500-522;NC:523-561;TM:562-585;CY:586-599;TM:600-622;NC:623-636;TM:637-659;CY:660-706</t>
  </si>
  <si>
    <t>ENSG00000129353</t>
  </si>
  <si>
    <t>ENSP00000336888</t>
  </si>
  <si>
    <t>187;200;417;697</t>
  </si>
  <si>
    <t>RCFPAIHAYKGVLMVGN[115]ETTYEDGHGSR;GVLMVGN[115]ETTYEDGHGS;GVLMVGN[115]ETTYEDGHGSR;VLMVGN[115]ETTYEDGHGSR;LMVGN[115]ETTYEDGHGSR;MVGN[115]ETTYEDGHGSR;VGN[115]ETTYEDGHGSR;GN[115]ETTYEDGHGSR;N[115]ETTYEDGHGSR;KN[115]ITDLVEGA;KN[115]ITDLVEGAK;KN[115]ITDLVEGAKK;N[115]ITDLVEGAK;TCNPETFPSSN[115]ESR;TCNPETFPSSN[115]ESRQCPNAR;NPETFPSSN[115]ESR;PETFPSSN[115]ESR</t>
  </si>
  <si>
    <t>187;200;417</t>
  </si>
  <si>
    <t>Q8IWA5</t>
  </si>
  <si>
    <t>Alternative promoter usage;Alternative splicing;Complete proteome;Glycoprotein;Membrane;Polymorphism;Reference proteome;Transmembrane;Transmembrane helix;Transport</t>
  </si>
  <si>
    <t>UniRef100_Q8IWA5;UniRef90_Q8IWA5;UniRef50_Q8IWA5</t>
  </si>
  <si>
    <t>MFS6L_HUMAN</t>
  </si>
  <si>
    <t>Major facilitator superfamily domain-containing protein 6-like</t>
  </si>
  <si>
    <t>MFSD6L</t>
  </si>
  <si>
    <t>SP:1-28;NC:29-43;TM:44-70;CY:71-77;TM:78-97;NC:98-244;TM:245-264;CY:265-287;TM:288-309;NC:310-323;TM:324-346;CY:347-366;TM:367-389;NC:390-400;TM:401-420;CY:421-431;TM:432-450;NC:451-455;TM:456-477;CY:478-496;TM:497-516;NC:517-521;TM:522-541;CY:542-586</t>
  </si>
  <si>
    <t>ENSG00000185156</t>
  </si>
  <si>
    <t>ENSP00000330051</t>
  </si>
  <si>
    <t>110;129;224</t>
  </si>
  <si>
    <t>UniRef100_Q8IWD5;UniRef90_Q8IWD5;UniRef50_Q8IWD5</t>
  </si>
  <si>
    <t>GP125_HUMAN</t>
  </si>
  <si>
    <t>Probable G-protein coupled receptor 125</t>
  </si>
  <si>
    <t>GPR125</t>
  </si>
  <si>
    <t>SP:1-38;NC:39-761;TM:762-783;CY:784-794;TM:795-816;NC:817-827;TM:828-850;CY:851-876;TM:877-897;NC:898-918;TM:919-940;CY:941-995;TM:996-1020;NC:1021-1025;TM:1026-1045;CY:1046-1321</t>
  </si>
  <si>
    <t>ENSG00000152990</t>
  </si>
  <si>
    <t>ENSP00000334952</t>
  </si>
  <si>
    <t>81;98;159;206;301;332;433;453;592;652;687;728;821;1080;1091;1100;1108;1133;1174</t>
  </si>
  <si>
    <t>81;206;332;433;652;687;728;1080;1133</t>
  </si>
  <si>
    <t>ISELKN[115]GSFSGLSLLER;N[115]GSFSGLSLLER;VLYMFNQMPLN[115]LTNAVATAR;TVEAAN[115]FSDK;LFPATGN[115]STNLADDGK;IDGVNVDTHHIPVN[115]VTLR</t>
  </si>
  <si>
    <t>98;433;453;652;687</t>
  </si>
  <si>
    <t>Q8IWK6</t>
  </si>
  <si>
    <t>Alternative splicing;Cell membrane;Complete proteome;G-protein coupled receptor;Glycoprotein;Immunoglobulin domain;Leucine-rich repeat;Membrane;Polymorphism;Receptor;Reference proteome;Repeat;Signal;Transducer;Transmembrane;Transmembrane helix</t>
  </si>
  <si>
    <t>UniRef100_Q8IWK6;UniRef90_Q8IWK6;UniRef50_Q8IWK6</t>
  </si>
  <si>
    <t>SCN4B_HUMAN</t>
  </si>
  <si>
    <t>Sodium channel subunit beta-4</t>
  </si>
  <si>
    <t>SCN4B</t>
  </si>
  <si>
    <t>SP:1-30;NC:31-161;TM:162-183;CY:184-228</t>
  </si>
  <si>
    <t>ENSG00000177098</t>
  </si>
  <si>
    <t>ENSP00000322460</t>
  </si>
  <si>
    <t>45;71;113</t>
  </si>
  <si>
    <t>WTYN[115]SSDAFK</t>
  </si>
  <si>
    <t>Q8IWT1</t>
  </si>
  <si>
    <t>3D-structure;Alternative splicing;Atrial fibrillation;Cell membrane;Complete proteome;Disease mutation;Disulfide bond;Glycoprotein;Immunoglobulin domain;Ion channel;Ion transport;Long QT syndrome;Membrane;Reference proteome;Signal;Sodium;Sodium channel;Sodium transport;Transmembrane;Transmembrane helix;Transport;Voltage-gated channel</t>
  </si>
  <si>
    <t>UniRef100_Q8IWT1;UniRef90_Q8IWT1;UniRef50_Q8IWT1</t>
  </si>
  <si>
    <t>CNTN4_HUMAN</t>
  </si>
  <si>
    <t>Contactin-4</t>
  </si>
  <si>
    <t>CNTN4</t>
  </si>
  <si>
    <t>SP:1-18;NC:19-1026</t>
  </si>
  <si>
    <t>ENSG00000144619</t>
  </si>
  <si>
    <t>ENSP00000380602;ENSP00000396010;ENSP00000413642</t>
  </si>
  <si>
    <t>65;90;191;370;375;466;623;705;764;858;893;911;929;954</t>
  </si>
  <si>
    <t>Alternative splicing;Cell adhesion;Cell membrane;Chromosomal rearrangement;Complete proteome;Disulfide bond;Glycoprotein;GPI-anchor;Immunoglobulin domain;Lipoprotein;Membrane;Polymorphism;Reference proteome;Repeat;Secreted;Signal</t>
  </si>
  <si>
    <t>UniRef100_Q8IWV2;UniRef90_Q8IWV2;UniRef50_Q8IWV2</t>
  </si>
  <si>
    <t>CD302_HUMAN</t>
  </si>
  <si>
    <t>CD302 antigen</t>
  </si>
  <si>
    <t>CD302</t>
  </si>
  <si>
    <t>SP:1-22;NC:23-168;TM:169-193;CY:194-232</t>
  </si>
  <si>
    <t>ENSG00000241399</t>
  </si>
  <si>
    <t>ENSP00000259053</t>
  </si>
  <si>
    <t>WFDNSN[115]MTFDK</t>
  </si>
  <si>
    <t>Q8IX05</t>
  </si>
  <si>
    <t>Cell projection, filopodium;Cell projection, microvillus;Cytoplasm, cell cortex;Membrane (Single-pass type I membrane protein)</t>
  </si>
  <si>
    <t>Alternative splicing;Cell projection;Complete proteome;Cytoplasm;Disulfide bond;Glycoprotein;Lectin;Membrane;Polymorphism;Receptor;Reference proteome;Signal;Transmembrane;Transmembrane helix</t>
  </si>
  <si>
    <t>UniRef100_Q8IX05;UniRef90_Q8IX05;UniRef50_Q8IX05</t>
  </si>
  <si>
    <t>OR4N5_HUMAN</t>
  </si>
  <si>
    <t>Olfactory receptor 4N5</t>
  </si>
  <si>
    <t>OR4N5</t>
  </si>
  <si>
    <t>NC:1-24;TM:25-47;CY:48-58;TM:59-79;NC:80-99;TM:100-120;CY:121-140;TM:141-164;NC:165-203;TM:204-224;CY:225-236;TM:237-258;NC:259-269;TM:270-289;CY:290-308</t>
  </si>
  <si>
    <t>ENSG00000184394</t>
  </si>
  <si>
    <t>ENSP00000332110</t>
  </si>
  <si>
    <t>UniRef100_Q8IXE1;UniRef90_Q8IXE1;UniRef50_Q15615</t>
  </si>
  <si>
    <t>CAD26_HUMAN</t>
  </si>
  <si>
    <t>Cadherin-like protein 26</t>
  </si>
  <si>
    <t>CDH26</t>
  </si>
  <si>
    <t>SP:1-29;NC:30-615;TM:616-636;CY:637-852</t>
  </si>
  <si>
    <t>ENSG00000124215</t>
  </si>
  <si>
    <t>81;85;171;177;462;723</t>
  </si>
  <si>
    <t>UniRef100_Q8IXH8;UniRef90_Q8IXH8;UniRef50_Q8IXH8</t>
  </si>
  <si>
    <t>S15A3_HUMAN</t>
  </si>
  <si>
    <t>Solute carrier family 15 member 3</t>
  </si>
  <si>
    <t>SLC15A3</t>
  </si>
  <si>
    <t>CY:1-33;TM:34-60;NC:61-73;TM:74-94;CY:95-102;TM:103-122;NC:123-159;TM:160-179;CY:180-199;TM:200-221;NC:222-227;TM:228-252;CY:253-311;TM:312-330;NC:331-371;TM:372-389;CY:390-409;TM:410-428;NC:429-462;TM:463-483;CY:484-494;TM:495-520;NC:521-539;TM:540-560;CY:561-581</t>
  </si>
  <si>
    <t>ENSG00000110446</t>
  </si>
  <si>
    <t>ENSP00000227880</t>
  </si>
  <si>
    <t>61;66;178;223;356;439</t>
  </si>
  <si>
    <t>LHYIHHN[115]ET</t>
  </si>
  <si>
    <t>Q8IY34</t>
  </si>
  <si>
    <t>Complete proteome;Glycoprotein;Lysosome;Membrane;Peptide transport;Polymorphism;Protein transport;Reference proteome;Symport;Transmembrane;Transmembrane helix;Transport</t>
  </si>
  <si>
    <t>UniRef100_Q8IY34;UniRef90_Q8IY34;UniRef50_Q8IY34</t>
  </si>
  <si>
    <t>PSYR_HUMAN</t>
  </si>
  <si>
    <t>Psychosine receptor</t>
  </si>
  <si>
    <t>GPR65</t>
  </si>
  <si>
    <t>NC:1-17;TM:18-40;CY:41-49;TM:50-71;NC:72-90;TM:91-110;CY:111-129;TM:130-151;NC:152-183;TM:184-203;CY:204-223;TM:224-248;NC:249-270;TM:271-293;CY:294-337</t>
  </si>
  <si>
    <t>ENSG00000140030</t>
  </si>
  <si>
    <t>ENSP00000267549</t>
  </si>
  <si>
    <t>2;79;166;313</t>
  </si>
  <si>
    <t>2;79;166</t>
  </si>
  <si>
    <t>SN[115]FTLCYDK</t>
  </si>
  <si>
    <t>Q8IYL9</t>
  </si>
  <si>
    <t>Apoptosis;Cell membrane;Complete proteome;Disulfide bond;G-protein coupled receptor;Glycoprotein;Membrane;Polymorphism;Receptor;Reference proteome;Transducer;Transmembrane;Transmembrane helix</t>
  </si>
  <si>
    <t>UniRef100_Q8IYL9;UniRef90_Q8IYL9;UniRef50_Q8IYL9</t>
  </si>
  <si>
    <t>TEFF1_HUMAN</t>
  </si>
  <si>
    <t>Tomoregulin-1</t>
  </si>
  <si>
    <t>TMEFF1</t>
  </si>
  <si>
    <t>SP:1-39;NC:40-328;TM:329-352;CY:353-380</t>
  </si>
  <si>
    <t>ENSG00000241697</t>
  </si>
  <si>
    <t>ENSP00000364013</t>
  </si>
  <si>
    <t>63;147</t>
  </si>
  <si>
    <t>SIN[115]CSELNVR</t>
  </si>
  <si>
    <t>Q8IYR6</t>
  </si>
  <si>
    <t>Alternative splicing;Cell membrane;Complete proteome;Developmental protein;Disulfide bond;EGF-like domain;Membrane;Polymorphism;Reference proteome;Repeat;Signal;Transmembrane;Transmembrane helix</t>
  </si>
  <si>
    <t>UniRef100_Q8IYR6;UniRef90_Q8IYR6;UniRef50_Q8IYR6</t>
  </si>
  <si>
    <t>100526694;8577</t>
  </si>
  <si>
    <t>IZUM1_HUMAN</t>
  </si>
  <si>
    <t>Izumo sperm-egg fusion protein 1</t>
  </si>
  <si>
    <t>IZUMO1</t>
  </si>
  <si>
    <t>SP:1-21;NC:22-291;TM:292-313;CY:314-350</t>
  </si>
  <si>
    <t>ENSG00000182264</t>
  </si>
  <si>
    <t>ENSP00000327786</t>
  </si>
  <si>
    <t>204;239</t>
  </si>
  <si>
    <t>Alternative splicing;Complete proteome;Disulfide bond;Fertilization;Glycoprotein;Immunoglobulin domain;Membrane;Phosphoprotein;Polymorphism;Reference proteome;Signal;Transmembrane;Transmembrane helix</t>
  </si>
  <si>
    <t>UniRef100_Q8IYV9;UniRef90_Q8IYV9;UniRef50_Q8IYV9</t>
  </si>
  <si>
    <t>S22AF_HUMAN</t>
  </si>
  <si>
    <t>Solute carrier family 22 member 15</t>
  </si>
  <si>
    <t>SLC22A15</t>
  </si>
  <si>
    <t>CY:1-19;TM:20-43;NC:44-110;TM:111-129;CY:130-140;TM:141-158;NC:159-163;TM:164-187;CY:188-193;TM:194-221;NC:222-226;TM:227-245;CY:246-302;TM:303-324;NC:325-335;TM:336-357;CY:358-368;TM:369-387;NC:388-400;TM:401-421;CY:422-432;TM:433-452;NC:453-458;TM:459-481;CY:482-547</t>
  </si>
  <si>
    <t>ENSG00000163393</t>
  </si>
  <si>
    <t>ENSP00000358515</t>
  </si>
  <si>
    <t>58;63;80;106;286</t>
  </si>
  <si>
    <t>UniRef100_Q8IZD6;UniRef90_Q8IZD6;UniRef50_Q8IZD6</t>
  </si>
  <si>
    <t>NALCN_HUMAN</t>
  </si>
  <si>
    <t>Sodium leak channel non-selective protein</t>
  </si>
  <si>
    <t>NALCN</t>
  </si>
  <si>
    <t>CY:1-40;TM:41-61;NC:62-66;TM:67-87;CY:88-107;TM:108-127;NC:128-138;TM:139-158;CY:159-177;TM:178-200;NC:201-298;TM:299-324;CY:325-384;TM:385-406;NC:407-417;TM:418-440;CY:441-449;TM:450-467;NC:468-476;TM:477-497;CY:498-508;TM:509-528;NC:529-575;TM:576-600;CY:601-880;TM:881-905;NC:906-922;TM:923-944;CY:945-954;TM:955-974;NC:975-979;TM:980-997;CY:998-1016;TM:1017-1040;NC:1041-1133;TM:1134-1157;CY:1158-1210;TM:1211-1229;NC:1230-1240;TM:1241-1258;CY:1259-1275;TM:1276-1294;NC:1295-1299;TM:1300-1319;CY:1320-1335;TM:1336-1358;NC:1359-1422;TM:1423-1447;CY:1448-1738</t>
  </si>
  <si>
    <t>ENSG00000102452</t>
  </si>
  <si>
    <t>ENSP00000251127</t>
  </si>
  <si>
    <t>210;216;859;1064;1371;1449</t>
  </si>
  <si>
    <t>Alternative splicing;Coiled coil;Complete proteome;Disease mutation;Ion channel;Ion transport;Membrane;Neurodegeneration;Reference proteome;Repeat;Sodium;Sodium channel;Sodium transport;Transmembrane;Transmembrane helix;Transport;Voltage-gated channel</t>
  </si>
  <si>
    <t>UniRef100_Q8IZF0;UniRef90_Q8IZF0;UniRef50_Q8IZF0</t>
  </si>
  <si>
    <t>GP116_HUMAN</t>
  </si>
  <si>
    <t>Probable G-protein coupled receptor 116</t>
  </si>
  <si>
    <t>GPR116</t>
  </si>
  <si>
    <t>SP:1-21;NC:22-1006;TM:1007-1033;CY:1034-1052;TM:1053-1074;NC:1075-1093;TM:1094-1117;CY:1118-1128;TM:1129-1150;NC:1151-1170;TM:1171-1197;CY:1198-1218;TM:1219-1240;NC:1241-1245;TM:1246-1269;CY:1270-1346</t>
  </si>
  <si>
    <t>ENSG00000069122</t>
  </si>
  <si>
    <t>ENSP00000265417;ENSP00000283296</t>
  </si>
  <si>
    <t>73;94;106;188;256;272;301;315;328;339;398;472;487;505;540;627;649;666;820;931;944;963;982;1044;1186;1324;1337</t>
  </si>
  <si>
    <t>ANEQVVQSLN[115]QTYK;YEEQQLEIQN[115]SSR</t>
  </si>
  <si>
    <t>256;315</t>
  </si>
  <si>
    <t>Q8IZF2</t>
  </si>
  <si>
    <t>Alternative splicing;Cell membrane;Complete proteome;Disulfide bond;G-protein coupled receptor;Glycoprotein;Immunoglobulin domain;Membrane;Polymorphism;Receptor;Reference proteome;Repeat;Signal;Transducer;Transmembrane;Transmembrane helix</t>
  </si>
  <si>
    <t>UniRef100_Q8IZF2;UniRef90_Q8IZF2;UniRef50_Q9WVT0</t>
  </si>
  <si>
    <t>GP115_HUMAN</t>
  </si>
  <si>
    <t>Probable G-protein coupled receptor 115</t>
  </si>
  <si>
    <t>GPR115</t>
  </si>
  <si>
    <t>SP:1-21;NC:22-400;TM:401-423;CY:424-441;TM:442-462;NC:463-482;TM:483-505;CY:506-514;TM:515-536;NC:537-558;TM:559-582;CY:583-603;TM:604-626;NC:627-631;TM:632-655;CY:656-695</t>
  </si>
  <si>
    <t>ENSG00000153294</t>
  </si>
  <si>
    <t>ENSP00000283303;ENSP00000328319;ENSP00000360264</t>
  </si>
  <si>
    <t>61;169;177;209;229;250;257;263;264;286;309;340;379;679;686</t>
  </si>
  <si>
    <t>UniRef100_Q8IZF3;UniRef90_Q8IZF3;UniRef50_Q8IZF3</t>
  </si>
  <si>
    <t>GP114_HUMAN</t>
  </si>
  <si>
    <t>Probable G-protein coupled receptor 114</t>
  </si>
  <si>
    <t>GPR114</t>
  </si>
  <si>
    <t>SP:1-21;NC:22-248;TM:249-271;CY:272-286;TM:287-308;NC:309-320;TM:321-343;CY:344-353;TM:354-374;NC:375-414;TM:415-436;CY:437-456;TM:457-479;NC:480-484;TM:485-504;CY:505-528</t>
  </si>
  <si>
    <t>ENSG00000159618</t>
  </si>
  <si>
    <t>ENSP00000342981;ENSP00000290823</t>
  </si>
  <si>
    <t>18;58;65;146;147;173;179;394;400</t>
  </si>
  <si>
    <t>201;433</t>
  </si>
  <si>
    <t>UniRef100_Q8IZF4;UniRef90_Q8IZF4;UniRef50_Q8IZF4</t>
  </si>
  <si>
    <t>GP113_HUMAN</t>
  </si>
  <si>
    <t>Probable G-protein coupled receptor 113</t>
  </si>
  <si>
    <t>GPR113</t>
  </si>
  <si>
    <t>SP:1-25;NC:26-774;TM:775-799;CY:800-810;TM:811-831;NC:832-850;TM:851-873;CY:874-883;TM:884-906;NC:907-925;TM:926-949;CY:950-968;TM:969-991;NC:992-1000;TM:1001-1023;CY:1024-1079</t>
  </si>
  <si>
    <t>ENSG00000173567</t>
  </si>
  <si>
    <t>ENSP00000307831</t>
  </si>
  <si>
    <t>188;264;301;382;441;648</t>
  </si>
  <si>
    <t>UniRef100_Q8IZF5;UniRef90_Q8IZF5;UniRef50_Q8IZF5</t>
  </si>
  <si>
    <t>GP112_HUMAN</t>
  </si>
  <si>
    <t>Probable G-protein coupled receptor 112</t>
  </si>
  <si>
    <t>GPR112</t>
  </si>
  <si>
    <t>SP:1-27;NC:28-2741;TM:2742-2768;CY:2769-2778;TM:2779-2800;NC:2801-2805;TM:2806-2829;CY:2830-2848;TM:2849-2871;NC:2872-2892;TM:2893-2918;CY:2919-2938;TM:2939-2960;NC:2961-2965;TM:2966-2988;CY:2989-3080</t>
  </si>
  <si>
    <t>ENSG00000156920</t>
  </si>
  <si>
    <t>ENSP00000359686;ENSP00000377699</t>
  </si>
  <si>
    <t>151;166;233;288;335;487;652;669;681;689;701;738;798;836;899;934;1020;1053;1399;1433;1519;1568;1723;2055;2093;2356;2361;2421;2460;2480;2509;2526;2558;2640;2700;2712;2909;3010</t>
  </si>
  <si>
    <t>321;325;369;377;411;455;517;553;631;700;743;747;823;824;946;950;956;1052;1208;1333;1334;1345;1384;1507;1529;1768;1813;1819;1853;1858;1872;1903;1931;1960;1966;1997;2016;2024;2032;2045;2087;2121;2201;2209;2235</t>
  </si>
  <si>
    <t>UniRef100_Q8IZF6;UniRef90_Q8IZF6;UniRef50_Q8IZF6</t>
  </si>
  <si>
    <t>GP111_HUMAN</t>
  </si>
  <si>
    <t>Probable G-protein coupled receptor 111</t>
  </si>
  <si>
    <t>GPR111</t>
  </si>
  <si>
    <t>NC:1-447;TM:448-471;CY:472-483;TM:484-507;NC:508-527;TM:528-551;CY:552-557;TM:558-581;NC:582-603;TM:604-627;CY:628-647;TM:648-670;NC:671-675;TM:676-694;CY:695-708</t>
  </si>
  <si>
    <t>ENSG00000164393</t>
  </si>
  <si>
    <t>ENSP00000296862</t>
  </si>
  <si>
    <t>21;220;252;260;305;313;358</t>
  </si>
  <si>
    <t>UniRef100_Q8IZF7;UniRef90_Q8IZF7;UniRef50_Q8IZF7</t>
  </si>
  <si>
    <t>UNC5B_HUMAN</t>
  </si>
  <si>
    <t>Netrin receptor UNC5B</t>
  </si>
  <si>
    <t>UNC5B</t>
  </si>
  <si>
    <t>SP:1-26;NC:27-374;TM:375-399;CY:400-945</t>
  </si>
  <si>
    <t>ENSG00000107731</t>
  </si>
  <si>
    <t>ENSP00000334329</t>
  </si>
  <si>
    <t>222;347</t>
  </si>
  <si>
    <t>19;85;127;133;187;249;252;255;266;305;308;311;321;633;646;766;783;880;910</t>
  </si>
  <si>
    <t>N[115]CTDGLCMQNK</t>
  </si>
  <si>
    <t>Q8IZJ1</t>
  </si>
  <si>
    <t>Alternative splicing;Apoptosis;Complete proteome;Developmental protein;Disulfide bond;Glycoprotein;Immunoglobulin domain;Lipoprotein;Membrane;Palmitate;Phosphoprotein;Polymorphism;Receptor;Reference proteome;Repeat;Signal;Transmembrane;Transmembrane helix</t>
  </si>
  <si>
    <t>UniRef100_Q8IZJ1;UniRef90_Q8IZJ1;UniRef50_Q8IZJ1</t>
  </si>
  <si>
    <t>GPR64_HUMAN</t>
  </si>
  <si>
    <t>G-protein coupled receptor 64</t>
  </si>
  <si>
    <t>GPR64</t>
  </si>
  <si>
    <t>SP:1-37;NC:38-626;TM:627-653;CY:654-664;TM:665-687;NC:688-692;TM:693-714;CY:715-733;TM:734-756;NC:757-784;TM:785-812;CY:813-833;TM:834-854;NC:855-859;TM:860-882;CY:883-1017</t>
  </si>
  <si>
    <t>ENSG00000173698</t>
  </si>
  <si>
    <t>ENSP00000369198</t>
  </si>
  <si>
    <t>44;64;85;99;111;117;144;162;186;194;357;370;435;438;456;461;528;542;547;551;597;771;801;857;936;939;958</t>
  </si>
  <si>
    <t>64;85;144;162;186;194;357;438;461;542;547;551;597;857;936;939</t>
  </si>
  <si>
    <t>TFN[115]ASGVKPQR;NICN[115]LSSICN[115]DSAFFR;VISSSVAN[115]LTVR;RLN[115]ETICTCSHL;LN[115]ETICTCSHL</t>
  </si>
  <si>
    <t>99;111;117;542;597</t>
  </si>
  <si>
    <t>Q8IZP9</t>
  </si>
  <si>
    <t>Alternative splicing;Cell membrane;Complete proteome;G-protein coupled receptor;Glycoprotein;Membrane;Phosphoprotein;Polymorphism;Receptor;Reference proteome;Signal;Transducer;Transmembrane;Transmembrane helix</t>
  </si>
  <si>
    <t>UniRef100_Q8IZP9;UniRef90_Q8IZP9;UniRef50_Q8IZP9</t>
  </si>
  <si>
    <t>KIRR3_HUMAN</t>
  </si>
  <si>
    <t>Kin of IRRE-like protein 3</t>
  </si>
  <si>
    <t>KIRREL3</t>
  </si>
  <si>
    <t>SP:1-21;NC:22-533;TM:534-559;CY:560-778</t>
  </si>
  <si>
    <t>ENSG00000149571</t>
  </si>
  <si>
    <t>ENSP00000435466</t>
  </si>
  <si>
    <t>167;253;324;498</t>
  </si>
  <si>
    <t>167;253;324;361;498</t>
  </si>
  <si>
    <t>3D-structure;Alternative splicing;Cell membrane;Chromosomal rearrangement;Complete proteome;Disease mutation;Disulfide bond;Glycoprotein;Immunoglobulin domain;Membrane;Mental retardation;Reference proteome;Repeat;Signal;Transmembrane;Transmembrane helix</t>
  </si>
  <si>
    <t>UniRef100_Q8IZU9;UniRef90_Q8BR86;UniRef50_Q8BR86</t>
  </si>
  <si>
    <t>ABCA7_HUMAN</t>
  </si>
  <si>
    <t>ATP-binding cassette sub-family A member 7</t>
  </si>
  <si>
    <t>ABCA7</t>
  </si>
  <si>
    <t>CY:1-22;TM:23-42;NC:43-549;TM:550-570;CY:571-589;TM:590-614;NC:615-625;TM:626-646;CY:647-653;TM:654-673;NC:674-684;TM:685-707;CY:708-726;TM:727-750;NC:751-849;TM:850-869;CY:870-1238;TM:1239-1261;NC:1262-1535;TM:1536-1558;CY:1559-1577;TM:1578-1605;NC:1606-1616;TM:1617-1636;CY:1637-1646;TM:1647-1669;NC:1670-1682;TM:1683-1701;CY:1702-1732;TM:1733-1751;NC:1752-2146</t>
  </si>
  <si>
    <t>ENSG00000064687</t>
  </si>
  <si>
    <t>ENSP00000263094;ENSP00000414062</t>
  </si>
  <si>
    <t>78;98;312;340;1066;1335;1381;1386;1457;1518;1661;1797</t>
  </si>
  <si>
    <t>IFTFMN[115]DSSNVAMLQR;TGSGEVVQN[115]LTGR</t>
  </si>
  <si>
    <t>340;1381</t>
  </si>
  <si>
    <t>Q8IZY2</t>
  </si>
  <si>
    <t>Cell membrane (Multi-pass membrane protein);Endosome membrane (Multi-pass membrane protein);Golgi apparatus membrane (Multi-pass membrane protein)</t>
  </si>
  <si>
    <t>Alternative splicing;ATP-binding;Cell membrane;Complete proteome;Disulfide bond;Endosome;Glycoprotein;Golgi apparatus;Membrane;Nucleotide-binding;Phagocytosis;Polymorphism;Reference proteome;Repeat;Transmembrane;Transmembrane helix;Transport</t>
  </si>
  <si>
    <t>UniRef100_Q8IZY2;UniRef90_Q8IZY2;UniRef50_Q8IZY2</t>
  </si>
  <si>
    <t>APCD1_HUMAN</t>
  </si>
  <si>
    <t>Protein APCDD1</t>
  </si>
  <si>
    <t>APCDD1</t>
  </si>
  <si>
    <t>SP:1-26;NC:27-492;TM:493-512;CY:513-514</t>
  </si>
  <si>
    <t>ENSG00000154856</t>
  </si>
  <si>
    <t>ENSP00000347433</t>
  </si>
  <si>
    <t>100;168;319</t>
  </si>
  <si>
    <t>100;117;168;319</t>
  </si>
  <si>
    <t>LGQQVN[115]R</t>
  </si>
  <si>
    <t>Q8J025</t>
  </si>
  <si>
    <t>Cell membrane;Complete proteome;Disease mutation;Glycoprotein;Hypotrichosis;Membrane;Polymorphism;Reference proteome;Signal;Transmembrane;Transmembrane helix;Wnt signaling pathway</t>
  </si>
  <si>
    <t>UniRef100_Q8J025;UniRef90_Q8J025;UniRef50_Q8J025</t>
  </si>
  <si>
    <t>NLGNX_HUMAN</t>
  </si>
  <si>
    <t>Neuroligin-4, X-linked</t>
  </si>
  <si>
    <t>NLGN4X</t>
  </si>
  <si>
    <t>SP:1-33;NC:34-676;TM:677-698;CY:699-816</t>
  </si>
  <si>
    <t>ENSG00000146938</t>
  </si>
  <si>
    <t>ENSP00000275857;ENSP00000370482;ENSP00000370483;ENSP00000370485</t>
  </si>
  <si>
    <t>Ligand;Neuroligin</t>
  </si>
  <si>
    <t>102;511;716;803</t>
  </si>
  <si>
    <t>N[115]TTQFAAVCPQHLDER</t>
  </si>
  <si>
    <t>Q8N0W4</t>
  </si>
  <si>
    <t>Cell junction, synapse, postsynaptic cell membrane, postsynaptic density;Cell membrane (Single-pass type I membrane protein)</t>
  </si>
  <si>
    <t>3D-structure;Alternative splicing;Cell adhesion;Cell junction;Cell membrane;Complete proteome;Direct protein sequencing;Disulfide bond;Glycoprotein;Membrane;Polymorphism;Postsynaptic cell membrane;Reference proteome;Signal;Synapse;Transmembrane;Transmembrane helix</t>
  </si>
  <si>
    <t>UniRef100_Q8N0W4;UniRef90_Q8N0W4;UniRef50_Q62765</t>
  </si>
  <si>
    <t>OR4N4_HUMAN</t>
  </si>
  <si>
    <t>Olfactory receptor 4N4</t>
  </si>
  <si>
    <t>OR4N4</t>
  </si>
  <si>
    <t>NC:1-23;TM:24-47;CY:48-58;TM:59-78;NC:79-99;TM:100-120;CY:121-140;TM:141-164;NC:165-199;TM:200-223;CY:224-239;TM:240-259;NC:260-270;TM:271-289;CY:290-316</t>
  </si>
  <si>
    <t>ENSG00000183706;ENSG00000274792</t>
  </si>
  <si>
    <t>ENSP00000332500;ENSP00000480318</t>
  </si>
  <si>
    <t>UniRef100_Q8N0Y3;UniRef90_Q8N0Y3;UniRef50_Q8N0Y3</t>
  </si>
  <si>
    <t>102723532;283694</t>
  </si>
  <si>
    <t>OR8I2_HUMAN</t>
  </si>
  <si>
    <t>Olfactory receptor 8I2</t>
  </si>
  <si>
    <t>OR8I2</t>
  </si>
  <si>
    <t>NC:1-25;TM:26-48;CY:49-58;TM:59-78;NC:79-98;TM:99-120;CY:121-140;TM:141-163;NC:164-197;TM:198-220;CY:221-239;TM:240-259;NC:260-270;TM:271-291;CY:292-310</t>
  </si>
  <si>
    <t>ENSG00000172154</t>
  </si>
  <si>
    <t>ENSP00000303864</t>
  </si>
  <si>
    <t>5;263</t>
  </si>
  <si>
    <t>UniRef100_Q8N0Y5;UniRef90_Q8N0Y5;UniRef50_Q8NH87</t>
  </si>
  <si>
    <t>VSI10_HUMAN</t>
  </si>
  <si>
    <t>V-set and immunoglobulin domain-containing protein 10</t>
  </si>
  <si>
    <t>VSIG10</t>
  </si>
  <si>
    <t>SP:1-30;NC:31-410;TM:411-434;CY:435-540</t>
  </si>
  <si>
    <t>ENSG00000176834</t>
  </si>
  <si>
    <t>ENSP00000352172</t>
  </si>
  <si>
    <t>39;46;59;70;108;138;154;171;180;198;326;347;369;376;446</t>
  </si>
  <si>
    <t>GQVTWYRN[115]NSEPVFLLSSN[115]SSLRPAEPR;N[115]NSEPVFLLSSN[115]SSLRPAEPR;N[115]LTQPEVIIQPSSR</t>
  </si>
  <si>
    <t>59;70;347</t>
  </si>
  <si>
    <t>Q8N0Z9</t>
  </si>
  <si>
    <t>UniRef100_Q8N0Z9;UniRef90_Q8N0Z9;UniRef50_Q8N0Z9</t>
  </si>
  <si>
    <t>KI2LA_HUMAN</t>
  </si>
  <si>
    <t>Killer cell immunoglobulin-like receptor 2DL5A</t>
  </si>
  <si>
    <t>KIR2DL5A</t>
  </si>
  <si>
    <t>SP:1-21;NC:22-238;TM:239-260;CY:261-375</t>
  </si>
  <si>
    <t>ENSG00000274676;ENSG00000274143;ENSG00000275596</t>
  </si>
  <si>
    <t>ENSP00000479384;ENSP00000483324;ENSP00000484296</t>
  </si>
  <si>
    <t>CD158f1</t>
  </si>
  <si>
    <t>139;173;218</t>
  </si>
  <si>
    <t>TGEN[115]VTLSCSSR</t>
  </si>
  <si>
    <t>Q8N109</t>
  </si>
  <si>
    <t>UniRef100_Q8N109;UniRef90_Q8NHK3;UniRef50_Q99706</t>
  </si>
  <si>
    <t>3806;57292</t>
  </si>
  <si>
    <t>CADM3_HUMAN</t>
  </si>
  <si>
    <t>Cell adhesion molecule 3</t>
  </si>
  <si>
    <t>CADM3</t>
  </si>
  <si>
    <t>SP:1-26;NC:27-328;TM:329-354;CY:355-398</t>
  </si>
  <si>
    <t>ENSG00000162706</t>
  </si>
  <si>
    <t>ENSP00000357107;ENSP00000387802</t>
  </si>
  <si>
    <t>25;290</t>
  </si>
  <si>
    <t>MTQESALIFPFLN[115]K;TQESALIFPFLN[115]K</t>
  </si>
  <si>
    <t>Q8N126</t>
  </si>
  <si>
    <t>3D-structure;Alternative splicing;Calcium;Cell adhesion;Cell junction;Cell membrane;Complete proteome;Direct protein sequencing;Disulfide bond;Glycoprotein;Immunoglobulin domain;Membrane;Polymorphism;Reference proteome;Repeat;Signal;Transmembrane;Transmembrane helix</t>
  </si>
  <si>
    <t>UniRef100_Q8N126;UniRef90_Q8N126;UniRef50_Q8N126</t>
  </si>
  <si>
    <t>O5AS1_HUMAN</t>
  </si>
  <si>
    <t>Olfactory receptor 5AS1</t>
  </si>
  <si>
    <t>OR5AS1</t>
  </si>
  <si>
    <t>NC:1-24;TM:25-48;CY:49-59;TM:60-78;NC:79-97;TM:98-119;CY:120-137;TM:138-157;NC:158-196;TM:197-221;CY:222-241;TM:242-261;NC:262-272;TM:273-292;CY:293-324</t>
  </si>
  <si>
    <t>ENSG00000181785</t>
  </si>
  <si>
    <t>ENSP00000324111</t>
  </si>
  <si>
    <t>5;52;65</t>
  </si>
  <si>
    <t>UniRef100_Q8N127;UniRef90_Q8N127;UniRef50_Q96R08</t>
  </si>
  <si>
    <t>NPT2C_HUMAN</t>
  </si>
  <si>
    <t>Sodium-dependent phosphate transport protein 2C</t>
  </si>
  <si>
    <t>SLC34A3</t>
  </si>
  <si>
    <t>CY:1-73;TM:74-97;NC:98-112;TM:113-132;CY:133-187;TM:188-209;NC:210-320;TM:321-346;CY:347-366;TM:367-389;NC:390-442;TM:443-464;CY:465-483;TM:484-505;NC:506-513;TM:514-534;CY:535-599</t>
  </si>
  <si>
    <t>ENSG00000198569</t>
  </si>
  <si>
    <t>ENSP00000355353;ENSP00000442397</t>
  </si>
  <si>
    <t>265;268;286;299</t>
  </si>
  <si>
    <t>Complete proteome;Disease mutation;Disulfide bond;Glycoprotein;Ion transport;Membrane;Polymorphism;Reference proteome;Sodium;Sodium transport;Symport;Transmembrane;Transmembrane helix;Transport</t>
  </si>
  <si>
    <t>UniRef100_Q8N130;UniRef90_Q8N130;UniRef50_Q8N130</t>
  </si>
  <si>
    <t>PORIM_HUMAN</t>
  </si>
  <si>
    <t>Porimin</t>
  </si>
  <si>
    <t>TMEM123</t>
  </si>
  <si>
    <t>SP:1-31;NC:32-168;TM:169-190;CY:191-208</t>
  </si>
  <si>
    <t>ENSG00000152558</t>
  </si>
  <si>
    <t>ENSP00000381204</t>
  </si>
  <si>
    <t>46;50;64;68;83;96;106;124;138</t>
  </si>
  <si>
    <t>50;64;68;83;96;106</t>
  </si>
  <si>
    <t>67;122;131;136</t>
  </si>
  <si>
    <t>Alternative splicing;Complete proteome;Direct protein sequencing;Glycoprotein;Membrane;Polymorphism;Receptor;Reference proteome;Signal;Transmembrane;Transmembrane helix</t>
  </si>
  <si>
    <t>UniRef100_Q8N131;UniRef90_Q8N131;UniRef50_Q8N131</t>
  </si>
  <si>
    <t>ABCA6_HUMAN</t>
  </si>
  <si>
    <t>ATP-binding cassette sub-family A member 6</t>
  </si>
  <si>
    <t>ABCA6</t>
  </si>
  <si>
    <t>SP:1-52;NC:53-221;TM:222-242;CY:243-262;TM:263-286;NC:287-291;TM:292-318;CY:319-326;TM:327-348;NC:349-394;TM:395-417;CY:418-853;TM:854-877;NC:878-1017;TM:1018-1036;CY:1037-1056;TM:1057-1082;NC:1083-1093;TM:1094-1117;CY:1118-1127;TM:1128-1147;NC:1148-1152;TM:1153-1174;CY:1175-1193;TM:1194-1214;NC:1215-1617</t>
  </si>
  <si>
    <t>ENSG00000154262</t>
  </si>
  <si>
    <t>ENSP00000284425</t>
  </si>
  <si>
    <t>71;84;91;109;130;241;436;544;576;911;940;990;1305</t>
  </si>
  <si>
    <t>UniRef100_Q8N139;UniRef90_Q8N139;UniRef50_O94911</t>
  </si>
  <si>
    <t>OR8H3_HUMAN</t>
  </si>
  <si>
    <t>Olfactory receptor 8H3</t>
  </si>
  <si>
    <t>OR8H3</t>
  </si>
  <si>
    <t>NC:1-25;TM:26-49;CY:50-60;TM:61-78;NC:79-97;TM:98-120;CY:121-139;TM:140-160;NC:161-196;TM:197-221;CY:222-240;TM:241-260;NC:261-271;TM:272-292;CY:293-312</t>
  </si>
  <si>
    <t>ENSG00000181761</t>
  </si>
  <si>
    <t>ENSP00000323928</t>
  </si>
  <si>
    <t>6;229</t>
  </si>
  <si>
    <t>UniRef100_Q8N146;UniRef90_Q8N146;UniRef50_Q8N146</t>
  </si>
  <si>
    <t>OR6V1_HUMAN</t>
  </si>
  <si>
    <t>Olfactory receptor 6V1</t>
  </si>
  <si>
    <t>OR6V1</t>
  </si>
  <si>
    <t>NC:1-23;TM:24-46;CY:47-57;TM:58-77;NC:78-98;TM:99-118;CY:119-137;TM:138-158;NC:159-197;TM:198-219;CY:220-239;TM:240-259;NC:260-270;TM:271-291;CY:292-313</t>
  </si>
  <si>
    <t>ENSG00000225781;ENSG00000277378</t>
  </si>
  <si>
    <t>ENSP00000396085;ENSP00000483439</t>
  </si>
  <si>
    <t>3;63;292</t>
  </si>
  <si>
    <t>UniRef100_Q8N148;UniRef90_Q8N148;UniRef50_Q8N148</t>
  </si>
  <si>
    <t>LIRA2_HUMAN</t>
  </si>
  <si>
    <t>Leukocyte immunoglobulin-like receptor subfamily A member 2</t>
  </si>
  <si>
    <t>LILRA2</t>
  </si>
  <si>
    <t>SP:1-23;NC:24-449;TM:450-468;CY:469-483</t>
  </si>
  <si>
    <t>ENSG00000239998;ENSG00000275290;ENSG00000274000;ENSG00000278634</t>
  </si>
  <si>
    <t>ENSP00000251376;ENSP00000251377;ENSP00000375618;ENSP00000478981;ENSP00000481338;ENSP00000479914;ENSP00000483906</t>
  </si>
  <si>
    <t>CD85h</t>
  </si>
  <si>
    <t>64;103;138;279;300;339;429</t>
  </si>
  <si>
    <t>3D-structure;Adaptive immunity;Alternative splicing;Complete proteome;Disulfide bond;Glycoprotein;Immunity;Immunoglobulin domain;Membrane;Polymorphism;Receptor;Reference proteome;Repeat;Secreted;Signal;Transmembrane;Transmembrane helix</t>
  </si>
  <si>
    <t>UniRef100_Q8N149;UniRef90_Q8N149;UniRef50_Q8N149</t>
  </si>
  <si>
    <t>GPC2_HUMAN</t>
  </si>
  <si>
    <t>Glypican-2</t>
  </si>
  <si>
    <t>GPC2</t>
  </si>
  <si>
    <t>SP:1-26;NC:27-579</t>
  </si>
  <si>
    <t>ENSG00000213420</t>
  </si>
  <si>
    <t>ENSP00000292377</t>
  </si>
  <si>
    <t>UniRef100_Q8N158;UniRef90_Q8N158;UniRef50_Q8N158</t>
  </si>
  <si>
    <t>OR8H2_HUMAN</t>
  </si>
  <si>
    <t>Olfactory receptor 8H2</t>
  </si>
  <si>
    <t>OR8H2</t>
  </si>
  <si>
    <t>NC:1-25;TM:26-49;CY:50-60;TM:61-78;NC:79-97;TM:98-119;CY:120-139;TM:140-161;NC:162-196;TM:197-221;CY:222-240;TM:241-260;NC:261-271;TM:272-292;CY:293-312</t>
  </si>
  <si>
    <t>ENSG00000181767</t>
  </si>
  <si>
    <t>ENSP00000323982</t>
  </si>
  <si>
    <t>UniRef100_Q8N162;UniRef90_Q8N146;UniRef50_Q8N146</t>
  </si>
  <si>
    <t>GBRG1_HUMAN</t>
  </si>
  <si>
    <t>Gamma-aminobutyric acid receptor subunit gamma-1</t>
  </si>
  <si>
    <t>GABRG1</t>
  </si>
  <si>
    <t>SP:1-18;NC:19-271;TM:272-293;CY:294-302;TM:303-321;NC:322-331;TM:332-353;CY:354-444;TM:445-464;NC:465-465</t>
  </si>
  <si>
    <t>ENSG00000163285</t>
  </si>
  <si>
    <t>ENSP00000295452</t>
  </si>
  <si>
    <t>50;127;245;393</t>
  </si>
  <si>
    <t>Cell junction;Cell membrane;Chloride;Chloride channel;Complete proteome;Disulfide bond;Glycoprotein;Ion channel;Ion transport;Lipoprotein;Membrane;Palmitate;Polymorphism;Postsynaptic cell membrane;Reference proteome;Signal;Synapse;Transmembrane;Transmembrane helix;Transport</t>
  </si>
  <si>
    <t>UniRef100_Q8N1C3;UniRef90_P23574;UniRef50_P18507</t>
  </si>
  <si>
    <t>DYNAP_HUMAN</t>
  </si>
  <si>
    <t>Dynactin-associated protein</t>
  </si>
  <si>
    <t>DYNAP</t>
  </si>
  <si>
    <t>CY:1-113;TM:114-136;NC:137-210</t>
  </si>
  <si>
    <t>ENSG00000178690</t>
  </si>
  <si>
    <t>ENSP00000315265</t>
  </si>
  <si>
    <t>75;143</t>
  </si>
  <si>
    <t>Cell membrane (Single-pass membrane protein);Golgi apparatus membrane (Single-pass membrane protein)</t>
  </si>
  <si>
    <t>Cell membrane;Complete proteome;Golgi apparatus;Membrane;Polymorphism;Reference proteome;Signal-anchor;Transmembrane;Transmembrane helix</t>
  </si>
  <si>
    <t>UniRef100_Q8N1N2;UniRef90_Q8N1N2;UniRef50_Q8N1N2</t>
  </si>
  <si>
    <t>PROM2_HUMAN</t>
  </si>
  <si>
    <t>Prominin-2</t>
  </si>
  <si>
    <t>PROM2</t>
  </si>
  <si>
    <t>SP:1-26;NC:27-103;TM:104-131;CY:132-151;TM:152-175;NC:176-424;TM:425-452;CY:453-472;TM:473-497;NC:498-779;TM:780-800;CY:801-834</t>
  </si>
  <si>
    <t>ENSG00000155066</t>
  </si>
  <si>
    <t>ENSP00000318270;ENSP00000318520;ENSP00000385716</t>
  </si>
  <si>
    <t>270;343;352;530;540;563;684;707;725</t>
  </si>
  <si>
    <t>KN[115]ISIHQAYQQCK;N[115]ISIHQAYQQCK;ALESSAPNLQLETSDVLAN[115]VTYLK</t>
  </si>
  <si>
    <t>540;707</t>
  </si>
  <si>
    <t>Q8N271</t>
  </si>
  <si>
    <t>Apical cell membrane (Multi- pass membrane protein);Basolateral cell membrane (Multi-pass membrane protein);Cell projection, cilium membrane (Multi-pass membrane protein);Cell projection, microvillus membrane (Multi-pass membrane protein)</t>
  </si>
  <si>
    <t>Alternative splicing;Cell membrane;Cell projection;Cilium;Complete proteome;Glycoprotein;Membrane;Phosphoprotein;Polymorphism;Reference proteome;Signal;Transmembrane;Transmembrane helix</t>
  </si>
  <si>
    <t>UniRef100_Q8N271;UniRef90_Q8N271;UniRef50_Q8N271</t>
  </si>
  <si>
    <t>LYPD1_HUMAN</t>
  </si>
  <si>
    <t>Ly6/PLAUR domain-containing protein 1</t>
  </si>
  <si>
    <t>LYPD1</t>
  </si>
  <si>
    <t>SP:1-22;NC:23-141</t>
  </si>
  <si>
    <t>ENSG00000150551</t>
  </si>
  <si>
    <t>ENSP00000380605</t>
  </si>
  <si>
    <t>Alternative splicing;Cell membrane;Complete proteome;Glycoprotein;GPI-anchor;Lipoprotein;Membrane;Reference proteome;Signal</t>
  </si>
  <si>
    <t>UniRef100_Q8N2G4;UniRef90_Q8N2G4;UniRef50_Q8N2G4</t>
  </si>
  <si>
    <t>NLGN1_HUMAN</t>
  </si>
  <si>
    <t>Neuroligin-1</t>
  </si>
  <si>
    <t>NLGN1</t>
  </si>
  <si>
    <t>SP:1-45;NC:46-693;TM:694-716;CY:717-840</t>
  </si>
  <si>
    <t>ENSG00000169760</t>
  </si>
  <si>
    <t>109;300;340;544;822</t>
  </si>
  <si>
    <t>N[115]ATQFAPVCPQNIIDGR;VGCN[115]VSDTVELVECLQK;IGPTELFPCN[115]FSK</t>
  </si>
  <si>
    <t>109;340;544</t>
  </si>
  <si>
    <t>Q8N2Q7</t>
  </si>
  <si>
    <t>Cell junction, synapse;Cell junction, synapse, postsynaptic cell membrane, postsynaptic density;Cell membrane (Single-pass type I membrane protein)</t>
  </si>
  <si>
    <t>Alternative splicing;Cell adhesion;Cell junction;Cell membrane;Complete proteome;Disulfide bond;Glycoprotein;Membrane;Postsynaptic cell membrane;Reference proteome;Signal;Synapse;Transmembrane;Transmembrane helix</t>
  </si>
  <si>
    <t>UniRef100_Q8N2Q7;UniRef90_Q62765;UniRef50_Q62765</t>
  </si>
  <si>
    <t>OR2LD_HUMAN</t>
  </si>
  <si>
    <t>Olfactory receptor 2L13</t>
  </si>
  <si>
    <t>OR2L13</t>
  </si>
  <si>
    <t>NC:1-22;TM:23-47;CY:48-58;TM:59-77;NC:78-98;TM:99-119;CY:120-139;TM:140-161;NC:162-196;TM:197-224;CY:225-235;TM:236-256;NC:257-271;TM:272-291;CY:292-312</t>
  </si>
  <si>
    <t>ENSG00000196071</t>
  </si>
  <si>
    <t>ENSP00000350836;ENSP00000355434</t>
  </si>
  <si>
    <t>5;20</t>
  </si>
  <si>
    <t>UniRef100_Q8N349;UniRef90_Q8N349;UniRef50_Q8N349</t>
  </si>
  <si>
    <t>LAT4_HUMAN</t>
  </si>
  <si>
    <t>Large neutral amino acids transporter small subunit 4</t>
  </si>
  <si>
    <t>SLC43A2</t>
  </si>
  <si>
    <t>CY:1-12;TM:13-39;NC:40-87;TM:88-108;CY:109-117;TM:118-137;NC:138-142;TM:143-166;CY:167-177;TM:178-197;NC:198-202;TM:203-227;CY:228-322;TM:323-342;NC:343-361;TM:362-384;CY:385-423;TM:424-447;NC:448-453;TM:454-475;CY:476-486;TM:487-508;NC:509-514;TM:515-537;CY:538-569</t>
  </si>
  <si>
    <t>ENSG00000167703;ENSG00000278550</t>
  </si>
  <si>
    <t>ENSP00000301335;ENSP00000483848</t>
  </si>
  <si>
    <t>55;58;560</t>
  </si>
  <si>
    <t>Alternative splicing;Amino-acid transport;Complete proteome;Glycoprotein;Membrane;Phosphoprotein;Reference proteome;Transmembrane;Transmembrane helix;Transport</t>
  </si>
  <si>
    <t>UniRef100_Q8N370;UniRef90_Q8N370;UniRef50_Q8N370</t>
  </si>
  <si>
    <t>LRC25_HUMAN</t>
  </si>
  <si>
    <t>Leucine-rich repeat-containing protein 25</t>
  </si>
  <si>
    <t>LRRC25</t>
  </si>
  <si>
    <t>SP:1-20;NC:21-163;TM:164-190;CY:191-305</t>
  </si>
  <si>
    <t>ENSG00000175489</t>
  </si>
  <si>
    <t>ENSP00000340983;ENSP00000472290</t>
  </si>
  <si>
    <t>44;55;130;148</t>
  </si>
  <si>
    <t>SLPHN[115]QSLR;LPHN[115]QSLR</t>
  </si>
  <si>
    <t>Q8N386</t>
  </si>
  <si>
    <t>Complete proteome;Glycoprotein;Leucine-rich repeat;Membrane;Phosphoprotein;Polymorphism;Reference proteome;Repeat;Signal;Transmembrane;Transmembrane helix</t>
  </si>
  <si>
    <t>UniRef100_Q8N386;UniRef90_Q8N386;UniRef50_Q8N386</t>
  </si>
  <si>
    <t>MUC15_HUMAN</t>
  </si>
  <si>
    <t>Mucin-15</t>
  </si>
  <si>
    <t>MUC15</t>
  </si>
  <si>
    <t>SP:1-23;NC:24-237;TM:238-261;CY:262-334</t>
  </si>
  <si>
    <t>ENSG00000169550</t>
  </si>
  <si>
    <t>ENSP00000397339</t>
  </si>
  <si>
    <t>30;61;79;90;139;148;155;163;218;225;298;307</t>
  </si>
  <si>
    <t>30;61;79;90;139;148;155;163;218;225;298;303;307</t>
  </si>
  <si>
    <t>Alternative splicing;Cell membrane;Complete proteome;Glycoprotein;Membrane;Polymorphism;Reference proteome;Secreted;Signal;Transmembrane;Transmembrane helix</t>
  </si>
  <si>
    <t>UniRef100_Q8N387;UniRef90_Q8N387;UniRef50_Q8N387</t>
  </si>
  <si>
    <t>G137C_HUMAN</t>
  </si>
  <si>
    <t>Integral membrane protein GPR137C</t>
  </si>
  <si>
    <t>GPR137C</t>
  </si>
  <si>
    <t>NC:1-49;TM:50-72;CY:73-83;TM:84-105;NC:106-124;TM:125-145;CY:146-165;TM:166-189;NC:190-200;TM:201-223;CY:224-242;TM:243-267;NC:268-299;TM:300-322;CY:323-429</t>
  </si>
  <si>
    <t>ENSG00000180998</t>
  </si>
  <si>
    <t>ENSP00000315106</t>
  </si>
  <si>
    <t>181;208;285</t>
  </si>
  <si>
    <t>UniRef100_Q8N3F9;UniRef90_Q8N3F9;UniRef50_Q8N3F9</t>
  </si>
  <si>
    <t>CADM2_HUMAN</t>
  </si>
  <si>
    <t>Cell adhesion molecule 2</t>
  </si>
  <si>
    <t>CADM2</t>
  </si>
  <si>
    <t>SP:1-24;NC:25-367;TM:368-389;CY:390-435</t>
  </si>
  <si>
    <t>ENSG00000175161</t>
  </si>
  <si>
    <t>ENSP00000384575</t>
  </si>
  <si>
    <t>31;51;211;287;291</t>
  </si>
  <si>
    <t>ELNILFLN[115]K</t>
  </si>
  <si>
    <t>Q8N3J6</t>
  </si>
  <si>
    <t>Cell junction, synapse;Cell membrane (Single-pass type I membrane protein);Cell projection, axon</t>
  </si>
  <si>
    <t>Alternative splicing;Cell adhesion;Cell junction;Cell membrane;Cell projection;Complete proteome;Disulfide bond;Glycoprotein;Immunoglobulin domain;Membrane;Reference proteome;Repeat;Signal;Synapse;Transmembrane;Transmembrane helix</t>
  </si>
  <si>
    <t>UniRef100_Q8N3J6;UniRef90_Q8N3J6;UniRef50_Q8N3J6</t>
  </si>
  <si>
    <t>T132C_HUMAN</t>
  </si>
  <si>
    <t>Transmembrane protein 132C</t>
  </si>
  <si>
    <t>TMEM132C</t>
  </si>
  <si>
    <t>SP:1-27;NC:28-924;TM:925-947;CY:948-1108</t>
  </si>
  <si>
    <t>ENSG00000181234</t>
  </si>
  <si>
    <t>ENSP00000410852</t>
  </si>
  <si>
    <t>74;96;316;373;507</t>
  </si>
  <si>
    <t>UniRef100_Q8N3T6;UniRef90_Q8N3T6;UniRef50_Q8N3T6</t>
  </si>
  <si>
    <t>LIRB2_HUMAN</t>
  </si>
  <si>
    <t>Leukocyte immunoglobulin-like receptor subfamily B member 2</t>
  </si>
  <si>
    <t>LILRB2</t>
  </si>
  <si>
    <t>SP:1-23;NC:24-458;TM:459-483;CY:484-598</t>
  </si>
  <si>
    <t>ENSG00000131042;ENSG00000276146;ENSG00000275463;ENSG00000274513</t>
  </si>
  <si>
    <t>ENSP00000319960;ENSP00000375626;ENSP00000375628;ENSP00000375629;ENSP00000410117;ENSP00000482933;ENSP00000484373;ENSP00000483553;ENSP00000480302;ENSP00000481208</t>
  </si>
  <si>
    <t>CD85d</t>
  </si>
  <si>
    <t>280;301;340</t>
  </si>
  <si>
    <t>370;422;426;430;434;435;513;554;575;580</t>
  </si>
  <si>
    <t>3D-structure;Adaptive immunity;Alternative splicing;Complete proteome;Disulfide bond;Glycoprotein;Immunity;Immunoglobulin domain;Membrane;Phosphoprotein;Polymorphism;Receptor;Reference proteome;Repeat;Signal;Transmembrane;Transmembrane helix</t>
  </si>
  <si>
    <t>UniRef100_Q8N423;UniRef90_Q8N423;UniRef50_Q8N423</t>
  </si>
  <si>
    <t>SVOPL_HUMAN</t>
  </si>
  <si>
    <t>Putative transporter SVOPL</t>
  </si>
  <si>
    <t>SVOPL</t>
  </si>
  <si>
    <t>CY:1-48;TM:49-72;NC:73-84;TM:85-107;CY:108-115;TM:116-140;NC:141-177;TM:178-196;CY:197-202;TM:203-222;NC:223-281;TM:282-305;CY:306-371;TM:372-390;NC:391-395;TM:396-418;CY:419-429;TM:430-450;NC:451-455;TM:456-479;CY:480-492</t>
  </si>
  <si>
    <t>ENSG00000157703</t>
  </si>
  <si>
    <t>ENSP00000405482</t>
  </si>
  <si>
    <t>229;249</t>
  </si>
  <si>
    <t>UniRef100_Q8N434;UniRef90_Q8N434;UniRef50_Q8N434</t>
  </si>
  <si>
    <t>FGRL1_HUMAN</t>
  </si>
  <si>
    <t>Fibroblast growth factor receptor-like 1</t>
  </si>
  <si>
    <t>FGFRL1</t>
  </si>
  <si>
    <t>SP:1-24;NC:25-375;TM:376-398;CY:399-504</t>
  </si>
  <si>
    <t>ENSG00000127418</t>
  </si>
  <si>
    <t>ENSP00000264748;ENSP00000381498;ENSP00000423091;ENSP00000425025</t>
  </si>
  <si>
    <t>111;231;255;293</t>
  </si>
  <si>
    <t>AGAIN[115]ATYK;HN[115]STIDVGGQK</t>
  </si>
  <si>
    <t>231;293</t>
  </si>
  <si>
    <t>Q8N441</t>
  </si>
  <si>
    <t>Complete proteome;Direct protein sequencing;Disulfide bond;Glycoprotein;Immunoglobulin domain;Membrane;Polymorphism;Receptor;Reference proteome;Repeat;Signal;Transmembrane;Transmembrane helix</t>
  </si>
  <si>
    <t>UniRef100_Q8N441;UniRef90_Q8N441;UniRef50_Q91V87</t>
  </si>
  <si>
    <t>MFSD4_HUMAN</t>
  </si>
  <si>
    <t>Major facilitator superfamily domain-containing protein 4</t>
  </si>
  <si>
    <t>MFSD4</t>
  </si>
  <si>
    <t>CY:1-19;TM:20-40;NC:41-51;TM:52-74;CY:75-81;TM:82-101;NC:102-106;TM:107-127;CY:128-138;TM:139-160;NC:161-220;TM:221-241;CY:242-305;TM:306-328;NC:329-346;TM:347-366;CY:367-376;TM:377-396;NC:397-401;TM:402-424;CY:425-435;TM:436-458;NC:459-463;TM:464-487;CY:488-514</t>
  </si>
  <si>
    <t>ENSG00000174514</t>
  </si>
  <si>
    <t>ENSP00000356115</t>
  </si>
  <si>
    <t>173;177;203</t>
  </si>
  <si>
    <t>ANSTAN[115]TTSR</t>
  </si>
  <si>
    <t>Q8N468</t>
  </si>
  <si>
    <t>Alternative splicing;Complete proteome;Glycoprotein;Membrane;Polymorphism;Reference proteome;Transmembrane;Transmembrane helix;Transport</t>
  </si>
  <si>
    <t>UniRef100_Q8N468;UniRef90_Q8N468;UniRef50_Q8N468</t>
  </si>
  <si>
    <t>RPRML_HUMAN</t>
  </si>
  <si>
    <t>Reprimo-like protein</t>
  </si>
  <si>
    <t>RPRML</t>
  </si>
  <si>
    <t>NC:1-67;TM:68-93;CY:94-120</t>
  </si>
  <si>
    <t>ENSG00000179673</t>
  </si>
  <si>
    <t>ENSP00000318032</t>
  </si>
  <si>
    <t>2;7;27</t>
  </si>
  <si>
    <t>UniRef100_Q8N4K4;UniRef90_Q8N4K4;UniRef50_Q8N4K4</t>
  </si>
  <si>
    <t>CTL3_HUMAN</t>
  </si>
  <si>
    <t>Choline transporter-like protein 3</t>
  </si>
  <si>
    <t>SLC44A3</t>
  </si>
  <si>
    <t>NC:1-32;TM:33-55;CY:56-213;TM:214-233;NC:234-238;TM:239-263;CY:264-283;TM:284-305;NC:306-333;TM:334-359;CY:360-380;TM:381-407;NC:408-425;TM:426-448;CY:449-531;TM:532-555;NC:556-560;TM:561-580;CY:581-653</t>
  </si>
  <si>
    <t>ENSG00000143036</t>
  </si>
  <si>
    <t>ENSP00000271227</t>
  </si>
  <si>
    <t>136;151;412;503;521</t>
  </si>
  <si>
    <t>UniRef100_Q8N4M1;UniRef90_Q8N4M1;UniRef50_Q8N4M1</t>
  </si>
  <si>
    <t>FA26E_HUMAN</t>
  </si>
  <si>
    <t>Protein FAM26E</t>
  </si>
  <si>
    <t>FAM26E</t>
  </si>
  <si>
    <t>CY:1-16;TM:17-37;NC:38-49;TM:50-69;CY:70-95;TM:96-117;NC:118-180;TM:181-201;CY:202-309</t>
  </si>
  <si>
    <t>ENSG00000178033</t>
  </si>
  <si>
    <t>ENSP00000357588</t>
  </si>
  <si>
    <t>47;71;121</t>
  </si>
  <si>
    <t>Complete proteome;Ion channel;Ion transport;Membrane;Reference proteome;Transmembrane;Transmembrane helix;Transport</t>
  </si>
  <si>
    <t>UniRef100_Q8N5C1;UniRef90_Q8N5C1;UniRef50_Q8N5C1</t>
  </si>
  <si>
    <t>M4A15_HUMAN</t>
  </si>
  <si>
    <t>Membrane-spanning 4-domains subfamily A member 15</t>
  </si>
  <si>
    <t>MS4A15</t>
  </si>
  <si>
    <t>NC:1-73;TM:74-95;CY:96-101;TM:102-123;NC:124-139;TM:140-160;CY:161-170;TM:171-193;NC:194-240</t>
  </si>
  <si>
    <t>ENSG00000166961</t>
  </si>
  <si>
    <t>ENSP00000386022</t>
  </si>
  <si>
    <t>18;130</t>
  </si>
  <si>
    <t>Alternative splicing;Complete proteome;Membrane;Polymorphism;Receptor;Reference proteome;Transmembrane;Transmembrane helix</t>
  </si>
  <si>
    <t>UniRef100_Q8N5U1;UniRef90_Q8N5U1;UniRef50_Q8N5U1</t>
  </si>
  <si>
    <t>DPP10_HUMAN</t>
  </si>
  <si>
    <t>Inactive dipeptidyl peptidase 10</t>
  </si>
  <si>
    <t>DPP10</t>
  </si>
  <si>
    <t>CY:1-34;TM:35-56;NC:57-796</t>
  </si>
  <si>
    <t>ENSG00000175497</t>
  </si>
  <si>
    <t>ENSP00000386565</t>
  </si>
  <si>
    <t>2;63;90;111;119;257;342;748;760</t>
  </si>
  <si>
    <t>Alternative splicing;Asthma;Complete proteome;Glycoprotein;Membrane;Phosphoprotein;Polymorphism;Reference proteome;Signal-anchor;Transmembrane;Transmembrane helix</t>
  </si>
  <si>
    <t>UniRef100_Q8N608;UniRef90_Q8N608;UniRef50_Q8N608</t>
  </si>
  <si>
    <t>OR2C3_HUMAN</t>
  </si>
  <si>
    <t>Olfactory receptor 2C3</t>
  </si>
  <si>
    <t>OR2C3</t>
  </si>
  <si>
    <t>NC:1-26;TM:27-49;CY:50-60;TM:61-82;NC:83-101;TM:102-121;CY:122-140;TM:141-160;NC:161-200;TM:201-222;CY:223-241;TM:242-262;NC:263-273;TM:274-293;CY:294-320</t>
  </si>
  <si>
    <t>ENSG00000196242</t>
  </si>
  <si>
    <t>ENSP00000355443;ENSP00000479757</t>
  </si>
  <si>
    <t>UniRef100_Q8N628;UniRef90_Q8N628;UniRef50_Q8N628</t>
  </si>
  <si>
    <t>SC5A8_HUMAN</t>
  </si>
  <si>
    <t>Sodium-coupled monocarboxylate transporter 1</t>
  </si>
  <si>
    <t>SLC5A8</t>
  </si>
  <si>
    <t>NC:1-11;TM:12-34;CY:35-53;TM:54-73;NC:74-81;TM:82-108;CY:109-128;TM:129-150;NC:151-161;TM:162-181;CY:182-190;TM:191-211;NC:212-240;TM:241-259;CY:260-279;TM:280-302;NC:303-338;TM:339-364;CY:365-387;TM:388-410;NC:411-415;TM:416-436;CY:437-441;TM:442-463;NC:464-520;TM:521-541;CY:542-610</t>
  </si>
  <si>
    <t>ENSG00000256870;ENSG00000262217</t>
  </si>
  <si>
    <t>ENSP00000445340;ENSP00000461697</t>
  </si>
  <si>
    <t>260;481;485;606</t>
  </si>
  <si>
    <t>Apoptosis;Cell membrane;Complete proteome;Glycoprotein;Ion transport;Membrane;Polymorphism;Reference proteome;Sodium;Sodium transport;Symport;Transmembrane;Transmembrane helix;Transport;Tumor suppressor</t>
  </si>
  <si>
    <t>UniRef100_Q8N695;UniRef90_Q8N695;UniRef50_Q8N695</t>
  </si>
  <si>
    <t>S15A4_HUMAN</t>
  </si>
  <si>
    <t>Solute carrier family 15 member 4</t>
  </si>
  <si>
    <t>SLC15A4</t>
  </si>
  <si>
    <t>CY:1-48;TM:49-66;NC:67-76;TM:77-96;CY:97-104;TM:105-125;NC:126-155;TM:156-175;CY:176-195;TM:196-216;NC:217-221;TM:222-243;CY:244-316;TM:317-337;NC:338-364;TM:365-383;CY:384-403;TM:404-422;NC:423-457;TM:458-478;CY:479-488;TM:489-512;NC:513-533;TM:534-555;CY:556-577</t>
  </si>
  <si>
    <t>ENSG00000139370</t>
  </si>
  <si>
    <t>ENSP00000266771</t>
  </si>
  <si>
    <t>140;174;219;356;436</t>
  </si>
  <si>
    <t>LLN[115]CTAPGPDAAAR;IPEISN[115]ITTTPH;TIN[115]QTIGNVVYH</t>
  </si>
  <si>
    <t>140;356;436</t>
  </si>
  <si>
    <t>Q8N697</t>
  </si>
  <si>
    <t>Alternative splicing;Complete proteome;Membrane;Peptide transport;Phosphoprotein;Polymorphism;Protein transport;Reference proteome;Symport;Transmembrane;Transmembrane helix;Transport</t>
  </si>
  <si>
    <t>UniRef100_Q8N697;UniRef90_Q8N697;UniRef50_Q8N697</t>
  </si>
  <si>
    <t>IGSF1_HUMAN</t>
  </si>
  <si>
    <t>Immunoglobulin superfamily member 1</t>
  </si>
  <si>
    <t>IGSF1</t>
  </si>
  <si>
    <t>SP:1-28;NC:29-519;TM:520-539;CY:540-559;TM:560-580;NC:581-1336</t>
  </si>
  <si>
    <t>ENSG00000147255</t>
  </si>
  <si>
    <t>ENSP00000355010</t>
  </si>
  <si>
    <t>53;188;338;374;381;607;747;798;846;939;986;1027;1082;1147;1223</t>
  </si>
  <si>
    <t>538;1283</t>
  </si>
  <si>
    <t>MEDKDEGN[115]YSCR;GIGN[115]YSCSYR</t>
  </si>
  <si>
    <t>747;1223</t>
  </si>
  <si>
    <t>Q8N6C5</t>
  </si>
  <si>
    <t>Membrane (Multi- pass membrane protein);Membrane (Multi- pass membrane protein);Secreted</t>
  </si>
  <si>
    <t>Alternative splicing;Complete proteome;Congenital hypothyroidism;Disease mutation;Disulfide bond;Glycoprotein;Immunoglobulin domain;Membrane;Polymorphism;Receptor;Reference proteome;Repeat;Secreted;Signal;Transmembrane;Transmembrane helix</t>
  </si>
  <si>
    <t>UniRef100_Q8N6C5;UniRef90_Q8N6C5;UniRef50_Q8N6C5</t>
  </si>
  <si>
    <t>CLD19_HUMAN</t>
  </si>
  <si>
    <t>Claudin-19</t>
  </si>
  <si>
    <t>CLDN19</t>
  </si>
  <si>
    <t>CY:1-8;TM:9-27;NC:28-79;TM:80-100;CY:101-118;TM:119-141;NC:142-160;TM:161-184;CY:185-224</t>
  </si>
  <si>
    <t>ENSG00000164007</t>
  </si>
  <si>
    <t>ENSP00000296387</t>
  </si>
  <si>
    <t>Alternative splicing;Cell junction;Cell membrane;Complete proteome;Disease mutation;Magnesium;Membrane;Primary hypomagnesemia;Reference proteome;Sensory transduction;Tight junction;Transmembrane;Transmembrane helix;Vision</t>
  </si>
  <si>
    <t>UniRef100_Q8N6F1;UniRef90_Q8N6F1;UniRef50_Q8N6F1</t>
  </si>
  <si>
    <t>I22R1_HUMAN</t>
  </si>
  <si>
    <t>Interleukin-22 receptor subunit alpha-1</t>
  </si>
  <si>
    <t>IL22RA1</t>
  </si>
  <si>
    <t>SP:1-14;NC:15-228;TM:229-251;CY:252-574</t>
  </si>
  <si>
    <t>ENSG00000142677</t>
  </si>
  <si>
    <t>ENSP00000270800</t>
  </si>
  <si>
    <t>80;87;172</t>
  </si>
  <si>
    <t>UniRef100_Q8N6P7;UniRef90_Q8N6P7;UniRef50_Q8N6P7</t>
  </si>
  <si>
    <t>CD177_HUMAN</t>
  </si>
  <si>
    <t>CD177 antigen</t>
  </si>
  <si>
    <t>CD177</t>
  </si>
  <si>
    <t>SP:1-21;NC:22-437</t>
  </si>
  <si>
    <t>ENSG00000204936</t>
  </si>
  <si>
    <t>46;189;382</t>
  </si>
  <si>
    <t>Alternative splicing;Cell membrane;Complete proteome;Direct protein sequencing;Glycoprotein;GPI-anchor;Lipoprotein;Membrane;Polymorphism;Reference proteome;Repeat;Signal</t>
  </si>
  <si>
    <t>UniRef100_Q8N6Q3;UniRef90_Q8N6Q3;UniRef50_Q8N6Q3</t>
  </si>
  <si>
    <t>GP161_HUMAN</t>
  </si>
  <si>
    <t>G-protein coupled receptor 161</t>
  </si>
  <si>
    <t>GPR161</t>
  </si>
  <si>
    <t>NC:1-26;TM:27-53;CY:54-64;TM:65-85;NC:86-103;TM:104-123;CY:124-143;TM:144-166;NC:167-190;TM:191-211;CY:212-267;TM:268-288;NC:289-307;TM:308-327;CY:328-529</t>
  </si>
  <si>
    <t>ENSG00000143147</t>
  </si>
  <si>
    <t>ENSP00000356809;ENSP00000356812</t>
  </si>
  <si>
    <t>4;15;101;241;328</t>
  </si>
  <si>
    <t>192;308</t>
  </si>
  <si>
    <t>Cell membrane (Multi-pass membrane protein);Cell projection, cilium membrane (Multi-pass membrane protein)</t>
  </si>
  <si>
    <t>Alternative splicing;Cell membrane;Cell projection;Cilium;Complete proteome;Developmental protein;Disulfide bond;G-protein coupled receptor;Glycoprotein;Membrane;Receptor;Reference proteome;Transducer;Transmembrane;Transmembrane helix</t>
  </si>
  <si>
    <t>UniRef100_Q8N6U8;UniRef90_Q8N6U8;UniRef50_Q8N6U8</t>
  </si>
  <si>
    <t>PCD20_HUMAN</t>
  </si>
  <si>
    <t>Protocadherin-20</t>
  </si>
  <si>
    <t>PCDH20</t>
  </si>
  <si>
    <t>SP:1-65;NC:66-889;TM:890-913;CY:914-951</t>
  </si>
  <si>
    <t>ENSG00000197991;ENSG00000280165</t>
  </si>
  <si>
    <t>ENSP00000386653;ENSP00000387250</t>
  </si>
  <si>
    <t>135;326;332;547;680;748;803;844;849</t>
  </si>
  <si>
    <t>GLSGQYVTLDN[115]R;TGN[115]ITLEEALLQTDYGLHR</t>
  </si>
  <si>
    <t>135;803</t>
  </si>
  <si>
    <t>Q8N6Y1</t>
  </si>
  <si>
    <t>Calcium;Cell adhesion;Cell membrane;Complete proteome;Glycoprotein;Membrane;Polymorphism;Reference proteome;Repeat;Signal;Transmembrane;Transmembrane helix</t>
  </si>
  <si>
    <t>UniRef100_Q8N6Y1;UniRef90_Q8N6Y1;UniRef50_Q8N6Y1</t>
  </si>
  <si>
    <t>KI3L3_HUMAN</t>
  </si>
  <si>
    <t>Killer cell immunoglobulin-like receptor 3DL3</t>
  </si>
  <si>
    <t>KIR3DL3</t>
  </si>
  <si>
    <t>SP:1-25;NC:26-321;TM:322-343;CY:344-410</t>
  </si>
  <si>
    <t>CD158z</t>
  </si>
  <si>
    <t>179;239;273;363</t>
  </si>
  <si>
    <t>UniRef100_Q8N743;UniRef90_Q8N743;UniRef50_Q99706</t>
  </si>
  <si>
    <t>LRC52_HUMAN</t>
  </si>
  <si>
    <t>Leucine-rich repeat-containing protein 52</t>
  </si>
  <si>
    <t>LRRC52</t>
  </si>
  <si>
    <t>SP:1-23;NC:24-244;TM:245-271;CY:272-313</t>
  </si>
  <si>
    <t>ENSG00000162763</t>
  </si>
  <si>
    <t>ENSP00000294818</t>
  </si>
  <si>
    <t>112;148;189;211</t>
  </si>
  <si>
    <t>Cell membrane;Complete proteome;Disulfide bond;Glycoprotein;Ion channel;Ion transport;Leucine-rich repeat;Membrane;Polymorphism;Reference proteome;Repeat;Signal;Transmembrane;Transmembrane helix;Transport</t>
  </si>
  <si>
    <t>UniRef100_Q8N7C0;UniRef90_Q8N7C0;UniRef50_Q5M8M9</t>
  </si>
  <si>
    <t>TM217_HUMAN</t>
  </si>
  <si>
    <t>Transmembrane protein 217</t>
  </si>
  <si>
    <t>TMEM217</t>
  </si>
  <si>
    <t>CY:1-11;TM:12-32;NC:33-66;TM:67-87;CY:88-93;TM:94-114;NC:115-125;TM:126-149;CY:150-229</t>
  </si>
  <si>
    <t>ENSG00000172738</t>
  </si>
  <si>
    <t>ENSP00000338164</t>
  </si>
  <si>
    <t>39;156</t>
  </si>
  <si>
    <t>UniRef100_Q8N7C4;UniRef90_Q8N7C4;UniRef50_Q8N7C4</t>
  </si>
  <si>
    <t>PLD5_HUMAN</t>
  </si>
  <si>
    <t>Inactive phospholipase D5</t>
  </si>
  <si>
    <t>PLD5</t>
  </si>
  <si>
    <t>CY:1-67;TM:68-89;NC:90-536</t>
  </si>
  <si>
    <t>ENSG00000180287</t>
  </si>
  <si>
    <t>ENSP00000414188;ENSP00000440896</t>
  </si>
  <si>
    <t>121;157;210;255;302;321;408;431;479;509;521</t>
  </si>
  <si>
    <t>Alternative splicing;Complete proteome;Glycoprotein;Membrane;Reference proteome;Repeat;Transmembrane;Transmembrane helix</t>
  </si>
  <si>
    <t>UniRef100_Q8N7P1;UniRef90_Q8N7P1;UniRef50_Q8N7P1</t>
  </si>
  <si>
    <t>CLD22_HUMAN</t>
  </si>
  <si>
    <t>Claudin-22</t>
  </si>
  <si>
    <t>CLDN22</t>
  </si>
  <si>
    <t>CY:1-8;TM:9-30;NC:31-81;TM:82-105;CY:106-117;TM:118-141;NC:142-164;TM:165-186;CY:187-220</t>
  </si>
  <si>
    <t>ENSG00000177300</t>
  </si>
  <si>
    <t>ENSP00000318113</t>
  </si>
  <si>
    <t>UniRef100_Q8N7P3;UniRef90_Q8N7P3;UniRef50_Q8N7P3</t>
  </si>
  <si>
    <t>SIGL1_HUMAN</t>
  </si>
  <si>
    <t>SIGLEC family-like protein 1</t>
  </si>
  <si>
    <t>SIGLECL1</t>
  </si>
  <si>
    <t>NC:1-117;TM:118-138;CY:139-197</t>
  </si>
  <si>
    <t>ENSG00000179213</t>
  </si>
  <si>
    <t>ENSP00000321249;ENSP00000480286</t>
  </si>
  <si>
    <t>14;67;90</t>
  </si>
  <si>
    <t>UniRef100_Q8N7X8;UniRef90_Q8N7X8;UniRef50_Q8N7X8</t>
  </si>
  <si>
    <t>NKAI3_HUMAN</t>
  </si>
  <si>
    <t>Sodium/potassium-transporting ATPase subunit beta-1-interacting protein 3</t>
  </si>
  <si>
    <t>NKAIN3</t>
  </si>
  <si>
    <t>SP:1-21;NC:22-33;TM:34-55;CY:56-61;TM:62-86;NC:87-149;TM:150-169;CY:170-197</t>
  </si>
  <si>
    <t>ENSG00000185942</t>
  </si>
  <si>
    <t>ENSP00000429073</t>
  </si>
  <si>
    <t>UniRef100_Q8N8D7;UniRef90_Q8N8D7;UniRef50_Q5VXU1-2</t>
  </si>
  <si>
    <t>LSME1_HUMAN</t>
  </si>
  <si>
    <t>Leucine-rich single-pass membrane protein 1</t>
  </si>
  <si>
    <t>LSMEM1</t>
  </si>
  <si>
    <t>NC:1-61;TM:62-86;CY:87-131</t>
  </si>
  <si>
    <t>ENSG00000181016</t>
  </si>
  <si>
    <t>ENSP00000323304;ENSP00000389278</t>
  </si>
  <si>
    <t>UniRef100_Q8N8F7;UniRef90_Q8N8F7;UniRef50_Q8N8F7</t>
  </si>
  <si>
    <t>DCBD1_HUMAN</t>
  </si>
  <si>
    <t>Discoidin, CUB and LCCL domain-containing protein 1</t>
  </si>
  <si>
    <t>DCBLD1</t>
  </si>
  <si>
    <t>SP:1-34;NC:35-457;TM:458-480;CY:481-715</t>
  </si>
  <si>
    <t>ENSG00000164465</t>
  </si>
  <si>
    <t>ENSP00000342422</t>
  </si>
  <si>
    <t>64;124;277;351;418;455;707</t>
  </si>
  <si>
    <t>NYPGTYPN[115]HTVCEK;PGTYPN[115]HTVCEK;ELLLN[115]TSEVTVR;ASSSWQSVN[115]ESGDQVHWSPGQA;ASSSWQSVN[115]ESGDQVHWSPGQAR;VELIGCQITQGN[115]DSLVWR</t>
  </si>
  <si>
    <t>64;124;277;418</t>
  </si>
  <si>
    <t>Q8N8Z6</t>
  </si>
  <si>
    <t>Alternative splicing;Complete proteome;Disulfide bond;Glycoprotein;Membrane;Reference proteome;Signal;Transmembrane;Transmembrane helix</t>
  </si>
  <si>
    <t>UniRef100_Q8N8Z6;UniRef90_Q8N8Z6;UniRef50_Q8N8Z6</t>
  </si>
  <si>
    <t>LRTM2_HUMAN</t>
  </si>
  <si>
    <t>Leucine-rich repeat and transmembrane domain-containing protein 2</t>
  </si>
  <si>
    <t>LRTM2</t>
  </si>
  <si>
    <t>SP:1-35;NC:36-309;TM:310-335;CY:336-370</t>
  </si>
  <si>
    <t>ENSG00000166159</t>
  </si>
  <si>
    <t>ENSP00000299194;ENSP00000444737;ENSP00000446278</t>
  </si>
  <si>
    <t>90;117;125;257</t>
  </si>
  <si>
    <t>UniRef100_Q8N967;UniRef90_Q8N967;UniRef50_Q8N967</t>
  </si>
  <si>
    <t>NLS1_HUMAN</t>
  </si>
  <si>
    <t>Sodium-dependent lysophosphatidylcholine symporter 1</t>
  </si>
  <si>
    <t>MFSD2A</t>
  </si>
  <si>
    <t>NC:1-53;TM:54-72;CY:73-80;TM:81-103;NC:104-127;TM:128-149;CY:150-158;TM:159-180;NC:181-253;TM:254-276;CY:277-306;TM:307-331;NC:332-342;TM:343-364;CY:365-370;TM:371-389;NC:390-394;TM:395-418;CY:419-438;TM:439-461;NC:462-481;TM:482-504;CY:505-543</t>
  </si>
  <si>
    <t>ENSG00000168389</t>
  </si>
  <si>
    <t>ENSP00000361895</t>
  </si>
  <si>
    <t>230;240</t>
  </si>
  <si>
    <t>Alternative splicing;Cell membrane;Complete proteome;Endoplasmic reticulum;Glycoprotein;Lipid transport;Membrane;Reference proteome;Symport;Transmembrane;Transmembrane helix;Transport</t>
  </si>
  <si>
    <t>UniRef100_Q8NA29;UniRef90_Q8NA29;UniRef50_Q9DA75</t>
  </si>
  <si>
    <t>I17RC_HUMAN</t>
  </si>
  <si>
    <t>Interleukin-17 receptor C</t>
  </si>
  <si>
    <t>IL17RC</t>
  </si>
  <si>
    <t>SP:1-20;NC:21-539;TM:540-559;CY:560-791</t>
  </si>
  <si>
    <t>ENSG00000163702</t>
  </si>
  <si>
    <t>ENSP00000295981</t>
  </si>
  <si>
    <t>Other_receptors;IL17</t>
  </si>
  <si>
    <t>189;257;284;297;324;334;420;443;477</t>
  </si>
  <si>
    <t>Alternative splicing;Cell membrane;Complete proteome;Direct protein sequencing;Glycoprotein;Membrane;Polymorphism;Receptor;Reference proteome;Signal;Transmembrane;Transmembrane helix</t>
  </si>
  <si>
    <t>UniRef100_Q8NAC3;UniRef90_Q8NAC3;UniRef50_Q8NAC3</t>
  </si>
  <si>
    <t>FNDC5_HUMAN</t>
  </si>
  <si>
    <t>Fibronectin type III domain-containing protein 5</t>
  </si>
  <si>
    <t>FNDC5</t>
  </si>
  <si>
    <t>SP:1-31;NC:32-154;TM:155-173;CY:174-212</t>
  </si>
  <si>
    <t>ENSG00000160097</t>
  </si>
  <si>
    <t>39;84</t>
  </si>
  <si>
    <t>FIQEVN[115]TTTR</t>
  </si>
  <si>
    <t>Q8NAU1</t>
  </si>
  <si>
    <t>Cell membrane (Single-pass type I membrane protein);Peroxisome membrane (Single-pass type I membrane protein);Secreted</t>
  </si>
  <si>
    <t>3D-structure;Alternative splicing;Cell membrane;Complete proteome;Glycoprotein;Hormone;Membrane;Peroxisome;Reference proteome;Secreted;Signal;Transmembrane;Transmembrane helix</t>
  </si>
  <si>
    <t>UniRef100_Q8NAU1;UniRef90_Q8K4Z2;UniRef50_Q8K4Z2</t>
  </si>
  <si>
    <t>S43A3_HUMAN</t>
  </si>
  <si>
    <t>Solute carrier family 43 member 3</t>
  </si>
  <si>
    <t>SLC43A3</t>
  </si>
  <si>
    <t>CY:1-11;TM:12-33;NC:34-70;TM:71-92;CY:93-98;TM:99-117;NC:118-122;TM:123-145;CY:146-183;TM:184-204;NC:205-245;TM:246-262;CY:263-281;TM:282-300;NC:301-317;TM:318-338;CY:339-357;TM:358-381;NC:382-391;TM:392-415;CY:416-424;TM:425-444;NC:445-455;TM:456-477;CY:478-491</t>
  </si>
  <si>
    <t>ENSG00000134802</t>
  </si>
  <si>
    <t>ENSP00000337561;ENSP00000378555;ENSP00000378556;ENSP00000436254</t>
  </si>
  <si>
    <t>56;220;229</t>
  </si>
  <si>
    <t>NEDYFKDLCGPDAGPIGN[115]ATGQADCK;KDLCGPDAGPIGN[115]ATGQADCK;DLCGPDAGPIGN[115]ATGQ;DLCGPDAGPIGN[115]ATGQAD;DLCGPDAGPIGN[115]ATGQADCK;DLCGPDAGPIGN[115]ATGQADCKAQDER;LCGPDAGPIGN[115]ATGQADCK;CGPDAGPIGN[115]ATGQADCK;GPDAGPIGN[115]ATGQADCK;AGPIGN[115]ATGQADCK;GPIGN[115]ATGQADCK;PIGN[115]ATGQADCK;IGN[115]ATGQADCK;GHIPYPLPPNYSYGLCPGN[115]GTTK;GHIPYPLPPN[115]YSYGLCPGN[115]GTTK</t>
  </si>
  <si>
    <t>Q8NBI5</t>
  </si>
  <si>
    <t>UniRef100_Q8NBI5;UniRef90_Q8NBI5;UniRef50_Q8NBI5</t>
  </si>
  <si>
    <t>SIDT2_HUMAN</t>
  </si>
  <si>
    <t>SID1 transmembrane family member 2</t>
  </si>
  <si>
    <t>SIDT2</t>
  </si>
  <si>
    <t>SP:1-18;NC:19-292;TM:293-317;CY:318-447;TM:448-469;NC:470-502;TM:503-521;CY:522-547;TM:548-569;NC:570-605;TM:606-626;CY:627-632;TM:633-654;NC:655-688;TM:689-708;CY:709-714;TM:715-735;NC:736-746;TM:747-767;CY:768-797;TM:798-817;NC:818-832</t>
  </si>
  <si>
    <t>ENSG00000149577</t>
  </si>
  <si>
    <t>ENSP00000314023;ENSP00000482762</t>
  </si>
  <si>
    <t>27;54;60;123;141;165;364;476;496;572;603;699</t>
  </si>
  <si>
    <t>TYVDEVNSELVNIYTFN[115]HTVTR;TGEQFSFN[115]TTAAQPQYFK</t>
  </si>
  <si>
    <t>54;165</t>
  </si>
  <si>
    <t>Q8NBJ9</t>
  </si>
  <si>
    <t>Alternative splicing;Complete proteome;Direct protein sequencing;Glycoprotein;Lysosome;Membrane;Phosphoprotein;Polymorphism;Reference proteome;Signal;Transmembrane;Transmembrane helix</t>
  </si>
  <si>
    <t>UniRef100_Q8NBJ9;UniRef90_Q8CIF6;UniRef50_Q8CIF6</t>
  </si>
  <si>
    <t>T178A_HUMAN</t>
  </si>
  <si>
    <t>Transmembrane protein 178A</t>
  </si>
  <si>
    <t>TMEM178A</t>
  </si>
  <si>
    <t>SP:1-25;NC:26-177;TM:178-201;CY:202-211;TM:212-234;NC:235-253;TM:254-281;CY:282-297</t>
  </si>
  <si>
    <t>ENSG00000152154</t>
  </si>
  <si>
    <t>ENSP00000281961</t>
  </si>
  <si>
    <t>UniRef100_Q8NBL3;UniRef90_Q8NBL3;UniRef50_Q8NBL3</t>
  </si>
  <si>
    <t>UBAC2_HUMAN</t>
  </si>
  <si>
    <t>Ubiquitin-associated domain-containing protein 2</t>
  </si>
  <si>
    <t>UBAC2</t>
  </si>
  <si>
    <t>SP:1-37;NC:38-91;TM:92-113;CY:114-124;TM:125-145;NC:146-163;TM:164-188;CY:189-344</t>
  </si>
  <si>
    <t>ENSG00000134882</t>
  </si>
  <si>
    <t>ENSP00000383911</t>
  </si>
  <si>
    <t>UniRef100_Q8NBM4;UniRef90_Q8NBM4;UniRef50_Q8NBM4</t>
  </si>
  <si>
    <t>TM87A_HUMAN</t>
  </si>
  <si>
    <t>Transmembrane protein 87A</t>
  </si>
  <si>
    <t>TMEM87A</t>
  </si>
  <si>
    <t>SP:1-36;NC:37-225;TM:226-247;CY:248-257;TM:258-278;NC:279-305;TM:306-322;CY:323-332;TM:333-353;NC:354-359;TM:360-382;CY:383-402;TM:403-423;NC:424-442;TM:443-460;CY:461-555</t>
  </si>
  <si>
    <t>ENSG00000103978</t>
  </si>
  <si>
    <t>ENSP00000374484</t>
  </si>
  <si>
    <t>62;79;127;157;160</t>
  </si>
  <si>
    <t>N[115]TTIFLK;LFQN[115]CSELFK;QEAKENGTN[115]LTFIGDK;QEAKEN[115]GTNLTFIGDK;QEAKEN[115]GTN[115]LTFIGDK;ENGTN[115]LTFIGDK;EN[115]GTNLTFIGDK;EN[115]GTN[115]LTFIGDK</t>
  </si>
  <si>
    <t>62;127;157;160</t>
  </si>
  <si>
    <t>Q8NBN3</t>
  </si>
  <si>
    <t>UniRef100_Q8NBN3;UniRef90_Q8NBN3;UniRef50_Q8NBN3</t>
  </si>
  <si>
    <t>P5I13_HUMAN</t>
  </si>
  <si>
    <t>Tumor protein p53-inducible protein 13</t>
  </si>
  <si>
    <t>TP53I13</t>
  </si>
  <si>
    <t>SP:1-27;NC:28-309;TM:310-330;CY:331-393</t>
  </si>
  <si>
    <t>ENSG00000167543</t>
  </si>
  <si>
    <t>ENSP00000301057</t>
  </si>
  <si>
    <t>Cell membrane (Single-pass type I membrane protein|Extracellular side;Cytoplasm</t>
  </si>
  <si>
    <t>Cell membrane;Complete proteome;Cytoplasm;Membrane;Reference proteome;Signal;Transmembrane;Transmembrane helix</t>
  </si>
  <si>
    <t>UniRef100_Q8NBR0;UniRef90_Q8NBR0;UniRef50_Q8NBR0</t>
  </si>
  <si>
    <t>TM145_HUMAN</t>
  </si>
  <si>
    <t>Transmembrane protein 145</t>
  </si>
  <si>
    <t>TMEM145</t>
  </si>
  <si>
    <t>SP:1-29;NC:30-174;TM:175-195;CY:196-206;TM:207-229;NC:230-240;TM:241-261;CY:262-279;TM:280-297;NC:298-316;TM:317-336;CY:337-346;TM:347-369;NC:370-380;TM:381-400;CY:401-493</t>
  </si>
  <si>
    <t>ENSG00000167619</t>
  </si>
  <si>
    <t>ENSP00000301204</t>
  </si>
  <si>
    <t>35;109;236;444;454</t>
  </si>
  <si>
    <t>UniRef100_Q8NBT3;UniRef90_Q8NBT3;UniRef50_Q8NBT3</t>
  </si>
  <si>
    <t>S38A9_HUMAN</t>
  </si>
  <si>
    <t>Putative sodium-coupled neutral amino acid transporter 9</t>
  </si>
  <si>
    <t>SLC38A9</t>
  </si>
  <si>
    <t>CY:1-118;TM:119-140;NC:141-145;TM:146-166;CY:167-199;TM:200-219;NC:220-290;TM:291-307;CY:308-314;TM:315-337;NC:338-358;TM:359-380;CY:381-392;TM:393-413;NC:414-440;TM:441-462;CY:463-477;TM:478-502;NC:503-507;TM:508-529;CY:530-540;TM:541-560;NC:561-561</t>
  </si>
  <si>
    <t>ENSG00000177058</t>
  </si>
  <si>
    <t>ENSP00000316596;ENSP00000380074</t>
  </si>
  <si>
    <t>117;239;248;266;274</t>
  </si>
  <si>
    <t>AGSGGHPDN[115]SSMIFYAN[115]DTGAQQFEK;AN[115]DTGAQQFEK</t>
  </si>
  <si>
    <t>266;274</t>
  </si>
  <si>
    <t>Q8NBW4</t>
  </si>
  <si>
    <t>Alternative splicing;Amino-acid transport;Complete proteome;Ion transport;Membrane;Polymorphism;Reference proteome;Sodium;Sodium transport;Transmembrane;Transmembrane helix;Transport</t>
  </si>
  <si>
    <t>UniRef100_Q8NBW4;UniRef90_Q8NBW4;UniRef50_Q8NBW4</t>
  </si>
  <si>
    <t>CLC1A_HUMAN</t>
  </si>
  <si>
    <t>C-type lectin domain family 1 member A</t>
  </si>
  <si>
    <t>CLEC1A</t>
  </si>
  <si>
    <t>CY:1-49;TM:50-74;NC:75-280</t>
  </si>
  <si>
    <t>ENSG00000150048</t>
  </si>
  <si>
    <t>ENSP00000326407</t>
  </si>
  <si>
    <t>95;169</t>
  </si>
  <si>
    <t>LGN[115]TSQELQSLQVQNIK</t>
  </si>
  <si>
    <t>Q8NC01</t>
  </si>
  <si>
    <t>Complete proteome;Disulfide bond;Glycoprotein;Lectin;Membrane;Polymorphism;Reference proteome;Signal-anchor;Transmembrane;Transmembrane helix</t>
  </si>
  <si>
    <t>UniRef100_Q8NC01;UniRef90_Q8NC01;UniRef50_Q8NC01</t>
  </si>
  <si>
    <t>RN149_HUMAN</t>
  </si>
  <si>
    <t>E3 ubiquitin-protein ligase RNF149</t>
  </si>
  <si>
    <t>RNF149</t>
  </si>
  <si>
    <t>SP:1-32;NC:33-200;TM:201-224;CY:225-400</t>
  </si>
  <si>
    <t>ENSG00000163162</t>
  </si>
  <si>
    <t>ENSP00000295317</t>
  </si>
  <si>
    <t>52;131;145;343</t>
  </si>
  <si>
    <t>RN[115]ASAVVLYNEER;N[115]ASAVVLYNEER;YGN[115]ITLPMSH</t>
  </si>
  <si>
    <t>131;145</t>
  </si>
  <si>
    <t>Q8NC42</t>
  </si>
  <si>
    <t>Complete proteome;Glycoprotein;Ligase;Membrane;Metal-binding;Phosphoprotein;Polymorphism;Reference proteome;Signal;Transmembrane;Transmembrane helix;Ubl conjugation pathway;Zinc;Zinc-finger</t>
  </si>
  <si>
    <t>UniRef100_Q8NC42;UniRef90_Q8NC42;UniRef50_Q8NC42</t>
  </si>
  <si>
    <t>KCT2_HUMAN</t>
  </si>
  <si>
    <t>Keratinocyte-associated transmembrane protein 2</t>
  </si>
  <si>
    <t>KCT2</t>
  </si>
  <si>
    <t>SP:1-45;NC:46-198;TM:199-217;CY:218-265</t>
  </si>
  <si>
    <t>ENSG00000113583</t>
  </si>
  <si>
    <t>ENSP00000231512</t>
  </si>
  <si>
    <t>75;133</t>
  </si>
  <si>
    <t>UniRef100_Q8NC54;UniRef90_Q8NC54;UniRef50_Q8NC54</t>
  </si>
  <si>
    <t>NETO2_HUMAN</t>
  </si>
  <si>
    <t>Neuropilin and tolloid-like protein 2</t>
  </si>
  <si>
    <t>NETO2</t>
  </si>
  <si>
    <t>SP:1-26;NC:27-348;TM:349-368;CY:369-525</t>
  </si>
  <si>
    <t>ENSG00000171208</t>
  </si>
  <si>
    <t>ENSP00000455169</t>
  </si>
  <si>
    <t>311;385;453;475</t>
  </si>
  <si>
    <t>48;138;209;275;326</t>
  </si>
  <si>
    <t>Alternative splicing;Complete proteome;Direct protein sequencing;Disulfide bond;Glycoprotein;Membrane;Polymorphism;Receptor;Reference proteome;Repeat;Signal;Transmembrane;Transmembrane helix</t>
  </si>
  <si>
    <t>UniRef100_Q8NC67;UniRef90_Q8BNJ6;UniRef50_Q8BNJ6</t>
  </si>
  <si>
    <t>SPX3_HUMAN</t>
  </si>
  <si>
    <t>Sugar phosphate exchanger 3</t>
  </si>
  <si>
    <t>SLC37A3</t>
  </si>
  <si>
    <t>CY:1-11;TM:12-34;NC:35-80;TM:81-102;CY:103-112;TM:113-135;NC:136-141;TM:142-167;CY:168-176;TM:177-201;NC:202-206;TM:207-229;CY:230-291;TM:292-313;NC:314-332;TM:333-350;CY:351-356;TM:357-376;NC:377-382;TM:383-402;CY:403-421;TM:422-444;NC:445-455;TM:456-477;CY:478-494</t>
  </si>
  <si>
    <t>ENSG00000157800</t>
  </si>
  <si>
    <t>ENSP00000321498</t>
  </si>
  <si>
    <t>58;266;306</t>
  </si>
  <si>
    <t>Alternative splicing;Complete proteome;Glycoprotein;Membrane;Reference proteome;Sugar transport;Transmembrane;Transmembrane helix;Transport</t>
  </si>
  <si>
    <t>UniRef100_Q8NCC5;UniRef90_Q8NCC5;UniRef50_Q8NCC5</t>
  </si>
  <si>
    <t>DGLB_HUMAN</t>
  </si>
  <si>
    <t>Sn1-specific diacylglycerol lipase beta</t>
  </si>
  <si>
    <t>DAGLB</t>
  </si>
  <si>
    <t>CY:1-19;TM:20-42;NC:43-54;TM:55-78;CY:79-97;TM:98-120;NC:121-131;TM:132-155;CY:156-672</t>
  </si>
  <si>
    <t>ENSG00000164535</t>
  </si>
  <si>
    <t>ENSP00000297056</t>
  </si>
  <si>
    <t>574;576;577;583;584</t>
  </si>
  <si>
    <t>Alternative splicing;Calcium;Cell membrane;Complete proteome;Hydrolase;Lipid degradation;Lipid metabolism;Membrane;Metal-binding;Phosphoprotein;Polymorphism;Reference proteome;Transmembrane;Transmembrane helix</t>
  </si>
  <si>
    <t>UniRef100_Q8NCG7;UniRef90_Q8NCG7;UniRef50_Q8NCG7</t>
  </si>
  <si>
    <t>TM116_HUMAN</t>
  </si>
  <si>
    <t>Transmembrane protein 116</t>
  </si>
  <si>
    <t>TMEM116</t>
  </si>
  <si>
    <t>CY:1-20;TM:21-41;NC:42-83;TM:84-108;CY:109-140;TM:141-159;NC:160-170;TM:171-194;CY:195-245</t>
  </si>
  <si>
    <t>ENSG00000198270</t>
  </si>
  <si>
    <t>ENSP00000450377</t>
  </si>
  <si>
    <t>45;52;77</t>
  </si>
  <si>
    <t>UniRef100_Q8NCL8;UniRef90_Q8NCL8;UniRef50_Q8NCL8</t>
  </si>
  <si>
    <t>CTL5_HUMAN</t>
  </si>
  <si>
    <t>Choline transporter-like protein 5</t>
  </si>
  <si>
    <t>SLC44A5</t>
  </si>
  <si>
    <t>CY:1-38;TM:39-61;NC:62-241;TM:242-262;CY:263-268;TM:269-287;NC:288-324;TM:325-346;CY:347-366;TM:367-394;NC:395-461;TM:462-488;CY:489-508;TM:509-532;NC:533-608;TM:609-632;CY:633-647;TM:648-671;NC:672-719</t>
  </si>
  <si>
    <t>ENSG00000137968</t>
  </si>
  <si>
    <t>2;33;88;190;314;416;425</t>
  </si>
  <si>
    <t>CIHEN[115]QTCDPEIFN[115]TTEIAK</t>
  </si>
  <si>
    <t>416;425</t>
  </si>
  <si>
    <t>Q8NCS7</t>
  </si>
  <si>
    <t>UniRef100_Q8NCS7;UniRef90_Q8NCS7;UniRef50_Q8IWA5</t>
  </si>
  <si>
    <t>KREM2_HUMAN</t>
  </si>
  <si>
    <t>Kremen protein 2</t>
  </si>
  <si>
    <t>KREMEN2</t>
  </si>
  <si>
    <t>SP:1-25;NC:26-364;TM:365-387;CY:388-462</t>
  </si>
  <si>
    <t>49;222;244;351</t>
  </si>
  <si>
    <t>Alternative splicing;Complete proteome;Disulfide bond;Glycoprotein;Kringle;Membrane;Polymorphism;Reference proteome;Signal;Transmembrane;Transmembrane helix;Wnt signaling pathway</t>
  </si>
  <si>
    <t>UniRef100_Q8NCW0;UniRef90_Q8NCW0;UniRef50_Q8NCW0</t>
  </si>
  <si>
    <t>LRN4L_HUMAN</t>
  </si>
  <si>
    <t>LRRN4 C-terminal-like protein</t>
  </si>
  <si>
    <t>LRRN4CL</t>
  </si>
  <si>
    <t>SP:1-22;NC:23-194;TM:195-219;CY:220-238</t>
  </si>
  <si>
    <t>ENSG00000177363</t>
  </si>
  <si>
    <t>ENSP00000325808</t>
  </si>
  <si>
    <t>GPPLN[115]ATVR</t>
  </si>
  <si>
    <t>Q8ND94</t>
  </si>
  <si>
    <t>UniRef100_Q8ND94;UniRef90_Q8ND94;UniRef50_Q8ND94</t>
  </si>
  <si>
    <t>GPR26_HUMAN</t>
  </si>
  <si>
    <t>G-protein coupled receptor 26</t>
  </si>
  <si>
    <t>GPR26</t>
  </si>
  <si>
    <t>NC:1-5;TM:6-31;CY:32-42;TM:43-68;NC:69-80;TM:81-102;CY:103-122;TM:123-149;NC:150-168;TM:169-194;CY:195-242;TM:243-263;NC:264-274;TM:275-297;CY:298-337</t>
  </si>
  <si>
    <t>ENSG00000154478</t>
  </si>
  <si>
    <t>ENSP00000284674</t>
  </si>
  <si>
    <t>UniRef100_Q8NDV2;UniRef90_Q8NDV2;UniRef50_Q8NDV2</t>
  </si>
  <si>
    <t>VGLU3_HUMAN</t>
  </si>
  <si>
    <t>Vesicular glutamate transporter 3</t>
  </si>
  <si>
    <t>SLC17A8</t>
  </si>
  <si>
    <t>CY:1-76;TM:77-101;NC:102-129;TM:130-149;CY:150-155;TM:156-174;NC:175-179;TM:180-202;CY:203-222;TM:223-245;NC:246-250;TM:251-269;CY:270-312;TM:313-334;NC:335-351;TM:352-371;CY:372-390;TM:391-409;NC:410-414;TM:415-436;CY:437-447;TM:448-470;NC:471-482;TM:483-501;CY:502-589</t>
  </si>
  <si>
    <t>ENSG00000179520</t>
  </si>
  <si>
    <t>ENSP00000316909</t>
  </si>
  <si>
    <t>105;106;514;584</t>
  </si>
  <si>
    <t>Cell junction, synapse, synaptosome;Cytoplasmic vesicle, secretory vesicle, synaptic vesicle membrane;Membrane (Multi-pass membrane protein)</t>
  </si>
  <si>
    <t>Alternative splicing;Cell junction;Complete proteome;Cytoplasmic vesicle;Deafness;Disease mutation;Glycoprotein;Hearing;Ion transport;Membrane;Neurotransmitter transport;Non-syndromic deafness;Polymorphism;Reference proteome;Sodium;Sodium transport;Symport;Synapse;Synaptosome;Transmembrane;Transmembrane helix;Transport</t>
  </si>
  <si>
    <t>UniRef100_Q8NDX2;UniRef90_Q8NDX2;UniRef50_Q9P2U7</t>
  </si>
  <si>
    <t>TM104_HUMAN</t>
  </si>
  <si>
    <t>Transmembrane protein 104</t>
  </si>
  <si>
    <t>TMEM104</t>
  </si>
  <si>
    <t>CY:1-11;TM:12-31;NC:32-37;TM:38-59;CY:60-144;TM:145-166;NC:167-207;TM:208-227;CY:228-238;TM:239-256;NC:257-275;TM:276-294;CY:295-305;TM:306-329;NC:330-351;TM:352-374;CY:375-394;TM:395-415;NC:416-423;TM:424-443;CY:444-468;TM:469-491;NC:492-496</t>
  </si>
  <si>
    <t>ENSG00000109066</t>
  </si>
  <si>
    <t>ENSP00000334849;ENSP00000461922</t>
  </si>
  <si>
    <t>181;193</t>
  </si>
  <si>
    <t>SATGN[115]DSCGVEADTK</t>
  </si>
  <si>
    <t>Q8NE00</t>
  </si>
  <si>
    <t>UniRef100_Q8NE00;UniRef90_Q8NE00;UniRef50_Q8NE00</t>
  </si>
  <si>
    <t>CNNM3_HUMAN</t>
  </si>
  <si>
    <t>Metal transporter CNNM3</t>
  </si>
  <si>
    <t>CNNM3</t>
  </si>
  <si>
    <t>SP:1-27;NC:28-190;TM:191-214;CY:215-220;TM:221-243;NC:244-257;TM:258-280;CY:281-707</t>
  </si>
  <si>
    <t>ENSG00000168763</t>
  </si>
  <si>
    <t>ENSP00000305449</t>
  </si>
  <si>
    <t>73;395</t>
  </si>
  <si>
    <t>LFGPGFAN[115]SSWSWVAPEGAGCR</t>
  </si>
  <si>
    <t>Q8NE01</t>
  </si>
  <si>
    <t>Alternative splicing;CBS domain;Cell membrane;Complete proteome;Glycoprotein;Ion transport;Membrane;Phosphoprotein;Reference proteome;Repeat;Transmembrane;Transmembrane helix;Transport</t>
  </si>
  <si>
    <t>UniRef100_Q8NE01;UniRef90_Q8NE01;UniRef50_Q8NE01</t>
  </si>
  <si>
    <t>POPD1_HUMAN</t>
  </si>
  <si>
    <t>Blood vessel epicardial substance</t>
  </si>
  <si>
    <t>BVES</t>
  </si>
  <si>
    <t>NC:1-42;TM:43-64;CY:65-70;TM:71-87;NC:88-92;TM:93-113;CY:114-360</t>
  </si>
  <si>
    <t>ENSG00000112276</t>
  </si>
  <si>
    <t>ENSP00000313172;ENSP00000337259;ENSP00000397310</t>
  </si>
  <si>
    <t>2;30</t>
  </si>
  <si>
    <t>ESTAIGFTPELESIIPVPSN[115]K</t>
  </si>
  <si>
    <t>Q8NE79</t>
  </si>
  <si>
    <t>Cell junction, tight junction;Lateral cell membrane;Membrane (Multi-pass membrane protein)</t>
  </si>
  <si>
    <t>Cell adhesion;Cell junction;Cell membrane;Complete proteome;Developmental protein;Glycoprotein;Membrane;Polymorphism;Reference proteome;Tight junction;Transmembrane;Transmembrane helix</t>
  </si>
  <si>
    <t>UniRef100_Q8NE79;UniRef90_Q8NE79;UniRef50_Q9ES83</t>
  </si>
  <si>
    <t>CS018_HUMAN</t>
  </si>
  <si>
    <t>Uncharacterized protein C19orf18</t>
  </si>
  <si>
    <t>C19orf18</t>
  </si>
  <si>
    <t>SP:1-23;NC:24-100;TM:101-124;CY:125-215</t>
  </si>
  <si>
    <t>ENSG00000177025</t>
  </si>
  <si>
    <t>ENSP00000321519</t>
  </si>
  <si>
    <t>35;50;201;205</t>
  </si>
  <si>
    <t>Complete proteome;Membrane;Polymorphism;Reference proteome;Signal;Transmembrane;Transmembrane helix</t>
  </si>
  <si>
    <t>UniRef100_Q8NEA5;UniRef90_Q8NEA5;UniRef50_Q8NEA5</t>
  </si>
  <si>
    <t>ACV1C_HUMAN</t>
  </si>
  <si>
    <t>Activin receptor type-1C</t>
  </si>
  <si>
    <t>ACVR1C</t>
  </si>
  <si>
    <t>SP:1-19;NC:20-113;TM:114-136;CY:137-493</t>
  </si>
  <si>
    <t>ENSG00000123612</t>
  </si>
  <si>
    <t>ENSP00000243349</t>
  </si>
  <si>
    <t>37;80;94;260</t>
  </si>
  <si>
    <t>Alternative splicing;Apoptosis;ATP-binding;Complete proteome;Kinase;Magnesium;Manganese;Membrane;Metal-binding;Nucleotide-binding;Polymorphism;Receptor;Reference proteome;Serine/threonine-protein kinase;Signal;Transferase;Transmembrane;Transmembrane helix</t>
  </si>
  <si>
    <t>UniRef100_Q8NER5;UniRef90_Q8NER5;UniRef50_P36897</t>
  </si>
  <si>
    <t>NFAM1_HUMAN</t>
  </si>
  <si>
    <t>NFAT activation molecule 1</t>
  </si>
  <si>
    <t>NFAM1</t>
  </si>
  <si>
    <t>SP:1-42;NC:43-163;TM:164-186;CY:187-270</t>
  </si>
  <si>
    <t>ENSG00000235568</t>
  </si>
  <si>
    <t>ENSP00000333680</t>
  </si>
  <si>
    <t>97;207</t>
  </si>
  <si>
    <t>Cell membrane;Complete proteome;Disulfide bond;Glycoprotein;Immunoglobulin domain;Membrane;Phosphoprotein;Polymorphism;Reference proteome;Signal;Transmembrane;Transmembrane helix</t>
  </si>
  <si>
    <t>UniRef100_Q8NET5;UniRef90_Q8NET5;UniRef50_Q8NET5</t>
  </si>
  <si>
    <t>NCKX4_HUMAN</t>
  </si>
  <si>
    <t>Sodium/potassium/calcium exchanger 4</t>
  </si>
  <si>
    <t>SLC24A4</t>
  </si>
  <si>
    <t>SP:1-41;NC:42-98;TM:99-122;CY:123-169;TM:170-192;NC:193-197;TM:198-221;CY:222-226;TM:227-245;NC:246-426;TM:427-445;CY:446-451;TM:452-475;NC:476-483;TM:484-505;CY:506-525;TM:526-545;NC:546-557;TM:558-577;CY:578-587;TM:588-610;NC:611-622</t>
  </si>
  <si>
    <t>ENSG00000140090</t>
  </si>
  <si>
    <t>ENSP00000431840</t>
  </si>
  <si>
    <t>69;76;443</t>
  </si>
  <si>
    <t>Cytoplasm;Membrane (Multi-pass membrane protein)</t>
  </si>
  <si>
    <t>Alternative splicing;Amelogenesis imperfecta;Antiport;Calcium;Calcium transport;Complete proteome;Cytoplasm;Disease mutation;Glycoprotein;Ion transport;Membrane;Olfaction;Polymorphism;Potassium;Potassium transport;Reference proteome;Repeat;Sensory transduction;Signal;Sodium;Sodium transport;Symport;Transmembrane;Transmembrane helix;Transport</t>
  </si>
  <si>
    <t>UniRef100_Q8NFF2;UniRef90_Q8NFF2;UniRef50_Q8NFF2</t>
  </si>
  <si>
    <t>RAI3_HUMAN</t>
  </si>
  <si>
    <t>Retinoic acid-induced protein 3</t>
  </si>
  <si>
    <t>GPRC5A</t>
  </si>
  <si>
    <t>NC:1-32;TM:33-54;CY:55-67;TM:68-87;NC:88-97;TM:98-118;CY:119-128;TM:129-154;NC:155-176;TM:177-200;CY:201-211;TM:212-232;NC:233-243;TM:244-267;CY:268-357</t>
  </si>
  <si>
    <t>ENSG00000013588</t>
  </si>
  <si>
    <t>ENSP00000014914</t>
  </si>
  <si>
    <t>IEYIVLTMN[115]R</t>
  </si>
  <si>
    <t>Q8NFJ5</t>
  </si>
  <si>
    <t>Cell membrane (Multi-pass membrane protein);Cytoplasmic vesicle membrane (Multi-pass membrane protein)</t>
  </si>
  <si>
    <t>Cell membrane;Complete proteome;Cytoplasmic vesicle;G-protein coupled receptor;Glycoprotein;Membrane;Phosphoprotein;Polymorphism;Receptor;Reference proteome;Transducer;Transmembrane;Transmembrane helix</t>
  </si>
  <si>
    <t>UniRef100_Q8NFJ5;UniRef90_Q8NFJ5;UniRef50_Q8NFJ5</t>
  </si>
  <si>
    <t>DB00755</t>
  </si>
  <si>
    <t>PKR2_HUMAN</t>
  </si>
  <si>
    <t>Prokineticin receptor 2</t>
  </si>
  <si>
    <t>PROKR2</t>
  </si>
  <si>
    <t>NC:1-50;TM:51-78;CY:79-89;TM:90-111;NC:112-136;TM:137-157;CY:158-169;TM:170-192;NC:193-222;TM:223-244;CY:245-273;TM:274-294;NC:295-313;TM:314-336;CY:337-384</t>
  </si>
  <si>
    <t>ENSG00000101292</t>
  </si>
  <si>
    <t>ENSP00000217270</t>
  </si>
  <si>
    <t>7;27;86;338</t>
  </si>
  <si>
    <t>Cell membrane;Complete proteome;Disease mutation;Disulfide bond;G-protein coupled receptor;Glycoprotein;Hypogonadotropic hypogonadism;Kallmann syndrome;Membrane;Polymorphism;Receptor;Reference proteome;Transducer;Transmembrane;Transmembrane helix</t>
  </si>
  <si>
    <t>UniRef100_Q8NFJ6;UniRef90_Q8NFJ6;UniRef50_Q8NFJ6</t>
  </si>
  <si>
    <t>CXG3_HUMAN</t>
  </si>
  <si>
    <t>Gap junction gamma-3 protein</t>
  </si>
  <si>
    <t>GJC3</t>
  </si>
  <si>
    <t>CY:1-19;TM:20-40;NC:41-76;TM:77-100;CY:101-133;TM:134-156;NC:157-193;TM:194-216;CY:217-279</t>
  </si>
  <si>
    <t>ENSG00000176402</t>
  </si>
  <si>
    <t>ENSP00000325775</t>
  </si>
  <si>
    <t>UniRef100_Q8NFK1;UniRef90_Q8NFK1;UniRef50_Q8NFK1</t>
  </si>
  <si>
    <t>I17RD_HUMAN</t>
  </si>
  <si>
    <t>Interleukin-17 receptor D</t>
  </si>
  <si>
    <t>IL17RD</t>
  </si>
  <si>
    <t>SP:1-16;NC:17-297;TM:298-320;CY:321-739</t>
  </si>
  <si>
    <t>ENSG00000144730</t>
  </si>
  <si>
    <t>ENSP00000296318</t>
  </si>
  <si>
    <t>19;55;62;80;137;171;206;262;277</t>
  </si>
  <si>
    <t>NSGLYN[115]ITFK;YDN[115]CTTYLNPVGK</t>
  </si>
  <si>
    <t>55;62</t>
  </si>
  <si>
    <t>Q8NFM7</t>
  </si>
  <si>
    <t>Cell membrane (Single-pass type I membrane protein);Golgi apparatus membrane (Single-pass type I membrane protein);Cytoplasm</t>
  </si>
  <si>
    <t>Alternative splicing;Cell membrane;Complete proteome;Cytoplasm;Disease mutation;Glycoprotein;Golgi apparatus;Hypogonadotropic hypogonadism;Kallmann syndrome;Membrane;Polymorphism;Receptor;Reference proteome;Signal;Transmembrane;Transmembrane helix</t>
  </si>
  <si>
    <t>UniRef100_Q8NFM7;UniRef90_Q8NFM7;UniRef50_Q8NFM7</t>
  </si>
  <si>
    <t>GP156_HUMAN</t>
  </si>
  <si>
    <t>Probable G-protein coupled receptor 156</t>
  </si>
  <si>
    <t>GPR156</t>
  </si>
  <si>
    <t>NC:1-47;TM:48-72;CY:73-85;TM:86-107;NC:108-121;TM:122-142;CY:143-163;TM:164-185;NC:186-222;TM:223-245;CY:246-257;TM:258-281;NC:282-286;TM:287-309;CY:310-814</t>
  </si>
  <si>
    <t>ENSG00000175697</t>
  </si>
  <si>
    <t>ENSP00000324553;ENSP00000417261</t>
  </si>
  <si>
    <t>6;255;322;336;625</t>
  </si>
  <si>
    <t>Alternative splicing;Cell membrane;Coiled coil;Complete proteome;G-protein coupled receptor;Glycoprotein;Membrane;Polymorphism;Receptor;Reference proteome;Transducer;Transmembrane;Transmembrane helix</t>
  </si>
  <si>
    <t>UniRef100_Q8NFN8;UniRef90_Q8NFN8;UniRef50_Q8NFN8</t>
  </si>
  <si>
    <t>MDGA1_HUMAN</t>
  </si>
  <si>
    <t>MAM domain-containing glycosylphosphatidylinositol anchor protein 1</t>
  </si>
  <si>
    <t>MDGA1</t>
  </si>
  <si>
    <t>SP:1-18;NC:19-955</t>
  </si>
  <si>
    <t>ENSG00000112139</t>
  </si>
  <si>
    <t>ENSP00000402584</t>
  </si>
  <si>
    <t>42;90;235;247;257;307;331;432;655;747;826</t>
  </si>
  <si>
    <t>FQETSVFN[115]ETLR;LTN[115]TTAPPALK;LVSPLYN[115]ASAK</t>
  </si>
  <si>
    <t>90;235;826</t>
  </si>
  <si>
    <t>Q8NFP4</t>
  </si>
  <si>
    <t>Alternative splicing;Cell membrane;Complete proteome;Developmental protein;Differentiation;Disulfide bond;Glycoprotein;GPI-anchor;Immunoglobulin domain;Lipoprotein;Membrane;Neurogenesis;Polymorphism;Reference proteome;Repeat;Signal</t>
  </si>
  <si>
    <t>UniRef100_Q8NFP4;UniRef90_Q8NFP4;UniRef50_Q8NFP4</t>
  </si>
  <si>
    <t>I17RE_HUMAN</t>
  </si>
  <si>
    <t>Interleukin-17 receptor E</t>
  </si>
  <si>
    <t>IL17RE</t>
  </si>
  <si>
    <t>SP:1-23;NC:24-454;TM:455-475;CY:476-667</t>
  </si>
  <si>
    <t>ENSG00000163701</t>
  </si>
  <si>
    <t>ENSP00000373325</t>
  </si>
  <si>
    <t>318;347;364</t>
  </si>
  <si>
    <t>Cell membrane (Single-pass type I membrane protein);Cytoplasm;Secreted;Cytoplasm;Secreted</t>
  </si>
  <si>
    <t>Alternative splicing;Cell membrane;Complete proteome;Cytoplasm;Glycoprotein;Inflammatory response;Membrane;Polymorphism;Receptor;Reference proteome;Secreted;Signal;Transmembrane;Transmembrane helix</t>
  </si>
  <si>
    <t>UniRef100_Q8NFR9;UniRef90_Q8NFR9;UniRef50_Q8BH06</t>
  </si>
  <si>
    <t>DNER_HUMAN</t>
  </si>
  <si>
    <t>Delta and Notch-like epidermal growth factor-related receptor</t>
  </si>
  <si>
    <t>DNER</t>
  </si>
  <si>
    <t>SP:1-34;NC:35-638;TM:639-662;CY:663-737</t>
  </si>
  <si>
    <t>ENSG00000187957</t>
  </si>
  <si>
    <t>ENSP00000345229</t>
  </si>
  <si>
    <t>107;204;208;223;286;361;375;442;455;549;564</t>
  </si>
  <si>
    <t>LVSFEVPQN[115]TSVK;KPCQNN[115]ASCIDANEK</t>
  </si>
  <si>
    <t>223;361</t>
  </si>
  <si>
    <t>Q8NFT8</t>
  </si>
  <si>
    <t>Activator;Calcium;Cell membrane;Complete proteome;Disulfide bond;EGF-like domain;Glycoprotein;Membrane;Notch signaling pathway;Phosphoprotein;Polymorphism;Receptor;Reference proteome;Repeat;Signal;Transmembrane;Transmembrane helix</t>
  </si>
  <si>
    <t>UniRef100_Q8NFT8;UniRef90_Q8NFT8;UniRef50_Q8JZM4</t>
  </si>
  <si>
    <t>BEST4_HUMAN</t>
  </si>
  <si>
    <t>Bestrophin-4</t>
  </si>
  <si>
    <t>BEST4</t>
  </si>
  <si>
    <t>CY:1-25;TM:26-46;NC:47-70;TM:71-91;CY:92-178;TM:179-199;NC:200-228;IM:229-249;NC:250-285;TM:286-306;CY:307-473</t>
  </si>
  <si>
    <t>ENSG00000142959</t>
  </si>
  <si>
    <t>ENSP00000361281</t>
  </si>
  <si>
    <t>Other_transporters;Bestrophin</t>
  </si>
  <si>
    <t>Calcium;Cell membrane;Chloride;Chloride channel;Complete proteome;Ion channel;Ion transport;Membrane;Polymorphism;Reference proteome;Transmembrane;Transmembrane helix;Transport</t>
  </si>
  <si>
    <t>UniRef100_Q8NFU0;UniRef90_Q8NFU0;UniRef50_Q8N1M1-1</t>
  </si>
  <si>
    <t>BEST2_HUMAN</t>
  </si>
  <si>
    <t>Bestrophin-2</t>
  </si>
  <si>
    <t>BEST2</t>
  </si>
  <si>
    <t>CY:1-25;TM:26-46;NC:47-70;TM:71-91;CY:92-178;TM:179-199;NC:200-228;IM:229-249;NC:250-270;TM:271-291;CY:292-509</t>
  </si>
  <si>
    <t>ENSG00000039987</t>
  </si>
  <si>
    <t>ENSP00000042931;ENSP00000448310;ENSP00000447203</t>
  </si>
  <si>
    <t>Calcium;Cell membrane;Chloride;Chloride channel;Complete proteome;Ion channel;Ion transport;Membrane;Reference proteome;Transmembrane;Transmembrane helix;Transport</t>
  </si>
  <si>
    <t>UniRef100_Q8NFU1;UniRef90_Q8BGM5;UniRef50_Q8BGM5</t>
  </si>
  <si>
    <t>SEM6D_HUMAN</t>
  </si>
  <si>
    <t>Semaphorin-6D</t>
  </si>
  <si>
    <t>SEMA6D</t>
  </si>
  <si>
    <t>SP:1-20;NC:21-661;TM:662-686;CY:687-1073</t>
  </si>
  <si>
    <t>ENSG00000137872</t>
  </si>
  <si>
    <t>ENSP00000324857;ENSP00000446152</t>
  </si>
  <si>
    <t>51;283;435;461;631;832;838;967;1034</t>
  </si>
  <si>
    <t>Cell membrane (Single-pass type I membrane protein);Cell membrane (Single-pass type I membrane protein);Cell membrane (Single-pass type I membrane protein);Cell membrane (Single-pass type I membrane protein);Cell membrane (Single-pass type I membrane protein);Cytoplasm</t>
  </si>
  <si>
    <t>Alternative splicing;Cell membrane;Complete proteome;Cytoplasm;Developmental protein;Differentiation;Disulfide bond;Glycoprotein;Membrane;Neurogenesis;Polymorphism;Reference proteome;Signal;Transmembrane;Transmembrane helix</t>
  </si>
  <si>
    <t>UniRef100_Q8NFY4;UniRef90_Q8NFY4;UniRef50_Q8NFY4</t>
  </si>
  <si>
    <t>NLGNY_HUMAN</t>
  </si>
  <si>
    <t>Neuroligin-4, Y-linked</t>
  </si>
  <si>
    <t>NLGN4Y</t>
  </si>
  <si>
    <t>ENSG00000165246;ENSG00000279292</t>
  </si>
  <si>
    <t>ENSP00000342535;ENSP00000348169;ENSP00000485670</t>
  </si>
  <si>
    <t>UniRef100_Q8NFZ3;UniRef90_Q8N0W4;UniRef50_Q62765</t>
  </si>
  <si>
    <t>NLGN2_HUMAN</t>
  </si>
  <si>
    <t>Neuroligin-2</t>
  </si>
  <si>
    <t>NLGN2</t>
  </si>
  <si>
    <t>SP:1-16;NC:17-676;TM:677-699;CY:700-835</t>
  </si>
  <si>
    <t>ENSG00000169992</t>
  </si>
  <si>
    <t>ENSP00000305288;ENSP00000461168</t>
  </si>
  <si>
    <t>98;136;522;823</t>
  </si>
  <si>
    <t>VGATDLFPCN[115]FSK</t>
  </si>
  <si>
    <t>Q8NFZ4</t>
  </si>
  <si>
    <t>Cell junction, synapse, postsynaptic cell membrane;Cell junction, synapse, presynaptic cell membrane;Cell membrane (Single-pass type I membrane protein)</t>
  </si>
  <si>
    <t>Cell adhesion;Cell junction;Cell membrane;Complete proteome;Disulfide bond;Glycoprotein;Membrane;Postsynaptic cell membrane;Reference proteome;Signal;Synapse;Transmembrane;Transmembrane helix</t>
  </si>
  <si>
    <t>UniRef100_Q8NFZ4;UniRef90_Q69ZK9;UniRef50_Q62765</t>
  </si>
  <si>
    <t>VN1R2_HUMAN</t>
  </si>
  <si>
    <t>Vomeronasal type-1 receptor 2</t>
  </si>
  <si>
    <t>VN1R2</t>
  </si>
  <si>
    <t>CY:1-11;TM:12-32;NC:33-49;TM:50-73;CY:74-93;TM:94-113;NC:114-172;TM:173-192;CY:193-207;TM:208-230;NC:231-266;TM:267-289;CY:290-316;TM:317-340;NC:341-345;TM:346-367;CY:368-395</t>
  </si>
  <si>
    <t>ENSG00000196131</t>
  </si>
  <si>
    <t>ENSP00000351244</t>
  </si>
  <si>
    <t>16;104;239;306;343</t>
  </si>
  <si>
    <t>UniRef100_Q8NFZ6;UniRef90_Q8NFZ6;UniRef50_Q8NFZ6</t>
  </si>
  <si>
    <t>CADM4_HUMAN</t>
  </si>
  <si>
    <t>Cell adhesion molecule 4</t>
  </si>
  <si>
    <t>CADM4</t>
  </si>
  <si>
    <t>SP:1-24;NC:25-322;TM:323-347;CY:348-388</t>
  </si>
  <si>
    <t>ENSG00000105767</t>
  </si>
  <si>
    <t>ENSP00000222374</t>
  </si>
  <si>
    <t>31;67;262;286;375</t>
  </si>
  <si>
    <t>QTLFFN[115]GTR;WNRGN[115]ESLPER;NRGN[115]ESLPER;GN[115]ESLPER;AEAVGETLTLPGLVSADN[115]GTYTCEASNK</t>
  </si>
  <si>
    <t>67;262;286</t>
  </si>
  <si>
    <t>Q8NFZ8</t>
  </si>
  <si>
    <t>Cell adhesion;Complete proteome;Disulfide bond;Glycoprotein;Immunoglobulin domain;Membrane;Polymorphism;Reference proteome;Repeat;Signal;Transmembrane;Transmembrane helix;Tumor suppressor</t>
  </si>
  <si>
    <t>UniRef100_Q8NFZ8;UniRef90_Q8NFZ8;UniRef50_Q8NFZ8</t>
  </si>
  <si>
    <t>TSN14_HUMAN</t>
  </si>
  <si>
    <t>Tetraspanin-14</t>
  </si>
  <si>
    <t>TSPAN14</t>
  </si>
  <si>
    <t>CY:1-19;TM:20-41;NC:42-61;TM:62-84;CY:85-90;TM:91-115;NC:116-232;TM:233-254;CY:255-270</t>
  </si>
  <si>
    <t>ENSG00000108219</t>
  </si>
  <si>
    <t>ENSP00000361229;ENSP00000361231;ENSP00000396270</t>
  </si>
  <si>
    <t>YFN[115]CSGASYSR</t>
  </si>
  <si>
    <t>Q8NG11</t>
  </si>
  <si>
    <t>UniRef100_Q8NG11;UniRef90_Q8NG11;UniRef50_Q8NG11</t>
  </si>
  <si>
    <t>OR5T1_HUMAN</t>
  </si>
  <si>
    <t>Olfactory receptor 5T1</t>
  </si>
  <si>
    <t>OR5T1</t>
  </si>
  <si>
    <t>NC:1-36;TM:37-59;CY:60-70;TM:71-90;NC:91-110;TM:111-132;CY:133-151;TM:152-173;NC:174-209;TM:210-233;CY:234-252;TM:253-272;NC:273-283;TM:284-304;CY:305-326</t>
  </si>
  <si>
    <t>ENSG00000181698;ENSG00000262784</t>
  </si>
  <si>
    <t>ENSP00000323612;ENSP00000459132</t>
  </si>
  <si>
    <t>17;101</t>
  </si>
  <si>
    <t>UniRef100_Q8NG75;UniRef90_Q8NG75;UniRef50_Q8NGG2</t>
  </si>
  <si>
    <t>O2T33_HUMAN</t>
  </si>
  <si>
    <t>Olfactory receptor 2T33</t>
  </si>
  <si>
    <t>OR2T33</t>
  </si>
  <si>
    <t>NC:1-23;TM:24-46;CY:47-57;TM:58-77;NC:78-96;TM:97-118;CY:119-137;TM:138-159;NC:160-195;TM:196-223;CY:224-234;TM:235-258;NC:259-270;TM:271-290;CY:291-320</t>
  </si>
  <si>
    <t>ENSG00000177212</t>
  </si>
  <si>
    <t>ENSP00000324687</t>
  </si>
  <si>
    <t>5;17</t>
  </si>
  <si>
    <t>UniRef100_Q8NG76;UniRef90_A6NH00;UniRef50_A6NH00</t>
  </si>
  <si>
    <t>O2T12_HUMAN</t>
  </si>
  <si>
    <t>Olfactory receptor 2T12</t>
  </si>
  <si>
    <t>OR2T12</t>
  </si>
  <si>
    <t>ENSG00000177201</t>
  </si>
  <si>
    <t>ENSP00000324583</t>
  </si>
  <si>
    <t>UniRef100_Q8NG77;UniRef90_Q8NG77;UniRef50_Q8NG77</t>
  </si>
  <si>
    <t>OR8G5_HUMAN</t>
  </si>
  <si>
    <t>Olfactory receptor 8G5</t>
  </si>
  <si>
    <t>OR8G5</t>
  </si>
  <si>
    <t>NC:1-60;TM:61-83;CY:84-94;TM:95-114;NC:115-135;TM:136-155;CY:156-175;TM:176-196;NC:197-231;TM:232-256;CY:257-276;TM:277-296;NC:297-307;TM:308-327;CY:328-346</t>
  </si>
  <si>
    <t>ENSG00000255298</t>
  </si>
  <si>
    <t>ENSP00000477014</t>
  </si>
  <si>
    <t>16;40</t>
  </si>
  <si>
    <t>UniRef100_Q8NG78;UniRef90_Q8NG78;UniRef50_Q8NGG7</t>
  </si>
  <si>
    <t>OR2L5_HUMAN</t>
  </si>
  <si>
    <t>Olfactory receptor 2L5</t>
  </si>
  <si>
    <t>OR2L5</t>
  </si>
  <si>
    <t>NC:1-22;TM:23-49;CY:50-57;TM:58-78;NC:79-97;TM:98-119;CY:120-139;TM:140-161;NC:162-198;TM:199-224;CY:225-235;TM:236-254;NC:255-271;TM:272-291;CY:292-312</t>
  </si>
  <si>
    <t>ENSG00000197454</t>
  </si>
  <si>
    <t>ENSP00000347428</t>
  </si>
  <si>
    <t>5;41;88</t>
  </si>
  <si>
    <t>UniRef100_Q8NG80;UniRef90_Q8NG80;UniRef50_Q8NG80</t>
  </si>
  <si>
    <t>OR2M7_HUMAN</t>
  </si>
  <si>
    <t>Olfactory receptor 2M7</t>
  </si>
  <si>
    <t>OR2M7</t>
  </si>
  <si>
    <t>NC:1-25;TM:26-50;CY:51-59;TM:60-81;NC:82-100;TM:101-120;CY:121-139;TM:140-161;NC:162-197;TM:198-223;CY:224-240;TM:241-263;NC:264-274;TM:275-292;CY:293-312</t>
  </si>
  <si>
    <t>ENSG00000177186</t>
  </si>
  <si>
    <t>ENSP00000324557</t>
  </si>
  <si>
    <t>UniRef100_Q8NG81;UniRef90_Q96R28;UniRef50_Q96R27</t>
  </si>
  <si>
    <t>OR2M3_HUMAN</t>
  </si>
  <si>
    <t>Olfactory receptor 2M3</t>
  </si>
  <si>
    <t>OR2M3</t>
  </si>
  <si>
    <t>NC:1-25;TM:26-50;CY:51-59;TM:60-81;NC:82-100;TM:101-120;CY:121-139;TM:140-161;NC:162-197;TM:198-222;CY:223-238;TM:239-260;NC:261-272;TM:273-292;CY:293-312</t>
  </si>
  <si>
    <t>ENSG00000228198</t>
  </si>
  <si>
    <t>ENSP00000389625</t>
  </si>
  <si>
    <t>UniRef100_Q8NG83;UniRef90_Q8NG83;UniRef50_Q96R27</t>
  </si>
  <si>
    <t>O2AK2_HUMAN</t>
  </si>
  <si>
    <t>Olfactory receptor 2AK2</t>
  </si>
  <si>
    <t>OR2AK2</t>
  </si>
  <si>
    <t>NC:1-36;TM:37-63;CY:64-73;TM:74-94;NC:95-113;TM:114-135;CY:136-154;TM:155-178;NC:179-214;TM:215-238;CY:239-251;TM:252-274;NC:275-287;TM:288-307;CY:308-335</t>
  </si>
  <si>
    <t>ENSG00000187080</t>
  </si>
  <si>
    <t>ENSP00000355436</t>
  </si>
  <si>
    <t>2;20</t>
  </si>
  <si>
    <t>UniRef100_Q8NG84;UniRef90_Q8NG84;UniRef50_Q8NG84</t>
  </si>
  <si>
    <t>OR2L3_HUMAN</t>
  </si>
  <si>
    <t>Olfactory receptor 2L3</t>
  </si>
  <si>
    <t>OR2L3</t>
  </si>
  <si>
    <t>NC:1-22;TM:23-49;CY:50-57;TM:58-78;NC:79-97;TM:98-119;CY:120-139;TM:140-161;NC:162-198;TM:199-224;CY:225-235;TM:236-256;NC:257-271;TM:272-291;CY:292-312</t>
  </si>
  <si>
    <t>ENSG00000198128</t>
  </si>
  <si>
    <t>ENSP00000353044</t>
  </si>
  <si>
    <t>UniRef100_Q8NG85;UniRef90_Q8NGY9;UniRef50_Q96R27</t>
  </si>
  <si>
    <t>O13H1_HUMAN</t>
  </si>
  <si>
    <t>Olfactory receptor 13H1</t>
  </si>
  <si>
    <t>OR13H1</t>
  </si>
  <si>
    <t>NC:1-26;TM:27-48;CY:49-58;TM:59-78;NC:79-97;TM:98-120;CY:121-139;TM:140-161;NC:162-195;TM:196-218;CY:219-235;TM:236-259;NC:260-271;TM:272-291;CY:292-308</t>
  </si>
  <si>
    <t>ENSG00000171054</t>
  </si>
  <si>
    <t>ENSP00000340748</t>
  </si>
  <si>
    <t>UniRef100_Q8NG92;UniRef90_Q8NG92;UniRef50_Q8NG92</t>
  </si>
  <si>
    <t>O11H1_HUMAN</t>
  </si>
  <si>
    <t>Olfactory receptor 11H1</t>
  </si>
  <si>
    <t>OR11H1</t>
  </si>
  <si>
    <t>ENSG00000130538</t>
  </si>
  <si>
    <t>ENSP00000252835</t>
  </si>
  <si>
    <t>UniRef100_Q8NG94;UniRef90_Q8NG94;UniRef50_Q8NGC7</t>
  </si>
  <si>
    <t>OR7G3_HUMAN</t>
  </si>
  <si>
    <t>Olfactory receptor 7G3</t>
  </si>
  <si>
    <t>OR7G3</t>
  </si>
  <si>
    <t>NC:1-25;TM:26-48;CY:49-58;TM:59-78;NC:79-97;TM:98-120;CY:121-139;TM:140-162;NC:163-196;TM:197-217;CY:218-236;TM:237-260;NC:261-271;TM:272-292;CY:293-312</t>
  </si>
  <si>
    <t>ENSG00000170920</t>
  </si>
  <si>
    <t>ENSP00000302867</t>
  </si>
  <si>
    <t>5;93</t>
  </si>
  <si>
    <t>UniRef100_Q8NG95;UniRef90_Q8NG95;UniRef50_Q8NG99</t>
  </si>
  <si>
    <t>OR2Z1_HUMAN</t>
  </si>
  <si>
    <t>Olfactory receptor 2Z1</t>
  </si>
  <si>
    <t>OR2Z1</t>
  </si>
  <si>
    <t>NC:1-25;TM:26-48;CY:49-59;TM:60-78;NC:79-97;TM:98-120;CY:121-139;TM:140-158;NC:159-202;TM:203-224;CY:225-236;TM:237-261;NC:262-272;TM:273-292;CY:293-314</t>
  </si>
  <si>
    <t>ENSG00000181733</t>
  </si>
  <si>
    <t>ENSP00000316284</t>
  </si>
  <si>
    <t>5;155</t>
  </si>
  <si>
    <t>UniRef100_Q8NG97;UniRef90_Q8NG97;UniRef50_Q8NH04</t>
  </si>
  <si>
    <t>OR7D4_HUMAN</t>
  </si>
  <si>
    <t>Olfactory receptor 7D4</t>
  </si>
  <si>
    <t>OR7D4</t>
  </si>
  <si>
    <t>NC:1-25;TM:26-48;CY:49-59;TM:60-79;NC:80-99;TM:100-120;CY:121-139;TM:140-162;NC:163-196;TM:197-217;CY:218-237;TM:238-260;NC:261-272;TM:273-292;CY:293-312</t>
  </si>
  <si>
    <t>ENSG00000174667</t>
  </si>
  <si>
    <t>ENSP00000310488</t>
  </si>
  <si>
    <t>UniRef100_Q8NG98;UniRef90_Q8NG98;UniRef50_Q8NG98</t>
  </si>
  <si>
    <t>OR7G2_HUMAN</t>
  </si>
  <si>
    <t>Olfactory receptor 7G2</t>
  </si>
  <si>
    <t>OR7G2</t>
  </si>
  <si>
    <t>NC:1-25;TM:26-48;CY:49-59;TM:60-78;NC:79-97;TM:98-120;CY:121-139;TM:140-163;NC:164-196;TM:197-218;CY:219-237;TM:238-260;NC:261-271;TM:272-292;CY:293-324</t>
  </si>
  <si>
    <t>ENSG00000170923</t>
  </si>
  <si>
    <t>ENSP00000303822</t>
  </si>
  <si>
    <t>5;65;89</t>
  </si>
  <si>
    <t>UniRef100_Q8NG99;UniRef90_Q8NG99;UniRef50_Q8NG99</t>
  </si>
  <si>
    <t>OR7G1_HUMAN</t>
  </si>
  <si>
    <t>Olfactory receptor 7G1</t>
  </si>
  <si>
    <t>OR7G1</t>
  </si>
  <si>
    <t>NC:1-25;TM:26-49;CY:50-59;TM:60-78;NC:79-97;TM:98-120;CY:121-131;TM:132-153;NC:154-196;TM:197-219;CY:220-240;TM:241-262;NC:263-270;TM:271-292;CY:293-311</t>
  </si>
  <si>
    <t>ENSG00000161807</t>
  </si>
  <si>
    <t>ENSP00000444134</t>
  </si>
  <si>
    <t>UniRef100_Q8NGA0;UniRef90_Q8NGA0;UniRef50_Q8NGA0</t>
  </si>
  <si>
    <t>OR1M1_HUMAN</t>
  </si>
  <si>
    <t>Olfactory receptor 1M1</t>
  </si>
  <si>
    <t>OR1M1</t>
  </si>
  <si>
    <t>NC:1-25;TM:26-49;CY:50-59;TM:60-79;NC:80-98;TM:99-120;CY:121-139;TM:140-162;NC:163-196;TM:197-221;CY:222-237;TM:238-260;NC:261-273;TM:274-292;CY:293-313</t>
  </si>
  <si>
    <t>ENSG00000170929</t>
  </si>
  <si>
    <t>ENSP00000401966</t>
  </si>
  <si>
    <t>UniRef100_Q8NGA1;UniRef90_Q8NGA1;UniRef50_Q8NGS0</t>
  </si>
  <si>
    <t>OR7A2_HUMAN</t>
  </si>
  <si>
    <t>Putative olfactory receptor 7A2</t>
  </si>
  <si>
    <t>OR7A2P</t>
  </si>
  <si>
    <t>NC:1-26;TM:27-49;CY:50-59;TM:60-79;NC:80-98;TM:99-121;CY:122-140;TM:141-159;NC:160-198;TM:199-219;CY:220-238;TM:239-261;NC:262-271;TM:272-291;CY:292-310</t>
  </si>
  <si>
    <t>UniRef100_Q8NGA2;UniRef90_Q8NGA2;UniRef50_Q8NGA2</t>
  </si>
  <si>
    <t>G32P1_HUMAN</t>
  </si>
  <si>
    <t>Putative G-protein coupled receptor GPR32P1</t>
  </si>
  <si>
    <t>GPR32P1</t>
  </si>
  <si>
    <t>NC:1-45;TM:46-68;CY:69-79;TM:80-103;NC:104-115;TM:116-137;CY:138-157;TM:158-177;NC:178-213;TM:214-238;CY:239-272</t>
  </si>
  <si>
    <t>30;199</t>
  </si>
  <si>
    <t>UniRef100_Q8NGA4;UniRef90_Q8NGA4;UniRef50_Q8NGA4</t>
  </si>
  <si>
    <t>O10H4_HUMAN</t>
  </si>
  <si>
    <t>Olfactory receptor 10H4</t>
  </si>
  <si>
    <t>OR10H4</t>
  </si>
  <si>
    <t>NC:1-23;TM:24-48;CY:49-59;TM:60-80;NC:81-101;TM:102-121;CY:122-141;TM:142-165;NC:166-196;TM:197-223;CY:224-242;TM:243-262;NC:263-273;TM:274-294;CY:295-316</t>
  </si>
  <si>
    <t>ENSG00000176231</t>
  </si>
  <si>
    <t>ENSP00000318834</t>
  </si>
  <si>
    <t>5;192</t>
  </si>
  <si>
    <t>UniRef100_Q8NGA5;UniRef90_Q8NGA5;UniRef50_O60404</t>
  </si>
  <si>
    <t>O10H5_HUMAN</t>
  </si>
  <si>
    <t>Olfactory receptor 10H5</t>
  </si>
  <si>
    <t>OR10H5</t>
  </si>
  <si>
    <t>NC:1-24;TM:25-47;CY:48-58;TM:59-79;NC:80-99;TM:100-120;CY:121-140;TM:141-164;NC:165-198;TM:199-222;CY:223-241;TM:242-261;NC:262-272;TM:273-293;CY:294-315</t>
  </si>
  <si>
    <t>ENSG00000172519</t>
  </si>
  <si>
    <t>ENSP00000310704</t>
  </si>
  <si>
    <t>UniRef100_Q8NGA6;UniRef90_Q9Y4A9;UniRef50_O60404</t>
  </si>
  <si>
    <t>O4F17_HUMAN</t>
  </si>
  <si>
    <t>Olfactory receptor 4F17</t>
  </si>
  <si>
    <t>OR4F17</t>
  </si>
  <si>
    <t>NC:1-19;TM:20-42;CY:43-51;TM:52-71;NC:72-90;TM:91-113;CY:114-129;TM:130-151;NC:152-192;TM:193-218;CY:219-229;TM:230-253;NC:254-263;TM:264-282;CY:283-305</t>
  </si>
  <si>
    <t>ENSG00000176695</t>
  </si>
  <si>
    <t>ENSP00000315047;ENSP00000467301</t>
  </si>
  <si>
    <t>UniRef100_Q8NGA8;UniRef90_Q8NGA8;UniRef50_Q8NH41</t>
  </si>
  <si>
    <t>OR4C5_HUMAN</t>
  </si>
  <si>
    <t>Olfactory receptor 4C5</t>
  </si>
  <si>
    <t>OR4C5</t>
  </si>
  <si>
    <t>NC:1-46;TM:47-68;CY:69-79;TM:80-100;NC:101-122;TM:123-143;CY:144-160;TM:161-184;NC:185-214;TM:215-242;CY:243-252;TM:253-272;NC:273-283;TM:284-302;CY:303-326</t>
  </si>
  <si>
    <t>ENSG00000176540</t>
  </si>
  <si>
    <t>ENSP00000321338</t>
  </si>
  <si>
    <t>UniRef100_Q8NGB2;UniRef90_Q8NGB2;UniRef50_P0C623</t>
  </si>
  <si>
    <t>OR4S1_HUMAN</t>
  </si>
  <si>
    <t>Olfactory receptor 4S1</t>
  </si>
  <si>
    <t>OR4S1</t>
  </si>
  <si>
    <t>NC:1-25;TM:26-46;CY:47-56;TM:57-77;NC:78-99;TM:100-118;CY:119-138;TM:139-159;NC:160-191;TM:192-222;CY:223-234;TM:235-257;NC:258-268;TM:269-287;CY:288-309</t>
  </si>
  <si>
    <t>ENSG00000176555</t>
  </si>
  <si>
    <t>ENSP00000321447</t>
  </si>
  <si>
    <t>UniRef100_Q8NGB4;UniRef90_Q8NGB4;UniRef50_Q8NGB6</t>
  </si>
  <si>
    <t>OR4M2_HUMAN</t>
  </si>
  <si>
    <t>Olfactory receptor 4M2</t>
  </si>
  <si>
    <t>OR4M2</t>
  </si>
  <si>
    <t>NC:1-24;TM:25-47;CY:48-58;TM:59-78;NC:79-97;TM:98-120;CY:121-139;TM:140-164;NC:165-200;TM:201-223;CY:224-241;TM:242-261;NC:262-272;TM:273-291;CY:292-313</t>
  </si>
  <si>
    <t>ENSG00000182974;ENSG00000274102</t>
  </si>
  <si>
    <t>ENSP00000329467;ENSP00000483239</t>
  </si>
  <si>
    <t>UniRef100_Q8NGB6;UniRef90_Q8NGB6;UniRef50_Q8NGB6</t>
  </si>
  <si>
    <t>O4F15_HUMAN</t>
  </si>
  <si>
    <t>Olfactory receptor 4F15</t>
  </si>
  <si>
    <t>OR4F15</t>
  </si>
  <si>
    <t>NC:1-24;TM:25-48;CY:49-58;TM:59-78;NC:79-97;TM:98-120;CY:121-140;TM:141-162;NC:163-203;TM:204-225;CY:226-236;TM:237-258;NC:259-269;TM:270-289;CY:290-312</t>
  </si>
  <si>
    <t>ENSG00000182854</t>
  </si>
  <si>
    <t>ENSP00000333184</t>
  </si>
  <si>
    <t>UniRef100_Q8NGB8;UniRef90_Q8NGB8;UniRef50_Q6IEY1</t>
  </si>
  <si>
    <t>OR4F6_HUMAN</t>
  </si>
  <si>
    <t>Olfactory receptor 4F6</t>
  </si>
  <si>
    <t>OR4F6</t>
  </si>
  <si>
    <t>NC:1-24;TM:25-47;CY:48-58;TM:59-78;NC:79-97;TM:98-120;CY:121-140;TM:141-163;NC:164-203;TM:204-225;CY:226-236;TM:237-259;NC:260-270;TM:271-289;CY:290-312</t>
  </si>
  <si>
    <t>ENSG00000184140</t>
  </si>
  <si>
    <t>ENSP00000327525</t>
  </si>
  <si>
    <t>5;65;307</t>
  </si>
  <si>
    <t>UniRef100_Q8NGB9;UniRef90_Q8NGB9;UniRef50_Q6IEY1</t>
  </si>
  <si>
    <t>O5AU1_HUMAN</t>
  </si>
  <si>
    <t>Olfactory receptor 5AU1</t>
  </si>
  <si>
    <t>OR5AU1</t>
  </si>
  <si>
    <t>NC:1-76;TM:77-100;CY:101-112;TM:113-133;NC:134-151;TM:152-171;CY:172-190;TM:191-209;NC:210-247;TM:248-272;CY:273-291;TM:292-311;NC:312-323;TM:324-343;CY:344-362</t>
  </si>
  <si>
    <t>ENSG00000169327</t>
  </si>
  <si>
    <t>ENSP00000302057</t>
  </si>
  <si>
    <t>UniRef100_Q8NGC0;UniRef90_Q8NGC0;UniRef50_Q8NGC0</t>
  </si>
  <si>
    <t>O11G2_HUMAN</t>
  </si>
  <si>
    <t>Olfactory receptor 11G2</t>
  </si>
  <si>
    <t>OR11G2</t>
  </si>
  <si>
    <t>NC:1-62;TM:63-86;CY:87-97;TM:98-117;NC:118-136;TM:137-158;CY:159-177;TM:178-199;NC:200-242;TM:243-264;CY:265-275;TM:276-298;NC:299-311;TM:312-330;CY:331-345</t>
  </si>
  <si>
    <t>ENSG00000196832</t>
  </si>
  <si>
    <t>ENSP00000349930</t>
  </si>
  <si>
    <t>43;80;103;200</t>
  </si>
  <si>
    <t>UniRef100_Q8NGC1;UniRef90_Q8NGC1;UniRef50_Q8NGC1</t>
  </si>
  <si>
    <t>OR4E2_HUMAN</t>
  </si>
  <si>
    <t>Olfactory receptor 4E2</t>
  </si>
  <si>
    <t>OR4E2</t>
  </si>
  <si>
    <t>NC:1-24;TM:25-50;CY:51-58;TM:59-78;NC:79-98;TM:99-120;CY:121-139;TM:140-158;NC:159-202;TM:203-225;CY:226-236;TM:237-258;NC:259-269;TM:270-289;CY:290-313</t>
  </si>
  <si>
    <t>ENSG00000221977</t>
  </si>
  <si>
    <t>ENSP00000386195</t>
  </si>
  <si>
    <t>UniRef100_Q8NGC2;UniRef90_Q8NGC2;UniRef50_Q8NGB6</t>
  </si>
  <si>
    <t>O10G2_HUMAN</t>
  </si>
  <si>
    <t>Olfactory receptor 10G2</t>
  </si>
  <si>
    <t>OR10G2</t>
  </si>
  <si>
    <t>NC:1-29;TM:30-52;CY:53-63;TM:64-83;NC:84-104;TM:105-125;CY:126-144;TM:145-163;NC:164-207;TM:208-226;CY:227-246;TM:247-265;NC:266-276;TM:277-295;CY:296-310</t>
  </si>
  <si>
    <t>ENSG00000255582</t>
  </si>
  <si>
    <t>ENSP00000445383</t>
  </si>
  <si>
    <t>UniRef100_Q8NGC3;UniRef90_Q8NGC3;UniRef50_Q8NGN2</t>
  </si>
  <si>
    <t>O10G3_HUMAN</t>
  </si>
  <si>
    <t>Olfactory receptor 10G3</t>
  </si>
  <si>
    <t>OR10G3</t>
  </si>
  <si>
    <t>NC:1-25;TM:26-49;CY:50-60;TM:61-82;NC:83-101;TM:102-121;CY:122-140;TM:141-163;NC:164-198;TM:199-220;CY:221-240;TM:241-261;NC:262-271;TM:272-291;CY:292-313</t>
  </si>
  <si>
    <t>ENSG00000169208</t>
  </si>
  <si>
    <t>ENSP00000302437</t>
  </si>
  <si>
    <t>5;85</t>
  </si>
  <si>
    <t>UniRef100_Q8NGC4;UniRef90_Q8NGC4;UniRef50_Q8NGC4</t>
  </si>
  <si>
    <t>OR6J1_HUMAN</t>
  </si>
  <si>
    <t>Olfactory receptor 6J1</t>
  </si>
  <si>
    <t>OR6J1</t>
  </si>
  <si>
    <t>NC:1-23;TM:24-45;CY:46-56;TM:57-77;NC:78-100;TM:101-119;CY:120-138;TM:139-161;NC:162-198;TM:199-220;CY:221-240;TM:241-260;NC:261-271;TM:272-291;CY:292-347</t>
  </si>
  <si>
    <t>ENSG00000255804</t>
  </si>
  <si>
    <t>ENSP00000437629</t>
  </si>
  <si>
    <t>3;64;293</t>
  </si>
  <si>
    <t>UniRef100_Q8NGC5;UniRef90_Q8NGC5;UniRef50_Q8NGC5</t>
  </si>
  <si>
    <t>OR4KH_HUMAN</t>
  </si>
  <si>
    <t>Olfactory receptor 4K17</t>
  </si>
  <si>
    <t>OR4K17</t>
  </si>
  <si>
    <t>NC:1-27;TM:28-52;CY:53-61;TM:62-81;NC:82-100;TM:101-123;CY:124-142;TM:143-163;NC:164-195;TM:196-224;CY:225-242;TM:243-263;NC:264-274;TM:275-292;CY:293-315</t>
  </si>
  <si>
    <t>ENSG00000176230</t>
  </si>
  <si>
    <t>ENSP00000319197</t>
  </si>
  <si>
    <t>8;68;230;267</t>
  </si>
  <si>
    <t>UniRef100_Q8NGC6;UniRef90_Q8NGC6;UniRef50_Q8NH41</t>
  </si>
  <si>
    <t>O11H6_HUMAN</t>
  </si>
  <si>
    <t>Olfactory receptor 11H6</t>
  </si>
  <si>
    <t>OR11H6</t>
  </si>
  <si>
    <t>NC:1-44;TM:45-66;CY:67-76;TM:77-96;NC:97-116;TM:117-138;CY:139-157;TM:158-180;NC:181-218;TM:219-239;CY:240-259;TM:260-279;NC:280-290;TM:291-310;CY:311-330</t>
  </si>
  <si>
    <t>ENSG00000176219</t>
  </si>
  <si>
    <t>ENSP00000319071</t>
  </si>
  <si>
    <t>UniRef100_Q8NGC7;UniRef90_Q8NGC7;UniRef50_Q8NGC7</t>
  </si>
  <si>
    <t>O11H7_HUMAN</t>
  </si>
  <si>
    <t>Olfactory receptor 11H7</t>
  </si>
  <si>
    <t>OR11H7</t>
  </si>
  <si>
    <t>NC:1-23;TM:24-48;CY:49-59;TM:60-81;NC:82-100;TM:101-120;CY:121-139;TM:140-164;NC:165-199;TM:200-221;CY:222-241;TM:242-261;NC:262-272;TM:273-292;CY:293-314</t>
  </si>
  <si>
    <t>2;65;208</t>
  </si>
  <si>
    <t>UniRef100_Q8NGC8;UniRef90_Q8NGC8;UniRef50_Q8NGC8</t>
  </si>
  <si>
    <t>O11H4_HUMAN</t>
  </si>
  <si>
    <t>Olfactory receptor 11H4</t>
  </si>
  <si>
    <t>OR11H4</t>
  </si>
  <si>
    <t>NC:1-33;TM:34-58;CY:59-68;TM:69-88;NC:89-108;TM:109-130;CY:131-149;TM:150-172;NC:173-209;TM:210-231;CY:232-251;TM:252-271;NC:272-282;TM:283-302;CY:303-324</t>
  </si>
  <si>
    <t>ENSG00000176198</t>
  </si>
  <si>
    <t>ENSP00000318997</t>
  </si>
  <si>
    <t>UniRef100_Q8NGC9;UniRef90_Q8NGC9;UniRef50_Q8NGC8</t>
  </si>
  <si>
    <t>OR4M1_HUMAN</t>
  </si>
  <si>
    <t>Olfactory receptor 4M1</t>
  </si>
  <si>
    <t>OR4M1</t>
  </si>
  <si>
    <t>NC:1-24;TM:25-47;CY:48-58;TM:59-78;NC:79-97;TM:98-120;CY:121-139;TM:140-163;NC:164-200;TM:201-223;CY:224-241;TM:242-261;NC:262-272;TM:273-291;CY:292-313</t>
  </si>
  <si>
    <t>ENSG00000176299</t>
  </si>
  <si>
    <t>ENSP00000319654</t>
  </si>
  <si>
    <t>UniRef100_Q8NGD0;UniRef90_Q8NGD0;UniRef50_Q8NGD0</t>
  </si>
  <si>
    <t>OR4N2_HUMAN</t>
  </si>
  <si>
    <t>Olfactory receptor 4N2</t>
  </si>
  <si>
    <t>OR4N2</t>
  </si>
  <si>
    <t>NC:1-23;TM:24-47;CY:48-58;TM:59-78;NC:79-99;TM:100-120;CY:121-140;TM:141-164;NC:165-200;TM:201-224;CY:225-236;TM:237-258;NC:259-269;TM:270-289;CY:290-307</t>
  </si>
  <si>
    <t>ENSG00000176294</t>
  </si>
  <si>
    <t>ENSP00000319601</t>
  </si>
  <si>
    <t>UniRef100_Q8NGD1;UniRef90_Q8NGD1;UniRef50_Q8NGB6</t>
  </si>
  <si>
    <t>OR4K2_HUMAN</t>
  </si>
  <si>
    <t>Olfactory receptor 4K2</t>
  </si>
  <si>
    <t>OR4K2</t>
  </si>
  <si>
    <t>NC:1-24;TM:25-50;CY:51-58;TM:59-78;NC:79-98;TM:99-120;CY:121-139;TM:140-162;NC:163-194;TM:195-224;CY:225-236;TM:237-260;NC:261-270;TM:271-289;CY:290-314</t>
  </si>
  <si>
    <t>ENSG00000165762</t>
  </si>
  <si>
    <t>ENSP00000298642</t>
  </si>
  <si>
    <t>UniRef100_Q8NGD2;UniRef90_Q8NGD2;UniRef50_Q8NGD2</t>
  </si>
  <si>
    <t>OR4K5_HUMAN</t>
  </si>
  <si>
    <t>Olfactory receptor 4K5</t>
  </si>
  <si>
    <t>OR4K5</t>
  </si>
  <si>
    <t>NC:1-24;TM:25-47;CY:48-58;TM:59-78;NC:79-97;TM:98-120;CY:121-140;TM:141-160;NC:161-196;TM:197-225;CY:226-236;TM:237-260;NC:261-270;TM:271-289;CY:290-323</t>
  </si>
  <si>
    <t>ENSG00000176281</t>
  </si>
  <si>
    <t>ENSP00000319511</t>
  </si>
  <si>
    <t>UniRef100_Q8NGD3;UniRef90_Q8NGD3;UniRef50_Q8NH41</t>
  </si>
  <si>
    <t>OR4K1_HUMAN</t>
  </si>
  <si>
    <t>Olfactory receptor 4K1</t>
  </si>
  <si>
    <t>OR4K1</t>
  </si>
  <si>
    <t>NC:1-23;TM:24-49;CY:50-58;TM:59-78;NC:79-97;TM:98-120;CY:121-139;TM:140-162;NC:163-203;TM:204-225;CY:226-236;TM:237-259;NC:260-270;TM:271-289;CY:290-311</t>
  </si>
  <si>
    <t>ENSG00000155249</t>
  </si>
  <si>
    <t>ENSP00000285600</t>
  </si>
  <si>
    <t>UniRef100_Q8NGD4;UniRef90_Q8NGD4;UniRef50_Q8NGD4</t>
  </si>
  <si>
    <t>OR4KE_HUMAN</t>
  </si>
  <si>
    <t>Olfactory receptor 4K14</t>
  </si>
  <si>
    <t>OR4K14</t>
  </si>
  <si>
    <t>NC:1-25;TM:26-49;CY:50-60;TM:61-79;NC:80-98;TM:99-121;CY:122-141;TM:142-163;NC:164-204;TM:205-226;CY:227-237;TM:238-260;NC:261-271;TM:272-290;CY:291-310</t>
  </si>
  <si>
    <t>ENSG00000169484</t>
  </si>
  <si>
    <t>ENSP00000305011</t>
  </si>
  <si>
    <t>UniRef100_Q8NGD5;UniRef90_Q8NGD5;UniRef50_Q6IEY1</t>
  </si>
  <si>
    <t>O10AD_HUMAN</t>
  </si>
  <si>
    <t>Olfactory receptor 10AD1</t>
  </si>
  <si>
    <t>OR10AD1</t>
  </si>
  <si>
    <t>NC:1-24;TM:25-48;CY:49-59;TM:60-81;NC:82-101;TM:102-121;CY:122-140;TM:141-163;NC:164-196;TM:197-222;CY:223-241;TM:242-261;NC:262-274;TM:275-293;CY:294-317</t>
  </si>
  <si>
    <t>ENSG00000172640</t>
  </si>
  <si>
    <t>ENSP00000308689</t>
  </si>
  <si>
    <t>UniRef100_Q8NGE0;UniRef90_Q8NGE0;UniRef50_Q8NGE0</t>
  </si>
  <si>
    <t>OR6C4_HUMAN</t>
  </si>
  <si>
    <t>Olfactory receptor 6C4</t>
  </si>
  <si>
    <t>OR6C4</t>
  </si>
  <si>
    <t>NC:1-22;TM:23-46;CY:47-57;TM:58-77;NC:78-96;TM:97-118;CY:119-137;TM:138-160;NC:161-194;TM:195-219;CY:220-238;TM:239-259;NC:260-270;TM:271-290;CY:291-309</t>
  </si>
  <si>
    <t>ENSG00000179626</t>
  </si>
  <si>
    <t>ENSP00000377799</t>
  </si>
  <si>
    <t>UniRef100_Q8NGE1;UniRef90_Q8NGE1;UniRef50_Q8NGE1</t>
  </si>
  <si>
    <t>O2AP1_HUMAN</t>
  </si>
  <si>
    <t>Olfactory receptor 2AP1</t>
  </si>
  <si>
    <t>OR2AP1</t>
  </si>
  <si>
    <t>NC:1-22;TM:23-48;CY:49-58;TM:59-78;NC:79-95;TM:96-118;CY:119-137;TM:138-160;NC:161-195;TM:196-219;CY:220-238;TM:239-259;NC:260-270;TM:271-290;CY:291-309</t>
  </si>
  <si>
    <t>ENSG00000179615</t>
  </si>
  <si>
    <t>ENSP00000323423</t>
  </si>
  <si>
    <t>3;40;63;87</t>
  </si>
  <si>
    <t>UniRef100_Q8NGE2;UniRef90_Q8NGE2;UniRef50_Q8NGE2</t>
  </si>
  <si>
    <t>O10P1_HUMAN</t>
  </si>
  <si>
    <t>Olfactory receptor 10P1</t>
  </si>
  <si>
    <t>OR10P1</t>
  </si>
  <si>
    <t>NC:1-26;TM:27-48;CY:49-59;TM:60-79;NC:80-99;TM:100-121;CY:122-141;TM:142-165;NC:166-197;TM:198-222;CY:223-241;TM:242-262;NC:263-273;TM:274-293;CY:294-313</t>
  </si>
  <si>
    <t>ENSG00000175398</t>
  </si>
  <si>
    <t>ENSP00000308082</t>
  </si>
  <si>
    <t>UniRef100_Q8NGE3;UniRef90_Q8NGE3;UniRef50_Q8NGE3</t>
  </si>
  <si>
    <t>O10A7_HUMAN</t>
  </si>
  <si>
    <t>Olfactory receptor 10A7</t>
  </si>
  <si>
    <t>OR10A7</t>
  </si>
  <si>
    <t>NC:1-24;TM:25-48;CY:49-59;TM:60-79;NC:80-100;TM:101-120;CY:121-139;TM:140-162;NC:163-198;TM:199-219;CY:220-237;TM:238-260;NC:261-272;TM:273-292;CY:293-316</t>
  </si>
  <si>
    <t>ENSG00000179919</t>
  </si>
  <si>
    <t>ENSP00000326718</t>
  </si>
  <si>
    <t>5;65;137;265</t>
  </si>
  <si>
    <t>UniRef100_Q8NGE5;UniRef90_Q8NGE5;UniRef50_Q8NGE5</t>
  </si>
  <si>
    <t>OR9K2_HUMAN</t>
  </si>
  <si>
    <t>Olfactory receptor 9K2</t>
  </si>
  <si>
    <t>OR9K2</t>
  </si>
  <si>
    <t>NC:1-49;TM:50-73;CY:74-82;TM:83-102;NC:103-116;TM:117-144;CY:145-164;TM:165-183;NC:184-222;TM:223-246;CY:247-265;TM:266-284;NC:285-295;TM:296-315;CY:316-335</t>
  </si>
  <si>
    <t>phobius - uniprot has inconsistent topology</t>
  </si>
  <si>
    <t>ENSG00000170605</t>
  </si>
  <si>
    <t>ENSP00000307598</t>
  </si>
  <si>
    <t>30;90;114</t>
  </si>
  <si>
    <t>UniRef100_Q8NGE7;UniRef90_Q8NGE7;UniRef50_Q8NGE7</t>
  </si>
  <si>
    <t>OR4D9_HUMAN</t>
  </si>
  <si>
    <t>Olfactory receptor 4D9</t>
  </si>
  <si>
    <t>OR4D9</t>
  </si>
  <si>
    <t>NC:1-25;TM:26-49;CY:50-60;TM:61-82;NC:83-101;TM:102-120;CY:121-140;TM:141-163;NC:164-204;TM:205-225;CY:226-236;TM:237-258;NC:259-269;TM:270-289;CY:290-314</t>
  </si>
  <si>
    <t>ENSG00000172742</t>
  </si>
  <si>
    <t>ENSP00000328563</t>
  </si>
  <si>
    <t>UniRef100_Q8NGE8;UniRef90_Q8NGE8;UniRef50_Q15615</t>
  </si>
  <si>
    <t>OR9Q2_HUMAN</t>
  </si>
  <si>
    <t>Olfactory receptor 9Q2</t>
  </si>
  <si>
    <t>OR9Q2</t>
  </si>
  <si>
    <t>NC:1-26;TM:27-48;CY:49-59;TM:60-78;NC:79-97;TM:98-120;CY:121-140;TM:141-160;NC:161-196;TM:197-221;CY:222-240;TM:241-260;NC:261-272;TM:273-292;CY:293-314</t>
  </si>
  <si>
    <t>ENSG00000186513</t>
  </si>
  <si>
    <t>ENSP00000308714</t>
  </si>
  <si>
    <t>UniRef100_Q8NGE9;UniRef90_Q8NGE9;UniRef50_Q15614</t>
  </si>
  <si>
    <t>O52B6_HUMAN</t>
  </si>
  <si>
    <t>Olfactory receptor 52B6</t>
  </si>
  <si>
    <t>OR52B6</t>
  </si>
  <si>
    <t>NC:1-43;TM:44-68;CY:69-79;TM:80-98;NC:99-117;TM:118-139;CY:140-158;TM:159-181;NC:182-214;TM:215-240;CY:241-259;TM:260-280;NC:281-291;TM:292-314;CY:315-335</t>
  </si>
  <si>
    <t>ENSG00000187747</t>
  </si>
  <si>
    <t>ENSP00000341581</t>
  </si>
  <si>
    <t>UniRef100_Q8NGF0;UniRef90_Q8NGF0;UniRef50_Q8NGF0</t>
  </si>
  <si>
    <t>O52R1_HUMAN</t>
  </si>
  <si>
    <t>Olfactory receptor 52R1</t>
  </si>
  <si>
    <t>OR52R1</t>
  </si>
  <si>
    <t>NC:1-27;TM:28-51;CY:52-61;TM:62-81;NC:82-100;TM:101-126;CY:127-138;TM:139-160;NC:161-202;TM:203-225;CY:226-244;TM:245-265;NC:266-274;TM:275-296;CY:297-315</t>
  </si>
  <si>
    <t>ENSG00000176937;ENSG00000279270</t>
  </si>
  <si>
    <t>ENSP00000348368;ENSP00000485549;ENSP00000485292</t>
  </si>
  <si>
    <t>7;45</t>
  </si>
  <si>
    <t>UniRef100_Q8NGF1;UniRef90_Q8NGF1;UniRef50_Q8NGI2</t>
  </si>
  <si>
    <t>O51D1_HUMAN</t>
  </si>
  <si>
    <t>Olfactory receptor 51D1</t>
  </si>
  <si>
    <t>OR51D1</t>
  </si>
  <si>
    <t>NC:1-36;TM:37-61;CY:62-72;TM:73-91;NC:92-110;TM:111-133;CY:134-152;TM:153-174;NC:175-209;TM:210-234;CY:235-247;TM:248-272;NC:273-282;TM:283-304;CY:305-324</t>
  </si>
  <si>
    <t>ENSG00000197428</t>
  </si>
  <si>
    <t>ENSP00000350222</t>
  </si>
  <si>
    <t>UniRef100_Q8NGF3;UniRef90_Q8NGF3;UniRef50_Q8TCB6</t>
  </si>
  <si>
    <t>O5AP2_HUMAN</t>
  </si>
  <si>
    <t>Olfactory receptor 5AP2</t>
  </si>
  <si>
    <t>OR5AP2</t>
  </si>
  <si>
    <t>NC:1-30;TM:31-54;CY:55-62;TM:63-81;NC:82-104;TM:105-125;CY:126-135;TM:136-157;NC:158-206;TM:207-232;CY:233-243;TM:244-266;NC:267-278;TM:279-298;CY:299-316</t>
  </si>
  <si>
    <t>ENSG00000172464</t>
  </si>
  <si>
    <t>ENSP00000303111</t>
  </si>
  <si>
    <t>UniRef100_Q8NGF4;UniRef90_Q8NGF4;UniRef50_Q96R08</t>
  </si>
  <si>
    <t>O10W1_HUMAN</t>
  </si>
  <si>
    <t>Olfactory receptor 10W1</t>
  </si>
  <si>
    <t>OR10W1</t>
  </si>
  <si>
    <t>NC:1-15;TM:16-38;CY:39-49;TM:50-72;NC:73-91;TM:92-111;CY:112-129;TM:130-154;NC:155-190;TM:191-213;CY:214-232;TM:233-251;NC:252-262;TM:263-283;CY:284-305</t>
  </si>
  <si>
    <t>ENSG00000172772</t>
  </si>
  <si>
    <t>ENSP00000378516</t>
  </si>
  <si>
    <t>UniRef100_Q8NGF6;UniRef90_Q8NGF6;UniRef50_Q8NGF6</t>
  </si>
  <si>
    <t>OR5BH_HUMAN</t>
  </si>
  <si>
    <t>Olfactory receptor 5B17</t>
  </si>
  <si>
    <t>OR5B17</t>
  </si>
  <si>
    <t>NC:1-23;TM:24-46;CY:47-57;TM:58-76;NC:77-95;TM:96-113;CY:114-136;TM:137-156;NC:157-194;TM:195-220;CY:221-239;TM:240-259;NC:260-270;TM:271-290;CY:291-314</t>
  </si>
  <si>
    <t>ENSG00000197786</t>
  </si>
  <si>
    <t>ENSP00000349945</t>
  </si>
  <si>
    <t>3;63;153</t>
  </si>
  <si>
    <t>UniRef100_Q8NGF7;UniRef90_Q8NGF7;UniRef50_Q8NGF7</t>
  </si>
  <si>
    <t>OR4B1_HUMAN</t>
  </si>
  <si>
    <t>Olfactory receptor 4B1</t>
  </si>
  <si>
    <t>OR4B1</t>
  </si>
  <si>
    <t>NC:1-19;TM:20-45;CY:46-56;TM:57-79;NC:80-99;TM:100-119;CY:120-138;TM:139-162;NC:163-200;TM:201-223;CY:224-234;TM:235-256;NC:257-267;TM:268-287;CY:288-309</t>
  </si>
  <si>
    <t>ENSG00000175619</t>
  </si>
  <si>
    <t>ENSP00000311605</t>
  </si>
  <si>
    <t>6;225</t>
  </si>
  <si>
    <t>UniRef100_Q8NGF8;UniRef90_Q8NGF8;UniRef50_Q8NGF8</t>
  </si>
  <si>
    <t>OR4X2_HUMAN</t>
  </si>
  <si>
    <t>Olfactory receptor 4X2</t>
  </si>
  <si>
    <t>OR4X2</t>
  </si>
  <si>
    <t>NC:1-19;TM:20-41;CY:42-50;TM:51-71;NC:72-92;TM:93-112;CY:113-131;TM:132-155;NC:156-184;TM:185-214;CY:215-225;TM:226-250;NC:251-262;TM:263-282;CY:283-303</t>
  </si>
  <si>
    <t>ENSG00000172208;ENSG00000279556</t>
  </si>
  <si>
    <t>ENSP00000307751;ENSP00000485191;ENSP00000485431</t>
  </si>
  <si>
    <t>UniRef100_Q8NGF9;UniRef90_Q8NGF9;UniRef50_Q8NGB6</t>
  </si>
  <si>
    <t>OR8J3_HUMAN</t>
  </si>
  <si>
    <t>Olfactory receptor 8J3</t>
  </si>
  <si>
    <t>OR8J3</t>
  </si>
  <si>
    <t>NC:1-24;TM:25-48;CY:49-59;TM:60-79;NC:80-98;TM:99-120;CY:121-139;TM:140-163;NC:164-197;TM:198-221;CY:222-240;TM:241-261;NC:262-272;TM:273-292;CY:293-315</t>
  </si>
  <si>
    <t>ENSG00000167822</t>
  </si>
  <si>
    <t>ENSP00000301529</t>
  </si>
  <si>
    <t>5;73;265</t>
  </si>
  <si>
    <t>UniRef100_Q8NGG0;UniRef90_Q8NGG0;UniRef50_Q8VFL5</t>
  </si>
  <si>
    <t>OR8J2_HUMAN</t>
  </si>
  <si>
    <t>Olfactory receptor 8J2</t>
  </si>
  <si>
    <t>OR8J2</t>
  </si>
  <si>
    <t>NC:1-24;TM:25-48;CY:49-59;TM:60-79;NC:80-97;TM:98-120;CY:121-140;TM:141-167;NC:168-206;TM:207-226;CY:227-237;TM:238-260;NC:261-272;TM:273-292;CY:293-315</t>
  </si>
  <si>
    <t>Complete proteome;Disulfide bond;G-protein coupled receptor;Glycoprotein;Membrane;Olfaction;Receptor;Reference proteome;Sensory transduction;Transducer;Transmembrane;Transmembrane helix</t>
  </si>
  <si>
    <t>UniRef100_Q8NGG1;UniRef90_Q8NGG1;UniRef50_Q8VFL5</t>
  </si>
  <si>
    <t>OR5T2_HUMAN</t>
  </si>
  <si>
    <t>Olfactory receptor 5T2</t>
  </si>
  <si>
    <t>OR5T2</t>
  </si>
  <si>
    <t>NC:1-64;TM:65-87;CY:88-98;TM:99-117;NC:118-136;TM:137-159;CY:160-178;TM:179-198;NC:199-236;TM:237-260;CY:261-279;TM:280-299;NC:300-310;TM:311-331;CY:332-359</t>
  </si>
  <si>
    <t>ENSG00000181718;ENSG00000262851</t>
  </si>
  <si>
    <t>ENSP00000323688;ENSP00000460931</t>
  </si>
  <si>
    <t>44;185</t>
  </si>
  <si>
    <t>UniRef100_Q8NGG2;UniRef90_Q8NGG2;UniRef50_Q8NGG2</t>
  </si>
  <si>
    <t>OR5T3_HUMAN</t>
  </si>
  <si>
    <t>Olfactory receptor 5T3</t>
  </si>
  <si>
    <t>OR5T3</t>
  </si>
  <si>
    <t>NC:1-54;TM:55-78;CY:79-89;TM:90-108;NC:109-128;TM:129-150;CY:151-169;TM:170-192;NC:193-227;TM:228-252;CY:253-271;TM:272-290;NC:291-301;TM:302-322;CY:323-340</t>
  </si>
  <si>
    <t>ENSG00000172489;ENSG00000261897</t>
  </si>
  <si>
    <t>ENSP00000305403;ENSP00000459586</t>
  </si>
  <si>
    <t>35;119</t>
  </si>
  <si>
    <t>UniRef100_Q8NGG3;UniRef90_Q8NGG3;UniRef50_Q8VFK1</t>
  </si>
  <si>
    <t>OR8H1_HUMAN</t>
  </si>
  <si>
    <t>Olfactory receptor 8H1</t>
  </si>
  <si>
    <t>OR8H1</t>
  </si>
  <si>
    <t>NC:1-24;TM:25-48;CY:49-59;TM:60-77;NC:78-96;TM:97-119;CY:120-138;TM:139-161;NC:162-195;TM:196-220;CY:221-239;TM:240-259;NC:260-270;TM:271-291;CY:292-311</t>
  </si>
  <si>
    <t>ENSG00000181693</t>
  </si>
  <si>
    <t>ENSP00000323595</t>
  </si>
  <si>
    <t>5;228</t>
  </si>
  <si>
    <t>UniRef100_Q8NGG4;UniRef90_Q8NGG4;UniRef50_Q8WZ84</t>
  </si>
  <si>
    <t>OR8K1_HUMAN</t>
  </si>
  <si>
    <t>Olfactory receptor 8K1</t>
  </si>
  <si>
    <t>OR8K1</t>
  </si>
  <si>
    <t>NC:1-32;TM:33-54;CY:55-65;TM:66-84;NC:85-103;TM:104-126;CY:127-145;TM:146-167;NC:168-202;TM:203-228;CY:229-246;TM:247-267;NC:268-278;TM:279-298;CY:299-319</t>
  </si>
  <si>
    <t>ENSG00000150261;ENSG00000263328</t>
  </si>
  <si>
    <t>ENSP00000279783;ENSP00000461384</t>
  </si>
  <si>
    <t>UniRef100_Q8NGG5;UniRef90_Q8NGG5;UniRef50_Q8NGG5</t>
  </si>
  <si>
    <t>OR8BC_HUMAN</t>
  </si>
  <si>
    <t>Olfactory receptor 8B12</t>
  </si>
  <si>
    <t>OR8B12</t>
  </si>
  <si>
    <t>NC:1-24;TM:25-47;CY:48-58;TM:59-77;NC:78-97;TM:98-119;CY:120-138;TM:139-157;NC:158-195;TM:196-220;CY:221-239;TM:240-259;NC:260-273;TM:274-291;CY:292-310</t>
  </si>
  <si>
    <t>ENSG00000170953</t>
  </si>
  <si>
    <t>ENSP00000307159</t>
  </si>
  <si>
    <t>5;64;164;189;227</t>
  </si>
  <si>
    <t>UniRef100_Q8NGG6;UniRef90_Q8NGG6;UniRef50_Q96RC9</t>
  </si>
  <si>
    <t>OR8A1_HUMAN</t>
  </si>
  <si>
    <t>Olfactory receptor 8A1</t>
  </si>
  <si>
    <t>OR8A1</t>
  </si>
  <si>
    <t>NC:1-43;TM:44-68;CY:69-76;TM:77-96;NC:97-117;TM:118-137;CY:138-148;TM:149-174;NC:175-219;TM:220-244;CY:245-256;TM:257-276;NC:277-287;TM:288-308;CY:309-326</t>
  </si>
  <si>
    <t>ENSG00000196119</t>
  </si>
  <si>
    <t>ENSP00000284287</t>
  </si>
  <si>
    <t>22;82</t>
  </si>
  <si>
    <t>UniRef100_Q8NGG7;UniRef90_Q8NGG7;UniRef50_Q8NGG7</t>
  </si>
  <si>
    <t>OR8B3_HUMAN</t>
  </si>
  <si>
    <t>Olfactory receptor 8B3</t>
  </si>
  <si>
    <t>OR8B3</t>
  </si>
  <si>
    <t>NC:1-26;TM:27-48;CY:49-59;TM:60-78;NC:79-98;TM:99-120;CY:121-139;TM:140-158;NC:159-196;TM:197-221;CY:222-240;TM:241-260;NC:261-273;TM:274-291;CY:292-313</t>
  </si>
  <si>
    <t>ENSG00000196661</t>
  </si>
  <si>
    <t>ENSP00000346611</t>
  </si>
  <si>
    <t>UniRef100_Q8NGG8;UniRef90_Q96RD0;UniRef50_Q96RD0</t>
  </si>
  <si>
    <t>OR2D3_HUMAN</t>
  </si>
  <si>
    <t>Olfactory receptor 2D3</t>
  </si>
  <si>
    <t>OR2D3</t>
  </si>
  <si>
    <t>NC:1-40;TM:41-66;CY:67-77;TM:78-98;NC:99-115;TM:116-136;CY:137-155;TM:156-174;NC:175-213;TM:214-237;CY:238-254;TM:255-276;NC:277-288;TM:289-308;CY:309-330</t>
  </si>
  <si>
    <t>ENSG00000178358</t>
  </si>
  <si>
    <t>ENSP00000320560</t>
  </si>
  <si>
    <t>21;81</t>
  </si>
  <si>
    <t>UniRef100_Q8NGH3;UniRef90_Q8NGH3;UniRef50_Q9H210</t>
  </si>
  <si>
    <t>O56A1_HUMAN</t>
  </si>
  <si>
    <t>Olfactory receptor 56A1</t>
  </si>
  <si>
    <t>OR56A1</t>
  </si>
  <si>
    <t>NC:1-33;TM:34-54;CY:55-65;TM:66-85;NC:86-104;TM:105-127;CY:128-146;TM:147-169;NC:170-204;TM:205-228;CY:229-244;TM:245-267;NC:268-278;TM:279-300;CY:301-318</t>
  </si>
  <si>
    <t>ENSG00000180934</t>
  </si>
  <si>
    <t>ENSP00000321246</t>
  </si>
  <si>
    <t>10;49;188;198</t>
  </si>
  <si>
    <t>UniRef100_Q8NGH5;UniRef90_Q8NGH5;UniRef50_Q8NGH5</t>
  </si>
  <si>
    <t>O52L2_HUMAN</t>
  </si>
  <si>
    <t>Putative olfactory receptor 52L2</t>
  </si>
  <si>
    <t>OR52L2P</t>
  </si>
  <si>
    <t>NC:1-43;TM:44-66;CY:67-77;TM:78-96;NC:97-115;TM:116-138;CY:139-157;TM:158-180;NC:181-215;TM:216-239;CY:240-255;TM:256-278;NC:279-289;TM:290-310;CY:311-319</t>
  </si>
  <si>
    <t>20;60</t>
  </si>
  <si>
    <t>UniRef100_Q8NGH6;UniRef90_Q8NGH7;UniRef50_Q8NGH7</t>
  </si>
  <si>
    <t>O52L1_HUMAN</t>
  </si>
  <si>
    <t>Olfactory receptor 52L1</t>
  </si>
  <si>
    <t>OR52L1</t>
  </si>
  <si>
    <t>NC:1-43;TM:44-66;CY:67-77;TM:78-96;NC:97-115;TM:116-142;CY:143-153;TM:154-176;NC:177-215;TM:216-239;CY:240-257;TM:258-278;NC:279-289;TM:290-311;CY:312-329</t>
  </si>
  <si>
    <t>ENSG00000183313</t>
  </si>
  <si>
    <t>ENSP00000330338</t>
  </si>
  <si>
    <t>UniRef100_Q8NGH7;UniRef90_Q8NGH7;UniRef50_Q8NGH7</t>
  </si>
  <si>
    <t>O56A4_HUMAN</t>
  </si>
  <si>
    <t>Olfactory receptor 56A4</t>
  </si>
  <si>
    <t>OR56A4</t>
  </si>
  <si>
    <t>NC:1-29;TM:30-50;CY:51-61;TM:62-81;NC:82-100;TM:101-123;CY:124-142;TM:143-162;NC:163-202;TM:203-224;CY:225-243;TM:244-264;NC:265-275;TM:276-297;CY:298-313</t>
  </si>
  <si>
    <t>ENSG00000183389</t>
  </si>
  <si>
    <t>ENSP00000328215</t>
  </si>
  <si>
    <t>6;45;184</t>
  </si>
  <si>
    <t>UniRef100_Q8NGH8;UniRef90_Q8NGH8;UniRef50_Q8NGH5</t>
  </si>
  <si>
    <t>O52E4_HUMAN</t>
  </si>
  <si>
    <t>Olfactory receptor 52E4</t>
  </si>
  <si>
    <t>OR52E4</t>
  </si>
  <si>
    <t>NC:1-25;TM:26-50;CY:51-61;TM:62-80;NC:81-99;TM:100-122;CY:123-142;TM:143-166;NC:167-197;TM:198-222;CY:223-241;TM:242-260;NC:261-271;TM:272-293;CY:294-312</t>
  </si>
  <si>
    <t>ENSG00000180974</t>
  </si>
  <si>
    <t>ENSP00000321426</t>
  </si>
  <si>
    <t>5;44;140</t>
  </si>
  <si>
    <t>UniRef100_Q8NGH9;UniRef90_Q8NGH9;UniRef50_Q8NGI2</t>
  </si>
  <si>
    <t>O52N2_HUMAN</t>
  </si>
  <si>
    <t>Olfactory receptor 52N2</t>
  </si>
  <si>
    <t>OR52N2</t>
  </si>
  <si>
    <t>NC:1-26;TM:27-50;CY:51-61;TM:62-80;NC:81-99;TM:100-122;CY:123-141;TM:142-163;NC:164-197;TM:198-223;CY:224-242;TM:243-262;NC:263-273;TM:274-295;CY:296-321</t>
  </si>
  <si>
    <t>ENSG00000180988</t>
  </si>
  <si>
    <t>ENSP00000322801</t>
  </si>
  <si>
    <t>UniRef100_Q8NGI0;UniRef90_Q8NGI0;UniRef50_Q8NGJ2</t>
  </si>
  <si>
    <t>O56B2_HUMAN</t>
  </si>
  <si>
    <t>Putative olfactory receptor 56B2</t>
  </si>
  <si>
    <t>OR56B2P</t>
  </si>
  <si>
    <t>NC:1-34;TM:35-57;CY:58-68;TM:69-88;NC:89-107;TM:108-129;CY:130-148;TM:149-172;NC:173-209;TM:210-232;CY:233-251;TM:252-270;NC:271-278;TM:279-302;CY:303-322</t>
  </si>
  <si>
    <t>UniRef100_Q8NGI1;UniRef90_Q8NGI1;UniRef50_Q8NGI3</t>
  </si>
  <si>
    <t>O52N4_HUMAN</t>
  </si>
  <si>
    <t>Olfactory receptor 52N4</t>
  </si>
  <si>
    <t>OR52N4</t>
  </si>
  <si>
    <t>NC:1-26;TM:27-50;CY:51-61;TM:62-80;NC:81-99;TM:100-122;CY:123-141;TM:142-163;NC:164-197;TM:198-220;CY:221-239;TM:240-262;NC:263-275;TM:276-295;CY:296-321</t>
  </si>
  <si>
    <t>ENSG00000181074</t>
  </si>
  <si>
    <t>ENSP00000323224</t>
  </si>
  <si>
    <t>UniRef100_Q8NGI2;UniRef90_Q8NGI2;UniRef50_Q8NGI2</t>
  </si>
  <si>
    <t>O56B1_HUMAN</t>
  </si>
  <si>
    <t>Olfactory receptor 56B1</t>
  </si>
  <si>
    <t>OR56B1</t>
  </si>
  <si>
    <t>NC:1-34;TM:35-57;CY:58-68;TM:69-88;NC:89-107;TM:108-129;CY:130-148;TM:149-170;NC:171-209;TM:210-232;CY:233-252;TM:253-272;NC:273-278;TM:279-302;CY:303-324</t>
  </si>
  <si>
    <t>ENSG00000181023</t>
  </si>
  <si>
    <t>ENSP00000322939</t>
  </si>
  <si>
    <t>UniRef100_Q8NGI3;UniRef90_Q8NGI3;UniRef50_Q8NGI3</t>
  </si>
  <si>
    <t>OR4DB_HUMAN</t>
  </si>
  <si>
    <t>Olfactory receptor 4D11</t>
  </si>
  <si>
    <t>OR4D11</t>
  </si>
  <si>
    <t>NC:1-24;TM:25-49;CY:50-60;TM:61-81;NC:82-101;TM:102-122;CY:123-141;TM:142-164;NC:165-204;TM:205-225;CY:226-236;TM:237-258;NC:259-269;TM:270-289;CY:290-311</t>
  </si>
  <si>
    <t>ENSG00000176200</t>
  </si>
  <si>
    <t>ENSP00000320077</t>
  </si>
  <si>
    <t>UniRef100_Q8NGI4;UniRef90_Q8NGI4;UniRef50_Q15615</t>
  </si>
  <si>
    <t>OR4DA_HUMAN</t>
  </si>
  <si>
    <t>Olfactory receptor 4D10</t>
  </si>
  <si>
    <t>OR4D10</t>
  </si>
  <si>
    <t>NC:1-24;TM:25-48;CY:49-59;TM:60-81;NC:82-101;TM:102-120;CY:121-140;TM:141-163;NC:164-204;TM:205-224;CY:225-235;TM:236-258;NC:259-269;TM:270-289;CY:290-311</t>
  </si>
  <si>
    <t>ENSG00000254466</t>
  </si>
  <si>
    <t>ENSP00000436424</t>
  </si>
  <si>
    <t>UniRef100_Q8NGI6;UniRef90_Q8NGI6;UniRef50_Q8NGB6</t>
  </si>
  <si>
    <t>O10V1_HUMAN</t>
  </si>
  <si>
    <t>Olfactory receptor 10V1</t>
  </si>
  <si>
    <t>OR10V1</t>
  </si>
  <si>
    <t>NC:1-24;TM:25-48;CY:49-59;TM:60-81;NC:82-100;TM:101-121;CY:122-140;TM:141-165;NC:166-199;TM:200-224;CY:225-243;TM:244-262;NC:263-273;TM:274-293;CY:294-309</t>
  </si>
  <si>
    <t>ENSG00000172289</t>
  </si>
  <si>
    <t>ENSP00000302199</t>
  </si>
  <si>
    <t>5;42;52</t>
  </si>
  <si>
    <t>UniRef100_Q8NGI7;UniRef90_Q8NGI7;UniRef50_Q8NGI7</t>
  </si>
  <si>
    <t>O5AN1_HUMAN</t>
  </si>
  <si>
    <t>Olfactory receptor 5AN1</t>
  </si>
  <si>
    <t>OR5AN1</t>
  </si>
  <si>
    <t>NC:1-24;TM:25-49;CY:50-60;TM:61-79;NC:80-98;TM:99-120;CY:121-130;TM:131-153;NC:154-194;TM:195-222;CY:223-241;TM:242-262;NC:263-273;TM:274-293;CY:294-311</t>
  </si>
  <si>
    <t>ENSG00000176495</t>
  </si>
  <si>
    <t>ENSP00000320302</t>
  </si>
  <si>
    <t>6;43;66</t>
  </si>
  <si>
    <t>UniRef100_Q8NGI8;UniRef90_Q8NGI8;UniRef50_Q8NGI8</t>
  </si>
  <si>
    <t>OR5A2_HUMAN</t>
  </si>
  <si>
    <t>Olfactory receptor 5A2</t>
  </si>
  <si>
    <t>OR5A2</t>
  </si>
  <si>
    <t>NC:1-25;TM:26-49;CY:50-60;TM:61-79;NC:80-98;TM:99-120;CY:121-130;TM:131-155;NC:156-198;TM:199-222;CY:223-241;TM:242-261;NC:262-273;TM:274-293;CY:294-324</t>
  </si>
  <si>
    <t>ENSG00000172324</t>
  </si>
  <si>
    <t>ENSP00000303834</t>
  </si>
  <si>
    <t>UniRef100_Q8NGI9;UniRef90_Q8NGI9;UniRef50_Q96R08</t>
  </si>
  <si>
    <t>OR5A1_HUMAN</t>
  </si>
  <si>
    <t>Olfactory receptor 5A1</t>
  </si>
  <si>
    <t>OR5A1</t>
  </si>
  <si>
    <t>NC:1-27;TM:28-51;CY:52-62;TM:63-81;NC:82-100;TM:101-123;CY:124-142;TM:143-163;NC:164-200;TM:201-224;CY:225-243;TM:244-263;NC:264-275;TM:276-295;CY:296-315</t>
  </si>
  <si>
    <t>ENSG00000172320</t>
  </si>
  <si>
    <t>ENSP00000303096</t>
  </si>
  <si>
    <t>UniRef100_Q8NGJ0;UniRef90_Q8NGJ0;UniRef50_Q8NGJ0</t>
  </si>
  <si>
    <t>OR4D6_HUMAN</t>
  </si>
  <si>
    <t>Olfactory receptor 4D6</t>
  </si>
  <si>
    <t>OR4D6</t>
  </si>
  <si>
    <t>NC:1-24;TM:25-49;CY:50-60;TM:61-82;NC:83-100;TM:101-120;CY:121-139;TM:140-163;NC:164-204;TM:205-225;CY:226-236;TM:237-258;NC:259-269;TM:270-289;CY:290-314</t>
  </si>
  <si>
    <t>ENSG00000166884</t>
  </si>
  <si>
    <t>ENSP00000300127</t>
  </si>
  <si>
    <t>UniRef100_Q8NGJ1;UniRef90_Q8NGJ1;UniRef50_Q8NGJ1</t>
  </si>
  <si>
    <t>O52H1_HUMAN</t>
  </si>
  <si>
    <t>Olfactory receptor 52H1</t>
  </si>
  <si>
    <t>OR52H1</t>
  </si>
  <si>
    <t>NC:1-32;TM:33-56;CY:57-67;TM:68-86;NC:87-109;TM:110-129;CY:130-148;TM:149-171;NC:172-203;TM:204-227;CY:228-245;TM:246-268;NC:269-279;TM:280-301;CY:302-320</t>
  </si>
  <si>
    <t>ENSG00000181616</t>
  </si>
  <si>
    <t>ENSP00000326259</t>
  </si>
  <si>
    <t>11;275</t>
  </si>
  <si>
    <t>UniRef100_Q8NGJ2;UniRef90_Q8NGJ2;UniRef50_Q8NGJ2</t>
  </si>
  <si>
    <t>O52E1_HUMAN</t>
  </si>
  <si>
    <t>Olfactory receptor 52E1</t>
  </si>
  <si>
    <t>OR52E1</t>
  </si>
  <si>
    <t>NC:1-23;TM:24-47;CY:48-58;TM:59-77;NC:78-97;TM:98-119;CY:120-138;TM:139-163;NC:164-194;TM:195-219;CY:220-234;TM:235-257;NC:258-268;TM:269-291;CY:292-308</t>
  </si>
  <si>
    <t>2;41</t>
  </si>
  <si>
    <t>UniRef100_Q8NGJ3;UniRef90_Q8NGJ3;UniRef50_Q8NGI2</t>
  </si>
  <si>
    <t>O52E2_HUMAN</t>
  </si>
  <si>
    <t>Olfactory receptor 52E2</t>
  </si>
  <si>
    <t>OR52E2</t>
  </si>
  <si>
    <t>NC:1-25;TM:26-50;CY:51-61;TM:62-80;NC:81-100;TM:101-122;CY:123-141;TM:142-166;NC:167-197;TM:198-222;CY:223-240;TM:241-260;NC:261-271;TM:272-295;CY:296-325</t>
  </si>
  <si>
    <t>ENSG00000176787</t>
  </si>
  <si>
    <t>ENSP00000322088</t>
  </si>
  <si>
    <t>5;44;108</t>
  </si>
  <si>
    <t>UniRef100_Q8NGJ4;UniRef90_Q8NGJ4;UniRef50_Q8NGJ2</t>
  </si>
  <si>
    <t>O51L1_HUMAN</t>
  </si>
  <si>
    <t>Olfactory receptor 51L1</t>
  </si>
  <si>
    <t>OR51L1</t>
  </si>
  <si>
    <t>NC:1-26;TM:27-50;CY:51-61;TM:62-80;NC:81-99;TM:100-122;CY:123-141;TM:142-161;NC:162-198;TM:199-223;CY:224-242;TM:243-264;NC:265-272;TM:273-294;CY:295-315</t>
  </si>
  <si>
    <t>ENSG00000176798</t>
  </si>
  <si>
    <t>ENSP00000322156</t>
  </si>
  <si>
    <t>5;44</t>
  </si>
  <si>
    <t>UniRef100_Q8NGJ5;UniRef90_Q8NGJ5;UniRef50_Q9H340</t>
  </si>
  <si>
    <t>O51A4_HUMAN</t>
  </si>
  <si>
    <t>Olfactory receptor 51A4</t>
  </si>
  <si>
    <t>OR51A4</t>
  </si>
  <si>
    <t>NC:1-25;TM:26-50;CY:51-61;TM:62-80;NC:81-103;TM:104-122;CY:123-142;TM:143-163;NC:164-197;TM:198-222;CY:223-241;TM:242-261;NC:262-272;TM:273-294;CY:295-313</t>
  </si>
  <si>
    <t>ENSG00000205497</t>
  </si>
  <si>
    <t>ENSP00000369731</t>
  </si>
  <si>
    <t>UniRef100_Q8NGJ6;UniRef90_Q8NGJ6;UniRef50_Q8NGJ6</t>
  </si>
  <si>
    <t>O51A2_HUMAN</t>
  </si>
  <si>
    <t>Olfactory receptor 51A2</t>
  </si>
  <si>
    <t>OR51A2</t>
  </si>
  <si>
    <t>NC:1-25;TM:26-50;CY:51-61;TM:62-80;NC:81-103;TM:104-122;CY:123-142;TM:143-163;NC:164-197;TM:198-222;CY:223-241;TM:242-262;NC:263-271;TM:272-293;CY:294-313</t>
  </si>
  <si>
    <t>ENSG00000205496</t>
  </si>
  <si>
    <t>ENSP00000369729</t>
  </si>
  <si>
    <t>UniRef100_Q8NGJ7;UniRef90_Q8NGJ6;UniRef50_Q8NGJ6</t>
  </si>
  <si>
    <t>O51S1_HUMAN</t>
  </si>
  <si>
    <t>Olfactory receptor 51S1</t>
  </si>
  <si>
    <t>OR51S1</t>
  </si>
  <si>
    <t>NC:1-33;TM:34-57;CY:58-68;TM:69-86;NC:87-105;TM:106-128;CY:129-147;TM:148-172;NC:173-203;TM:204-228;CY:229-247;TM:248-269;NC:270-281;TM:282-301;CY:302-323</t>
  </si>
  <si>
    <t>ENSG00000176922</t>
  </si>
  <si>
    <t>ENSP00000322754</t>
  </si>
  <si>
    <t>11;50</t>
  </si>
  <si>
    <t>UniRef100_Q8NGJ8;UniRef90_Q8NGJ8;UniRef50_Q8NGJ8</t>
  </si>
  <si>
    <t>O51T1_HUMAN</t>
  </si>
  <si>
    <t>Olfactory receptor 51T1</t>
  </si>
  <si>
    <t>OR51T1</t>
  </si>
  <si>
    <t>NC:1-26;TM:27-50;CY:51-61;TM:62-80;NC:81-99;TM:100-122;CY:123-142;TM:143-165;NC:166-198;TM:199-223;CY:224-242;TM:243-263;NC:264-276;TM:277-296;CY:297-327</t>
  </si>
  <si>
    <t>ENSG00000176900</t>
  </si>
  <si>
    <t>ENSP00000322679;ENSP00000369738</t>
  </si>
  <si>
    <t>5;6;209</t>
  </si>
  <si>
    <t>UniRef100_Q8NGJ9;UniRef90_Q8NGJ9;UniRef50_Q8NGJ9</t>
  </si>
  <si>
    <t>O51G2_HUMAN</t>
  </si>
  <si>
    <t>Olfactory receptor 51G2</t>
  </si>
  <si>
    <t>OR51G2</t>
  </si>
  <si>
    <t>NC:1-28;TM:29-53;CY:54-64;TM:65-86;NC:87-105;TM:106-125;CY:126-144;TM:145-166;NC:167-201;TM:202-226;CY:227-245;TM:246-267;NC:268-275;TM:276-297;CY:298-314</t>
  </si>
  <si>
    <t>ENSG00000176893</t>
  </si>
  <si>
    <t>ENSP00000322593</t>
  </si>
  <si>
    <t>8;47</t>
  </si>
  <si>
    <t>UniRef100_Q8NGK0;UniRef90_Q8NGK0;UniRef50_Q8NGK0</t>
  </si>
  <si>
    <t>O51G1_HUMAN</t>
  </si>
  <si>
    <t>Olfactory receptor 51G1</t>
  </si>
  <si>
    <t>OR51G1</t>
  </si>
  <si>
    <t>NC:1-26;TM:27-50;CY:51-61;TM:62-81;NC:82-101;TM:102-122;CY:123-141;TM:142-163;NC:164-198;TM:199-223;CY:224-242;TM:243-263;NC:264-274;TM:275-296;CY:297-321</t>
  </si>
  <si>
    <t>ENSG00000176879;ENSG00000278870</t>
  </si>
  <si>
    <t>ENSP00000322546;ENSP00000485612;ENSP00000485265</t>
  </si>
  <si>
    <t>6;44</t>
  </si>
  <si>
    <t>UniRef100_Q8NGK1;UniRef90_Q8NGK1;UniRef50_Q8NGK1</t>
  </si>
  <si>
    <t>O52B4_HUMAN</t>
  </si>
  <si>
    <t>Olfactory receptor 52B4</t>
  </si>
  <si>
    <t>OR52B4</t>
  </si>
  <si>
    <t>NC:1-26;TM:27-50;CY:51-61;TM:62-83;NC:84-102;TM:103-125;CY:126-145;TM:146-165;NC:166-197;TM:198-223;CY:224-242;TM:243-262;NC:263-273;TM:274-294;CY:295-314</t>
  </si>
  <si>
    <t>ENSG00000221996;ENSG00000280253</t>
  </si>
  <si>
    <t>ENSP00000386160;ENSP00000485078;ENSP00000485530</t>
  </si>
  <si>
    <t>UniRef100_Q8NGK2;UniRef90_Q8NGK2;UniRef50_Q8NGK2</t>
  </si>
  <si>
    <t>O52K2_HUMAN</t>
  </si>
  <si>
    <t>Olfactory receptor 52K2</t>
  </si>
  <si>
    <t>OR52K2</t>
  </si>
  <si>
    <t>NC:1-25;TM:26-50;CY:51-61;TM:62-80;NC:81-99;TM:100-122;CY:123-141;TM:142-163;NC:164-198;TM:199-223;CY:224-241;TM:242-262;NC:263-273;TM:274-295;CY:296-314</t>
  </si>
  <si>
    <t>ENSG00000181963</t>
  </si>
  <si>
    <t>ENSP00000318956</t>
  </si>
  <si>
    <t>UniRef100_Q8NGK3;UniRef90_Q8NGK3;UniRef50_Q8NGK3</t>
  </si>
  <si>
    <t>O52K1_HUMAN</t>
  </si>
  <si>
    <t>Olfactory receptor 52K1</t>
  </si>
  <si>
    <t>OR52K1</t>
  </si>
  <si>
    <t>NC:1-26;TM:27-50;CY:51-61;TM:62-80;NC:81-99;TM:100-122;CY:123-141;TM:142-163;NC:164-198;TM:199-223;CY:224-236;TM:237-262;NC:263-273;TM:274-295;CY:296-314</t>
  </si>
  <si>
    <t>ENSG00000196778</t>
  </si>
  <si>
    <t>ENSP00000302422</t>
  </si>
  <si>
    <t>UniRef100_Q8NGK4;UniRef90_Q8NGK4;UniRef50_Q8NGK4</t>
  </si>
  <si>
    <t>O52M1_HUMAN</t>
  </si>
  <si>
    <t>Olfactory receptor 52M1</t>
  </si>
  <si>
    <t>OR52M1</t>
  </si>
  <si>
    <t>NC:1-26;TM:27-50;CY:51-61;TM:62-80;NC:81-102;TM:103-122;CY:123-137;TM:138-161;NC:162-200;TM:201-224;CY:225-243;TM:244-264;NC:265-277;TM:278-297;CY:298-317</t>
  </si>
  <si>
    <t>ENSG00000197790</t>
  </si>
  <si>
    <t>ENSP00000353343</t>
  </si>
  <si>
    <t>UniRef100_Q8NGK5;UniRef90_Q8NGK5;UniRef50_Q8NGH7</t>
  </si>
  <si>
    <t>O52I1_HUMAN</t>
  </si>
  <si>
    <t>Olfactory receptor 52I1</t>
  </si>
  <si>
    <t>OR52I1</t>
  </si>
  <si>
    <t>NC:1-28;TM:29-51;CY:52-62;TM:63-82;NC:83-101;TM:102-124;CY:125-143;TM:144-165;NC:166-202;TM:203-225;CY:226-244;TM:245-267;NC:268-278;TM:279-297;CY:298-324</t>
  </si>
  <si>
    <t>ENSG00000232268</t>
  </si>
  <si>
    <t>ENSP00000436453</t>
  </si>
  <si>
    <t>UniRef100_Q8NGK6;UniRef90_Q8NH67;UniRef50_Q8NH67</t>
  </si>
  <si>
    <t>OR5DG_HUMAN</t>
  </si>
  <si>
    <t>Olfactory receptor 5D16</t>
  </si>
  <si>
    <t>OR5D16</t>
  </si>
  <si>
    <t>NC:1-26;TM:27-51;CY:52-61;TM:62-83;NC:84-102;TM:103-122;CY:123-141;TM:142-164;NC:165-198;TM:199-223;CY:224-242;TM:243-262;NC:263-274;TM:275-294;CY:295-328</t>
  </si>
  <si>
    <t>ENSG00000205029</t>
  </si>
  <si>
    <t>ENSP00000367649</t>
  </si>
  <si>
    <t>UniRef100_Q8NGK9;UniRef90_Q8NGK9;UniRef50_Q8NGL1</t>
  </si>
  <si>
    <t>OR5L2_HUMAN</t>
  </si>
  <si>
    <t>Olfactory receptor 5L2</t>
  </si>
  <si>
    <t>OR5L2</t>
  </si>
  <si>
    <t>NC:1-26;TM:27-48;CY:49-58;TM:59-79;NC:80-98;TM:99-120;CY:121-140;TM:141-162;NC:163-197;TM:198-221;CY:222-240;TM:241-259;NC:260-273;TM:274-292;CY:293-311</t>
  </si>
  <si>
    <t>ENSG00000205030</t>
  </si>
  <si>
    <t>ENSP00000367650</t>
  </si>
  <si>
    <t>5;195;206</t>
  </si>
  <si>
    <t>UniRef100_Q8NGL0;UniRef90_Q8NGL0;UniRef50_Q8WZ84</t>
  </si>
  <si>
    <t>OR5DI_HUMAN</t>
  </si>
  <si>
    <t>Olfactory receptor 5D18</t>
  </si>
  <si>
    <t>OR5D18</t>
  </si>
  <si>
    <t>NC:1-26;TM:27-49;CY:50-60;TM:61-79;NC:80-98;TM:99-121;CY:122-140;TM:141-161;NC:162-197;TM:198-222;CY:223-241;TM:242-260;NC:261-271;TM:272-291;CY:292-313</t>
  </si>
  <si>
    <t>ENSG00000186119</t>
  </si>
  <si>
    <t>ENSP00000335025</t>
  </si>
  <si>
    <t>7;37;136</t>
  </si>
  <si>
    <t>UniRef100_Q8NGL1;UniRef90_Q8NGL1;UniRef50_Q8NGL1</t>
  </si>
  <si>
    <t>OR5L1_HUMAN</t>
  </si>
  <si>
    <t>Olfactory receptor 5L1</t>
  </si>
  <si>
    <t>OR5L1</t>
  </si>
  <si>
    <t>NC:1-26;TM:27-48;CY:49-59;TM:60-79;NC:80-98;TM:99-120;CY:121-141;TM:142-166;NC:167-197;TM:198-221;CY:222-240;TM:241-259;NC:260-273;TM:274-292;CY:293-311</t>
  </si>
  <si>
    <t>ENSG00000186117;ENSG00000279395</t>
  </si>
  <si>
    <t>ENSP00000335529;ENSP00000485509;ENSP00000485319</t>
  </si>
  <si>
    <t>UniRef100_Q8NGL2;UniRef90_Q8NGL2;UniRef50_Q8WZ84</t>
  </si>
  <si>
    <t>OR5DE_HUMAN</t>
  </si>
  <si>
    <t>Olfactory receptor 5D14</t>
  </si>
  <si>
    <t>OR5D14</t>
  </si>
  <si>
    <t>NC:1-26;TM:27-50;CY:51-61;TM:62-80;NC:81-100;TM:101-122;CY:123-141;TM:142-167;NC:168-198;TM:199-223;CY:224-242;TM:243-262;NC:263-274;TM:275-294;CY:295-314</t>
  </si>
  <si>
    <t>ENSG00000186113</t>
  </si>
  <si>
    <t>ENSP00000334456</t>
  </si>
  <si>
    <t>7;169</t>
  </si>
  <si>
    <t>UniRef100_Q8NGL3;UniRef90_Q8NGL3;UniRef50_Q8WZ84</t>
  </si>
  <si>
    <t>OR5DD_HUMAN</t>
  </si>
  <si>
    <t>Olfactory receptor 5D13</t>
  </si>
  <si>
    <t>OR5D13</t>
  </si>
  <si>
    <t>NC:1-26;TM:27-50;CY:51-59;TM:60-80;NC:81-99;TM:100-122;CY:123-141;TM:142-165;NC:166-200;TM:201-223;CY:224-242;TM:243-263;NC:264-269;TM:270-292;CY:293-314</t>
  </si>
  <si>
    <t>ENSG00000198877;ENSG00000279761</t>
  </si>
  <si>
    <t>ENSP00000354800;ENSP00000485050;ENSP00000485428</t>
  </si>
  <si>
    <t>UniRef100_Q8NGL4;UniRef90_Q8NGL4;UniRef50_Q8NGL1</t>
  </si>
  <si>
    <t>O4A15_HUMAN</t>
  </si>
  <si>
    <t>Olfactory receptor 4A15</t>
  </si>
  <si>
    <t>OR4A15</t>
  </si>
  <si>
    <t>NC:1-53;TM:54-77;CY:78-86;TM:87-106;NC:107-126;TM:127-148;CY:149-167;TM:168-191;NC:192-227;TM:228-252;CY:253-264;TM:265-287;NC:288-298;TM:299-317;CY:318-344</t>
  </si>
  <si>
    <t>ENSG00000181958</t>
  </si>
  <si>
    <t>ENSP00000325065</t>
  </si>
  <si>
    <t>36;290</t>
  </si>
  <si>
    <t>UniRef100_Q8NGL6;UniRef90_Q8NGL6;UniRef50_Q8NGL6</t>
  </si>
  <si>
    <t>OR4P4_HUMAN</t>
  </si>
  <si>
    <t>Olfactory receptor 4P4</t>
  </si>
  <si>
    <t>OR4P4</t>
  </si>
  <si>
    <t>NC:1-19;TM:20-45;CY:46-56;TM:57-76;NC:77-95;TM:96-118;CY:119-138;TM:139-160;NC:161-191;TM:192-222;CY:223-233;TM:234-257;NC:258-268;TM:269-287;CY:288-312</t>
  </si>
  <si>
    <t>ENSG00000181927</t>
  </si>
  <si>
    <t>ENSP00000324831</t>
  </si>
  <si>
    <t>UniRef100_Q8NGL7;UniRef90_Q8NGL7;UniRef50_Q8NGB6</t>
  </si>
  <si>
    <t>OR4CG_HUMAN</t>
  </si>
  <si>
    <t>Olfactory receptor 4C16</t>
  </si>
  <si>
    <t>OR4C16</t>
  </si>
  <si>
    <t>NC:1-23;TM:24-45;CY:46-56;TM:57-77;NC:78-96;TM:97-118;CY:119-136;TM:137-160;NC:161-197;TM:198-222;CY:223-234;TM:235-256;NC:257-267;TM:268-287;CY:288-310</t>
  </si>
  <si>
    <t>ENSG00000181935;ENSG00000279514</t>
  </si>
  <si>
    <t>ENSP00000324913;ENSP00000485295;ENSP00000485647</t>
  </si>
  <si>
    <t>UniRef100_Q8NGL9;UniRef90_Q8NGL9;UniRef50_Q8NGL9</t>
  </si>
  <si>
    <t>OR4CF_HUMAN</t>
  </si>
  <si>
    <t>Olfactory receptor 4C15</t>
  </si>
  <si>
    <t>OR4C15</t>
  </si>
  <si>
    <t>NC:1-23;TM:24-47;CY:48-58;TM:59-78;NC:79-98;TM:99-119;CY:120-138;TM:139-161;NC:162-192;TM:193-222;CY:223-234;TM:235-257;NC:258-268;TM:269-288;CY:289-316</t>
  </si>
  <si>
    <t>ENSG00000181939</t>
  </si>
  <si>
    <t>ENSP00000324958</t>
  </si>
  <si>
    <t>3;209</t>
  </si>
  <si>
    <t>UniRef100_Q8NGM1;UniRef90_Q8NGM1;UniRef50_Q8NGM1</t>
  </si>
  <si>
    <t>OR6M1_HUMAN</t>
  </si>
  <si>
    <t>Olfactory receptor 6M1</t>
  </si>
  <si>
    <t>OR6M1</t>
  </si>
  <si>
    <t>NC:1-22;TM:23-46;CY:47-57;TM:58-77;NC:78-98;TM:99-118;CY:119-138;TM:139-160;NC:161-196;TM:197-218;CY:219-237;TM:238-257;NC:258-269;TM:270-289;CY:290-313</t>
  </si>
  <si>
    <t>ENSG00000196099</t>
  </si>
  <si>
    <t>ENSP00000311038</t>
  </si>
  <si>
    <t>3;40;63;262</t>
  </si>
  <si>
    <t>UniRef100_Q8NGM8;UniRef90_Q8NGM8;UniRef50_Q8NGN1</t>
  </si>
  <si>
    <t>OR8D4_HUMAN</t>
  </si>
  <si>
    <t>Olfactory receptor 8D4</t>
  </si>
  <si>
    <t>OR8D4</t>
  </si>
  <si>
    <t>NC:1-23;TM:24-48;CY:49-58;TM:59-78;NC:79-97;TM:98-120;CY:121-139;TM:140-159;NC:160-196;TM:197-222;CY:223-239;TM:240-260;NC:261-274;TM:275-292;CY:293-314</t>
  </si>
  <si>
    <t>ENSG00000181518</t>
  </si>
  <si>
    <t>ENSP00000325381</t>
  </si>
  <si>
    <t>UniRef100_Q8NGM9;UniRef90_Q8NGM9;UniRef50_Q8WZ84</t>
  </si>
  <si>
    <t>OR4D5_HUMAN</t>
  </si>
  <si>
    <t>Olfactory receptor 4D5</t>
  </si>
  <si>
    <t>OR4D5</t>
  </si>
  <si>
    <t>NC:1-24;TM:25-49;CY:50-59;TM:60-80;NC:81-100;TM:101-120;CY:121-139;TM:140-162;NC:163-203;TM:204-225;CY:226-236;TM:237-258;NC:259-269;TM:270-289;CY:290-318</t>
  </si>
  <si>
    <t>ENSG00000171014</t>
  </si>
  <si>
    <t>ENSP00000305970</t>
  </si>
  <si>
    <t>5;65;137</t>
  </si>
  <si>
    <t>UniRef100_Q8NGN0;UniRef90_Q8NGN0;UniRef50_Q8NGB6</t>
  </si>
  <si>
    <t>OR6T1_HUMAN</t>
  </si>
  <si>
    <t>Olfactory receptor 6T1</t>
  </si>
  <si>
    <t>OR6T1</t>
  </si>
  <si>
    <t>NC:1-21;TM:22-48;CY:49-59;TM:60-79;NC:80-100;TM:101-121;CY:122-140;TM:141-164;NC:165-196;TM:197-221;CY:222-240;TM:241-261;NC:262-272;TM:273-292;CY:293-323</t>
  </si>
  <si>
    <t>ENSG00000181499</t>
  </si>
  <si>
    <t>ENSP00000325203</t>
  </si>
  <si>
    <t>UniRef100_Q8NGN1;UniRef90_Q8NGN1;UniRef50_Q8NGN1</t>
  </si>
  <si>
    <t>O10S1_HUMAN</t>
  </si>
  <si>
    <t>Olfactory receptor 10S1</t>
  </si>
  <si>
    <t>OR10S1</t>
  </si>
  <si>
    <t>NC:1-38;TM:39-60;CY:61-71;TM:72-92;NC:93-111;TM:112-134;CY:135-153;TM:154-172;NC:173-211;TM:212-235;CY:236-255;TM:256-275;NC:276-286;TM:287-304;CY:305-331</t>
  </si>
  <si>
    <t>ENSG00000196248</t>
  </si>
  <si>
    <t>ENSP00000431914</t>
  </si>
  <si>
    <t>UniRef100_Q8NGN2;UniRef90_Q8NGN2;UniRef50_Q8NGN2</t>
  </si>
  <si>
    <t>O10G4_HUMAN</t>
  </si>
  <si>
    <t>Olfactory receptor 10G4</t>
  </si>
  <si>
    <t>OR10G4</t>
  </si>
  <si>
    <t>NC:1-22;TM:23-46;CY:47-57;TM:58-77;NC:78-98;TM:99-119;CY:120-139;TM:140-161;NC:162-194;TM:195-219;CY:220-239;TM:240-259;NC:260-270;TM:271-289;CY:290-311</t>
  </si>
  <si>
    <t>ENSG00000254737</t>
  </si>
  <si>
    <t>ENSP00000325076</t>
  </si>
  <si>
    <t>UniRef100_Q8NGN3;UniRef90_Q8NGN3;UniRef50_Q8NGN3</t>
  </si>
  <si>
    <t>O10G9_HUMAN</t>
  </si>
  <si>
    <t>Olfactory receptor 10G9</t>
  </si>
  <si>
    <t>OR10G9</t>
  </si>
  <si>
    <t>NC:1-24;TM:25-46;CY:47-57;TM:58-77;NC:78-98;TM:99-119;CY:120-139;TM:140-161;NC:162-196;TM:197-220;CY:221-239;TM:240-259;NC:260-269;TM:270-289;CY:290-311</t>
  </si>
  <si>
    <t>ENSG00000236981</t>
  </si>
  <si>
    <t>ENSP00000364164</t>
  </si>
  <si>
    <t>UniRef100_Q8NGN4;UniRef90_Q8NGN3;UniRef50_Q8NGN3</t>
  </si>
  <si>
    <t>O10G8_HUMAN</t>
  </si>
  <si>
    <t>Olfactory receptor 10G8</t>
  </si>
  <si>
    <t>OR10G8</t>
  </si>
  <si>
    <t>NC:1-23;TM:24-46;CY:47-57;TM:58-77;NC:78-97;TM:98-117;CY:118-138;TM:139-161;NC:162-196;TM:197-220;CY:221-239;TM:240-259;NC:260-269;TM:270-289;CY:290-311</t>
  </si>
  <si>
    <t>ENSG00000234560</t>
  </si>
  <si>
    <t>ENSP00000389072</t>
  </si>
  <si>
    <t>UniRef100_Q8NGN5;UniRef90_Q8NGN5;UniRef50_Q8NGN3</t>
  </si>
  <si>
    <t>O10G7_HUMAN</t>
  </si>
  <si>
    <t>Olfactory receptor 10G7</t>
  </si>
  <si>
    <t>OR10G7</t>
  </si>
  <si>
    <t>NC:1-24;TM:25-46;CY:47-57;TM:58-77;NC:78-97;TM:98-119;CY:120-139;TM:140-161;NC:162-196;TM:197-220;CY:221-239;TM:240-260;NC:261-265;TM:266-289;CY:290-311</t>
  </si>
  <si>
    <t>ENSG00000182634</t>
  </si>
  <si>
    <t>ENSP00000329689</t>
  </si>
  <si>
    <t>3;63;303</t>
  </si>
  <si>
    <t>UniRef100_Q8NGN6;UniRef90_Q8NGN6;UniRef50_Q8NGN3</t>
  </si>
  <si>
    <t>O10D4_HUMAN</t>
  </si>
  <si>
    <t>Putative olfactory receptor 10D4</t>
  </si>
  <si>
    <t>OR10D4P</t>
  </si>
  <si>
    <t>NC:1-23;TM:24-46;CY:47-56;TM:57-76;NC:77-98;TM:99-118;CY:119-137;TM:138-159;NC:160-198;TM:199-219;CY:220-238;TM:239-258;NC:259-263;TM:264-286;CY:287-298</t>
  </si>
  <si>
    <t>UniRef100_Q8NGN7;UniRef90_Q8NGN7;UniRef50_Q8VEY3</t>
  </si>
  <si>
    <t>OR4A4_HUMAN</t>
  </si>
  <si>
    <t>Putative olfactory receptor 4A4</t>
  </si>
  <si>
    <t>OR4A4P</t>
  </si>
  <si>
    <t>NC:1-23;TM:24-47;CY:48-56;TM:57-75;NC:76-94;TM:95-117;CY:118-136;TM:137-160;NC:161-191;TM:192-219;CY:220-239;TM:240-258;NC:259-268;TM:269-288;CY:289-299</t>
  </si>
  <si>
    <t>6;87</t>
  </si>
  <si>
    <t>UniRef100_Q8NGN8;UniRef90_Q6IF82;UniRef50_Q8NGB6</t>
  </si>
  <si>
    <t>OR4CD_HUMAN</t>
  </si>
  <si>
    <t>Olfactory receptor 4C13</t>
  </si>
  <si>
    <t>OR4C13</t>
  </si>
  <si>
    <t>NC:1-23;TM:24-46;CY:47-56;TM:57-74;NC:75-102;TM:103-121;CY:122-137;TM:138-160;NC:161-195;TM:196-222;CY:223-234;TM:235-257;NC:258-268;TM:269-287;CY:288-309</t>
  </si>
  <si>
    <t>ENSG00000258817</t>
  </si>
  <si>
    <t>ENSP00000452277</t>
  </si>
  <si>
    <t>UniRef100_Q8NGP0;UniRef90_Q8NGP0;UniRef50_P0C604</t>
  </si>
  <si>
    <t>OR8J1_HUMAN</t>
  </si>
  <si>
    <t>Olfactory receptor 8J1</t>
  </si>
  <si>
    <t>OR8J1</t>
  </si>
  <si>
    <t>NC:1-24;TM:25-48;CY:49-59;TM:60-78;NC:79-98;TM:99-120;CY:121-139;TM:140-164;NC:165-197;TM:198-221;CY:222-240;TM:241-261;NC:262-273;TM:274-293;CY:294-316</t>
  </si>
  <si>
    <t>ENSG00000172487;ENSG00000262796</t>
  </si>
  <si>
    <t>ENSP00000304060;ENSP00000460206</t>
  </si>
  <si>
    <t>UniRef100_Q8NGP2;UniRef90_Q8NGP2;UniRef50_Q8NH85</t>
  </si>
  <si>
    <t>OR5M9_HUMAN</t>
  </si>
  <si>
    <t>Olfactory receptor 5M9</t>
  </si>
  <si>
    <t>OR5M9</t>
  </si>
  <si>
    <t>NC:1-22;TM:23-46;CY:47-57;TM:58-75;NC:76-95;TM:96-118;CY:119-137;TM:138-162;NC:163-196;TM:197-220;CY:221-239;TM:240-258;NC:259-270;TM:271-290;CY:291-310</t>
  </si>
  <si>
    <t>ENSG00000150269</t>
  </si>
  <si>
    <t>ENSP00000279791</t>
  </si>
  <si>
    <t>3;74;204</t>
  </si>
  <si>
    <t>UniRef100_Q8NGP3;UniRef90_Q8NGP3;UniRef50_Q8NGP3</t>
  </si>
  <si>
    <t>OR5M3_HUMAN</t>
  </si>
  <si>
    <t>Olfactory receptor 5M3</t>
  </si>
  <si>
    <t>OR5M3</t>
  </si>
  <si>
    <t>NC:1-22;TM:23-46;CY:47-56;TM:57-75;NC:76-94;TM:95-118;CY:119-137;TM:138-161;NC:162-196;TM:197-220;CY:221-239;TM:240-258;NC:259-270;TM:271-290;CY:291-307</t>
  </si>
  <si>
    <t>ENSG00000174937</t>
  </si>
  <si>
    <t>ENSP00000312208</t>
  </si>
  <si>
    <t>UniRef100_Q8NGP4;UniRef90_Q8NGP4;UniRef50_Q6IEU7</t>
  </si>
  <si>
    <t>OR5M8_HUMAN</t>
  </si>
  <si>
    <t>Olfactory receptor 5M8</t>
  </si>
  <si>
    <t>OR5M8</t>
  </si>
  <si>
    <t>NC:1-23;TM:24-47;CY:48-58;TM:59-76;NC:77-96;TM:97-119;CY:120-138;TM:139-157;NC:158-198;TM:199-220;CY:221-240;TM:241-259;NC:260-271;TM:272-291;CY:292-311</t>
  </si>
  <si>
    <t>ENSG00000181371</t>
  </si>
  <si>
    <t>ENSP00000323354</t>
  </si>
  <si>
    <t>4;75;205</t>
  </si>
  <si>
    <t>UniRef100_Q8NGP6;UniRef90_Q8NGP6;UniRef50_Q6IEU7</t>
  </si>
  <si>
    <t>OR5M1_HUMAN</t>
  </si>
  <si>
    <t>Olfactory receptor 5M1</t>
  </si>
  <si>
    <t>OR5M1</t>
  </si>
  <si>
    <t>ENSG00000255012</t>
  </si>
  <si>
    <t>ENSP00000435416</t>
  </si>
  <si>
    <t>5;76;206</t>
  </si>
  <si>
    <t>UniRef100_Q8NGP8;UniRef90_Q6IEU7;UniRef50_Q6IEU7</t>
  </si>
  <si>
    <t>O5AR1_HUMAN</t>
  </si>
  <si>
    <t>Olfactory receptor 5AR1</t>
  </si>
  <si>
    <t>OR5AR1</t>
  </si>
  <si>
    <t>NC:1-24;TM:25-48;CY:49-59;TM:60-79;NC:80-99;TM:100-120;CY:121-139;TM:140-160;NC:161-204;TM:205-226;CY:227-237;TM:238-260;NC:261-272;TM:273-292;CY:293-310</t>
  </si>
  <si>
    <t>ENSG00000172459;ENSG00000279911</t>
  </si>
  <si>
    <t>ENSP00000302639;ENSP00000485240;ENSP00000485424</t>
  </si>
  <si>
    <t>UniRef100_Q8NGP9;UniRef90_Q8NGP9;UniRef50_Q8NGP9</t>
  </si>
  <si>
    <t>OR9G4_HUMAN</t>
  </si>
  <si>
    <t>Olfactory receptor 9G4</t>
  </si>
  <si>
    <t>OR9G4</t>
  </si>
  <si>
    <t>NC:1-40;TM:41-63;CY:64-73;TM:74-93;NC:94-112;TM:113-135;CY:136-150;TM:151-173;NC:174-212;TM:213-238;CY:239-253;TM:254-275;NC:276-287;TM:288-307;CY:308-327</t>
  </si>
  <si>
    <t>ENSG00000172457;ENSG00000262647</t>
  </si>
  <si>
    <t>ENSP00000307515;ENSP00000459325</t>
  </si>
  <si>
    <t>20;57;80</t>
  </si>
  <si>
    <t>UniRef100_Q8NGQ1;UniRef90_Q8NGQ1;UniRef50_Q8NGQ1</t>
  </si>
  <si>
    <t>OR6Q1_HUMAN</t>
  </si>
  <si>
    <t>Olfactory receptor 6Q1</t>
  </si>
  <si>
    <t>OR6Q1</t>
  </si>
  <si>
    <t>NC:1-25;TM:26-50;CY:51-60;TM:61-80;NC:81-103;TM:104-124;CY:125-144;TM:145-166;NC:167-203;TM:204-227;CY:228-240;TM:241-264;NC:265-276;TM:277-296;CY:297-317</t>
  </si>
  <si>
    <t>ENSG00000279051;ENSG00000172381</t>
  </si>
  <si>
    <t>ENSP00000307734;ENSP00000485102;ENSP00000485678</t>
  </si>
  <si>
    <t>7;95</t>
  </si>
  <si>
    <t>UniRef100_Q8NGQ2;UniRef90_Q8NGQ2;UniRef50_Q8NGQ2</t>
  </si>
  <si>
    <t>OR1S2_HUMAN</t>
  </si>
  <si>
    <t>Olfactory receptor 1S2</t>
  </si>
  <si>
    <t>OR1S2</t>
  </si>
  <si>
    <t>NC:1-38;TM:39-62;CY:63-71;TM:72-91;NC:92-113;TM:114-133;CY:134-152;TM:153-176;NC:177-209;TM:210-235;CY:236-253;TM:254-274;NC:275-285;TM:286-305;CY:306-325</t>
  </si>
  <si>
    <t>ENSG00000197887</t>
  </si>
  <si>
    <t>ENSP00000305469</t>
  </si>
  <si>
    <t>18;144</t>
  </si>
  <si>
    <t>UniRef100_Q8NGQ3;UniRef90_Q8NGQ3;UniRef50_Q8NGS0</t>
  </si>
  <si>
    <t>O10Q1_HUMAN</t>
  </si>
  <si>
    <t>Olfactory receptor 10Q1</t>
  </si>
  <si>
    <t>OR10Q1</t>
  </si>
  <si>
    <t>NC:1-28;TM:29-52;CY:53-63;TM:64-85;NC:86-104;TM:105-124;CY:125-144;TM:145-168;NC:169-201;TM:202-226;CY:227-245;TM:246-265;NC:266-277;TM:278-297;CY:298-319</t>
  </si>
  <si>
    <t>ENSG00000180475</t>
  </si>
  <si>
    <t>ENSP00000314324</t>
  </si>
  <si>
    <t>9;69</t>
  </si>
  <si>
    <t>UniRef100_Q8NGQ4;UniRef90_Q8NGQ4;UniRef50_Q8NGQ4</t>
  </si>
  <si>
    <t>OR9Q1_HUMAN</t>
  </si>
  <si>
    <t>Olfactory receptor 9Q1</t>
  </si>
  <si>
    <t>OR9Q1</t>
  </si>
  <si>
    <t>NC:1-22;TM:23-47;CY:48-58;TM:59-78;NC:79-98;TM:99-120;CY:121-140;TM:141-159;NC:160-196;TM:197-221;CY:222-241;TM:242-260;NC:261-271;TM:272-291;CY:292-310</t>
  </si>
  <si>
    <t>ENSG00000186509</t>
  </si>
  <si>
    <t>ENSP00000334934;ENSP00000479549</t>
  </si>
  <si>
    <t>UniRef100_Q8NGQ5;UniRef90_Q8NGQ5;UniRef50_Q8NGQ5</t>
  </si>
  <si>
    <t>OR9I1_HUMAN</t>
  </si>
  <si>
    <t>Olfactory receptor 9I1</t>
  </si>
  <si>
    <t>OR9I1</t>
  </si>
  <si>
    <t>NC:1-24;TM:25-48;CY:49-59;TM:60-79;NC:80-98;TM:99-120;CY:121-139;TM:140-158;NC:159-196;TM:197-221;CY:222-240;TM:241-261;NC:262-272;TM:273-292;CY:293-314</t>
  </si>
  <si>
    <t>ENSG00000172377</t>
  </si>
  <si>
    <t>ENSP00000302606</t>
  </si>
  <si>
    <t>5;210</t>
  </si>
  <si>
    <t>UniRef100_Q8NGQ6;UniRef90_Q8NGQ6;UniRef50_Q15614</t>
  </si>
  <si>
    <t>O13A1_HUMAN</t>
  </si>
  <si>
    <t>Olfactory receptor 13A1</t>
  </si>
  <si>
    <t>OR13A1</t>
  </si>
  <si>
    <t>NC:1-42;TM:43-66;CY:67-76;TM:77-97;NC:98-116;TM:117-137;CY:138-156;TM:157-176;NC:177-212;TM:213-239;CY:240-258;TM:259-278;NC:279-290;TM:291-310;CY:311-328</t>
  </si>
  <si>
    <t>ENSG00000256574;ENSG00000277495</t>
  </si>
  <si>
    <t>ENSP00000363522;ENSP00000438657;ENSP00000451950;ENSP00000484353;ENSP00000480319;ENSP00000483252</t>
  </si>
  <si>
    <t>UniRef100_Q8NGR1;UniRef90_Q8NGR1;UniRef50_Q8NGR1</t>
  </si>
  <si>
    <t>OR1L6_HUMAN</t>
  </si>
  <si>
    <t>Olfactory receptor 1L6</t>
  </si>
  <si>
    <t>OR1L6</t>
  </si>
  <si>
    <t>NC:1-63;TM:64-87;CY:88-96;TM:97-116;NC:117-136;TM:137-157;CY:158-177;TM:178-198;NC:199-239;TM:240-259;CY:260-274;TM:275-297;NC:298-308;TM:309-329;CY:330-347</t>
  </si>
  <si>
    <t>ENSG00000171459</t>
  </si>
  <si>
    <t>ENSP00000304235;ENSP00000362788</t>
  </si>
  <si>
    <t>41;102</t>
  </si>
  <si>
    <t>UniRef100_Q8NGR2;UniRef90_Q8NGR2;UniRef50_Q8NGR2</t>
  </si>
  <si>
    <t>OR1K1_HUMAN</t>
  </si>
  <si>
    <t>Olfactory receptor 1K1</t>
  </si>
  <si>
    <t>OR1K1</t>
  </si>
  <si>
    <t>NC:1-27;TM:28-49;CY:50-60;TM:61-82;NC:83-101;TM:102-122;CY:123-140;TM:141-163;NC:164-203;TM:204-226;CY:227-237;TM:238-262;NC:263-273;TM:274-294;CY:295-316</t>
  </si>
  <si>
    <t>ENSG00000165204</t>
  </si>
  <si>
    <t>ENSP00000277309</t>
  </si>
  <si>
    <t>UniRef100_Q8NGR3;UniRef90_Q8NGR3;UniRef50_Q8NH94</t>
  </si>
  <si>
    <t>OR5C1_HUMAN</t>
  </si>
  <si>
    <t>Olfactory receptor 5C1</t>
  </si>
  <si>
    <t>OR5C1</t>
  </si>
  <si>
    <t>NC:1-28;TM:29-52;CY:53-63;TM:64-82;NC:83-101;TM:102-124;CY:125-143;TM:144-164;NC:165-200;TM:201-225;CY:226-245;TM:246-264;NC:265-276;TM:277-296;CY:297-320</t>
  </si>
  <si>
    <t>ENSG00000148215</t>
  </si>
  <si>
    <t>ENSP00000362784</t>
  </si>
  <si>
    <t>5;69</t>
  </si>
  <si>
    <t>UniRef100_Q8NGR4;UniRef90_Q8NGR4;UniRef50_Q96R08</t>
  </si>
  <si>
    <t>OR1L4_HUMAN</t>
  </si>
  <si>
    <t>Olfactory receptor 1L4</t>
  </si>
  <si>
    <t>OR1L4</t>
  </si>
  <si>
    <t>NC:1-27;TM:28-51;CY:52-60;TM:61-80;NC:81-99;TM:100-121;CY:122-141;TM:142-159;NC:160-204;TM:205-226;CY:227-237;TM:238-261;NC:262-272;TM:273-293;CY:294-311</t>
  </si>
  <si>
    <t>ENSG00000136939</t>
  </si>
  <si>
    <t>ENSP00000259466</t>
  </si>
  <si>
    <t>5;66</t>
  </si>
  <si>
    <t>UniRef100_Q8NGR5;UniRef90_Q8NGR2;UniRef50_Q8NGR2</t>
  </si>
  <si>
    <t>OR1B1_HUMAN</t>
  </si>
  <si>
    <t>Olfactory receptor 1B1</t>
  </si>
  <si>
    <t>OR1B1</t>
  </si>
  <si>
    <t>NC:1-26;TM:27-51;CY:52-62;TM:63-84;NC:85-102;TM:103-122;CY:123-142;TM:143-164;NC:165-203;TM:204-227;CY:228-246;TM:247-267;NC:268-278;TM:279-298;CY:299-318</t>
  </si>
  <si>
    <t>ENSG00000171484;ENSG00000280094</t>
  </si>
  <si>
    <t>ENSP00000303151;ENSP00000485577;ENSP00000485111</t>
  </si>
  <si>
    <t>7;23;44</t>
  </si>
  <si>
    <t>UniRef100_Q8NGR6;UniRef90_Q8NGR6;UniRef50_Q8NGR6</t>
  </si>
  <si>
    <t>OR1L8_HUMAN</t>
  </si>
  <si>
    <t>Olfactory receptor 1L8</t>
  </si>
  <si>
    <t>OR1L8</t>
  </si>
  <si>
    <t>NC:1-27;TM:28-49;CY:50-60;TM:61-83;NC:84-102;TM:103-121;CY:122-141;TM:142-162;NC:163-203;TM:204-223;CY:224-242;TM:243-262;NC:263-273;TM:274-292;CY:293-309</t>
  </si>
  <si>
    <t>ENSG00000171496</t>
  </si>
  <si>
    <t>ENSP00000306607</t>
  </si>
  <si>
    <t>UniRef100_Q8NGR8;UniRef90_Q8NGR8;UniRef50_Q8NGS0</t>
  </si>
  <si>
    <t>OR1N2_HUMAN</t>
  </si>
  <si>
    <t>Olfactory receptor 1N2</t>
  </si>
  <si>
    <t>OR1N2</t>
  </si>
  <si>
    <t>NC:1-42;TM:43-65;CY:66-76;TM:77-96;NC:97-115;TM:116-137;CY:138-156;TM:157-176;NC:177-214;TM:215-240;CY:241-253;TM:254-278;NC:279-290;TM:291-309;CY:310-330</t>
  </si>
  <si>
    <t>ENSG00000171501</t>
  </si>
  <si>
    <t>ENSP00000362792</t>
  </si>
  <si>
    <t>UniRef100_Q8NGR9;UniRef90_Q8NGR9;UniRef50_Q8NGR9</t>
  </si>
  <si>
    <t>OR1N1_HUMAN</t>
  </si>
  <si>
    <t>Olfactory receptor 1N1</t>
  </si>
  <si>
    <t>OR1N1</t>
  </si>
  <si>
    <t>NC:1-24;TM:25-47;CY:48-57;TM:58-79;NC:80-98;TM:99-118;CY:119-137;TM:138-160;NC:161-195;TM:196-219;CY:220-234;TM:235-258;NC:259-269;TM:270-290;CY:291-311</t>
  </si>
  <si>
    <t>ENSG00000171505</t>
  </si>
  <si>
    <t>ENSP00000306974</t>
  </si>
  <si>
    <t>UniRef100_Q8NGS0;UniRef90_Q8NGS0;UniRef50_Q8NGS0</t>
  </si>
  <si>
    <t>OR1J4_HUMAN</t>
  </si>
  <si>
    <t>Olfactory receptor 1J4</t>
  </si>
  <si>
    <t>OR1J4</t>
  </si>
  <si>
    <t>NC:1-24;TM:25-48;CY:49-59;TM:60-79;NC:80-100;TM:101-120;CY:121-139;TM:140-159;NC:160-196;TM:197-221;CY:222-236;TM:237-260;NC:261-271;TM:272-292;CY:293-313</t>
  </si>
  <si>
    <t>ENSG00000239590</t>
  </si>
  <si>
    <t>ENSP00000343521</t>
  </si>
  <si>
    <t>UniRef100_Q8NGS1;UniRef90_Q8NGS1;UniRef50_Q8WZA6</t>
  </si>
  <si>
    <t>OR1J2_HUMAN</t>
  </si>
  <si>
    <t>Olfactory receptor 1J2</t>
  </si>
  <si>
    <t>OR1J2</t>
  </si>
  <si>
    <t>NC:1-24;TM:25-48;CY:49-59;TM:60-79;NC:80-100;TM:101-120;CY:121-139;TM:140-159;NC:160-196;TM:197-221;CY:222-239;TM:240-260;NC:261-271;TM:272-292;CY:293-313</t>
  </si>
  <si>
    <t>ENSG00000197233</t>
  </si>
  <si>
    <t>ENSP00000335575</t>
  </si>
  <si>
    <t>UniRef100_Q8NGS2;UniRef90_Q8NGS2;UniRef50_Q8NGS2</t>
  </si>
  <si>
    <t>OR1J1_HUMAN</t>
  </si>
  <si>
    <t>Olfactory receptor 1J1</t>
  </si>
  <si>
    <t>OR1J1</t>
  </si>
  <si>
    <t>NC:1-24;TM:25-48;CY:49-59;TM:60-81;NC:82-101;TM:102-120;CY:121-140;TM:141-162;NC:163-196;TM:197-221;CY:222-236;TM:237-260;NC:261-271;TM:272-292;CY:293-322</t>
  </si>
  <si>
    <t>ENSG00000136834</t>
  </si>
  <si>
    <t>ENSP00000259357</t>
  </si>
  <si>
    <t>UniRef100_Q8NGS3;UniRef90_Q8NGS3;UniRef50_Q8WZA6</t>
  </si>
  <si>
    <t>O13F1_HUMAN</t>
  </si>
  <si>
    <t>Olfactory receptor 13F1</t>
  </si>
  <si>
    <t>OR13F1</t>
  </si>
  <si>
    <t>NC:1-23;TM:24-47;CY:48-58;TM:59-79;NC:80-100;TM:101-120;CY:121-140;TM:141-158;NC:159-195;TM:196-222;CY:223-236;TM:237-259;NC:260-272;TM:273-292;CY:293-319</t>
  </si>
  <si>
    <t>ENSG00000186881</t>
  </si>
  <si>
    <t>ENSP00000334452</t>
  </si>
  <si>
    <t>UniRef100_Q8NGS4;UniRef90_Q8NGS4;UniRef50_Q8NGS4</t>
  </si>
  <si>
    <t>O13C4_HUMAN</t>
  </si>
  <si>
    <t>Olfactory receptor 13C4</t>
  </si>
  <si>
    <t>OR13C4</t>
  </si>
  <si>
    <t>NC:1-24;TM:25-48;CY:49-59;TM:60-78;NC:79-97;TM:98-119;CY:120-138;TM:139-158;NC:159-196;TM:197-221;CY:222-240;TM:241-259;NC:260-278;TM:279-298;CY:299-318</t>
  </si>
  <si>
    <t>ENSG00000148136</t>
  </si>
  <si>
    <t>ENSP00000277216</t>
  </si>
  <si>
    <t>5;65;91;155</t>
  </si>
  <si>
    <t>UniRef100_Q8NGS5;UniRef90_Q8NGS5;UniRef50_Q8NGS8</t>
  </si>
  <si>
    <t>O13C3_HUMAN</t>
  </si>
  <si>
    <t>Olfactory receptor 13C3</t>
  </si>
  <si>
    <t>OR13C3</t>
  </si>
  <si>
    <t>NC:1-54;TM:55-78;CY:79-89;TM:90-108;NC:109-127;TM:128-150;CY:151-169;TM:170-188;NC:189-225;TM:226-251;CY:252-270;TM:271-289;NC:290-308;TM:309-328;CY:329-347</t>
  </si>
  <si>
    <t>ENSG00000204246</t>
  </si>
  <si>
    <t>ENSP00000363913</t>
  </si>
  <si>
    <t>35;95;121</t>
  </si>
  <si>
    <t>UniRef100_Q8NGS6;UniRef90_Q8NGS6;UniRef50_Q8NGS6</t>
  </si>
  <si>
    <t>O13C8_HUMAN</t>
  </si>
  <si>
    <t>Olfactory receptor 13C8</t>
  </si>
  <si>
    <t>OR13C8</t>
  </si>
  <si>
    <t>NC:1-25;TM:26-48;CY:49-59;TM:60-81;NC:82-100;TM:101-120;CY:121-139;TM:140-162;NC:163-202;TM:203-222;CY:223-240;TM:241-260;NC:261-274;TM:275-297;CY:298-320</t>
  </si>
  <si>
    <t>ENSG00000186943</t>
  </si>
  <si>
    <t>ENSP00000334068</t>
  </si>
  <si>
    <t>5;65;315</t>
  </si>
  <si>
    <t>UniRef100_Q8NGS7;UniRef90_Q8NGS7;UniRef50_Q8NGS8</t>
  </si>
  <si>
    <t>O13C5_HUMAN</t>
  </si>
  <si>
    <t>Olfactory receptor 13C5</t>
  </si>
  <si>
    <t>OR13C5</t>
  </si>
  <si>
    <t>NC:1-24;TM:25-48;CY:49-59;TM:60-78;NC:79-97;TM:98-120;CY:121-139;TM:140-162;NC:163-196;TM:197-221;CY:222-241;TM:242-259;NC:260-278;TM:279-298;CY:299-318</t>
  </si>
  <si>
    <t>ENSG00000277556</t>
  </si>
  <si>
    <t>ENSP00000363911</t>
  </si>
  <si>
    <t>UniRef100_Q8NGS8;UniRef90_Q8NGS8;UniRef50_Q8NGS8</t>
  </si>
  <si>
    <t>O13C2_HUMAN</t>
  </si>
  <si>
    <t>Olfactory receptor 13C2</t>
  </si>
  <si>
    <t>OR13C2</t>
  </si>
  <si>
    <t>NC:1-24;TM:25-48;CY:49-59;TM:60-78;NC:79-97;TM:98-120;CY:121-139;TM:140-162;NC:163-196;TM:197-221;CY:222-240;TM:241-259;NC:260-278;TM:279-298;CY:299-318</t>
  </si>
  <si>
    <t>ENSG00000276119</t>
  </si>
  <si>
    <t>ENSP00000438815</t>
  </si>
  <si>
    <t>UniRef100_Q8NGS9;UniRef90_Q8NGS9;UniRef50_Q8NGV5</t>
  </si>
  <si>
    <t>O13C9_HUMAN</t>
  </si>
  <si>
    <t>Olfactory receptor 13C9</t>
  </si>
  <si>
    <t>OR13C9</t>
  </si>
  <si>
    <t>NC:1-24;TM:25-48;CY:49-59;TM:60-78;NC:79-97;TM:98-120;CY:121-139;TM:140-158;NC:159-196;TM:197-221;CY:222-240;TM:241-259;NC:260-278;TM:279-298;CY:299-318</t>
  </si>
  <si>
    <t>ENSG00000136839</t>
  </si>
  <si>
    <t>ENSP00000259362</t>
  </si>
  <si>
    <t>UniRef100_Q8NGT0;UniRef90_Q8NGT0;UniRef50_Q9NQN1</t>
  </si>
  <si>
    <t>OR2K2_HUMAN</t>
  </si>
  <si>
    <t>Olfactory receptor 2K2</t>
  </si>
  <si>
    <t>OR2K2</t>
  </si>
  <si>
    <t>NC:1-53;TM:54-77;CY:78-88;TM:89-110;NC:111-129;TM:130-149;CY:150-168;TM:169-187;NC:188-225;TM:226-250;CY:251-264;TM:265-288;NC:289-300;TM:301-320;CY:321-345</t>
  </si>
  <si>
    <t>ENSG00000171133</t>
  </si>
  <si>
    <t>ENSP00000305055;ENSP00000363550</t>
  </si>
  <si>
    <t>2;18;34;71;94</t>
  </si>
  <si>
    <t>UniRef100_Q8NGT1;UniRef90_Q8NGT1;UniRef50_Q8NGT1</t>
  </si>
  <si>
    <t>O13J1_HUMAN</t>
  </si>
  <si>
    <t>Olfactory receptor 13J1</t>
  </si>
  <si>
    <t>OR13J1</t>
  </si>
  <si>
    <t>NC:1-25;TM:26-47;CY:48-58;TM:59-78;NC:79-97;TM:98-120;CY:121-139;TM:140-158;NC:159-198;TM:199-221;CY:222-240;TM:241-260;NC:261-272;TM:273-292;CY:293-312</t>
  </si>
  <si>
    <t>ENSG00000168828</t>
  </si>
  <si>
    <t>ENSP00000367219</t>
  </si>
  <si>
    <t>5;65;191</t>
  </si>
  <si>
    <t>UniRef100_Q8NGT2;UniRef90_Q8NGT2;UniRef50_Q8NGS8</t>
  </si>
  <si>
    <t>OR9A2_HUMAN</t>
  </si>
  <si>
    <t>Olfactory receptor 9A2</t>
  </si>
  <si>
    <t>OR9A2</t>
  </si>
  <si>
    <t>NC:1-23;TM:24-49;CY:50-59;TM:60-86;NC:87-94;TM:95-116;CY:117-136;TM:137-157;NC:158-192;TM:193-217;CY:218-236;TM:237-256;NC:257-267;TM:268-288;CY:289-310</t>
  </si>
  <si>
    <t>ENSG00000179468;ENSG00000273914</t>
  </si>
  <si>
    <t>ENSP00000316518;ENSP00000479412</t>
  </si>
  <si>
    <t>4;100;133</t>
  </si>
  <si>
    <t>UniRef100_Q8NGT5;UniRef90_Q8NGT5;UniRef50_Q8NGU1</t>
  </si>
  <si>
    <t>O2A12_HUMAN</t>
  </si>
  <si>
    <t>Olfactory receptor 2A12</t>
  </si>
  <si>
    <t>OR2A12</t>
  </si>
  <si>
    <t>NC:1-23;TM:24-50;CY:51-57;TM:58-77;NC:78-96;TM:97-119;CY:120-138;TM:139-162;NC:163-197;TM:198-224;CY:225-235;TM:236-260;NC:261-271;TM:272-291;CY:292-310</t>
  </si>
  <si>
    <t>ENSG00000221858</t>
  </si>
  <si>
    <t>ENSP00000386174</t>
  </si>
  <si>
    <t>UniRef100_Q8NGT7;UniRef90_Q8NGT7;UniRef50_O95047</t>
  </si>
  <si>
    <t>OR2A1_HUMAN</t>
  </si>
  <si>
    <t>Olfactory receptor 2A1/2A42</t>
  </si>
  <si>
    <t>OR2A1</t>
  </si>
  <si>
    <t>NC:1-22;TM:23-47;CY:48-57;TM:58-77;NC:78-96;TM:97-119;CY:120-138;TM:139-162;NC:163-194;TM:195-219;CY:220-235;TM:236-260;NC:261-271;TM:272-291;CY:292-310</t>
  </si>
  <si>
    <t>ENSG00000212807;ENSG00000221970</t>
  </si>
  <si>
    <t>ENSP00000375334;ENSP00000386175</t>
  </si>
  <si>
    <t>UniRef100_Q8NGT9;UniRef90_Q8NGT9;UniRef50_O95047</t>
  </si>
  <si>
    <t>346528;402317</t>
  </si>
  <si>
    <t>OR9A1_HUMAN</t>
  </si>
  <si>
    <t>Putative olfactory receptor 9A1</t>
  </si>
  <si>
    <t>OR9A1P</t>
  </si>
  <si>
    <t>NC:1-24;TM:25-49;CY:50-59;TM:60-82;NC:83-100;TM:101-120;CY:121-140;TM:141-161;NC:162-196;TM:197-221;CY:222-240;TM:241-260;NC:261-263</t>
  </si>
  <si>
    <t>4;137</t>
  </si>
  <si>
    <t>UniRef100_Q8NGU1;UniRef90_Q8NGU1;UniRef50_Q8NGU1</t>
  </si>
  <si>
    <t>OR9A4_HUMAN</t>
  </si>
  <si>
    <t>Olfactory receptor 9A4</t>
  </si>
  <si>
    <t>OR9A4</t>
  </si>
  <si>
    <t>NC:1-23;TM:24-47;CY:48-58;TM:59-79;NC:80-98;TM:99-120;CY:121-140;TM:141-161;NC:162-196;TM:197-221;CY:222-240;TM:241-260;NC:261-271;TM:272-292;CY:293-314</t>
  </si>
  <si>
    <t>ENSG00000258083</t>
  </si>
  <si>
    <t>ENSP00000448789</t>
  </si>
  <si>
    <t>4;190</t>
  </si>
  <si>
    <t>UniRef100_Q8NGU2;UniRef90_Q8NGU2;UniRef50_Q8NGU1</t>
  </si>
  <si>
    <t>OR2I1_HUMAN</t>
  </si>
  <si>
    <t>Putative olfactory receptor 2I1</t>
  </si>
  <si>
    <t>OR2I1P</t>
  </si>
  <si>
    <t>NC:1-25;TM:26-48;CY:49-59;TM:60-78;NC:79-97;TM:98-120;CY:121-139;TM:140-162;NC:163-200;TM:201-226;CY:227-237;TM:238-261;NC:262-273;TM:274-293;CY:294-316</t>
  </si>
  <si>
    <t>UniRef100_Q8NGU4;UniRef90_Q8NGU4;UniRef50_Q8NGU4</t>
  </si>
  <si>
    <t>GP150_HUMAN</t>
  </si>
  <si>
    <t>Probable G-protein coupled receptor 150</t>
  </si>
  <si>
    <t>GPR150</t>
  </si>
  <si>
    <t>NC:1-11;TM:12-30;CY:31-45;TM:46-64;NC:65-83;TM:84-106;CY:107-160;TM:161-182;NC:183-232;TM:233-257;CY:258-296;TM:297-317;NC:318-334;TM:335-355;CY:356-434</t>
  </si>
  <si>
    <t>ENSG00000178015</t>
  </si>
  <si>
    <t>ENSP00000369344</t>
  </si>
  <si>
    <t>15;27;60</t>
  </si>
  <si>
    <t>UniRef100_Q8NGU9;UniRef90_Q8NGU9;UniRef50_Q8NGU9</t>
  </si>
  <si>
    <t>OR2Y1_HUMAN</t>
  </si>
  <si>
    <t>Olfactory receptor 2Y1</t>
  </si>
  <si>
    <t>OR2Y1</t>
  </si>
  <si>
    <t>NC:1-25;TM:26-49;CY:50-59;TM:60-81;NC:82-100;TM:101-120;CY:121-139;TM:140-158;NC:159-198;TM:199-224;CY:225-235;TM:236-259;NC:260-271;TM:272-291;CY:292-311</t>
  </si>
  <si>
    <t>ENSG00000174339</t>
  </si>
  <si>
    <t>ENSP00000312403</t>
  </si>
  <si>
    <t>5;264</t>
  </si>
  <si>
    <t>UniRef100_Q8NGV0;UniRef90_Q8NGV0;UniRef50_Q8NGV0</t>
  </si>
  <si>
    <t>O13D1_HUMAN</t>
  </si>
  <si>
    <t>Olfactory receptor 13D1</t>
  </si>
  <si>
    <t>OR13D1</t>
  </si>
  <si>
    <t>NC:1-56;TM:57-80;CY:81-91;TM:92-110;NC:111-129;TM:130-151;CY:152-170;TM:171-191;NC:192-225;TM:226-253;CY:254-272;TM:273-292;NC:293-304;TM:305-324;CY:325-346</t>
  </si>
  <si>
    <t>ENSG00000179055</t>
  </si>
  <si>
    <t>ENSP00000317357</t>
  </si>
  <si>
    <t>11;37;97;300</t>
  </si>
  <si>
    <t>UniRef100_Q8NGV5;UniRef90_Q8NGV5;UniRef50_Q8NGV5</t>
  </si>
  <si>
    <t>OR5H6_HUMAN</t>
  </si>
  <si>
    <t>Olfactory receptor 5H6</t>
  </si>
  <si>
    <t>OR5H6</t>
  </si>
  <si>
    <t>NC:1-41;TM:42-64;CY:65-75;TM:76-94;NC:95-113;TM:114-136;CY:137-155;TM:156-174;NC:175-210;TM:211-237;CY:238-249;TM:250-271;NC:272-290;TM:291-308;CY:309-325</t>
  </si>
  <si>
    <t>ENSG00000230301;ENSG00000279922</t>
  </si>
  <si>
    <t>ENSP00000373196;ENSP00000485611;ENSP00000485045</t>
  </si>
  <si>
    <t>UniRef100_Q8NGV6;UniRef90_Q8NGV6;UniRef50_Q8NGV6</t>
  </si>
  <si>
    <t>OR5H2_HUMAN</t>
  </si>
  <si>
    <t>Olfactory receptor 5H2</t>
  </si>
  <si>
    <t>OR5H2</t>
  </si>
  <si>
    <t>NC:1-31;TM:32-55;CY:56-61;TM:62-83;NC:84-102;TM:103-125;CY:126-144;TM:145-163;NC:164-198;TM:199-222;CY:223-241;TM:242-265;NC:266-277;TM:278-297;CY:298-314</t>
  </si>
  <si>
    <t>ENSG00000197938</t>
  </si>
  <si>
    <t>ENSP00000347418</t>
  </si>
  <si>
    <t>10;142</t>
  </si>
  <si>
    <t>UniRef100_Q8NGV7;UniRef90_Q8NGV7;UniRef50_Q8NGV6</t>
  </si>
  <si>
    <t>OR6B3_HUMAN</t>
  </si>
  <si>
    <t>Olfactory receptor 6B3</t>
  </si>
  <si>
    <t>OR6B3</t>
  </si>
  <si>
    <t>NC:1-24;TM:25-47;CY:48-58;TM:59-75;NC:76-100;TM:101-120;CY:121-139;TM:140-160;NC:161-199;TM:200-221;CY:222-234;TM:235-260;NC:261-272;TM:273-292;CY:293-331</t>
  </si>
  <si>
    <t>ENSG00000178586</t>
  </si>
  <si>
    <t>ENSP00000322435</t>
  </si>
  <si>
    <t>UniRef100_Q8NGW1;UniRef90_Q8NGW1;UniRef50_Q6IFH4</t>
  </si>
  <si>
    <t>OR6K6_HUMAN</t>
  </si>
  <si>
    <t>Olfactory receptor 6K6</t>
  </si>
  <si>
    <t>OR6K6</t>
  </si>
  <si>
    <t>NC:1-52;TM:53-76;CY:77-86;TM:87-106;NC:107-126;TM:127-148;CY:149-167;TM:168-190;NC:191-220;TM:221-246;CY:247-266;TM:267-289;NC:290-294;TM:295-317;CY:318-343</t>
  </si>
  <si>
    <t>ENSG00000180433</t>
  </si>
  <si>
    <t>ENSP00000357126</t>
  </si>
  <si>
    <t>UniRef100_Q8NGW6;UniRef90_Q8NGW6;UniRef50_Q8NGW6</t>
  </si>
  <si>
    <t>O11L1_HUMAN</t>
  </si>
  <si>
    <t>Olfactory receptor 11L1</t>
  </si>
  <si>
    <t>OR11L1</t>
  </si>
  <si>
    <t>NC:1-24;TM:25-48;CY:49-59;TM:60-81;NC:82-100;TM:101-120;CY:121-139;TM:140-161;NC:162-196;TM:197-221;CY:222-240;TM:241-260;NC:261-272;TM:273-292;CY:293-322</t>
  </si>
  <si>
    <t>ENSG00000197591</t>
  </si>
  <si>
    <t>ENSP00000348033</t>
  </si>
  <si>
    <t>UniRef100_Q8NGX0;UniRef90_Q8NGX0;UniRef50_Q8NGX0</t>
  </si>
  <si>
    <t>O2T34_HUMAN</t>
  </si>
  <si>
    <t>Olfactory receptor 2T34</t>
  </si>
  <si>
    <t>OR2T34</t>
  </si>
  <si>
    <t>NC:1-29;TM:30-53;CY:54-64;TM:65-86;NC:87-105;TM:106-125;CY:126-144;TM:145-167;NC:168-201;TM:202-230;CY:231-241;TM:242-265;NC:266-276;TM:277-297;CY:298-318</t>
  </si>
  <si>
    <t>ENSG00000183310</t>
  </si>
  <si>
    <t>ENSP00000330904</t>
  </si>
  <si>
    <t>UniRef100_Q8NGX1;UniRef90_Q8NGX1;UniRef50_Q8NGX1</t>
  </si>
  <si>
    <t>O2T35_HUMAN</t>
  </si>
  <si>
    <t>Olfactory receptor 2T35</t>
  </si>
  <si>
    <t>OR2T35</t>
  </si>
  <si>
    <t>NC:1-25;TM:26-49;CY:50-60;TM:61-81;NC:82-100;TM:101-120;CY:121-139;TM:140-160;NC:161-197;TM:198-225;CY:226-236;TM:237-257;NC:258-273;TM:274-292;CY:293-323</t>
  </si>
  <si>
    <t>ENSG00000177151</t>
  </si>
  <si>
    <t>ENSP00000324369</t>
  </si>
  <si>
    <t>UniRef100_Q8NGX2;UniRef90_Q6IF00;UniRef50_Q8NHC8</t>
  </si>
  <si>
    <t>O10T2_HUMAN</t>
  </si>
  <si>
    <t>Olfactory receptor 10T2</t>
  </si>
  <si>
    <t>OR10T2</t>
  </si>
  <si>
    <t>NC:1-25;TM:26-49;CY:50-60;TM:61-82;NC:83-101;TM:102-121;CY:122-140;TM:141-164;NC:165-198;TM:199-222;CY:223-236;TM:237-260;NC:261-271;TM:272-292;CY:293-314</t>
  </si>
  <si>
    <t>ENSG00000186306</t>
  </si>
  <si>
    <t>ENSP00000334115</t>
  </si>
  <si>
    <t>5;43</t>
  </si>
  <si>
    <t>UniRef100_Q8NGX3;UniRef90_Q8NGX3;UniRef50_Q8NGX3</t>
  </si>
  <si>
    <t>O10K1_HUMAN</t>
  </si>
  <si>
    <t>Olfactory receptor 10K1</t>
  </si>
  <si>
    <t>OR10K1</t>
  </si>
  <si>
    <t>NC:1-25;TM:26-47;CY:48-58;TM:59-78;NC:79-97;TM:98-120;CY:121-139;TM:140-164;NC:165-195;TM:196-219;CY:220-239;TM:240-260;NC:261-271;TM:272-292;CY:293-313</t>
  </si>
  <si>
    <t>ENSG00000173285</t>
  </si>
  <si>
    <t>ENSP00000289451</t>
  </si>
  <si>
    <t>UniRef100_Q8NGX5;UniRef90_Q8NGX5;UniRef50_Q8NGX3</t>
  </si>
  <si>
    <t>O10R2_HUMAN</t>
  </si>
  <si>
    <t>Olfactory receptor 10R2</t>
  </si>
  <si>
    <t>OR10R2</t>
  </si>
  <si>
    <t>NC:1-43;TM:44-68;CY:69-79;TM:80-98;NC:99-117;TM:118-140;CY:141-160;TM:161-184;NC:185-216;TM:217-241;CY:242-260;TM:261-280;NC:281-292;TM:293-312;CY:313-335</t>
  </si>
  <si>
    <t>ENSG00000198965</t>
  </si>
  <si>
    <t>ENSP00000357134</t>
  </si>
  <si>
    <t>25;62</t>
  </si>
  <si>
    <t>UniRef100_Q8NGX6;UniRef90_Q8NGX6;UniRef50_P30954</t>
  </si>
  <si>
    <t>OR6Y1_HUMAN</t>
  </si>
  <si>
    <t>Olfactory receptor 6Y1</t>
  </si>
  <si>
    <t>OR6Y1</t>
  </si>
  <si>
    <t>NC:1-28;TM:29-53;CY:54-64;TM:65-84;NC:85-105;TM:106-125;CY:126-144;TM:145-168;NC:169-204;TM:205-226;CY:227-245;TM:246-265;NC:266-277;TM:278-297;CY:298-325</t>
  </si>
  <si>
    <t>ENSG00000197532</t>
  </si>
  <si>
    <t>ENSP00000304807</t>
  </si>
  <si>
    <t>10;191</t>
  </si>
  <si>
    <t>UniRef100_Q8NGX8;UniRef90_Q8NGX8;UniRef50_Q8NGX8</t>
  </si>
  <si>
    <t>OR6P1_HUMAN</t>
  </si>
  <si>
    <t>Olfactory receptor 6P1</t>
  </si>
  <si>
    <t>OR6P1</t>
  </si>
  <si>
    <t>NC:1-24;TM:25-47;CY:48-58;TM:59-79;NC:80-100;TM:101-120;CY:121-139;TM:140-162;NC:163-199;TM:200-222;CY:223-237;TM:238-260;NC:261-272;TM:273-292;CY:293-317</t>
  </si>
  <si>
    <t>ENSG00000186440</t>
  </si>
  <si>
    <t>ENSP00000334721</t>
  </si>
  <si>
    <t>3;75;186</t>
  </si>
  <si>
    <t>UniRef100_Q8NGX9;UniRef90_Q8NGX9;UniRef50_O95222</t>
  </si>
  <si>
    <t>O10X1_HUMAN</t>
  </si>
  <si>
    <t>Olfactory receptor 10X1</t>
  </si>
  <si>
    <t>OR10X1</t>
  </si>
  <si>
    <t>NC:1-40;TM:41-64;CY:65-75;TM:76-94;NC:95-113;TM:114-135;CY:136-153;TM:154-174;NC:175-212;TM:213-237;CY:238-253;TM:254-276;NC:277-287;TM:288-306;CY:307-326</t>
  </si>
  <si>
    <t>ENSG00000186400;ENSG00000279111</t>
  </si>
  <si>
    <t>ENSP00000357132;ENSP00000485609;ENSP00000485062</t>
  </si>
  <si>
    <t>21;209</t>
  </si>
  <si>
    <t>UniRef100_Q8NGY0;UniRef90_Q8NGY0;UniRef50_Q8NGY0</t>
  </si>
  <si>
    <t>O10Z1_HUMAN</t>
  </si>
  <si>
    <t>Olfactory receptor 10Z1</t>
  </si>
  <si>
    <t>OR10Z1</t>
  </si>
  <si>
    <t>NC:1-24;TM:25-48;CY:49-59;TM:60-78;NC:79-97;TM:98-120;CY:121-139;TM:140-164;NC:165-198;TM:199-221;CY:222-240;TM:241-260;NC:261-271;TM:272-292;CY:293-313</t>
  </si>
  <si>
    <t>ENSG00000198967</t>
  </si>
  <si>
    <t>ENSP00000354707</t>
  </si>
  <si>
    <t>UniRef100_Q8NGY1;UniRef90_Q8NGY1;UniRef50_Q8NGY1</t>
  </si>
  <si>
    <t>OR6K2_HUMAN</t>
  </si>
  <si>
    <t>Olfactory receptor 6K2</t>
  </si>
  <si>
    <t>OR6K2</t>
  </si>
  <si>
    <t>NC:1-20;TM:21-48;CY:49-58;TM:59-78;NC:79-98;TM:99-119;CY:120-139;TM:140-162;NC:163-193;TM:194-217;CY:218-237;TM:238-261;NC:262-268;TM:269-292;CY:293-324</t>
  </si>
  <si>
    <t>ENSG00000196171</t>
  </si>
  <si>
    <t>ENSP00000352626</t>
  </si>
  <si>
    <t>UniRef100_Q8NGY2;UniRef90_Q8NGY2;UniRef50_Q8NGY2</t>
  </si>
  <si>
    <t>OR6K3_HUMAN</t>
  </si>
  <si>
    <t>Olfactory receptor 6K3</t>
  </si>
  <si>
    <t>OR6K3</t>
  </si>
  <si>
    <t>NC:1-40;TM:41-63;CY:64-74;TM:75-94;NC:95-114;TM:115-136;CY:137-155;TM:156-177;NC:178-215;TM:216-236;CY:237-255;TM:256-275;NC:276-286;TM:287-307;CY:308-331</t>
  </si>
  <si>
    <t>ENSG00000203757</t>
  </si>
  <si>
    <t>ENSP00000357127;ENSP00000357128</t>
  </si>
  <si>
    <t>UniRef100_Q8NGY3;UniRef90_Q8NGY3;UniRef50_Q8NGW6</t>
  </si>
  <si>
    <t>OR6N1_HUMAN</t>
  </si>
  <si>
    <t>Olfactory receptor 6N1</t>
  </si>
  <si>
    <t>OR6N1</t>
  </si>
  <si>
    <t>NC:1-24;TM:25-48;CY:49-59;TM:60-79;NC:80-98;TM:99-120;CY:121-139;TM:140-158;NC:159-199;TM:200-221;CY:222-240;TM:241-260;NC:261-272;TM:273-292;CY:293-312</t>
  </si>
  <si>
    <t>ENSG00000197403</t>
  </si>
  <si>
    <t>ENSP00000335535</t>
  </si>
  <si>
    <t>UniRef100_Q8NGY5;UniRef90_Q8NGY5;UniRef50_Q8NGW6</t>
  </si>
  <si>
    <t>OR6N2_HUMAN</t>
  </si>
  <si>
    <t>Olfactory receptor 6N2</t>
  </si>
  <si>
    <t>OR6N2</t>
  </si>
  <si>
    <t>NC:1-24;TM:25-47;CY:48-57;TM:58-78;NC:79-100;TM:101-120;CY:121-139;TM:140-163;NC:164-199;TM:200-220;CY:221-240;TM:241-261;NC:262-273;TM:274-292;CY:293-317</t>
  </si>
  <si>
    <t>ENSG00000188340</t>
  </si>
  <si>
    <t>ENSP00000344101</t>
  </si>
  <si>
    <t>UniRef100_Q8NGY6;UniRef90_Q8NGY6;UniRef50_Q8NGY6</t>
  </si>
  <si>
    <t>O10J6_HUMAN</t>
  </si>
  <si>
    <t>Putative olfactory receptor 10J6</t>
  </si>
  <si>
    <t>OR10J6P</t>
  </si>
  <si>
    <t>NC:1-25;TM:26-46;CY:47-54;TM:55-75;NC:76-99;TM:100-120;CY:121-139;TM:140-160;NC:161-196;TM:197-216;CY:217-236;TM:237-257;NC:258-270;IM:271-276</t>
  </si>
  <si>
    <t>uniprot - manually adapted</t>
  </si>
  <si>
    <t>5;190</t>
  </si>
  <si>
    <t>UniRef100_Q8NGY7;UniRef90_Q8NGY7;UniRef50_Q8NGY7</t>
  </si>
  <si>
    <t>OR2L8_HUMAN</t>
  </si>
  <si>
    <t>Olfactory receptor 2L8</t>
  </si>
  <si>
    <t>OR2L8</t>
  </si>
  <si>
    <t>NC:1-23;TM:24-50;CY:51-57;TM:58-78;NC:79-97;TM:98-119;CY:120-138;TM:139-161;NC:162-198;TM:199-224;CY:225-235;TM:236-256;NC:257-271;TM:272-291;CY:292-312</t>
  </si>
  <si>
    <t>ENSG00000196936;ENSG00000279263</t>
  </si>
  <si>
    <t>ENSP00000349719;ENSP00000485287</t>
  </si>
  <si>
    <t>UniRef100_Q8NGY9;UniRef90_Q8NGY9;UniRef50_Q96R27</t>
  </si>
  <si>
    <t>O2AJ1_HUMAN</t>
  </si>
  <si>
    <t>Olfactory receptor 2AJ1</t>
  </si>
  <si>
    <t>OR2AJ1</t>
  </si>
  <si>
    <t>NC:1-24;TM:25-48;CY:49-59;TM:60-78;NC:79-97;TM:98-118;CY:119-138;TM:139-158;NC:159-201;TM:202-225;CY:226-236;TM:237-260;NC:261-272;TM:273-292;CY:293-328</t>
  </si>
  <si>
    <t>ENSG00000177275</t>
  </si>
  <si>
    <t>ENSP00000325078</t>
  </si>
  <si>
    <t>UniRef100_Q8NGZ0;UniRef90_Q8NGZ0;UniRef50_Q8NGZ0</t>
  </si>
  <si>
    <t>O14K1_HUMAN</t>
  </si>
  <si>
    <t>Olfactory receptor 14K1</t>
  </si>
  <si>
    <t>OR14K1</t>
  </si>
  <si>
    <t>NC:1-19;TM:20-46;CY:47-57;TM:58-76;NC:77-95;TM:96-117;CY:118-136;TM:137-157;NC:158-191;TM:192-219;CY:220-238;TM:239-258;NC:259-269;TM:270-290;CY:291-314</t>
  </si>
  <si>
    <t>ENSG00000153230</t>
  </si>
  <si>
    <t>ENSP00000283225</t>
  </si>
  <si>
    <t>UniRef100_Q8NGZ2;UniRef90_Q8NGZ2;UniRef50_Q8NGZ2</t>
  </si>
  <si>
    <t>O13G1_HUMAN</t>
  </si>
  <si>
    <t>Olfactory receptor 13G1</t>
  </si>
  <si>
    <t>OR13G1</t>
  </si>
  <si>
    <t>NC:1-21;TM:22-44;CY:45-55;TM:56-75;NC:76-95;TM:96-117;CY:118-136;TM:137-155;NC:156-194;TM:195-219;CY:220-238;TM:239-257;NC:258-269;TM:270-289;CY:290-307</t>
  </si>
  <si>
    <t>ENSG00000197437</t>
  </si>
  <si>
    <t>ENSP00000352717</t>
  </si>
  <si>
    <t>2;49</t>
  </si>
  <si>
    <t>UniRef100_Q8NGZ3;UniRef90_Q8NGZ3;UniRef50_Q8NGZ3</t>
  </si>
  <si>
    <t>OR2G3_HUMAN</t>
  </si>
  <si>
    <t>Olfactory receptor 2G3</t>
  </si>
  <si>
    <t>OR2G3</t>
  </si>
  <si>
    <t>NC:1-24;TM:25-49;CY:50-59;TM:60-79;NC:80-98;TM:99-120;CY:121-140;TM:141-162;NC:163-196;TM:197-221;CY:222-240;TM:241-260;NC:261-272;TM:273-292;CY:293-309</t>
  </si>
  <si>
    <t>ENSG00000177476</t>
  </si>
  <si>
    <t>ENSP00000326301</t>
  </si>
  <si>
    <t>UniRef100_Q8NGZ4;UniRef90_Q8NGZ4;UniRef50_Q8NGZ4</t>
  </si>
  <si>
    <t>OR2G2_HUMAN</t>
  </si>
  <si>
    <t>Olfactory receptor 2G2</t>
  </si>
  <si>
    <t>OR2G2</t>
  </si>
  <si>
    <t>NC:1-28;TM:29-51;CY:52-62;TM:63-85;NC:86-104;TM:105-127;CY:128-139;TM:140-161;NC:162-202;TM:203-227;CY:228-239;TM:240-264;NC:265-275;TM:276-295;CY:296-317</t>
  </si>
  <si>
    <t>ENSG00000177489</t>
  </si>
  <si>
    <t>ENSP00000326349</t>
  </si>
  <si>
    <t>8;45</t>
  </si>
  <si>
    <t>UniRef100_Q8NGZ5;UniRef90_Q8NGZ5;UniRef50_Q8NGZ5</t>
  </si>
  <si>
    <t>OR6F1_HUMAN</t>
  </si>
  <si>
    <t>Olfactory receptor 6F1</t>
  </si>
  <si>
    <t>OR6F1</t>
  </si>
  <si>
    <t>NC:1-24;TM:25-48;CY:49-59;TM:60-79;NC:80-98;TM:99-120;CY:121-139;TM:140-162;NC:163-196;TM:197-221;CY:222-240;TM:241-260;NC:261-271;TM:272-292;CY:293-308</t>
  </si>
  <si>
    <t>ENSG00000169214</t>
  </si>
  <si>
    <t>ENSP00000305640</t>
  </si>
  <si>
    <t>UniRef100_Q8NGZ6;UniRef90_Q8NGZ6;UniRef50_Q8NGZ6</t>
  </si>
  <si>
    <t>O2T10_HUMAN</t>
  </si>
  <si>
    <t>Olfactory receptor 2T10</t>
  </si>
  <si>
    <t>OR2T10</t>
  </si>
  <si>
    <t>NC:1-28;TM:29-49;CY:50-59;TM:60-81;NC:82-101;TM:102-120;CY:121-139;TM:140-162;NC:163-196;TM:197-221;CY:222-240;TM:241-260;NC:261-272;TM:273-292;CY:293-312</t>
  </si>
  <si>
    <t>ENSG00000184022</t>
  </si>
  <si>
    <t>ENSP00000329210</t>
  </si>
  <si>
    <t>UniRef100_Q8NGZ9;UniRef90_Q8NGZ9;UniRef50_Q8NGZ9</t>
  </si>
  <si>
    <t>OR2T4_HUMAN</t>
  </si>
  <si>
    <t>Olfactory receptor 2T4</t>
  </si>
  <si>
    <t>OR2T4</t>
  </si>
  <si>
    <t>NC:1-55;TM:56-80;CY:81-91;TM:92-113;NC:114-132;TM:133-152;CY:153-171;TM:172-194;NC:195-228;TM:229-257;CY:258-268;TM:269-292;NC:293-303;TM:304-324;CY:325-348</t>
  </si>
  <si>
    <t>ENSG00000196944;ENSG00000274870;ENSG00000275617</t>
  </si>
  <si>
    <t>ENSP00000355431;ENSP00000478105;ENSP00000484014</t>
  </si>
  <si>
    <t>3;31;37;218</t>
  </si>
  <si>
    <t>UniRef100_Q8NH00;UniRef90_Q8NH00;UniRef50_Q8NH00</t>
  </si>
  <si>
    <t>O2T11_HUMAN</t>
  </si>
  <si>
    <t>Olfactory receptor 2T11</t>
  </si>
  <si>
    <t>OR2T11</t>
  </si>
  <si>
    <t>NC:1-19;TM:20-45;CY:46-56;TM:57-78;NC:79-97;TM:98-117;CY:118-137;TM:138-159;NC:160-194;TM:195-222;CY:223-233;TM:234-258;NC:259-269;TM:270-289;CY:290-316</t>
  </si>
  <si>
    <t>ENSG00000183130;ENSG00000279301</t>
  </si>
  <si>
    <t>ENSP00000328934;ENSP00000485455;ENSP00000485254</t>
  </si>
  <si>
    <t>UniRef100_Q8NH01;UniRef90_Q8NH01;UniRef50_Q8NH01</t>
  </si>
  <si>
    <t>O2T29_HUMAN</t>
  </si>
  <si>
    <t>Olfactory receptor 2T29</t>
  </si>
  <si>
    <t>OR2T29</t>
  </si>
  <si>
    <t>ENSG00000182783</t>
  </si>
  <si>
    <t>ENSP00000331774</t>
  </si>
  <si>
    <t>UniRef100_Q8NH02;UniRef90_Q6IEZ7;UniRef50_Q8NHC8</t>
  </si>
  <si>
    <t>OR2T3_HUMAN</t>
  </si>
  <si>
    <t>Olfactory receptor 2T3</t>
  </si>
  <si>
    <t>OR2T3</t>
  </si>
  <si>
    <t>NC:1-29;TM:30-53;CY:54-64;TM:65-86;NC:87-105;TM:106-125;CY:126-144;TM:145-167;NC:168-202;TM:203-230;CY:231-241;TM:242-265;NC:266-276;TM:277-297;CY:298-318</t>
  </si>
  <si>
    <t>ENSG00000196539;ENSG00000277113;ENSG00000278377</t>
  </si>
  <si>
    <t>ENSP00000352604;ENSP00000478611;ENSP00000480124</t>
  </si>
  <si>
    <t>UniRef100_Q8NH03;UniRef90_Q8NGX1;UniRef50_Q8NGX1</t>
  </si>
  <si>
    <t>O2T27_HUMAN</t>
  </si>
  <si>
    <t>Olfactory receptor 2T27</t>
  </si>
  <si>
    <t>OR2T27</t>
  </si>
  <si>
    <t>NC:1-24;TM:25-48;CY:49-59;TM:60-81;NC:82-101;TM:102-120;CY:121-139;TM:140-159;NC:160-196;TM:197-219;CY:220-240;TM:241-261;NC:262-272;TM:273-292;CY:293-317</t>
  </si>
  <si>
    <t>ENSG00000187701</t>
  </si>
  <si>
    <t>ENSP00000342008</t>
  </si>
  <si>
    <t>UniRef100_Q8NH04;UniRef90_Q8NH04;UniRef50_Q8NH04</t>
  </si>
  <si>
    <t>OR4Q3_HUMAN</t>
  </si>
  <si>
    <t>Olfactory receptor 4Q3</t>
  </si>
  <si>
    <t>OR4Q3</t>
  </si>
  <si>
    <t>NC:1-24;TM:25-49;CY:50-60;TM:61-81;NC:82-100;TM:101-121;CY:122-140;TM:141-165;NC:166-200;TM:201-225;CY:226-236;TM:237-259;NC:260-270;TM:271-290;CY:291-313</t>
  </si>
  <si>
    <t>ENSG00000182652</t>
  </si>
  <si>
    <t>ENSP00000330049</t>
  </si>
  <si>
    <t>UniRef100_Q8NH05;UniRef90_Q8NH05;UniRef50_Q8NGB6</t>
  </si>
  <si>
    <t>OR1P1_HUMAN</t>
  </si>
  <si>
    <t>Olfactory receptor 1P1</t>
  </si>
  <si>
    <t>OR1P1</t>
  </si>
  <si>
    <t>NC:1-39;TM:40-62;CY:63-72;TM:73-92;NC:93-106;TM:107-128;CY:129-139;TM:140-161;NC:162-210;TM:211-234;CY:235-254;TM:255-273;NC:274-287;TM:288-305;CY:306-330</t>
  </si>
  <si>
    <t>UniRef100_Q8NH06;UniRef90_Q8NH06;UniRef50_Q8NH06</t>
  </si>
  <si>
    <t>O11H2_HUMAN</t>
  </si>
  <si>
    <t>Olfactory receptor 11H2</t>
  </si>
  <si>
    <t>OR11H2</t>
  </si>
  <si>
    <t>NC:1-39;TM:40-65;CY:66-73;TM:74-93;NC:94-113;TM:114-135;CY:136-154;TM:155-177;NC:178-215;TM:216-237;CY:238-256;TM:257-276;NC:277-289;TM:290-308;CY:309-326</t>
  </si>
  <si>
    <t>ENSG00000258453</t>
  </si>
  <si>
    <t>ENSP00000485150</t>
  </si>
  <si>
    <t>UniRef100_Q8NH07;UniRef90_Q8NG94;UniRef50_Q8NGC7</t>
  </si>
  <si>
    <t>O10AC_HUMAN</t>
  </si>
  <si>
    <t>Putative olfactory receptor 10AC1</t>
  </si>
  <si>
    <t>OR10AC1P</t>
  </si>
  <si>
    <t>NC:1-26;TM:27-50;CY:51-59;TM:60-79;NC:80-101;TM:102-124;CY:125-143;TM:144-168;NC:169-173;TM:174-193;CY:194-202;TM:203-225;NC:226-244;TM:245-264;CY:265-325</t>
  </si>
  <si>
    <t>6;284</t>
  </si>
  <si>
    <t>UniRef100_Q8NH08;UniRef90_Q8NH08;UniRef50_Q8NH08</t>
  </si>
  <si>
    <t>OR8S1_HUMAN</t>
  </si>
  <si>
    <t>Olfactory receptor 8S1</t>
  </si>
  <si>
    <t>OR8S1</t>
  </si>
  <si>
    <t>NC:1-23;TM:24-47;CY:48-58;TM:59-78;NC:79-97;TM:98-120;CY:121-139;TM:140-162;NC:163-194;TM:195-216;CY:217-236;TM:237-256;NC:257-269;TM:270-290;CY:291-359</t>
  </si>
  <si>
    <t>ENSG00000197376</t>
  </si>
  <si>
    <t>ENSP00000310632</t>
  </si>
  <si>
    <t>UniRef100_Q8NH09;UniRef90_Q8NH09;UniRef50_Q8NH09</t>
  </si>
  <si>
    <t>OR8U1_HUMAN</t>
  </si>
  <si>
    <t>Olfactory receptor 8U1</t>
  </si>
  <si>
    <t>OR8U1</t>
  </si>
  <si>
    <t>NC:1-26;TM:27-48;CY:49-59;TM:60-78;NC:79-97;TM:98-120;CY:121-139;TM:140-162;NC:163-196;TM:197-221;CY:222-240;TM:241-261;NC:262-272;TM:273-292;CY:293-309</t>
  </si>
  <si>
    <t>ENSG00000172199</t>
  </si>
  <si>
    <t>ENSP00000304188</t>
  </si>
  <si>
    <t>UniRef100_Q8NH10;UniRef90_Q8NH10;UniRef50_Q8NH85</t>
  </si>
  <si>
    <t>OR2L2_HUMAN</t>
  </si>
  <si>
    <t>Olfactory receptor 2L2</t>
  </si>
  <si>
    <t>OR2L2</t>
  </si>
  <si>
    <t>NC:1-21;TM:22-49;CY:50-57;TM:58-78;NC:79-97;TM:98-119;CY:120-138;TM:139-161;NC:162-198;TM:199-224;CY:225-235;TM:236-256;NC:257-271;TM:272-291;CY:292-312</t>
  </si>
  <si>
    <t>ENSG00000203663</t>
  </si>
  <si>
    <t>ENSP00000355435</t>
  </si>
  <si>
    <t>UniRef100_Q8NH16;UniRef90_Q8NH16;UniRef50_Q8NH16</t>
  </si>
  <si>
    <t>OR5J2_HUMAN</t>
  </si>
  <si>
    <t>Olfactory receptor 5J2</t>
  </si>
  <si>
    <t>OR5J2</t>
  </si>
  <si>
    <t>NC:1-24;TM:25-48;CY:49-59;TM:60-78;NC:79-97;TM:98-120;CY:121-140;TM:141-161;NC:162-196;TM:197-221;CY:222-240;TM:241-261;NC:262-272;TM:273-292;CY:293-312</t>
  </si>
  <si>
    <t>ENSG00000174957</t>
  </si>
  <si>
    <t>ENSP00000310788</t>
  </si>
  <si>
    <t>UniRef100_Q8NH18;UniRef90_Q8NH18;UniRef50_Q8WZ84</t>
  </si>
  <si>
    <t>O10AG_HUMAN</t>
  </si>
  <si>
    <t>Olfactory receptor 10AG1</t>
  </si>
  <si>
    <t>OR10AG1</t>
  </si>
  <si>
    <t>NC:1-15;TM:16-39;CY:40-50;TM:51-69;NC:70-88;TM:89-111;CY:112-130;TM:131-149;NC:150-187;TM:188-209;CY:210-228;TM:229-252;NC:253-263;TM:264-283;CY:284-301</t>
  </si>
  <si>
    <t>ENSG00000174970</t>
  </si>
  <si>
    <t>ENSP00000311477</t>
  </si>
  <si>
    <t>56;82</t>
  </si>
  <si>
    <t>UniRef100_Q8NH19;UniRef90_Q8NH19;UniRef50_Q8NH19</t>
  </si>
  <si>
    <t>OR4F5_HUMAN</t>
  </si>
  <si>
    <t>Olfactory receptor 4F5</t>
  </si>
  <si>
    <t>OR4F5</t>
  </si>
  <si>
    <t>ENSG00000186092</t>
  </si>
  <si>
    <t>ENSP00000334393</t>
  </si>
  <si>
    <t>UniRef100_Q8NH21;UniRef90_Q8NGA8;UniRef50_Q8NH41</t>
  </si>
  <si>
    <t>OR4C3_HUMAN</t>
  </si>
  <si>
    <t>Olfactory receptor 4C3</t>
  </si>
  <si>
    <t>OR4C3</t>
  </si>
  <si>
    <t>NC:1-23;TM:24-45;CY:46-56;TM:57-76;NC:77-96;TM:97-118;CY:119-137;TM:138-160;NC:161-190;TM:191-222;CY:223-234;TM:235-257;NC:258-268;TM:269-287;CY:288-302</t>
  </si>
  <si>
    <t>ENSG00000176547</t>
  </si>
  <si>
    <t>ENSP00000321419</t>
  </si>
  <si>
    <t>6;63;130</t>
  </si>
  <si>
    <t>UniRef100_Q8NH37;UniRef90_Q8NH37;UniRef50_P0C623</t>
  </si>
  <si>
    <t>OR6S1_HUMAN</t>
  </si>
  <si>
    <t>Olfactory receptor 6S1</t>
  </si>
  <si>
    <t>OR6S1</t>
  </si>
  <si>
    <t>NC:1-28;TM:29-50;CY:51-61;TM:62-83;NC:84-102;TM:103-122;CY:123-141;TM:142-167;NC:168-203;TM:204-229;CY:230-240;TM:241-263;NC:264-274;TM:275-295;CY:296-331</t>
  </si>
  <si>
    <t>ENSG00000181803</t>
  </si>
  <si>
    <t>ENSP00000313110</t>
  </si>
  <si>
    <t>6;40;67</t>
  </si>
  <si>
    <t>UniRef100_Q8NH40;UniRef90_Q8NH40;UniRef50_Q8NH40</t>
  </si>
  <si>
    <t>OR4KF_HUMAN</t>
  </si>
  <si>
    <t>Olfactory receptor 4K15</t>
  </si>
  <si>
    <t>OR4K15</t>
  </si>
  <si>
    <t>NC:1-49;TM:50-71;CY:72-82;TM:83-102;NC:103-121;TM:122-144;CY:145-163;TM:164-185;NC:186-226;TM:227-248;CY:249-263;TM:264-284;NC:285-295;TM:296-313;CY:314-348</t>
  </si>
  <si>
    <t>ENSG00000169488</t>
  </si>
  <si>
    <t>ENSP00000304077</t>
  </si>
  <si>
    <t>26;29;89;251</t>
  </si>
  <si>
    <t>UniRef100_Q8NH41;UniRef90_Q8NH41;UniRef50_Q8NH41</t>
  </si>
  <si>
    <t>OR4KD_HUMAN</t>
  </si>
  <si>
    <t>Olfactory receptor 4K13</t>
  </si>
  <si>
    <t>OR4K13</t>
  </si>
  <si>
    <t>NC:1-24;TM:25-48;CY:49-58;TM:59-78;NC:79-100;TM:101-120;CY:121-139;TM:140-158;NC:159-202;TM:203-225;CY:226-236;TM:237-260;NC:261-271;TM:272-289;CY:290-304</t>
  </si>
  <si>
    <t>ENSG00000176253</t>
  </si>
  <si>
    <t>ENSP00000319322</t>
  </si>
  <si>
    <t>UniRef100_Q8NH42;UniRef90_Q8NH42;UniRef50_Q8NH41</t>
  </si>
  <si>
    <t>OR4L1_HUMAN</t>
  </si>
  <si>
    <t>Olfactory receptor 4L1</t>
  </si>
  <si>
    <t>OR4L1</t>
  </si>
  <si>
    <t>NC:1-24;TM:25-47;CY:48-58;TM:59-79;NC:80-101;TM:102-120;CY:121-139;TM:140-162;NC:163-203;TM:204-225;CY:226-236;TM:237-260;NC:261-271;TM:272-289;CY:290-312</t>
  </si>
  <si>
    <t>ENSG00000176246</t>
  </si>
  <si>
    <t>ENSP00000319217</t>
  </si>
  <si>
    <t>5;65;268</t>
  </si>
  <si>
    <t>UniRef100_Q8NH43;UniRef90_Q8NH43;UniRef50_Q8NH43</t>
  </si>
  <si>
    <t>OR5B3_HUMAN</t>
  </si>
  <si>
    <t>Olfactory receptor 5B3</t>
  </si>
  <si>
    <t>OR5B3</t>
  </si>
  <si>
    <t>NC:1-23;TM:24-46;CY:47-57;TM:58-79;NC:80-98;TM:99-118;CY:119-137;TM:138-156;NC:157-195;TM:196-219;CY:220-239;TM:240-259;NC:260-270;TM:271-290;CY:291-314</t>
  </si>
  <si>
    <t>ENSG00000172769</t>
  </si>
  <si>
    <t>ENSP00000308270</t>
  </si>
  <si>
    <t>3;17;63;153</t>
  </si>
  <si>
    <t>UniRef100_Q8NH48;UniRef90_Q8NH48;UniRef50_Q8WZ84</t>
  </si>
  <si>
    <t>OR4X1_HUMAN</t>
  </si>
  <si>
    <t>Olfactory receptor 4X1</t>
  </si>
  <si>
    <t>OR4X1</t>
  </si>
  <si>
    <t>NC:1-24;TM:25-49;CY:50-57;TM:58-80;NC:81-99;TM:100-118;CY:119-138;TM:139-162;NC:163-191;TM:192-222;CY:223-234;TM:235-257;NC:258-268;TM:269-287;CY:288-305</t>
  </si>
  <si>
    <t>ENSG00000176567;ENSG00000279260</t>
  </si>
  <si>
    <t>ENSP00000321506;ENSP00000485255;ENSP00000485503</t>
  </si>
  <si>
    <t>6;18</t>
  </si>
  <si>
    <t>UniRef100_Q8NH49;UniRef90_Q8NH49;UniRef50_Q8NGB6</t>
  </si>
  <si>
    <t>OR8K5_HUMAN</t>
  </si>
  <si>
    <t>Olfactory receptor 8K5</t>
  </si>
  <si>
    <t>OR8K5</t>
  </si>
  <si>
    <t>NC:1-24;TM:25-48;CY:49-59;TM:60-78;NC:79-97;TM:98-120;CY:121-139;TM:140-162;NC:163-197;TM:198-222;CY:223-241;TM:242-261;NC:262-272;TM:273-292;CY:293-307</t>
  </si>
  <si>
    <t>ENSG00000181752</t>
  </si>
  <si>
    <t>ENSP00000323853</t>
  </si>
  <si>
    <t>5;42;73;263</t>
  </si>
  <si>
    <t>UniRef100_Q8NH50;UniRef90_Q8NH50;UniRef50_Q8NGG5</t>
  </si>
  <si>
    <t>OR8K3_HUMAN</t>
  </si>
  <si>
    <t>Olfactory receptor 8K3</t>
  </si>
  <si>
    <t>OR8K3</t>
  </si>
  <si>
    <t>NC:1-26;TM:27-48;CY:49-59;TM:60-78;NC:79-100;TM:101-122;CY:123-142;TM:143-164;NC:165-196;TM:197-221;CY:222-240;TM:241-260;NC:261-271;TM:272-291;CY:292-312</t>
  </si>
  <si>
    <t>ENSG00000181689;ENSG00000262755;ENSG00000280314</t>
  </si>
  <si>
    <t>ENSP00000323555;ENSP00000460880;ENSP00000485070;ENSP00000485634</t>
  </si>
  <si>
    <t>UniRef100_Q8NH51;UniRef90_Q8NH51;UniRef50_Q8WZ84</t>
  </si>
  <si>
    <t>O52N1_HUMAN</t>
  </si>
  <si>
    <t>Olfactory receptor 52N1</t>
  </si>
  <si>
    <t>OR52N1</t>
  </si>
  <si>
    <t>NC:1-26;TM:27-50;CY:51-61;TM:62-80;NC:81-99;TM:100-122;CY:123-141;TM:142-163;NC:164-197;TM:198-223;CY:224-242;TM:243-262;NC:263-273;TM:274-295;CY:296-320</t>
  </si>
  <si>
    <t>ENSG00000181001</t>
  </si>
  <si>
    <t>ENSP00000322823</t>
  </si>
  <si>
    <t>UniRef100_Q8NH53;UniRef90_Q8NH53;UniRef50_Q8NH53</t>
  </si>
  <si>
    <t>O56A3_HUMAN</t>
  </si>
  <si>
    <t>Olfactory receptor 56A3</t>
  </si>
  <si>
    <t>OR56A3</t>
  </si>
  <si>
    <t>NC:1-30;TM:31-51;CY:52-62;TM:63-82;NC:83-102;TM:103-124;CY:125-143;TM:144-166;NC:167-204;TM:205-225;CY:226-245;TM:246-266;NC:267-277;TM:278-298;CY:299-315</t>
  </si>
  <si>
    <t>ENSG00000184478</t>
  </si>
  <si>
    <t>ENSP00000331572</t>
  </si>
  <si>
    <t>6;46;185</t>
  </si>
  <si>
    <t>UniRef100_Q8NH54;UniRef90_Q8NH54;UniRef50_Q8NH54</t>
  </si>
  <si>
    <t>O52E5_HUMAN</t>
  </si>
  <si>
    <t>Olfactory receptor 52E5</t>
  </si>
  <si>
    <t>OR52E5</t>
  </si>
  <si>
    <t>NC:1-26;TM:27-50;CY:51-61;TM:62-81;NC:82-100;TM:101-122;CY:123-141;TM:142-166;NC:167-195;TM:196-218;CY:219-237;TM:238-258;NC:259-269;TM:270-292;CY:293-327</t>
  </si>
  <si>
    <t>ENSG00000277932</t>
  </si>
  <si>
    <t>ENSP00000480583</t>
  </si>
  <si>
    <t>5;322</t>
  </si>
  <si>
    <t>UniRef100_Q8NH55;UniRef90_Q8NH55;UniRef50_Q8NGJ2</t>
  </si>
  <si>
    <t>O52N5_HUMAN</t>
  </si>
  <si>
    <t>Olfactory receptor 52N5</t>
  </si>
  <si>
    <t>OR52N5</t>
  </si>
  <si>
    <t>NC:1-32;TM:33-56;CY:57-67;TM:68-87;NC:88-106;TM:107-129;CY:130-148;TM:149-171;NC:172-204;TM:205-230;CY:231-249;TM:250-270;NC:271-281;TM:282-303;CY:304-324</t>
  </si>
  <si>
    <t>ENSG00000181009</t>
  </si>
  <si>
    <t>ENSP00000322866</t>
  </si>
  <si>
    <t>UniRef100_Q8NH56;UniRef90_Q8NH56;UniRef50_Q8NGK3</t>
  </si>
  <si>
    <t>O52P1_HUMAN</t>
  </si>
  <si>
    <t>Putative olfactory receptor 52P1</t>
  </si>
  <si>
    <t>OR52P1P</t>
  </si>
  <si>
    <t>NC:1-25;TM:26-50;CY:51-60;TM:61-80;NC:81-99;TM:100-122;CY:123-141;TM:142-165;NC:166-199;TM:200-222;CY:223-242;TM:243-262;NC:263-273;TM:274-295;CY:296-321</t>
  </si>
  <si>
    <t>UniRef100_Q8NH57;UniRef90_Q8NH57;UniRef50_Q8NH57</t>
  </si>
  <si>
    <t>O51Q1_HUMAN</t>
  </si>
  <si>
    <t>Olfactory receptor 51Q1</t>
  </si>
  <si>
    <t>OR51Q1</t>
  </si>
  <si>
    <t>NC:1-26;TM:27-50;CY:51-61;TM:62-81;NC:82-102;TM:103-126;CY:127-145;TM:146-165;NC:166-198;TM:199-223;CY:224-242;TM:243-262;NC:263-272;TM:273-295;CY:296-317</t>
  </si>
  <si>
    <t>ENSG00000167360</t>
  </si>
  <si>
    <t>ENSP00000300778</t>
  </si>
  <si>
    <t>UniRef100_Q8NH59;UniRef90_Q8NH59;UniRef50_Q9H340</t>
  </si>
  <si>
    <t>O52J3_HUMAN</t>
  </si>
  <si>
    <t>Olfactory receptor 52J3</t>
  </si>
  <si>
    <t>OR52J3</t>
  </si>
  <si>
    <t>NC:1-26;TM:27-50;CY:51-61;TM:62-80;NC:81-99;TM:100-122;CY:123-141;TM:142-165;NC:166-198;TM:199-222;CY:223-241;TM:242-261;NC:262-271;TM:272-293;CY:294-311</t>
  </si>
  <si>
    <t>ENSG00000205495</t>
  </si>
  <si>
    <t>ENSP00000369728</t>
  </si>
  <si>
    <t>UniRef100_Q8NH60;UniRef90_Q8NH60;UniRef50_Q8NH60</t>
  </si>
  <si>
    <t>O51F2_HUMAN</t>
  </si>
  <si>
    <t>Olfactory receptor 51F2</t>
  </si>
  <si>
    <t>OR51F2</t>
  </si>
  <si>
    <t>NC:1-38;TM:39-62;CY:63-73;TM:74-94;NC:95-114;TM:115-134;CY:135-154;TM:155-177;NC:178-210;TM:211-235;CY:236-254;TM:255-276;NC:277-284;TM:285-306;CY:307-342</t>
  </si>
  <si>
    <t>ENSG00000176925</t>
  </si>
  <si>
    <t>ENSP00000323952</t>
  </si>
  <si>
    <t>UniRef100_Q8NH61;UniRef90_Q8NH61;UniRef50_A6NGY5</t>
  </si>
  <si>
    <t>O51H1_HUMAN</t>
  </si>
  <si>
    <t>Putative olfactory receptor 51H1</t>
  </si>
  <si>
    <t>OR51H1P</t>
  </si>
  <si>
    <t>NC:1-28;TM:29-50;CY:51-61;TM:62-80;NC:81-99;TM:100-122;CY:123-145;TM:146-165;NC:166-198;TM:199-222;CY:223-242;TM:243-264;NC:265-274;TM:275-296;CY:297-302</t>
  </si>
  <si>
    <t>ENSG00000176904</t>
  </si>
  <si>
    <t>ENSP00000322724</t>
  </si>
  <si>
    <t>UniRef100_Q8NH63;UniRef90_Q8NH63;UniRef50_Q8NGK1</t>
  </si>
  <si>
    <t>O51A7_HUMAN</t>
  </si>
  <si>
    <t>Olfactory receptor 51A7</t>
  </si>
  <si>
    <t>OR51A7</t>
  </si>
  <si>
    <t>NC:1-24;TM:25-48;CY:49-59;TM:60-78;NC:79-101;TM:102-120;CY:121-140;TM:141-162;NC:163-195;TM:196-220;CY:221-239;TM:240-261;NC:262-269;TM:270-293;CY:294-312</t>
  </si>
  <si>
    <t>ENSG00000176895</t>
  </si>
  <si>
    <t>ENSP00000352305</t>
  </si>
  <si>
    <t>5;42;192</t>
  </si>
  <si>
    <t>UniRef100_Q8NH64;UniRef90_Q8NH64;UniRef50_Q8NGK1</t>
  </si>
  <si>
    <t>O52I2_HUMAN</t>
  </si>
  <si>
    <t>Olfactory receptor 52I2</t>
  </si>
  <si>
    <t>OR52I2</t>
  </si>
  <si>
    <t>NC:1-54;TM:55-78;CY:79-88;TM:89-108;NC:109-127;TM:128-150;CY:151-169;TM:170-192;NC:193-228;TM:229-251;CY:252-271;TM:272-293;NC:294-304;TM:305-324;CY:325-350</t>
  </si>
  <si>
    <t>ENSG00000226288</t>
  </si>
  <si>
    <t>ENSP00000308764</t>
  </si>
  <si>
    <t>UniRef100_Q8NH67;UniRef90_Q8NH67;UniRef50_Q8NH67</t>
  </si>
  <si>
    <t>OR5W2_HUMAN</t>
  </si>
  <si>
    <t>Olfactory receptor 5W2</t>
  </si>
  <si>
    <t>OR5W2</t>
  </si>
  <si>
    <t>NC:1-25;TM:26-48;CY:49-59;TM:60-78;NC:79-97;TM:98-120;CY:121-139;TM:140-162;NC:163-196;TM:197-223;CY:224-236;TM:237-260;NC:261-274;TM:275-292;CY:293-310</t>
  </si>
  <si>
    <t>ENSG00000187612</t>
  </si>
  <si>
    <t>ENSP00000342448</t>
  </si>
  <si>
    <t>5;38;89;135</t>
  </si>
  <si>
    <t>UniRef100_Q8NH69;UniRef90_Q8NH69;UniRef50_Q8NH85</t>
  </si>
  <si>
    <t>O4A16_HUMAN</t>
  </si>
  <si>
    <t>Olfactory receptor 4A16</t>
  </si>
  <si>
    <t>OR4A16</t>
  </si>
  <si>
    <t>NC:1-24;TM:25-45;CY:46-55;TM:56-74;NC:75-98;TM:99-118;CY:119-137;TM:138-160;NC:161-190;TM:191-222;CY:223-234;TM:235-257;NC:258-268;TM:269-287;CY:288-328</t>
  </si>
  <si>
    <t>ENSG00000181961</t>
  </si>
  <si>
    <t>ENSP00000325128</t>
  </si>
  <si>
    <t>UniRef100_Q8NH70;UniRef90_Q8NH70;UniRef50_P0C604</t>
  </si>
  <si>
    <t>OR4C6_HUMAN</t>
  </si>
  <si>
    <t>Olfactory receptor 4C6</t>
  </si>
  <si>
    <t>OR4C6</t>
  </si>
  <si>
    <t>NC:1-23;TM:24-47;CY:48-56;TM:57-79;NC:80-98;TM:99-118;CY:119-137;TM:138-160;NC:161-194;TM:195-222;CY:223-234;TM:235-257;NC:258-268;TM:269-287;CY:288-309</t>
  </si>
  <si>
    <t>ENSG00000181903</t>
  </si>
  <si>
    <t>ENSP00000324769</t>
  </si>
  <si>
    <t>UniRef100_Q8NH72;UniRef90_Q8NH72;UniRef50_Q8NGB6</t>
  </si>
  <si>
    <t>OR4S2_HUMAN</t>
  </si>
  <si>
    <t>Olfactory receptor 4S2</t>
  </si>
  <si>
    <t>OR4S2</t>
  </si>
  <si>
    <t>NC:1-25;TM:26-48;CY:49-56;TM:57-76;NC:77-96;TM:97-121;CY:122-141;TM:142-161;NC:162-201;TM:202-223;CY:224-234;TM:235-257;NC:258-268;TM:269-287;CY:288-311</t>
  </si>
  <si>
    <t>ENSG00000174982</t>
  </si>
  <si>
    <t>ENSP00000310337</t>
  </si>
  <si>
    <t>UniRef100_Q8NH73;UniRef90_Q8NH73;UniRef50_Q8NGL6</t>
  </si>
  <si>
    <t>O10A6_HUMAN</t>
  </si>
  <si>
    <t>Olfactory receptor 10A6</t>
  </si>
  <si>
    <t>OR10A6</t>
  </si>
  <si>
    <t>NC:1-26;TM:27-48;CY:49-59;TM:60-78;NC:79-98;TM:99-120;CY:121-139;TM:140-160;NC:161-196;TM:197-219;CY:220-236;TM:237-260;NC:261-273;TM:274-292;CY:293-314</t>
  </si>
  <si>
    <t>ENSG00000175393;ENSG00000276451;ENSG00000279000</t>
  </si>
  <si>
    <t>ENSP00000312470;ENSP00000478945;ENSP00000485676;ENSP00000485518</t>
  </si>
  <si>
    <t>UniRef100_Q8NH74;UniRef90_Q8NH74;UniRef50_Q8NH74</t>
  </si>
  <si>
    <t>O56B4_HUMAN</t>
  </si>
  <si>
    <t>Olfactory receptor 56B4</t>
  </si>
  <si>
    <t>OR56B4</t>
  </si>
  <si>
    <t>NC:1-31;TM:32-53;CY:54-64;TM:65-85;NC:86-104;TM:105-126;CY:127-145;TM:146-168;NC:169-206;TM:207-228;CY:229-248;TM:249-269;NC:270-274;TM:275-298;CY:299-319</t>
  </si>
  <si>
    <t>ENSG00000180919</t>
  </si>
  <si>
    <t>ENSP00000321196</t>
  </si>
  <si>
    <t>UniRef100_Q8NH76;UniRef90_Q8NH76;UniRef50_Q8NGI3</t>
  </si>
  <si>
    <t>OR6X1_HUMAN</t>
  </si>
  <si>
    <t>Olfactory receptor 6X1</t>
  </si>
  <si>
    <t>OR6X1</t>
  </si>
  <si>
    <t>NC:1-24;TM:25-45;CY:46-56;TM:57-76;NC:77-96;TM:97-118;CY:119-137;TM:138-162;NC:163-195;TM:196-219;CY:220-238;TM:239-259;NC:260-270;TM:271-290;CY:291-312</t>
  </si>
  <si>
    <t>ENSG00000221931</t>
  </si>
  <si>
    <t>ENSP00000333724</t>
  </si>
  <si>
    <t>UniRef100_Q8NH79;UniRef90_Q8NH79;UniRef50_Q8NH79</t>
  </si>
  <si>
    <t>O10D3_HUMAN</t>
  </si>
  <si>
    <t>Putative olfactory receptor 10D3</t>
  </si>
  <si>
    <t>OR10D3</t>
  </si>
  <si>
    <t>NC:1-26;TM:27-49;CY:50-59;TM:60-82;NC:83-101;TM:102-120;CY:121-139;TM:140-162;NC:163-199;TM:200-219;CY:220-238;TM:239-260;NC:261-266;TM:267-290;CY:291-312</t>
  </si>
  <si>
    <t>ENSG00000197309</t>
  </si>
  <si>
    <t>ENSP00000323895</t>
  </si>
  <si>
    <t>42;65</t>
  </si>
  <si>
    <t>UniRef100_Q8NH80;UniRef90_Q8NH80;UniRef50_Q8VEY3</t>
  </si>
  <si>
    <t>O10G6_HUMAN</t>
  </si>
  <si>
    <t>Olfactory receptor 10G6</t>
  </si>
  <si>
    <t>OR10G6</t>
  </si>
  <si>
    <t>NC:1-46;TM:47-68;CY:69-79;TM:80-100;NC:101-119;TM:120-141;CY:142-160;TM:161-179;NC:180-223;TM:224-243;CY:244-261;TM:262-281;NC:282-292;TM:293-312;CY:313-332</t>
  </si>
  <si>
    <t>ENSG00000198674</t>
  </si>
  <si>
    <t>ENSP00000477445</t>
  </si>
  <si>
    <t>UniRef100_Q8NH81;UniRef90_Q8NH81;UniRef50_Q8NH81</t>
  </si>
  <si>
    <t>OR4A5_HUMAN</t>
  </si>
  <si>
    <t>Olfactory receptor 4A5</t>
  </si>
  <si>
    <t>OR4A5</t>
  </si>
  <si>
    <t>NC:1-23;TM:24-45;CY:46-56;TM:57-76;NC:77-98;TM:99-118;CY:119-137;TM:138-160;NC:161-189;TM:190-214;CY:215-232;TM:233-255;NC:256-266;TM:267-286;CY:287-315</t>
  </si>
  <si>
    <t>ENSG00000221840</t>
  </si>
  <si>
    <t>ENSP00000367664</t>
  </si>
  <si>
    <t>UniRef100_Q8NH83;UniRef90_Q8NH83;UniRef50_Q8NGL6</t>
  </si>
  <si>
    <t>OR5R1_HUMAN</t>
  </si>
  <si>
    <t>Olfactory receptor 5R1</t>
  </si>
  <si>
    <t>OR5R1</t>
  </si>
  <si>
    <t>NC:1-27;TM:28-48;CY:49-59;TM:60-78;NC:79-97;TM:98-120;CY:121-139;TM:140-162;NC:163-196;TM:197-221;CY:222-241;TM:242-261;NC:262-272;TM:273-292;CY:293-324</t>
  </si>
  <si>
    <t>ENSG00000174942;ENSG00000279961</t>
  </si>
  <si>
    <t>ENSP00000308595;ENSP00000485063;ENSP00000485324</t>
  </si>
  <si>
    <t>UniRef100_Q8NH85;UniRef90_Q8NH85;UniRef50_Q8NH85</t>
  </si>
  <si>
    <t>OR9G1_HUMAN</t>
  </si>
  <si>
    <t>Olfactory receptor 9G1</t>
  </si>
  <si>
    <t>OR9G1</t>
  </si>
  <si>
    <t>NC:1-23;TM:24-47;CY:48-56;TM:57-74;NC:75-98;TM:99-119;CY:120-138;TM:139-158;NC:159-196;TM:197-220;CY:221-233;TM:234-260;NC:261-271;TM:272-291;CY:292-305</t>
  </si>
  <si>
    <t>ENSG00000174914</t>
  </si>
  <si>
    <t>ENSP00000309012</t>
  </si>
  <si>
    <t>UniRef100_Q8NH87;UniRef90_Q8NH87;UniRef50_Q8NH87</t>
  </si>
  <si>
    <t>O5AK3_HUMAN</t>
  </si>
  <si>
    <t>Putative olfactory receptor 5AK3</t>
  </si>
  <si>
    <t>OR5AK3P</t>
  </si>
  <si>
    <t>NC:1-24;TM:25-48;CY:49-59;TM:60-78;NC:79-97;TM:98-120;CY:121-138;TM:139-158;NC:159-196;TM:197-221;CY:222-240;TM:241-260;NC:261-271;TM:272-292;CY:293-298</t>
  </si>
  <si>
    <t>5;155;265</t>
  </si>
  <si>
    <t>UniRef100_Q8NH89;UniRef90_Q8NH89;UniRef50_Q8WZ94</t>
  </si>
  <si>
    <t>O5AK2_HUMAN</t>
  </si>
  <si>
    <t>Olfactory receptor 5AK2</t>
  </si>
  <si>
    <t>OR5AK2</t>
  </si>
  <si>
    <t>NC:1-22;TM:23-48;CY:49-58;TM:59-78;NC:79-97;TM:98-120;CY:121-131;TM:132-152;NC:153-195;TM:196-221;CY:222-240;TM:241-260;NC:261-271;TM:272-292;CY:293-309</t>
  </si>
  <si>
    <t>ENSG00000181273</t>
  </si>
  <si>
    <t>ENSP00000322784</t>
  </si>
  <si>
    <t>UniRef100_Q8NH90;UniRef90_Q8NH90;UniRef50_Q8WZ94</t>
  </si>
  <si>
    <t>OR1S1_HUMAN</t>
  </si>
  <si>
    <t>Olfactory receptor 1S1</t>
  </si>
  <si>
    <t>OR1S1</t>
  </si>
  <si>
    <t>NC:1-38;TM:39-62;CY:63-71;TM:72-91;NC:92-112;TM:113-133;CY:134-152;TM:153-177;NC:178-209;TM:210-235;CY:236-253;TM:254-274;NC:275-285;TM:286-305;CY:306-325</t>
  </si>
  <si>
    <t>ENSG00000172774;ENSG00000280204</t>
  </si>
  <si>
    <t>ENSP00000311688;ENSP00000485156;ENSP00000485365</t>
  </si>
  <si>
    <t>18;78;144</t>
  </si>
  <si>
    <t>UniRef100_Q8NH92;UniRef90_Q8NH92;UniRef50_Q8NH92</t>
  </si>
  <si>
    <t>OR1L3_HUMAN</t>
  </si>
  <si>
    <t>Olfactory receptor 1L3</t>
  </si>
  <si>
    <t>OR1L3</t>
  </si>
  <si>
    <t>NC:1-26;TM:27-48;CY:49-59;TM:60-79;NC:80-99;TM:100-120;CY:121-140;TM:141-162;NC:163-203;TM:204-225;CY:226-236;TM:237-260;NC:261-271;TM:272-291;CY:292-324</t>
  </si>
  <si>
    <t>ENSG00000171481</t>
  </si>
  <si>
    <t>ENSP00000302863</t>
  </si>
  <si>
    <t>5;276</t>
  </si>
  <si>
    <t>UniRef100_Q8NH93;UniRef90_Q8NH93;UniRef50_Q8NGS0</t>
  </si>
  <si>
    <t>OR1L1_HUMAN</t>
  </si>
  <si>
    <t>Olfactory receptor 1L1</t>
  </si>
  <si>
    <t>OR1L1</t>
  </si>
  <si>
    <t>NC:1-76;TM:77-98;CY:99-109;TM:110-131;NC:132-150;TM:151-170;CY:171-189;TM:190-212;NC:213-252;TM:253-275;CY:276-286;TM:287-310;NC:311-321;TM:322-341;CY:342-360</t>
  </si>
  <si>
    <t>ENSG00000173679</t>
  </si>
  <si>
    <t>ENSP00000362790</t>
  </si>
  <si>
    <t>55;315</t>
  </si>
  <si>
    <t>UniRef100_Q8NH94;UniRef90_Q8NH94;UniRef50_Q8NH94</t>
  </si>
  <si>
    <t>O13C6_HUMAN</t>
  </si>
  <si>
    <t>Putative olfactory receptor 13C6</t>
  </si>
  <si>
    <t>OR13C6P</t>
  </si>
  <si>
    <t>NC:1-27;TM:28-49;CY:50-60;TM:61-83;NC:84-101;TM:102-121;CY:122-151</t>
  </si>
  <si>
    <t>UniRef100_Q8NH95;UniRef90_Q8NH95;UniRef50_Q8NH95</t>
  </si>
  <si>
    <t>O2AE1_HUMAN</t>
  </si>
  <si>
    <t>Olfactory receptor 2AE1</t>
  </si>
  <si>
    <t>OR2AE1</t>
  </si>
  <si>
    <t>NC:1-24;TM:25-50;CY:51-59;TM:60-82;NC:83-101;TM:102-120;CY:121-139;TM:140-163;NC:164-199;TM:200-223;CY:224-235;TM:236-259;NC:260-272;TM:273-291;CY:292-323</t>
  </si>
  <si>
    <t>ENSG00000244623</t>
  </si>
  <si>
    <t>ENSP00000313936</t>
  </si>
  <si>
    <t>UniRef100_Q8NHA4;UniRef90_Q8NHA4;UniRef50_Q8VGD6</t>
  </si>
  <si>
    <t>OR2W6_HUMAN</t>
  </si>
  <si>
    <t>Putative olfactory receptor 2W6</t>
  </si>
  <si>
    <t>OR2W6P</t>
  </si>
  <si>
    <t>NC:1-30;TM:31-54;CY:55-65;TM:66-85;NC:86-104;TM:105-126;CY:127-145;TM:146-166;NC:167-202;TM:203-227;CY:228-246;TM:247-266;NC:267-278;TM:279-298;CY:299-318</t>
  </si>
  <si>
    <t>48;71</t>
  </si>
  <si>
    <t>UniRef100_Q8NHA6;UniRef90_Q8NHA6;UniRef50_O76001</t>
  </si>
  <si>
    <t>OR1FC_HUMAN</t>
  </si>
  <si>
    <t>Olfactory receptor 1F12</t>
  </si>
  <si>
    <t>OR1F12</t>
  </si>
  <si>
    <t>NC:1-24;TM:25-48;CY:49-58;TM:59-78;NC:79-98;TM:99-120;CY:121-136;TM:137-158;NC:159-198;TM:199-225;CY:226-236;TM:237-260;NC:261-271;TM:272-292;CY:293-337</t>
  </si>
  <si>
    <t>5;8;65;265</t>
  </si>
  <si>
    <t>UniRef100_Q8NHA8;UniRef90_Q8NHA8;UniRef50_Q8NH92</t>
  </si>
  <si>
    <t>OR2V1_HUMAN</t>
  </si>
  <si>
    <t>Olfactory receptor 2V1</t>
  </si>
  <si>
    <t>OR2V1</t>
  </si>
  <si>
    <t>NC:1-26;TM:27-52;CY:53-60;TM:61-80;NC:81-99;TM:100-121;CY:122-146;TM:147-168;NC:169-197;TM:198-222;CY:223-238;TM:239-261;NC:262-273;TM:274-293;CY:294-315</t>
  </si>
  <si>
    <t>ENSG00000185372</t>
  </si>
  <si>
    <t>ENSP00000404102</t>
  </si>
  <si>
    <t>UniRef100_Q8NHB1;UniRef90_Q8NHB1;UniRef50_Q8NH01</t>
  </si>
  <si>
    <t>OR5K1_HUMAN</t>
  </si>
  <si>
    <t>Olfactory receptor 5K1</t>
  </si>
  <si>
    <t>OR5K1</t>
  </si>
  <si>
    <t>NC:1-25;TM:26-48;CY:49-59;TM:60-79;NC:80-98;TM:99-120;CY:121-139;TM:140-162;NC:163-196;TM:197-222;CY:223-240;TM:241-260;NC:261-271;TM:272-292;CY:293-308</t>
  </si>
  <si>
    <t>ENSG00000232382</t>
  </si>
  <si>
    <t>ENSP00000373193</t>
  </si>
  <si>
    <t>UniRef100_Q8NHB7;UniRef90_Q8NHB7;UniRef50_Q8NHB7</t>
  </si>
  <si>
    <t>OR5K2_HUMAN</t>
  </si>
  <si>
    <t>Olfactory receptor 5K2</t>
  </si>
  <si>
    <t>OR5K2</t>
  </si>
  <si>
    <t>NC:1-25;TM:26-48;CY:49-59;TM:60-79;NC:80-98;TM:99-120;CY:121-139;TM:140-162;NC:163-196;TM:197-222;CY:223-240;TM:241-260;NC:261-271;TM:272-292;CY:293-316</t>
  </si>
  <si>
    <t>ENSG00000231861</t>
  </si>
  <si>
    <t>ENSP00000393889</t>
  </si>
  <si>
    <t>UniRef100_Q8NHB8;UniRef90_Q8NHB7;UniRef50_Q8NHB7</t>
  </si>
  <si>
    <t>O10J5_HUMAN</t>
  </si>
  <si>
    <t>Olfactory receptor 10J5</t>
  </si>
  <si>
    <t>OR10J5</t>
  </si>
  <si>
    <t>NC:1-24;TM:25-48;CY:49-59;TM:60-79;NC:80-99;TM:100-120;CY:121-139;TM:140-162;NC:163-197;TM:198-220;CY:221-239;TM:240-259;NC:260-270;TM:271-290;CY:291-309</t>
  </si>
  <si>
    <t>ENSG00000184155</t>
  </si>
  <si>
    <t>ENSP00000334441</t>
  </si>
  <si>
    <t>5;307</t>
  </si>
  <si>
    <t>UniRef100_Q8NHC4;UniRef90_Q8NHC4;UniRef50_Q8NGX3</t>
  </si>
  <si>
    <t>O14AG_HUMAN</t>
  </si>
  <si>
    <t>Olfactory receptor 14A16</t>
  </si>
  <si>
    <t>OR14A16</t>
  </si>
  <si>
    <t>NC:1-22;TM:23-45;CY:46-56;TM:57-76;NC:77-95;TM:96-118;CY:119-138;TM:139-156;NC:157-194;TM:195-217;CY:218-237;TM:238-257;NC:258-268;TM:269-288;CY:289-309</t>
  </si>
  <si>
    <t>ENSG00000196772</t>
  </si>
  <si>
    <t>ENSP00000350248</t>
  </si>
  <si>
    <t>3;63;87</t>
  </si>
  <si>
    <t>UniRef100_Q8NHC5;UniRef90_Q8NHC5;UniRef50_Q9UGF5</t>
  </si>
  <si>
    <t>O14L1_HUMAN</t>
  </si>
  <si>
    <t>Putative olfactory receptor 14L1</t>
  </si>
  <si>
    <t>OR14L1P</t>
  </si>
  <si>
    <t>NC:1-25;TM:26-49;CY:50-60;TM:61-79;NC:80-98;TM:99-121;CY:122-140;TM:141-161;NC:162-195;TM:196-222;CY:223-241;TM:242-261;NC:262-272;TM:273-293;CY:294-308</t>
  </si>
  <si>
    <t>UniRef100_Q8NHC6;UniRef90_Q8NHC6;UniRef50_Q8NHC6</t>
  </si>
  <si>
    <t>O14CZ_HUMAN</t>
  </si>
  <si>
    <t>Olfactory receptor 14C36</t>
  </si>
  <si>
    <t>OR14C36</t>
  </si>
  <si>
    <t>NC:1-21;TM:22-46;CY:47-57;TM:58-76;NC:77-95;TM:96-117;CY:118-137;TM:138-156;NC:157-194;TM:195-217;CY:218-236;TM:237-258;NC:259-269;TM:270-290;CY:291-312</t>
  </si>
  <si>
    <t>ENSG00000177174</t>
  </si>
  <si>
    <t>ENSP00000324534</t>
  </si>
  <si>
    <t>UniRef100_Q8NHC7;UniRef90_Q8NHC7;UniRef50_Q8NHC7</t>
  </si>
  <si>
    <t>OR2T6_HUMAN</t>
  </si>
  <si>
    <t>Olfactory receptor 2T6</t>
  </si>
  <si>
    <t>OR2T6</t>
  </si>
  <si>
    <t>NC:1-24;TM:25-48;CY:49-59;TM:60-81;NC:82-98;TM:99-120;CY:121-139;TM:140-160;NC:161-197;TM:198-218;CY:219-236;TM:237-260;NC:261-272;TM:273-292;CY:293-308</t>
  </si>
  <si>
    <t>ENSG00000198104;ENSG00000278659;ENSG00000278689</t>
  </si>
  <si>
    <t>ENSP00000347965;ENSP00000478358;ENSP00000481800</t>
  </si>
  <si>
    <t>UniRef100_Q8NHC8;UniRef90_Q8NHC8;UniRef50_Q8NHC8</t>
  </si>
  <si>
    <t>KI2LB_HUMAN</t>
  </si>
  <si>
    <t>Killer cell immunoglobulin-like receptor 2DL5B</t>
  </si>
  <si>
    <t>KIR2DL5B</t>
  </si>
  <si>
    <t>CD158f2</t>
  </si>
  <si>
    <t>UniRef100_Q8NHK3;UniRef90_Q8NHK3;UniRef50_Q99706</t>
  </si>
  <si>
    <t>LIRB1_HUMAN</t>
  </si>
  <si>
    <t>Leukocyte immunoglobulin-like receptor subfamily B member 1</t>
  </si>
  <si>
    <t>LILRB1</t>
  </si>
  <si>
    <t>SP:1-23;NC:24-458;TM:459-483;CY:484-650</t>
  </si>
  <si>
    <t>ENSG00000104972;ENSG00000277807;ENSG00000274669</t>
  </si>
  <si>
    <t>ENSP00000409968;ENSP00000481700;ENSP00000480365</t>
  </si>
  <si>
    <t>CD85j</t>
  </si>
  <si>
    <t>281;302;341</t>
  </si>
  <si>
    <t>281;341</t>
  </si>
  <si>
    <t>372;423;427;428;430;431;434;435;436;437;513;576;579;627;632;637</t>
  </si>
  <si>
    <t>DFLQLAGAQPQAGLSQAN[115]FTLGPVSR</t>
  </si>
  <si>
    <t>Q8NHL6</t>
  </si>
  <si>
    <t>3D-structure;Adaptive immunity;Alternative splicing;Complete proteome;Disulfide bond;Glycoprotein;Immunity;Immunoglobulin domain;Membrane;Phosphoprotein;Polymorphism;Receptor;Reference proteome;Repeat;Secreted;Signal;Transmembrane;Transmembrane helix</t>
  </si>
  <si>
    <t>UniRef100_Q8NHL6;UniRef90_Q8NHL6;UniRef50_Q8NHL6</t>
  </si>
  <si>
    <t>MFSD8_HUMAN</t>
  </si>
  <si>
    <t>Major facilitator superfamily domain-containing protein 8</t>
  </si>
  <si>
    <t>MFSD8</t>
  </si>
  <si>
    <t>CY:1-40;TM:41-63;NC:64-74;TM:75-96;CY:97-106;TM:107-126;NC:127-132;TM:133-153;CY:154-172;TM:173-194;NC:195-213;TM:214-232;CY:233-266;TM:267-286;NC:287-305;TM:306-327;CY:328-338;TM:339-358;NC:359-412;TM:413-433;CY:434-451;TM:452-472;NC:473-482;TM:483-503;CY:504-518</t>
  </si>
  <si>
    <t>ENSG00000164073</t>
  </si>
  <si>
    <t>ENSP00000296468</t>
  </si>
  <si>
    <t>6;171;371;376</t>
  </si>
  <si>
    <t>IQWEDLHNN[115]SIPN[115]TT;IQWEDLHN[115]NSIPN[115]TT</t>
  </si>
  <si>
    <t>371;376</t>
  </si>
  <si>
    <t>Q8NHS3</t>
  </si>
  <si>
    <t>Alternative splicing;Complete proteome;Disease mutation;Glycoprotein;Lysosome;Membrane;Neurodegeneration;Neuronal ceroid lipofuscinosis;Polymorphism;Reference proteome;Transmembrane;Transmembrane helix;Transport</t>
  </si>
  <si>
    <t>UniRef100_Q8NHS3;UniRef90_Q8NHS3;UniRef50_Q8NHS3</t>
  </si>
  <si>
    <t>Cytoskeleton;Cytosol;Endoplasmic Reticulum;Endosome;Extracellular space;Golgi apparatus;Mitochondrion;Peroxisome;Plasma membrane</t>
  </si>
  <si>
    <t>CP052_HUMAN</t>
  </si>
  <si>
    <t>Uncharacterized protein C16orf52</t>
  </si>
  <si>
    <t>C16orf52</t>
  </si>
  <si>
    <t>SP:1-19;NC:20-67;TM:68-89;CY:90-100;TM:101-123;NC:124-142;TM:143-164;CY:165-167</t>
  </si>
  <si>
    <t>ENSG00000185716</t>
  </si>
  <si>
    <t>ENSP00000454926</t>
  </si>
  <si>
    <t>Alternative splicing;Complete proteome;Reference proteome</t>
  </si>
  <si>
    <t>UniRef100_Q8NHV5;UniRef90_Q8NHV5;UniRef50_Q8NHV5</t>
  </si>
  <si>
    <t>102725138;730094</t>
  </si>
  <si>
    <t>IL31R_HUMAN</t>
  </si>
  <si>
    <t>Interleukin-31 receptor subunit alpha</t>
  </si>
  <si>
    <t>IL31RA</t>
  </si>
  <si>
    <t>SP:1-19;NC:20-519;TM:520-542;CY:543-732</t>
  </si>
  <si>
    <t>ENSG00000164509</t>
  </si>
  <si>
    <t>ENSP00000479432</t>
  </si>
  <si>
    <t>27;37;67;71;93;166;183;187;277;283;380;395;455;473;504</t>
  </si>
  <si>
    <t>641;660;673;693</t>
  </si>
  <si>
    <t>5;211</t>
  </si>
  <si>
    <t>Alternative splicing;Amyloidosis;Cell membrane;Complete proteome;Direct protein sequencing;Disease mutation;Glycoprotein;Immunity;Membrane;Polymorphism;Receptor;Reference proteome;Repeat;Signal;Transmembrane;Transmembrane helix</t>
  </si>
  <si>
    <t>UniRef100_Q8NI17;UniRef90_Q8NI17;UniRef50_Q8NI17</t>
  </si>
  <si>
    <t>LPD6B_HUMAN</t>
  </si>
  <si>
    <t>Ly6/PLAUR domain-containing protein 6B</t>
  </si>
  <si>
    <t>LYPD6B</t>
  </si>
  <si>
    <t>SP:1-39;NC:40-183</t>
  </si>
  <si>
    <t>ENSG00000150556</t>
  </si>
  <si>
    <t>ENSP00000386650;ENSP00000386479</t>
  </si>
  <si>
    <t>UniRef100_Q8NI32;UniRef90_Q8NI32;UniRef50_Q8NI32</t>
  </si>
  <si>
    <t>PCD19_HUMAN</t>
  </si>
  <si>
    <t>Protocadherin-19</t>
  </si>
  <si>
    <t>PCDH19</t>
  </si>
  <si>
    <t>SP:1-21;NC:22-677;TM:678-701;CY:702-1148</t>
  </si>
  <si>
    <t>ENSG00000165194</t>
  </si>
  <si>
    <t>ENSP00000362125</t>
  </si>
  <si>
    <t>261;420;465;485;546;570;676;714;842;875;936</t>
  </si>
  <si>
    <t>DGGLPSLQSN[115]ATVR</t>
  </si>
  <si>
    <t>Q8TAB3</t>
  </si>
  <si>
    <t>Alternative splicing;Calcium;Cell adhesion;Cell membrane;Complete proteome;Disease mutation;Epilepsy;Glycoprotein;Membrane;Mental retardation;Polymorphism;Reference proteome;Repeat;Signal;Transmembrane;Transmembrane helix</t>
  </si>
  <si>
    <t>UniRef100_Q8TAB3;UniRef90_Q8TAB3;UniRef50_Q8TAB3</t>
  </si>
  <si>
    <t>TMHS_HUMAN</t>
  </si>
  <si>
    <t>Tetraspan membrane protein of hair cell stereocilia</t>
  </si>
  <si>
    <t>LHFPL5</t>
  </si>
  <si>
    <t>CY:1-25;TM:26-49;NC:50-96;TM:97-120;CY:121-128;TM:129-149;NC:150-176;TM:177-199;CY:200-219</t>
  </si>
  <si>
    <t>ENSG00000197753</t>
  </si>
  <si>
    <t>ENSP00000353346</t>
  </si>
  <si>
    <t>Cell membrane;Complete proteome;Deafness;Disease mutation;Ion transport;Membrane;Non-syndromic deafness;Reference proteome;Transmembrane;Transmembrane helix;Transport</t>
  </si>
  <si>
    <t>UniRef100_Q8TAF8;UniRef90_Q4KL25;UniRef50_Q4KL25</t>
  </si>
  <si>
    <t>TIP_HUMAN</t>
  </si>
  <si>
    <t>T-cell immunomodulatory protein</t>
  </si>
  <si>
    <t>ITFG1</t>
  </si>
  <si>
    <t>SP:1-33;NC:34-565;TM:566-590;CY:591-612</t>
  </si>
  <si>
    <t>ENSG00000129636</t>
  </si>
  <si>
    <t>ENSP00000319918</t>
  </si>
  <si>
    <t>36;95;139;146;151;176;188;226;243;353;371;482</t>
  </si>
  <si>
    <t>LLENVPCNN[115]ASCEEAR</t>
  </si>
  <si>
    <t>Q8TB96</t>
  </si>
  <si>
    <t>Complete proteome;Glycoprotein;Membrane;Reference proteome;Secreted;Signal;Transmembrane;Transmembrane helix</t>
  </si>
  <si>
    <t>UniRef100_Q8TB96;UniRef90_Q8TB96;UniRef50_Q8TB96</t>
  </si>
  <si>
    <t>S7A14_HUMAN</t>
  </si>
  <si>
    <t>Probable cationic amino acid transporter</t>
  </si>
  <si>
    <t>SLC7A14</t>
  </si>
  <si>
    <t>CY:1-55;TM:56-76;NC:77-85;TM:86-108;CY:109-119;TM:120-140;NC:141-189;TM:190-207;CY:208-218;TM:219-238;NC:239-252;TM:253-273;CY:274-285;TM:286-312;NC:313-329;TM:330-351;CY:352-359;TM:360-378;NC:379-383;TM:384-404;CY:405-412;TM:413-432;NC:433-561;TM:562-585;CY:586-594;TM:595-615;NC:616-626;TM:627-648;CY:649-654;TM:655-675;NC:676-771</t>
  </si>
  <si>
    <t>ENSG00000013293</t>
  </si>
  <si>
    <t>ENSP00000231706</t>
  </si>
  <si>
    <t>163;282;676</t>
  </si>
  <si>
    <t>Lysosome membrane (Multi- pass membrane protein)</t>
  </si>
  <si>
    <t>Amino-acid transport;Complete proteome;Glycoprotein;Lysosome;Membrane;Polymorphism;Reference proteome;Retinitis pigmentosa;Transmembrane;Transmembrane helix;Transport</t>
  </si>
  <si>
    <t>UniRef100_Q8TBB6;UniRef90_Q8TBB6;UniRef50_Q8TBB6</t>
  </si>
  <si>
    <t>FNDC9_HUMAN</t>
  </si>
  <si>
    <t>Fibronectin type III domain-containing protein 9</t>
  </si>
  <si>
    <t>FNDC9</t>
  </si>
  <si>
    <t>NC:1-111;TM:112-138;CY:139-224</t>
  </si>
  <si>
    <t>ENSG00000172568</t>
  </si>
  <si>
    <t>ENSP00000310594</t>
  </si>
  <si>
    <t>UniRef100_Q8TBE3;UniRef90_Q8TBE3;UniRef50_Q8TBE3</t>
  </si>
  <si>
    <t>SYNPR_HUMAN</t>
  </si>
  <si>
    <t>Synaptoporin</t>
  </si>
  <si>
    <t>SYNPR</t>
  </si>
  <si>
    <t>CY:1-4;TM:5-25;NC:26-80;TM:81-103;CY:104-114;TM:115-135;NC:136-178;TM:179-198;CY:199-265</t>
  </si>
  <si>
    <t>ENSG00000163630</t>
  </si>
  <si>
    <t>ENSP00000295894</t>
  </si>
  <si>
    <t>33;38;177</t>
  </si>
  <si>
    <t>Alternative splicing;Cell junction;Complete proteome;Cytoplasmic vesicle;Glycoprotein;Membrane;Reference proteome;Repeat;Synapse;Synaptosome;Transmembrane;Transmembrane helix</t>
  </si>
  <si>
    <t>UniRef100_Q8TBG9;UniRef90_P22831;UniRef50_P22831</t>
  </si>
  <si>
    <t>LPPR1_HUMAN</t>
  </si>
  <si>
    <t>Lipid phosphate phosphatase-related protein type 1</t>
  </si>
  <si>
    <t>LPPR1</t>
  </si>
  <si>
    <t>CY:1-11;TM:12-35;NC:36-67;TM:68-94;CY:95-126;TM:127-147;NC:148-200;TM:201-219;CY:220-225;TM:226-245;NC:246-256;TM:257-279;CY:280-325</t>
  </si>
  <si>
    <t>5;163;316</t>
  </si>
  <si>
    <t>Complete proteome;Glycoprotein;Membrane;Phosphoprotein;Reference proteome;Transmembrane;Transmembrane helix</t>
  </si>
  <si>
    <t>UniRef100_Q8TBJ4;UniRef90_Q8TBJ4;UniRef50_Q8BFZ2</t>
  </si>
  <si>
    <t>F174A_HUMAN</t>
  </si>
  <si>
    <t>Membrane protein FAM174A</t>
  </si>
  <si>
    <t>FAM174A</t>
  </si>
  <si>
    <t>SP:1-31;NC:32-123;TM:124-144;CY:145-190</t>
  </si>
  <si>
    <t>ENSG00000174132</t>
  </si>
  <si>
    <t>ENSP00000307954</t>
  </si>
  <si>
    <t>GSEGGN[115]GSNPVAGLETDDHGGK</t>
  </si>
  <si>
    <t>Q8TBP5</t>
  </si>
  <si>
    <t>UniRef100_Q8TBP5;UniRef90_Q8TBP5;UniRef50_Q8TBP5</t>
  </si>
  <si>
    <t>ADA32_HUMAN</t>
  </si>
  <si>
    <t>Disintegrin and metalloproteinase domain-containing protein 32</t>
  </si>
  <si>
    <t>ADAM32</t>
  </si>
  <si>
    <t>SP:1-19;NC:20-682;TM:683-703;CY:704-787</t>
  </si>
  <si>
    <t>ENSG00000197140;ENSG00000275594</t>
  </si>
  <si>
    <t>ENSP00000369238;ENSP00000484817</t>
  </si>
  <si>
    <t>39;125;465;598</t>
  </si>
  <si>
    <t>Complete proteome;Direct protein sequencing;Disulfide bond;EGF-like domain;Glycoprotein;Membrane;Phosphoprotein;Polymorphism;Reference proteome;Signal;Transmembrane;Transmembrane helix</t>
  </si>
  <si>
    <t>UniRef100_Q8TC27;UniRef90_Q8TC27;UniRef50_Q8TC27</t>
  </si>
  <si>
    <t>O51E1_HUMAN</t>
  </si>
  <si>
    <t>Olfactory receptor 51E1</t>
  </si>
  <si>
    <t>OR51E1</t>
  </si>
  <si>
    <t>NC:1-26;TM:27-50;CY:51-61;TM:62-80;NC:81-99;TM:100-122;CY:123-142;TM:143-165;NC:166-197;TM:198-223;CY:224-235;TM:236-260;NC:261-274;TM:275-295;CY:296-317</t>
  </si>
  <si>
    <t>ENSG00000180785</t>
  </si>
  <si>
    <t>ENSP00000380155</t>
  </si>
  <si>
    <t>7;44;90</t>
  </si>
  <si>
    <t>UniRef100_Q8TCB6;UniRef90_Q8TCB6;UniRef50_Q8TCB6</t>
  </si>
  <si>
    <t>S22A8_HUMAN</t>
  </si>
  <si>
    <t>Solute carrier family 22 member 8</t>
  </si>
  <si>
    <t>SLC22A8</t>
  </si>
  <si>
    <t>CY:1-11;TM:12-31;NC:32-123;TM:124-143;CY:144-151;TM:152-172;NC:173-177;TM:178-200;CY:201-210;TM:211-231;NC:232-236;TM:237-256;CY:257-325;TM:326-344;NC:345-355;TM:356-380;CY:381-386;TM:387-406;NC:407-412;TM:413-432;CY:433-471;TM:472-492;NC:493-542</t>
  </si>
  <si>
    <t>ENSG00000149452</t>
  </si>
  <si>
    <t>ENSP00000337335;ENSP00000398548</t>
  </si>
  <si>
    <t>54;81;86;102;509</t>
  </si>
  <si>
    <t>Alternative splicing;Cell membrane;Complete proteome;Detoxification;Glycoprotein;Ion transport;Membrane;Polymorphism;Reference proteome;Transmembrane;Transmembrane helix;Transport</t>
  </si>
  <si>
    <t>UniRef100_Q8TCC7;UniRef90_Q8TCC7;UniRef50_Q8TCC7</t>
  </si>
  <si>
    <t>STT3B_HUMAN</t>
  </si>
  <si>
    <t>Dolichyl-diphosphooligosaccharide--protein glycosyltransferase subunit STT3B</t>
  </si>
  <si>
    <t>STT3B</t>
  </si>
  <si>
    <t>CY:1-69;TM:70-90;NC:91-165;TM:166-188;CY:189-219;TM:220-238;NC:239-259;TM:260-283;CY:284-289;TM:290-310;NC:311-321;TM:322-340;CY:341-351;TM:352-373;NC:374-410;TM:411-433;CY:434-439;TM:440-458;NC:459-463;TM:464-483;CY:484-537;TM:538-559;NC:560-826</t>
  </si>
  <si>
    <t>ENSG00000163527</t>
  </si>
  <si>
    <t>ENSP00000295770</t>
  </si>
  <si>
    <t>16;161;616;623;627;641</t>
  </si>
  <si>
    <t>VMSWWDYGYQIAGMAN[115]R;TTLVDNNTWN[115]NSH;TTLVDNNTWN[115]NSHIAL;TTLVDNNTWN[115]NSHIALVGK;TTLVDNNTWN[115]N[115]SHIALVGK;TTLVDNN[115]TWN[115]NSHIALVGK;TTLVDN[115]NTWNN[115]SHIALVGK;TTLVDN[115]NTWN[115]NSH;TTLVDN[115]NTWN[115]NSHIAL;TTLVDN[115]NTWN[115]NSHIALVG;TTLVDN[115]NTWN[115]NSHIALVGK;VDNNTWN[115]NSHIALVGK;VDN[115]NTWN[115]NSHIALVGK;DNNTWN[115]NSHIALVGK;DN[115]NTWN[115]NSHIALVGK;AMSSN[115]ETAAYK;MSSN[115]ETAAYK</t>
  </si>
  <si>
    <t>616;623;627;641</t>
  </si>
  <si>
    <t>Q8TCJ2</t>
  </si>
  <si>
    <t>Acetylation;Complete proteome;Congenital disorder of glycosylation;Endoplasmic reticulum;Glycoprotein;Glycosyltransferase;Membrane;Phosphoprotein;Reference proteome;Transferase;Transmembrane;Transmembrane helix</t>
  </si>
  <si>
    <t>UniRef100_Q8TCJ2;UniRef90_Q8TCJ2;UniRef50_Q8TCJ2</t>
  </si>
  <si>
    <t>SPP2B_HUMAN</t>
  </si>
  <si>
    <t>Signal peptide peptidase-like 2B</t>
  </si>
  <si>
    <t>SPPL2B</t>
  </si>
  <si>
    <t>SP:1-25;NC:26-172;TM:173-194;CY:195-221;TM:222-243;NC:244-248;TM:249-271;CY:272-295;TM:296-314;NC:315-319;TM:320-337;CY:338-348;TM:349-369;NC:370-413;TM:414-432;CY:433-443;TM:444-467;NC:468-472;TM:473-491;CY:492-592</t>
  </si>
  <si>
    <t>ENSG00000005206</t>
  </si>
  <si>
    <t>ENSP00000478298</t>
  </si>
  <si>
    <t>69;97;129;283;403</t>
  </si>
  <si>
    <t>GN[115]CTFYEK;LVPPGGN[115]KTQYDEIGIPVALLSYK</t>
  </si>
  <si>
    <t>97;129</t>
  </si>
  <si>
    <t>Q8TCT7</t>
  </si>
  <si>
    <t>Golgi apparatus membrane (Multi- pass membrane protein)</t>
  </si>
  <si>
    <t>Alternative splicing;Complete proteome;Glycoprotein;Golgi apparatus;Hydrolase;Membrane;Polymorphism;Protease;Reference proteome;Signal;Transmembrane;Transmembrane helix</t>
  </si>
  <si>
    <t>UniRef100_Q8TCT7;UniRef90_Q8TCT7;UniRef50_Q8TCT7</t>
  </si>
  <si>
    <t>SPP2A_HUMAN</t>
  </si>
  <si>
    <t>Signal peptide peptidase-like 2A</t>
  </si>
  <si>
    <t>SPPL2A</t>
  </si>
  <si>
    <t>SP:1-25;NC:26-169;TM:170-191;CY:192-214;TM:215-240;NC:241-245;TM:246-268;CY:269-288;TM:289-306;NC:307-311;TM:312-329;CY:330-340;TM:341-361;NC:362-394;TM:395-422;CY:423-433;TM:434-458;NC:459-463;TM:464-481;CY:482-520</t>
  </si>
  <si>
    <t>ENSG00000138600</t>
  </si>
  <si>
    <t>ENSP00000261854</t>
  </si>
  <si>
    <t>35;58;66;74;116;126;149;155</t>
  </si>
  <si>
    <t>DMN[115]QTLGDNITVK;DMN[115]QTLGDN[115]ITVK</t>
  </si>
  <si>
    <t>149;155</t>
  </si>
  <si>
    <t>Q8TCT8</t>
  </si>
  <si>
    <t>Cell membrane;Late endosome membrane (Multi- pass membrane protein);Lysosome membrane (Multi-pass membrane protein)</t>
  </si>
  <si>
    <t>Cell membrane;Complete proteome;Endosome;Glycoprotein;Hydrolase;Lysosome;Membrane;Polymorphism;Protease;Reference proteome;Signal;Transmembrane;Transmembrane helix</t>
  </si>
  <si>
    <t>UniRef100_Q8TCT8;UniRef90_Q8TCT8;UniRef50_Q8TCT8</t>
  </si>
  <si>
    <t>Endoplasmic Reticulum;Endosome;Golgi apparatus;Lysosome;Plasma membrane</t>
  </si>
  <si>
    <t>HM13_HUMAN</t>
  </si>
  <si>
    <t>Minor histocompatibility antigen H13</t>
  </si>
  <si>
    <t>HM13</t>
  </si>
  <si>
    <t>NC:1-32;TM:33-55;CY:56-74;TM:75-95;NC:96-101;TM:102-122;CY:123-159;TM:160-178;NC:179-183;TM:184-202;CY:203-208;TM:209-232;NC:233-257;TM:258-277;CY:278-288;TM:289-312;NC:313-317;TM:318-336;CY:337-377</t>
  </si>
  <si>
    <t>ENSG00000101294</t>
  </si>
  <si>
    <t>ENSP00000343032;ENSP00000479020</t>
  </si>
  <si>
    <t>10;20;62;204</t>
  </si>
  <si>
    <t>Endoplasmic reticulum membrane (Multi-pass membrane protein);Cell membrane (Multi-pass membrane protein)</t>
  </si>
  <si>
    <t>Alternative splicing;Cell membrane;Complete proteome;Direct protein sequencing;Endoplasmic reticulum;Glycoprotein;Hydrolase;Membrane;Polymorphism;Protease;Reference proteome;Transmembrane;Transmembrane helix</t>
  </si>
  <si>
    <t>UniRef100_Q8TCT9;UniRef90_Q8TCT9;UniRef50_Q8TCT9</t>
  </si>
  <si>
    <t>NMD3A_HUMAN</t>
  </si>
  <si>
    <t>Glutamate receptor ionotropic, NMDA 3A</t>
  </si>
  <si>
    <t>GRIN3A</t>
  </si>
  <si>
    <t>SP:1-26;NC:27-674;TM:675-695;CY:696-744;TM:745-768;NC:769-932;TM:933-956;CY:957-1115</t>
  </si>
  <si>
    <t>ENSG00000198785</t>
  </si>
  <si>
    <t>ENSP00000355155</t>
  </si>
  <si>
    <t>145;264;275;285;296;320;426;439;549;565;709;886;965;984;1015;1018;1069</t>
  </si>
  <si>
    <t>Calcium;Cell junction;Cell membrane;Coiled coil;Complete proteome;Glycoprotein;Ion channel;Ion transport;Ligand-gated ion channel;Magnesium;Membrane;Polymorphism;Postsynaptic cell membrane;Receptor;Reference proteome;Signal;Synapse;Transmembrane;Transmembrane helix;Transport</t>
  </si>
  <si>
    <t>UniRef100_Q8TCU5;UniRef90_Q9R1M7-2;UniRef50_Q9R1M7</t>
  </si>
  <si>
    <t>DB00193;DB00333;DB00392;DB00514;DB00721;DB00898;DB00915;DB00949;DB01043;DB01159;DB01161;DB01173;DB01221;DB06151;DB00659;DB00289;DB00312;DB00418;DB00996;DB01174;DB04896;DB06738</t>
  </si>
  <si>
    <t>ZPLD1_HUMAN</t>
  </si>
  <si>
    <t>Zona pellucida-like domain-containing protein 1</t>
  </si>
  <si>
    <t>ZPLD1</t>
  </si>
  <si>
    <t>SP:1-19;NC:20-369;TM:370-396;CY:397-415</t>
  </si>
  <si>
    <t>ENSG00000170044</t>
  </si>
  <si>
    <t>ENSP00000418253;ENSP00000420265</t>
  </si>
  <si>
    <t>85;97;121;129;164;181;194;353</t>
  </si>
  <si>
    <t>UniRef100_Q8TCW7;UniRef90_Q8TCW7;UniRef50_Q8TCW7</t>
  </si>
  <si>
    <t>PKR1_HUMAN</t>
  </si>
  <si>
    <t>Prokineticin receptor 1</t>
  </si>
  <si>
    <t>PROKR1</t>
  </si>
  <si>
    <t>NC:1-62;TM:63-88;CY:89-99;TM:100-120;NC:121-145;TM:146-166;CY:167-178;TM:179-200;NC:201-231;TM:232-253;CY:254-282;TM:283-303;NC:304-322;TM:323-345;CY:346-393</t>
  </si>
  <si>
    <t>ENSG00000169618</t>
  </si>
  <si>
    <t>ENSP00000303775</t>
  </si>
  <si>
    <t>11;14;36;95;347</t>
  </si>
  <si>
    <t>UniRef100_Q8TCW9;UniRef90_Q8TCW9;UniRef50_Q8NFJ6</t>
  </si>
  <si>
    <t>N2DL4_HUMAN</t>
  </si>
  <si>
    <t>NKG2D ligand 4</t>
  </si>
  <si>
    <t>RAET1E</t>
  </si>
  <si>
    <t>SP:1-32;NC:33-226;TM:227-248;CY:249-263</t>
  </si>
  <si>
    <t>ENSG00000164520</t>
  </si>
  <si>
    <t>ENSP00000349709</t>
  </si>
  <si>
    <t>36;154;212</t>
  </si>
  <si>
    <t>Alternative splicing;Complete proteome;Disulfide bond;Glycoprotein;Membrane;Polymorphism;Reference proteome;Secreted;Signal;Transmembrane;Transmembrane helix</t>
  </si>
  <si>
    <t>UniRef100_Q8TD07;UniRef90_Q8TD07;UniRef50_Q8TD07</t>
  </si>
  <si>
    <t>GTR12_HUMAN</t>
  </si>
  <si>
    <t>Solute carrier family 2, facilitated glucose transporter member 12</t>
  </si>
  <si>
    <t>SLC2A12</t>
  </si>
  <si>
    <t>CY:1-39;TM:40-63;NC:64-80;TM:81-101;CY:102-109;TM:110-132;NC:133-137;TM:138-156;CY:157-167;TM:168-190;NC:191-195;TM:196-217;CY:218-278;TM:279-301;NC:302-315;TM:316-338;CY:339-344;TM:345-365;NC:366-462;TM:463-487;CY:488-498;TM:499-521;NC:522-526;TM:527-549;CY:550-617</t>
  </si>
  <si>
    <t>ENSG00000146411</t>
  </si>
  <si>
    <t>ENSP00000275230</t>
  </si>
  <si>
    <t>371;383;396;401</t>
  </si>
  <si>
    <t>Cytoplasm, perinuclear region;Endomembrane system (Multi- pass membrane protein)</t>
  </si>
  <si>
    <t>Complete proteome;Cytoplasm;Glycoprotein;Membrane;Reference proteome;Sugar transport;Transmembrane;Transmembrane helix;Transport</t>
  </si>
  <si>
    <t>UniRef100_Q8TD20;UniRef90_Q8TD20;UniRef50_Q8TD20</t>
  </si>
  <si>
    <t>MO2R1_HUMAN</t>
  </si>
  <si>
    <t>Cell surface glycoprotein CD200 receptor 1</t>
  </si>
  <si>
    <t>CD200R1</t>
  </si>
  <si>
    <t>SP:1-28;NC:29-243;TM:244-264;CY:265-325</t>
  </si>
  <si>
    <t>ENSG00000163606</t>
  </si>
  <si>
    <t>ENSP00000311035;ENSP00000405733;ENSP00000418928;ENSP00000418801</t>
  </si>
  <si>
    <t>37;46;93;99;162;195;210;224;275</t>
  </si>
  <si>
    <t>QITQN[115]YSK;VLAEVN[115]TSWPVK;KETN[115]ETKETN[115]CTDER;ETN[115]ETKETN[115]CTDER</t>
  </si>
  <si>
    <t>37;46;93;99</t>
  </si>
  <si>
    <t>Q8TD46</t>
  </si>
  <si>
    <t>Alternative splicing;Cell membrane;Complete proteome;Direct protein sequencing;Disulfide bond;Glycoprotein;Host-virus interaction;Membrane;Polymorphism;Receptor;Reference proteome;Secreted;Signal;Transmembrane;Transmembrane helix</t>
  </si>
  <si>
    <t>UniRef100_Q8TD46;UniRef90_Q8TD46;UniRef50_Q8TD46</t>
  </si>
  <si>
    <t>DSCL1_HUMAN</t>
  </si>
  <si>
    <t>Down syndrome cell adhesion molecule-like protein 1</t>
  </si>
  <si>
    <t>DSCAML1</t>
  </si>
  <si>
    <t>SP:1-18;NC:19-1591;TM:1592-1612;CY:1613-2053</t>
  </si>
  <si>
    <t>ENSG00000177103</t>
  </si>
  <si>
    <t>ENSP00000315465</t>
  </si>
  <si>
    <t>29;79;368;471;513;556;666;710;749;796;809;926;939;1082;1144;1162;1275;1345;1492;1531;1561;1639;1894</t>
  </si>
  <si>
    <t>3D-structure;Alternative splicing;Cell adhesion;Cell membrane;Complete proteome;Disulfide bond;Glycoprotein;Immunoglobulin domain;Membrane;Neurogenesis;Polymorphism;Reference proteome;Repeat;Signal;Transmembrane;Transmembrane helix</t>
  </si>
  <si>
    <t>UniRef100_Q8TD84;UniRef90_Q8TD84;UniRef50_Q9ERC8</t>
  </si>
  <si>
    <t>GTR14_HUMAN</t>
  </si>
  <si>
    <t>Solute carrier family 2, facilitated glucose transporter member 14</t>
  </si>
  <si>
    <t>SLC2A14</t>
  </si>
  <si>
    <t>CY:1-27;TM:28-49;NC:50-85;TM:86-109;CY:110-118;TM:119-139;NC:140-144;TM:145-166;CY:167-177;TM:178-201;NC:202-207;TM:208-229;CY:230-293;TM:294-316;NC:317-327;TM:328-350;CY:351-357;TM:358-379;NC:380-390;TM:391-413;CY:414-423;TM:424-444;NC:445-449;TM:450-472;CY:473-520</t>
  </si>
  <si>
    <t>ENSG00000173262</t>
  </si>
  <si>
    <t>ENSP00000379834;ENSP00000440480;ENSP00000482927</t>
  </si>
  <si>
    <t>67;245;433</t>
  </si>
  <si>
    <t>Alternative splicing;Complete proteome;Developmental protein;Differentiation;Glycoprotein;Membrane;Polymorphism;Reference proteome;Spermatogenesis;Sugar transport;Transmembrane;Transmembrane helix;Transport</t>
  </si>
  <si>
    <t>UniRef100_Q8TDB8;UniRef90_P11169;UniRef50_P14672</t>
  </si>
  <si>
    <t>NETO1_HUMAN</t>
  </si>
  <si>
    <t>Neuropilin and tolloid-like protein 1</t>
  </si>
  <si>
    <t>NETO1</t>
  </si>
  <si>
    <t>SP:1-22;NC:23-343;TM:344-365;CY:366-533</t>
  </si>
  <si>
    <t>ENSG00000166342</t>
  </si>
  <si>
    <t>ENSP00000381024</t>
  </si>
  <si>
    <t>153;306;340;446;529</t>
  </si>
  <si>
    <t>44;94;134;204;270;321</t>
  </si>
  <si>
    <t>Secreted;Cell junction, synapse, postsynaptic cell membrane, postsynaptic density;Cell membrane (Single-pass type I membrane protein);Cell membrane (Single-pass type I membrane protein)</t>
  </si>
  <si>
    <t>Alternative splicing;Cell junction;Cell membrane;Complete proteome;Disulfide bond;Glycoprotein;Membrane;Phosphoprotein;Polymorphism;Postsynaptic cell membrane;Receptor;Reference proteome;Repeat;Secreted;Signal;Synapse;Transmembrane;Transmembrane helix</t>
  </si>
  <si>
    <t>UniRef100_Q8TDF5;UniRef90_Q8R4I7;UniRef50_Q8R4I7</t>
  </si>
  <si>
    <t>SACA4_HUMAN</t>
  </si>
  <si>
    <t>Sperm acrosome membrane-associated protein 4</t>
  </si>
  <si>
    <t>SPACA4</t>
  </si>
  <si>
    <t>SP:1-19;NC:20-124</t>
  </si>
  <si>
    <t>ENSG00000177202</t>
  </si>
  <si>
    <t>ENSP00000312774</t>
  </si>
  <si>
    <t>Cell membrane (Lipid-anchor, GPI-anchor);Cytoplasmic vesicle, secretory vesicle, acrosome</t>
  </si>
  <si>
    <t>Cell adhesion;Cell membrane;Complete proteome;Cytoplasmic vesicle;Direct protein sequencing;Disulfide bond;Glycoprotein;GPI-anchor;Lipoprotein;Membrane;Reference proteome;Signal</t>
  </si>
  <si>
    <t>UniRef100_Q8TDM5;UniRef90_Q8TDM5;UniRef50_Q8TDM5</t>
  </si>
  <si>
    <t>KCNG4_HUMAN</t>
  </si>
  <si>
    <t>Potassium voltage-gated channel subfamily G member 4</t>
  </si>
  <si>
    <t>KCNG4</t>
  </si>
  <si>
    <t>CY:1-221;TM:222-242;NC:243-258;TM:259-279;CY:280-289;TM:290-310;NC:311-334;TM:335-355;CY:356-370;TM:371-391;NC:392-405;IM:406-426;NC:427-433;TM:434-454;CY:455-519</t>
  </si>
  <si>
    <t>ENSG00000168418</t>
  </si>
  <si>
    <t>ENSP00000312129</t>
  </si>
  <si>
    <t>Alternative splicing;Cell membrane;Complete proteome;Ion channel;Ion transport;Membrane;Polymorphism;Potassium;Potassium channel;Potassium transport;Reference proteome;Transmembrane;Transmembrane helix;Transport;Voltage-gated channel</t>
  </si>
  <si>
    <t>UniRef100_Q8TDN1;UniRef90_Q8TDN1;UniRef50_Q9UJ96</t>
  </si>
  <si>
    <t>KCNV2_HUMAN</t>
  </si>
  <si>
    <t>Potassium voltage-gated channel subfamily V member 2</t>
  </si>
  <si>
    <t>KCNV2</t>
  </si>
  <si>
    <t>CY:1-155;TM:156-176;NC:177-261;TM:262-282;CY:283-336;TM:337-357;NC:358-374;TM:375-395;CY:396-410;TM:411-431;NC:432-444;IM:445-465;NC:466-471;TM:472-492;CY:493-545</t>
  </si>
  <si>
    <t>ENSG00000168263</t>
  </si>
  <si>
    <t>ENSP00000371514</t>
  </si>
  <si>
    <t>17;440</t>
  </si>
  <si>
    <t>Cell membrane;Complete proteome;Cone-rod dystrophy;Disease mutation;Glycoprotein;Ion channel;Ion transport;Membrane;Polymorphism;Potassium;Potassium channel;Potassium transport;Reference proteome;Transmembrane;Transmembrane helix;Transport;Voltage-gated channel</t>
  </si>
  <si>
    <t>UniRef100_Q8TDN2;UniRef90_Q8TDN2;UniRef50_Q8TDN2</t>
  </si>
  <si>
    <t>HAVR2_HUMAN</t>
  </si>
  <si>
    <t>Hepatitis A virus cellular receptor 2</t>
  </si>
  <si>
    <t>HAVCR2</t>
  </si>
  <si>
    <t>SP:1-21;NC:22-200;TM:201-224;CY:225-301</t>
  </si>
  <si>
    <t>ENSG00000135077</t>
  </si>
  <si>
    <t>ENSP00000312002</t>
  </si>
  <si>
    <t>99;172;236</t>
  </si>
  <si>
    <t>3D-structure;Alternative splicing;Complete proteome;Disulfide bond;Glycoprotein;Immunoglobulin domain;Membrane;Polymorphism;Reference proteome;Signal;Transmembrane;Transmembrane helix</t>
  </si>
  <si>
    <t>UniRef100_Q8TDQ0;UniRef90_Q8TDQ0;UniRef50_Q8TDQ0</t>
  </si>
  <si>
    <t>CLM1_HUMAN</t>
  </si>
  <si>
    <t>CMRF35-like molecule 1</t>
  </si>
  <si>
    <t>CD300LF</t>
  </si>
  <si>
    <t>SP:1-17;NC:18-156;TM:157-178;CY:179-290</t>
  </si>
  <si>
    <t>ENSG00000186074</t>
  </si>
  <si>
    <t>ENSP00000327075</t>
  </si>
  <si>
    <t>CD300f</t>
  </si>
  <si>
    <t>3D-structure;Alternative splicing;Cell membrane;Complete proteome;Direct protein sequencing;Disulfide bond;Glycoprotein;Immunity;Immunoglobulin domain;Membrane;Phosphoprotein;Polymorphism;Receptor;Reference proteome;Signal;Transmembrane;Transmembrane helix</t>
  </si>
  <si>
    <t>UniRef100_Q8TDQ1;UniRef90_Q8TDQ1;UniRef50_Q8TDQ1</t>
  </si>
  <si>
    <t>HCAR2_HUMAN</t>
  </si>
  <si>
    <t>Hydroxycarboxylic acid receptor 2</t>
  </si>
  <si>
    <t>HCAR2</t>
  </si>
  <si>
    <t>NC:1-32;TM:33-53;CY:54-63;TM:64-84;NC:85-103;TM:104-123;CY:124-143;TM:144-163;NC:164-191;TM:192-213;CY:214-229;TM:230-254;NC:255-273;TM:274-296;CY:297-363</t>
  </si>
  <si>
    <t>ENSG00000182782</t>
  </si>
  <si>
    <t>ENSP00000375066</t>
  </si>
  <si>
    <t>141;324;336</t>
  </si>
  <si>
    <t>Apoptosis;Cell membrane;Complete proteome;Disulfide bond;G-protein coupled receptor;Membrane;Polymorphism;Receptor;Reference proteome;Transducer;Transmembrane;Transmembrane helix</t>
  </si>
  <si>
    <t>UniRef100_Q8TDS4;UniRef90_Q8TDS4;UniRef50_Q8TDS4</t>
  </si>
  <si>
    <t>OXER1_HUMAN</t>
  </si>
  <si>
    <t>Oxoeicosanoid receptor 1</t>
  </si>
  <si>
    <t>OXER1</t>
  </si>
  <si>
    <t>NC:1-93;TM:94-117;CY:118-128;TM:129-147;NC:148-167;TM:168-188;CY:189-208;TM:209-231;NC:232-254;TM:255-277;CY:278-295;TM:296-320;NC:321-336;TM:337-357;CY:358-423</t>
  </si>
  <si>
    <t>ENSG00000162881</t>
  </si>
  <si>
    <t>ENSP00000367930</t>
  </si>
  <si>
    <t>44;175</t>
  </si>
  <si>
    <t>UniRef100_Q8TDS5;UniRef90_Q8TDS5;UniRef50_Q8TDS5</t>
  </si>
  <si>
    <t>MRGRD_HUMAN</t>
  </si>
  <si>
    <t>Mas-related G-protein coupled receptor member D</t>
  </si>
  <si>
    <t>MRGPRD</t>
  </si>
  <si>
    <t>NC:1-28;TM:29-53;CY:54-60;TM:61-82;NC:83-106;TM:107-131;CY:132-140;TM:141-161;NC:162-180;TM:181-205;CY:206-216;TM:217-243;NC:244-262;TM:263-280;CY:281-321</t>
  </si>
  <si>
    <t>ENSG00000172938</t>
  </si>
  <si>
    <t>ENSP00000310631</t>
  </si>
  <si>
    <t>2;6;16;92</t>
  </si>
  <si>
    <t>UniRef100_Q8TDS7;UniRef90_Q8TDS7;UniRef50_Q8TDS7</t>
  </si>
  <si>
    <t>GP152_HUMAN</t>
  </si>
  <si>
    <t>Probable G-protein coupled receptor 152</t>
  </si>
  <si>
    <t>GPR152</t>
  </si>
  <si>
    <t>NC:1-33;TM:34-54;CY:55-65;TM:66-87;NC:88-105;TM:106-127;CY:128-146;TM:147-169;NC:170-195;TM:196-215;CY:216-257;TM:258-276;NC:277-282;TM:283-302;CY:303-470</t>
  </si>
  <si>
    <t>ENSG00000175514</t>
  </si>
  <si>
    <t>ENSP00000310255</t>
  </si>
  <si>
    <t>UniRef100_Q8TDT2;UniRef90_Q8TDT2;UniRef50_Q8TDT2</t>
  </si>
  <si>
    <t>GPBAR_HUMAN</t>
  </si>
  <si>
    <t>G-protein coupled bile acid receptor 1</t>
  </si>
  <si>
    <t>GPBAR1</t>
  </si>
  <si>
    <t>NC:1-19;TM:20-41;CY:42-51;TM:52-75;NC:76-80;TM:81-105;CY:106-125;TM:126-145;NC:146-165;TM:166-189;CY:190-228;TM:229-250;NC:251-261;TM:262-282;CY:283-330</t>
  </si>
  <si>
    <t>ENSG00000179921</t>
  </si>
  <si>
    <t>ENSP00000430698;ENSP00000430202;ENSP00000428824;ENSP00000430886</t>
  </si>
  <si>
    <t>4;76;93;154</t>
  </si>
  <si>
    <t>UniRef100_Q8TDU6;UniRef90_Q8TDU6;UniRef50_Q8TDU6</t>
  </si>
  <si>
    <t>RL3R2_HUMAN</t>
  </si>
  <si>
    <t>Relaxin-3 receptor 2</t>
  </si>
  <si>
    <t>RXFP4</t>
  </si>
  <si>
    <t>NC:1-40;TM:41-65;CY:66-78;TM:79-98;NC:99-117;TM:118-142;CY:143-153;TM:154-175;NC:176-208;TM:209-230;CY:231-249;TM:250-271;NC:272-285;TM:286-308;CY:309-374</t>
  </si>
  <si>
    <t>ENSG00000173080</t>
  </si>
  <si>
    <t>ENSP00000357301</t>
  </si>
  <si>
    <t>5;17;280</t>
  </si>
  <si>
    <t>UniRef100_Q8TDU9;UniRef90_Q8TDU9;UniRef50_Q8TDU9</t>
  </si>
  <si>
    <t>GP151_HUMAN</t>
  </si>
  <si>
    <t>Probable G-protein coupled receptor 151</t>
  </si>
  <si>
    <t>GPR151</t>
  </si>
  <si>
    <t>NC:1-37;TM:38-63;CY:64-74;TM:75-96;NC:97-115;TM:116-140;CY:141-151;TM:152-170;NC:171-204;TM:205-226;CY:227-247;TM:248-273;NC:274-285;TM:286-308;CY:309-419</t>
  </si>
  <si>
    <t>ENSG00000173250</t>
  </si>
  <si>
    <t>ENSP00000308733</t>
  </si>
  <si>
    <t>10;15;79;151</t>
  </si>
  <si>
    <t>UniRef100_Q8TDV0;UniRef90_Q8TDV0;UniRef50_Q8TDV0</t>
  </si>
  <si>
    <t>GP148_HUMAN</t>
  </si>
  <si>
    <t>Probable G-protein coupled receptor 148</t>
  </si>
  <si>
    <t>GPR148</t>
  </si>
  <si>
    <t>NC:1-48;TM:49-74;CY:75-85;TM:86-107;NC:108-126;TM:127-151;CY:152-163;TM:164-186;NC:187-214;TM:215-240;CY:241-260;TM:261-282;NC:283-299;TM:300-322;CY:323-347</t>
  </si>
  <si>
    <t>ENSG00000173302</t>
  </si>
  <si>
    <t>ENSP00000308908</t>
  </si>
  <si>
    <t>UniRef100_Q8TDV2;UniRef90_Q8TDV2;UniRef50_Q8TDV2</t>
  </si>
  <si>
    <t>GP119_HUMAN</t>
  </si>
  <si>
    <t>Glucose-dependent insulinotropic receptor</t>
  </si>
  <si>
    <t>GPR119</t>
  </si>
  <si>
    <t>NC:1-11;TM:12-33;CY:34-39;TM:40-62;NC:63-81;TM:82-100;CY:101-120;TM:121-143;NC:144-163;TM:164-186;CY:187-222;TM:223-247;NC:248-262;TM:263-282;CY:283-335</t>
  </si>
  <si>
    <t>ENSG00000147262</t>
  </si>
  <si>
    <t>ENSP00000276218</t>
  </si>
  <si>
    <t>Cell membrane;Complete proteome;G-protein coupled receptor;Lipid-binding;Membrane;Polymorphism;Receptor;Reference proteome;Transducer;Transmembrane;Transmembrane helix</t>
  </si>
  <si>
    <t>UniRef100_Q8TDV5;UniRef90_Q8TDV5;UniRef50_Q7TQP3</t>
  </si>
  <si>
    <t>FAT3_HUMAN</t>
  </si>
  <si>
    <t>Protocadherin Fat 3</t>
  </si>
  <si>
    <t>FAT3</t>
  </si>
  <si>
    <t>SP:1-32;NC:33-4154;TM:4155-4175;CY:4176-4589</t>
  </si>
  <si>
    <t>ENSG00000165323</t>
  </si>
  <si>
    <t>49;342;482;563;668;800;880;899;1007;1368;1430;1752;1945;1994;1997;2209;2293;2332;2468;3001;3202;3330;3450;3619;3655;3742;3927;4123;4183;4188;4202;4350;4501</t>
  </si>
  <si>
    <t>HESEVN[115]VTIR;ISENN[115]TN[115]ITK;EQQSSYN[115]ISVR</t>
  </si>
  <si>
    <t>563;1997;3202</t>
  </si>
  <si>
    <t>Q8TDW7</t>
  </si>
  <si>
    <t>Alternative splicing;Calcium;Cell adhesion;Complete proteome;Developmental protein;Disulfide bond;EGF-like domain;Glycoprotein;Membrane;Polymorphism;Reference proteome;Repeat;Signal;Transmembrane;Transmembrane helix</t>
  </si>
  <si>
    <t>UniRef100_Q8TDW7;UniRef90_Q8TDW7;UniRef50_Q14517</t>
  </si>
  <si>
    <t>PK1L1_HUMAN</t>
  </si>
  <si>
    <t>Polycystic kidney disease protein 1-like 1</t>
  </si>
  <si>
    <t>PKD1L1</t>
  </si>
  <si>
    <t>NC:1-1750;TM:1751-1769;CY:1770-1956;TM:1957-1977;NC:1978-1992;TM:1993-2014;CY:2015-2134;TM:2135-2157;NC:2158-2169;TM:2170-2195;CY:2196-2282;TM:2283-2304;NC:2305-2520;TM:2521-2540;CY:2541-2559;TM:2560-2582;NC:2583-2612;TM:2613-2630;CY:2631-2649;TM:2650-2668;NC:2669-2713;TM:2714-2736;CY:2737-2849</t>
  </si>
  <si>
    <t>ENSG00000158683</t>
  </si>
  <si>
    <t>ENSP00000289672</t>
  </si>
  <si>
    <t>8;295;338;376;447;482;514;605;657;751;875;926;937;1233;1301;1306;1572;1681;1716;2079;2426;2820</t>
  </si>
  <si>
    <t>Cell projection, cilium membrane (Multi-pass membrane protein)</t>
  </si>
  <si>
    <t>Alternative splicing;Calcium;Calcium channel;Calcium transport;Cell membrane;Cell projection;Cilium;Complete proteome;Glycoprotein;Ion channel;Ion transport;Membrane;Polymorphism;Reference proteome;Repeat;Transmembrane;Transmembrane helix;Transport</t>
  </si>
  <si>
    <t>UniRef100_Q8TDX9;UniRef90_Q8TDX9;UniRef50_Q8TDX9</t>
  </si>
  <si>
    <t>IGDC4_HUMAN</t>
  </si>
  <si>
    <t>Immunoglobulin superfamily DCC subclass member 4</t>
  </si>
  <si>
    <t>IGDCC4</t>
  </si>
  <si>
    <t>SP:1-24;NC:25-955;TM:956-978;CY:979-1250</t>
  </si>
  <si>
    <t>ENSG00000103742</t>
  </si>
  <si>
    <t>ENSP00000319623</t>
  </si>
  <si>
    <t>56;90;102;118;157;252;483;582;625;761;782;794;888</t>
  </si>
  <si>
    <t>LATLADFSLHPESQTVEEN[115]GTAR;GN[115]ETQLMLNSLQPNK;TPSMHN[115]QSHVPFAPAELK</t>
  </si>
  <si>
    <t>157;582;625</t>
  </si>
  <si>
    <t>Q8TDY8</t>
  </si>
  <si>
    <t>Alternative splicing;Cell membrane;Complete proteome;Disulfide bond;Glycoprotein;Immunoglobulin domain;Membrane;Phosphoprotein;Polymorphism;Reference proteome;Repeat;Signal;Transmembrane;Transmembrane helix</t>
  </si>
  <si>
    <t>UniRef100_Q8TDY8;UniRef90_Q8TDY8;UniRef50_Q8TDY8</t>
  </si>
  <si>
    <t>TS1R2_HUMAN</t>
  </si>
  <si>
    <t>Taste receptor type 1 member 2</t>
  </si>
  <si>
    <t>TAS1R2</t>
  </si>
  <si>
    <t>SP:1-21;NC:22-565;TM:566-588;CY:589-599;TM:600-623;NC:624-634;TM:635-659;CY:660-678;TM:679-701;NC:702-727;TM:728-749;CY:750-760;TM:761-781;NC:782-786;TM:787-808;CY:809-839</t>
  </si>
  <si>
    <t>ENSG00000179002</t>
  </si>
  <si>
    <t>ENSP00000364520</t>
  </si>
  <si>
    <t>84;248;292;312;368;428;487;527;731</t>
  </si>
  <si>
    <t>UniRef100_Q8TE23;UniRef90_Q8TE23;UniRef50_Q8TE23</t>
  </si>
  <si>
    <t>DB00168</t>
  </si>
  <si>
    <t>RN128_HUMAN</t>
  </si>
  <si>
    <t>E3 ubiquitin-protein ligase RNF128</t>
  </si>
  <si>
    <t>RNF128</t>
  </si>
  <si>
    <t>SP:1-38;NC:39-205;TM:206-228;CY:229-428</t>
  </si>
  <si>
    <t>ENSG00000133135</t>
  </si>
  <si>
    <t>ENSP00000255499</t>
  </si>
  <si>
    <t>48;59;101;357;385</t>
  </si>
  <si>
    <t>Cytoplasm, cytoskeleton;Cytoplasm, perinuclear region;Endomembrane system (Single- pass membrane protein)</t>
  </si>
  <si>
    <t>3D-structure;Alternative splicing;Complete proteome;Cytoplasm;Cytoskeleton;Glycoprotein;Ligase;Membrane;Metal-binding;Reference proteome;Signal;Transmembrane;Transmembrane helix;Ubl conjugation;Ubl conjugation pathway;Zinc;Zinc-finger</t>
  </si>
  <si>
    <t>UniRef100_Q8TEB7;UniRef90_Q9D304;UniRef50_Q9D304</t>
  </si>
  <si>
    <t>Cytoskeleton;Cytosol;Extracellular space;Lysosome;Mitochondrion;Nucleus;Peroxisome;Plasma membrane</t>
  </si>
  <si>
    <t>SPX2_HUMAN</t>
  </si>
  <si>
    <t>Sugar phosphate exchanger 2</t>
  </si>
  <si>
    <t>SLC37A2</t>
  </si>
  <si>
    <t>CY:1-19;TM:20-39;NC:40-88;TM:89-109;CY:110-115;TM:116-138;NC:139-143;TM:144-171;CY:172-181;TM:182-203;NC:204-208;TM:209-230;CY:231-296;TM:297-318;NC:319-336;TM:337-355;CY:356-361;TM:362-382;NC:383-387;TM:388-408;CY:409-427;TM:428-450;NC:451-461;TM:462-482;CY:483-501</t>
  </si>
  <si>
    <t>ENSG00000134955</t>
  </si>
  <si>
    <t>ENSP00000384407</t>
  </si>
  <si>
    <t>53;62;68</t>
  </si>
  <si>
    <t>Alternative splicing;Complete proteome;Glycoprotein;Membrane;Polymorphism;Reference proteome;Sugar transport;Transmembrane;Transmembrane helix;Transport</t>
  </si>
  <si>
    <t>UniRef100_Q8TED4;UniRef90_Q8TED4;UniRef50_Q8TED4</t>
  </si>
  <si>
    <t>PO210_HUMAN</t>
  </si>
  <si>
    <t>Nuclear pore membrane glycoprotein 210</t>
  </si>
  <si>
    <t>NUP210</t>
  </si>
  <si>
    <t>SP:1-25;NC:26-1807;TM:1808-1828;CY:1829-1887</t>
  </si>
  <si>
    <t>ENSG00000132182</t>
  </si>
  <si>
    <t>ENSP00000254508</t>
  </si>
  <si>
    <t>44;337;405;484;681;801;926;1039;1116;1135;1362;1441</t>
  </si>
  <si>
    <t>1848;1859;1860;1862;1863;1874;1877</t>
  </si>
  <si>
    <t>VN[115]FTLEASEGCYR;LPN[115]STIYVVEPGYLGF;LPN[115]STIYVVEPGYLGFTVHPGDR;IETVLPAEFFEVLSSSQN[115]GSYHR;FFQN[115]VTAEDTDSIGLALFAPH;EGSGYFFLN[115]TSTADVVK;AIGN[115]GTVSGLVQAVDAETGK;GAN[115]QTIIVAVK;GPTN[115]NTCVVR;GPTN[115]N[115]TCVVR;PTN[115]NTCVVR</t>
  </si>
  <si>
    <t>44;337;405;681;926;1135;1362;1441</t>
  </si>
  <si>
    <t>Q8TEM1</t>
  </si>
  <si>
    <t>Endoplasmic reticulum membrane (Single-pass type I membrane protein);Nucleus membrane (Single-pass type I membrane protein);Nucleus, nuclear pore complex</t>
  </si>
  <si>
    <t>Alternative splicing;Complete proteome;Endoplasmic reticulum;Glycoprotein;Membrane;mRNA transport;Nuclear pore complex;Nucleus;Phosphoprotein;Polymorphism;Protein transport;Reference proteome;Signal;Translocation;Transmembrane;Transmembrane helix;Transport</t>
  </si>
  <si>
    <t>UniRef100_Q8TEM1;UniRef90_Q8TEM1;UniRef50_Q8TEM1</t>
  </si>
  <si>
    <t>Endoplasmic Reticulum;Nucleus</t>
  </si>
  <si>
    <t>Cytoskeleton;Cytosol;Endosome;Extracellular space;Golgi apparatus;Lysosome;Mitochondrion;Peroxisome;Plasma membrane</t>
  </si>
  <si>
    <t>PIGO_HUMAN</t>
  </si>
  <si>
    <t>GPI ethanolamine phosphate transferase 3</t>
  </si>
  <si>
    <t>PIGO</t>
  </si>
  <si>
    <t>SP:1-22;NC:23-448;TM:449-469;CY:470-479;TM:480-504;NC:505-509;TM:510-527;CY:528-538;TM:539-560;NC:561-571;TM:572-590;CY:591-667;TM:668-688;NC:689-702;TM:703-721;CY:722-741;TM:742-760;NC:761-829;TM:830-850;CY:851-856;TM:857-879;NC:880-943;TM:944-963;CY:964-1005;TM:1006-1033;NC:1034-1048;TM:1049-1071;CY:1072-1089</t>
  </si>
  <si>
    <t>ENSG00000165282</t>
  </si>
  <si>
    <t>ENSP00000367880</t>
  </si>
  <si>
    <t>37;268</t>
  </si>
  <si>
    <t>527;530</t>
  </si>
  <si>
    <t>Alternative splicing;Complete proteome;Disease mutation;Endoplasmic reticulum;Glycoprotein;GPI-anchor biosynthesis;Membrane;Mental retardation;Polymorphism;Reference proteome;Transferase;Transmembrane;Transmembrane helix</t>
  </si>
  <si>
    <t>UniRef100_Q8TEQ8;UniRef90_Q8TEQ8;UniRef50_Q8TEQ8</t>
  </si>
  <si>
    <t>LRC15_HUMAN</t>
  </si>
  <si>
    <t>Leucine-rich repeat-containing protein 15</t>
  </si>
  <si>
    <t>LRRC15</t>
  </si>
  <si>
    <t>SP:1-21;NC:22-538;TM:539-563;CY:564-581</t>
  </si>
  <si>
    <t>ENSG00000172061</t>
  </si>
  <si>
    <t>ENSP00000306276</t>
  </si>
  <si>
    <t>69;75;369</t>
  </si>
  <si>
    <t>MLANLQN[115]ISLQN;MLANLQN[115]ISLQNN;MLANLQN[115]ISLQNNR;MLANLQN[115]ISLQN[115]NR;MLAN[115]LQN[115]ISLQNNR;MLAN[115]LQN[115]ISLQNN[115]R;MLAN[115]LQN[115]ISLQN[115]NR;LANLQN[115]ISLQNNR;LQN[115]ISLQNNR;LQN[115]ISLQN[115]NR</t>
  </si>
  <si>
    <t>Q8TF66</t>
  </si>
  <si>
    <t>Alternative splicing;Complete proteome;Glycoprotein;Leucine-rich repeat;Membrane;Polymorphism;Reference proteome;Repeat;Signal;Transmembrane;Transmembrane helix</t>
  </si>
  <si>
    <t>UniRef100_Q8TF66;UniRef90_Q8TF66;UniRef50_Q8TF66</t>
  </si>
  <si>
    <t>GDPD5_HUMAN</t>
  </si>
  <si>
    <t>Glycerophosphodiester phosphodiesterase domain-containing protein 5</t>
  </si>
  <si>
    <t>GDPD5</t>
  </si>
  <si>
    <t>CY:1-42;TM:43-63;NC:64-87;TM:88-114;CY:115-125;TM:126-145;NC:146-161;TM:162-181;CY:182-192;TM:193-213;NC:214-497;TM:498-517;CY:518-605</t>
  </si>
  <si>
    <t>ENSG00000158555</t>
  </si>
  <si>
    <t>ENSP00000337972;ENSP00000433214</t>
  </si>
  <si>
    <t>301;336;352;374;448;581</t>
  </si>
  <si>
    <t>RPASMLN[115]WTTLQR;EAQN[115]QSICSLAELLELAK;GN[115]ATLLLNLR</t>
  </si>
  <si>
    <t>301;336;352</t>
  </si>
  <si>
    <t>Q8WTR4</t>
  </si>
  <si>
    <t>Cell projection, growth cone;Cytoplasm, perinuclear region;Endomembrane system (Multi- pass membrane protein)</t>
  </si>
  <si>
    <t>Alternative splicing;Cell projection;Complete proteome;Cytoplasm;Disulfide bond;Glycoprotein;Hydrolase;Membrane;Neurogenesis;Polymorphism;Reference proteome;Transmembrane;Transmembrane helix</t>
  </si>
  <si>
    <t>UniRef100_Q8WTR4;UniRef90_Q8WTR4;UniRef50_Q640M6</t>
  </si>
  <si>
    <t>SCRB1_HUMAN</t>
  </si>
  <si>
    <t>Scavenger receptor class B member 1</t>
  </si>
  <si>
    <t>SCARB1</t>
  </si>
  <si>
    <t>CY:1-11;TM:12-34;NC:35-442;TM:443-463;CY:464-552</t>
  </si>
  <si>
    <t>ENSG00000073060</t>
  </si>
  <si>
    <t>ENSP00000414979</t>
  </si>
  <si>
    <t>102;108;173;212;227;255;310;330;383</t>
  </si>
  <si>
    <t>74;102;108;173;212;227;255;310;330;383</t>
  </si>
  <si>
    <t>HKSN[115]ITFNNN[115]DTVSFLEYR;HKSN[115]ITFNN[115]NDTVSFLEYR;HKSN[115]ITFN[115]NNDTVSFLEYR;HKSN[115]ITFN[115]NN[115]DTVSFLEYR;SNITFNN[115]N[115]DTVSFLEYR;SNITFN[115]NN[115]DTVSFLEYR;SN[115]ITFNNN[115]DTVSFLEYR;SN[115]ITFNN[115]NDTVSFLEYR;SN[115]ITFNN[115]N[115]DTVSFLEYR;SN[115]ITFN[115]NN[115]DTVSFLEYR;TGVQN[115]ISR;TLFAN[115]GSIYPPNEGFCPCLESGIQN[115]VSTCR;LESGIQN[115]VSTCR;ESGIQN[115]VSTCR;SGIQN[115]VSTCR</t>
  </si>
  <si>
    <t>102;108;227;310;330</t>
  </si>
  <si>
    <t>Q8WTV0</t>
  </si>
  <si>
    <t>Cell membrane (Multi-pass membrane protein);Membrane, caveola (Multi-pass membrane protein)</t>
  </si>
  <si>
    <t>Alternative splicing;Cell membrane;Complete proteome;Disulfide bond;Glycoprotein;Host-virus interaction;Membrane;Polymorphism;Receptor;Reference proteome;Transmembrane;Transmembrane helix</t>
  </si>
  <si>
    <t>UniRef100_Q8WTV0;UniRef90_Q8WTV0;UniRef50_Q8WTV0</t>
  </si>
  <si>
    <t>DB00144</t>
  </si>
  <si>
    <t>CHPT1_HUMAN</t>
  </si>
  <si>
    <t>Cholinephosphotransferase 1</t>
  </si>
  <si>
    <t>CHPT1</t>
  </si>
  <si>
    <t>CY:1-60;TM:61-82;NC:83-93;TM:94-111;CY:112-158;TM:159-179;NC:180-193;TM:194-215;CY:216-225;TM:226-246;NC:247-259;TM:260-282;CY:283-293;TM:294-314;NC:315-348;TM:349-371;CY:372-406</t>
  </si>
  <si>
    <t>ENSG00000111666</t>
  </si>
  <si>
    <t>ENSP00000229266</t>
  </si>
  <si>
    <t>2.7.8</t>
  </si>
  <si>
    <t>Golgi apparatus membrane (Multi-pass membrane protein)</t>
  </si>
  <si>
    <t>Acetylation;Alternative splicing;Complete proteome;Golgi apparatus;Lipid biosynthesis;Lipid metabolism;Magnesium;Manganese;Membrane;Metal-binding;Phospholipid biosynthesis;Phospholipid metabolism;Polymorphism;Reference proteome;Transferase;Transmembrane;Transmembrane helix</t>
  </si>
  <si>
    <t>UniRef100_Q8WUD6;UniRef90_Q8WUD6;UniRef50_Q8WUD6</t>
  </si>
  <si>
    <t>S22AH_HUMAN</t>
  </si>
  <si>
    <t>Solute carrier family 22 member 17</t>
  </si>
  <si>
    <t>SLC22A17</t>
  </si>
  <si>
    <t>NC:1-97;TM:98-118;CY:119-129;TM:130-149;NC:150-154;TM:155-175;CY:176-186;TM:187-209;NC:210-214;TM:215-237;CY:238-303;TM:304-322;NC:323-336;TM:337-359;CY:360-365;TM:366-386;NC:387-410;TM:411-435;CY:436-445;TM:446-466;NC:467-472;TM:473-493;CY:494-538</t>
  </si>
  <si>
    <t>ENSG00000092096</t>
  </si>
  <si>
    <t>ENSP00000206544;ENSP00000380437</t>
  </si>
  <si>
    <t>23;32</t>
  </si>
  <si>
    <t>Cell membrane (Multi-pass membrane protein);Vacuole membrane (Multi-pass membrane protein)</t>
  </si>
  <si>
    <t>Alternative splicing;Cell membrane;Complete proteome;Glycoprotein;Ion transport;Iron;Iron transport;Membrane;Receptor;Reference proteome;Transmembrane;Transmembrane helix;Transport;Vacuole</t>
  </si>
  <si>
    <t>UniRef100_Q8WUG5;UniRef90_Q8WUG5;UniRef50_Q8WUG5</t>
  </si>
  <si>
    <t>LRRN4_HUMAN</t>
  </si>
  <si>
    <t>Leucine-rich repeat neuronal protein 4</t>
  </si>
  <si>
    <t>LRRN4</t>
  </si>
  <si>
    <t>SP:1-18;NC:19-680;TM:681-706;CY:707-740</t>
  </si>
  <si>
    <t>ENSG00000125872</t>
  </si>
  <si>
    <t>ENSP00000368135</t>
  </si>
  <si>
    <t>42;176;289;379;442;622</t>
  </si>
  <si>
    <t>UniRef100_Q8WUT4;UniRef90_Q8WUT4;UniRef50_P59383</t>
  </si>
  <si>
    <t>S38A5_HUMAN</t>
  </si>
  <si>
    <t>Sodium-coupled neutral amino acid transporter 5</t>
  </si>
  <si>
    <t>SLC38A5</t>
  </si>
  <si>
    <t>CY:1-51;TM:52-72;NC:73-82;TM:83-106;CY:107-124;TM:125-146;NC:147-165;TM:166-186;CY:187-192;TM:193-214;NC:215-259;TM:260-280;CY:281-291;TM:292-314;NC:315-332;TM:333-357;CY:358-376;TM:377-397;NC:398-402;TM:403-423;CY:424-439;TM:440-462;NC:463-472</t>
  </si>
  <si>
    <t>ENSG00000017483</t>
  </si>
  <si>
    <t>ENSP00000471683;ENSP00000481291</t>
  </si>
  <si>
    <t>56;226;244;295</t>
  </si>
  <si>
    <t>Acetylation;Alternative splicing;Cell membrane;Complete proteome;Glycoprotein;Membrane;Polymorphism;Reference proteome;Transmembrane;Transmembrane helix</t>
  </si>
  <si>
    <t>UniRef100_Q8WUX1;UniRef90_Q8WUX1;UniRef50_Q99624</t>
  </si>
  <si>
    <t>T255B_HUMAN</t>
  </si>
  <si>
    <t>Transmembrane protein 255B</t>
  </si>
  <si>
    <t>TMEM255B</t>
  </si>
  <si>
    <t>CY:1-25;TM:26-46;NC:47-57;TM:58-78;CY:79-84;TM:85-110;NC:111-195;TM:196-220;CY:221-326</t>
  </si>
  <si>
    <t>ENSG00000184497</t>
  </si>
  <si>
    <t>ENSP00000364502</t>
  </si>
  <si>
    <t>UniRef100_Q8WV15;UniRef90_Q8WV15;UniRef50_Q8BHW5-2</t>
  </si>
  <si>
    <t>TM171_HUMAN</t>
  </si>
  <si>
    <t>Transmembrane protein 171</t>
  </si>
  <si>
    <t>TMEM171</t>
  </si>
  <si>
    <t>CY:1-20;TM:21-45;NC:46-56;TM:57-77;CY:78-111;TM:112-133;NC:134-160;TM:161-181;CY:182-324</t>
  </si>
  <si>
    <t>ENSG00000157111</t>
  </si>
  <si>
    <t>ENSP00000415030</t>
  </si>
  <si>
    <t>146;285</t>
  </si>
  <si>
    <t>UniRef100_Q8WVE6;UniRef90_Q8WVE6;UniRef50_Q8WVE6</t>
  </si>
  <si>
    <t>SCTM1_HUMAN</t>
  </si>
  <si>
    <t>Secreted and transmembrane protein 1</t>
  </si>
  <si>
    <t>SECTM1</t>
  </si>
  <si>
    <t>SP:1-28;NC:29-146;TM:147-169;CY:170-248</t>
  </si>
  <si>
    <t>ENSG00000141574</t>
  </si>
  <si>
    <t>ENSP00000269389</t>
  </si>
  <si>
    <t>Cell membrane;Complete proteome;Disulfide bond;Glycoprotein;Membrane;Reference proteome;Secreted;Signal;Transmembrane;Transmembrane helix</t>
  </si>
  <si>
    <t>UniRef100_Q8WVN6;UniRef90_Q8WVN6;UniRef50_Q8WVN6</t>
  </si>
  <si>
    <t>LMBR1_HUMAN</t>
  </si>
  <si>
    <t>Limb region 1 protein homolog</t>
  </si>
  <si>
    <t>LMBR1</t>
  </si>
  <si>
    <t>NC:1-19;TM:20-39;CY:40-59;TM:60-83;NC:84-107;TM:108-131;CY:132-150;TM:151-172;NC:173-191;TM:192-213;CY:214-291;TM:292-317;NC:318-341;TM:342-366;CY:367-386;TM:387-405;NC:406-424;TM:425-447;CY:448-490</t>
  </si>
  <si>
    <t>ENSG00000105983</t>
  </si>
  <si>
    <t>ENSP00000326604</t>
  </si>
  <si>
    <t>101;337;374;471</t>
  </si>
  <si>
    <t>Alternative splicing;Coiled coil;Complete proteome;Membrane;Polymorphism;Receptor;Reference proteome;Transmembrane;Transmembrane helix</t>
  </si>
  <si>
    <t>UniRef100_Q8WVP7;UniRef90_Q8WVP7;UniRef50_Q8WVP7</t>
  </si>
  <si>
    <t>BT2A2_HUMAN</t>
  </si>
  <si>
    <t>Butyrophilin subfamily 2 member A2</t>
  </si>
  <si>
    <t>BTN2A2</t>
  </si>
  <si>
    <t>SP:1-32;NC:33-263;TM:264-286;CY:287-523</t>
  </si>
  <si>
    <t>ENSG00000124508</t>
  </si>
  <si>
    <t>ENSP00000349143;ENSP00000399308</t>
  </si>
  <si>
    <t>50;118;220;226</t>
  </si>
  <si>
    <t>UniRef100_Q8WVV5;UniRef90_Q8WVV5;UniRef50_A4QPC6</t>
  </si>
  <si>
    <t>ITLN1_HUMAN</t>
  </si>
  <si>
    <t>Intelectin-1</t>
  </si>
  <si>
    <t>ITLN1</t>
  </si>
  <si>
    <t>SP:1-16;NC:17-313</t>
  </si>
  <si>
    <t>ENSG00000179914</t>
  </si>
  <si>
    <t>ENSP00000323587</t>
  </si>
  <si>
    <t>154;163</t>
  </si>
  <si>
    <t>Cell membrane;Complete proteome;Direct protein sequencing;Disulfide bond;Glycoprotein;GPI-anchor;Lectin;Lipoprotein;Membrane;Polymorphism;Reference proteome;Secreted;Signal</t>
  </si>
  <si>
    <t>UniRef100_Q8WWA0;UniRef90_Q8WWA0;UniRef50_Q8WWA0</t>
  </si>
  <si>
    <t>NCUG1_HUMAN</t>
  </si>
  <si>
    <t>Lysosomal protein NCU-G1</t>
  </si>
  <si>
    <t>C1orf85</t>
  </si>
  <si>
    <t>SP:1-35;NC:36-368;TM:369-394;CY:395-406</t>
  </si>
  <si>
    <t>ENSG00000198715</t>
  </si>
  <si>
    <t>ENSP00000354553</t>
  </si>
  <si>
    <t>65;95;134;159;187;230;333</t>
  </si>
  <si>
    <t>LLEFDSTN[115]VSDTAAK;LLEFDSTN[115]VSDTAAKPLGR;TFAN[115]GSLAFR</t>
  </si>
  <si>
    <t>134;187</t>
  </si>
  <si>
    <t>Q8WWB7</t>
  </si>
  <si>
    <t>Alternative splicing;Complete proteome;Glycoprotein;Lysosome;Membrane;Polymorphism;Reference proteome;Signal;Transmembrane;Transmembrane helix</t>
  </si>
  <si>
    <t>UniRef100_Q8WWB7;UniRef90_Q8WWB7;UniRef50_Q8WWB7</t>
  </si>
  <si>
    <t>Cytoskeleton;Endoplasmic Reticulum;Endosome;Extracellular space;Golgi apparatus;Mitochondrion;Peroxisome;Plasma membrane</t>
  </si>
  <si>
    <t>ZNRF4_HUMAN</t>
  </si>
  <si>
    <t>Zinc/RING finger protein 4</t>
  </si>
  <si>
    <t>ZNRF4</t>
  </si>
  <si>
    <t>SP:1-27;NC:28-253;TM:254-277;CY:278-429</t>
  </si>
  <si>
    <t>ENSG00000105428</t>
  </si>
  <si>
    <t>ENSP00000222033</t>
  </si>
  <si>
    <t>107;152;229</t>
  </si>
  <si>
    <t>Complete proteome;Glycoprotein;Membrane;Metal-binding;Polymorphism;Reference proteome;Signal;Transmembrane;Transmembrane helix;Zinc;Zinc-finger</t>
  </si>
  <si>
    <t>UniRef100_Q8WWF5;UniRef90_Q8WWF5;UniRef50_Q8WWF5</t>
  </si>
  <si>
    <t>NRG4_HUMAN</t>
  </si>
  <si>
    <t>Pro-neuregulin-4, membrane-bound isoform</t>
  </si>
  <si>
    <t>NRG4</t>
  </si>
  <si>
    <t>NC:1-61;TM:62-83;CY:84-115</t>
  </si>
  <si>
    <t>ENSG00000169752</t>
  </si>
  <si>
    <t>ENSP00000378367;ENSP00000457335</t>
  </si>
  <si>
    <t>Cell membrane;Complete proteome;Disulfide bond;EGF-like domain;Glycoprotein;Growth factor;Membrane;Reference proteome;Secreted;Transmembrane;Transmembrane helix</t>
  </si>
  <si>
    <t>UniRef100_Q8WWG1;UniRef90_Q8WWG1;UniRef50_Q8WWG1</t>
  </si>
  <si>
    <t>CTL1_HUMAN</t>
  </si>
  <si>
    <t>Choline transporter-like protein 1</t>
  </si>
  <si>
    <t>SLC44A1</t>
  </si>
  <si>
    <t>CY:1-30;TM:31-54;NC:55-213;TM:214-233;CY:234-239;TM:240-263;NC:264-288;TM:289-309;CY:310-314;TM:315-334;NC:335-339;TM:340-361;CY:362-383;TM:384-406;NC:407-537;TM:538-560;CY:561-566;TM:567-589;NC:590-657</t>
  </si>
  <si>
    <t>ENSG00000070214</t>
  </si>
  <si>
    <t>ENSP00000363852;ENSP00000433072</t>
  </si>
  <si>
    <t>CD92</t>
  </si>
  <si>
    <t>135;180;507</t>
  </si>
  <si>
    <t>FAEIN[115]GSALCSYNLKPSEYTTSPK</t>
  </si>
  <si>
    <t>Q8WWI5</t>
  </si>
  <si>
    <t>Cell membrane (Multi-pass membrane protein);Mitochondrion outer membrane (Multi- pass membrane protein)</t>
  </si>
  <si>
    <t>Alternative splicing;Cell membrane;Complete proteome;Lipoprotein;Membrane;Mitochondrion;Mitochondrion outer membrane;Myristate;Phosphoprotein;Polymorphism;Reference proteome;Transmembrane;Transmembrane helix;Transport</t>
  </si>
  <si>
    <t>UniRef100_Q8WWI5;UniRef90_Q8WWI5;UniRef50_Q8WWI5</t>
  </si>
  <si>
    <t>Mitochondrion;Plasma membrane</t>
  </si>
  <si>
    <t>STAB2_HUMAN</t>
  </si>
  <si>
    <t>Stabilin-2</t>
  </si>
  <si>
    <t>STAB2</t>
  </si>
  <si>
    <t>SP:1-21;NC:22-2459;TM:2460-2483;CY:2484-2551</t>
  </si>
  <si>
    <t>ENSG00000136011</t>
  </si>
  <si>
    <t>ENSP00000373539</t>
  </si>
  <si>
    <t>SCAR;Class_H</t>
  </si>
  <si>
    <t>133;337;449;619;720;761;847;925;1016;1028;1100;1247;1275;1367;1429;1437;1465;1573;1679;1743;1993;2064;2280;2296;2336;2368;2382;2393;2513</t>
  </si>
  <si>
    <t>Cell membrane;Complete proteome;Cytoplasm;Direct protein sequencing;Disulfide bond;EGF-like domain;Endocytosis;Glycoprotein;Hyaluronic acid;Laminin EGF-like domain;Membrane;Phosphoprotein;Polymorphism;Receptor;Reference proteome;Repeat;Signal;Transmembrane;Transmembrane helix</t>
  </si>
  <si>
    <t>UniRef100_Q8WWQ8;UniRef90_Q8WWQ8;UniRef50_Q8WWQ8</t>
  </si>
  <si>
    <t>S13A3_HUMAN</t>
  </si>
  <si>
    <t>Solute carrier family 13 member 3</t>
  </si>
  <si>
    <t>SLC13A3</t>
  </si>
  <si>
    <t>CY:1-16;TM:17-37;NC:38-55;TM:56-76;CY:77-82;TM:83-103;NC:104-137;TM:138-158;CY:159-229;TM:230-250;NC:251-278;TM:279-299;CY:300-336;TM:337-357;NC:358-372;TM:373-393;CY:394-422;IM:423-443;CY:444-461;TM:462-482;NC:483-505;TM:506-526;CY:527-546;TM:547-567;NC:568-602</t>
  </si>
  <si>
    <t>ENSG00000158296</t>
  </si>
  <si>
    <t>ENSP00000279027</t>
  </si>
  <si>
    <t>312;586;596</t>
  </si>
  <si>
    <t>Alternative splicing;Cell membrane;Complete proteome;Glycoprotein;Ion transport;Membrane;Reference proteome;Sodium;Sodium transport;Symport;Transmembrane;Transmembrane helix;Transport</t>
  </si>
  <si>
    <t>UniRef100_Q8WWT9;UniRef90_Q8WWT9;UniRef50_Q9Z0Z5</t>
  </si>
  <si>
    <t>FCAMR_HUMAN</t>
  </si>
  <si>
    <t>High affinity immunoglobulin alpha and immunoglobulin mu Fc receptor</t>
  </si>
  <si>
    <t>FCAMR</t>
  </si>
  <si>
    <t>SP:1-16;NC:17-450;TM:451-470;CY:471-532</t>
  </si>
  <si>
    <t>ENSG00000162897</t>
  </si>
  <si>
    <t>ENSP00000383746;ENSP00000392707</t>
  </si>
  <si>
    <t>CD351</t>
  </si>
  <si>
    <t>167;276</t>
  </si>
  <si>
    <t>Adaptive immunity;Alternative splicing;Cell membrane;Complete proteome;Disulfide bond;Glycoprotein;Immunity;Immunoglobulin domain;Membrane;Receptor;Reference proteome;Signal;Transmembrane;Transmembrane helix</t>
  </si>
  <si>
    <t>UniRef100_Q8WWV6;UniRef90_Q8WWV6;UniRef50_Q8WWV6</t>
  </si>
  <si>
    <t>SC5AB_HUMAN</t>
  </si>
  <si>
    <t>Sodium/myo-inositol cotransporter 2</t>
  </si>
  <si>
    <t>SLC5A11</t>
  </si>
  <si>
    <t>NC:1-28;TM:29-46;CY:47-65;TM:66-86;NC:87-104;TM:105-125;CY:126-136;TM:137-156;NC:157-177;TM:178-202;CY:203-208;TM:209-228;NC:229-268;TM:269-287;CY:288-307;TM:308-328;NC:329-374;TM:375-396;CY:397-416;TM:417-437;NC:438-447;TM:448-472;CY:473-479;TM:480-501;NC:502-520;TM:521-542;CY:543-654;TM:655-674;NC:675-675</t>
  </si>
  <si>
    <t>ENSG00000158865</t>
  </si>
  <si>
    <t>ENSP00000289932</t>
  </si>
  <si>
    <t>243;247;301;601</t>
  </si>
  <si>
    <t>Alternative splicing;Apoptosis;Complete proteome;Ion transport;Membrane;Polymorphism;Reference proteome;Sodium;Sodium transport;Sugar transport;Symport;Transmembrane;Transmembrane helix;Transport</t>
  </si>
  <si>
    <t>UniRef100_Q8WWX8;UniRef90_Q8WWX8;UniRef50_Q8WWX8</t>
  </si>
  <si>
    <t>ABCA5_HUMAN</t>
  </si>
  <si>
    <t>ATP-binding cassette sub-family A member 5</t>
  </si>
  <si>
    <t>ABCA5</t>
  </si>
  <si>
    <t>CY:1-35;TM:36-53;NC:54-220;TM:221-242;CY:243-261;TM:262-285;NC:286-296;TM:297-317;CY:318-328;TM:329-348;NC:349-353;TM:354-375;CY:376-394;TM:395-417;NC:418-863;TM:864-882;CY:883-965;TM:966-988;NC:989-1020;TM:1021-1040;CY:1041-1069;TM:1070-1092;NC:1093-1100;TM:1101-1125;CY:1126-1136;TM:1137-1159;NC:1160-1164;TM:1165-1187;CY:1188-1206;TM:1207-1228;NC:1229-1642</t>
  </si>
  <si>
    <t>ENSG00000154265</t>
  </si>
  <si>
    <t>ENSP00000376443;ENSP00000467882</t>
  </si>
  <si>
    <t>86;190;388;458;499;576;943;973;996;1245;1556;1627</t>
  </si>
  <si>
    <t>TN[115]VSLWK</t>
  </si>
  <si>
    <t>Q8WWZ7</t>
  </si>
  <si>
    <t>Golgi apparatus membrane (Multi-pass membrane protein);Late endosome membrane (Multi-pass membrane protein);Lysosome membrane (Multi-pass membrane protein)</t>
  </si>
  <si>
    <t>Alternative splicing;ATP-binding;Complete proteome;Endosome;Glycoprotein;Golgi apparatus;Lysosome;Membrane;Nucleotide-binding;Polymorphism;Reference proteome;Repeat;Transmembrane;Transmembrane helix;Transport</t>
  </si>
  <si>
    <t>UniRef100_Q8WWZ7;UniRef90_Q8WWZ7;UniRef50_Q8K448</t>
  </si>
  <si>
    <t>5HT3C_HUMAN</t>
  </si>
  <si>
    <t>5-hydroxytryptamine receptor 3C</t>
  </si>
  <si>
    <t>HTR3C</t>
  </si>
  <si>
    <t>SP:1-27;NC:28-248;TM:249-271;CY:272-282;TM:283-302;NC:303-307;TM:308-333;CY:334-424;TM:425-445;NC:446-447</t>
  </si>
  <si>
    <t>ENSG00000178084</t>
  </si>
  <si>
    <t>ENSP00000322617</t>
  </si>
  <si>
    <t>Cell membrane;Complete proteome;Disulfide bond;Ion channel;Ion transport;Ligand-gated ion channel;Membrane;Polymorphism;Receptor;Reference proteome;Signal;Transmembrane;Transmembrane helix;Transport</t>
  </si>
  <si>
    <t>UniRef100_Q8WXA8;UniRef90_Q8WXA8;UniRef50_A5X5Y0-6</t>
  </si>
  <si>
    <t>RXFP2_HUMAN</t>
  </si>
  <si>
    <t>Relaxin receptor 2</t>
  </si>
  <si>
    <t>RXFP2</t>
  </si>
  <si>
    <t>NC:1-417;TM:418-439;CY:440-453;TM:454-476;NC:477-496;TM:497-518;CY:519-538;TM:539-558;NC:559-590;TM:591-614;CY:615-638;TM:639-660;NC:661-672;TM:673-693;CY:694-754</t>
  </si>
  <si>
    <t>ENSG00000133105</t>
  </si>
  <si>
    <t>ENSP00000298386</t>
  </si>
  <si>
    <t>54;138;274;335;378;447</t>
  </si>
  <si>
    <t>734;744</t>
  </si>
  <si>
    <t>86;213;261;423;489;546;558;651;674;728</t>
  </si>
  <si>
    <t>3D-structure;Alternative splicing;Cell membrane;Complete proteome;Disease mutation;Disulfide bond;G-protein coupled receptor;Glycoprotein;Leucine-rich repeat;Membrane;Polymorphism;Receptor;Reference proteome;Repeat;Transducer;Transmembrane;Transmembrane helix</t>
  </si>
  <si>
    <t>UniRef100_Q8WXD0;UniRef90_Q8WXD0;UniRef50_Q8WXD0</t>
  </si>
  <si>
    <t>GPR98_HUMAN</t>
  </si>
  <si>
    <t>G-protein coupled receptor 98</t>
  </si>
  <si>
    <t>GPR98</t>
  </si>
  <si>
    <t>SP:1-29;NC:30-5907;TM:5908-5929;CY:5930-5939;TM:5940-5959;NC:5960-5978;TM:5979-5999;CY:6000-6010;TM:6011-6036;NC:6037-6056;TM:6057-6082;CY:6083-6104;TM:6105-6124;NC:6125-6130;TM:6131-6155;CY:6156-6306</t>
  </si>
  <si>
    <t>ENSG00000164199</t>
  </si>
  <si>
    <t>ENSP00000384582</t>
  </si>
  <si>
    <t>44;63;93;164;204;217;246;259;311;328;428;438;576;638;711;726;738;877;902;957;980;989;1021;1027;1094;1159;1209;1268;1349;1354;1378;1390;1406;1522;1558;1629;1791;1919;1930;1964;1996;2052;2080;2139;2207;2267;2291;2372;2428;2475;2485;2521;2549;2564;2584;2588;2735;2753;2766;2841;2859;2873;2905;2923;2972;3079;3125;3128;3218;3224;3560;3637;3770;3794;4002;4027;4083;4088;4170;4256;4285;4382;4464;4469;4476;4521;4531;4786;4847;4899;4940;5093;5108;5213;5235;5254;5284;5413;5478;5533;5616;5726;5901;6276</t>
  </si>
  <si>
    <t>44;63;93;164;204;217;246;259;311;328;428;438;576;638;711;726;738;877;902;957;980;989;1021;1027;1094;1159;1209;1268;1349;1354;1378;1390;1406;1522;1558;1629;1791;1919;1930;1964;1996;2052;2080;2139;2207;2267;2291;2372;2428;2475;2485;2521;2549;2564;2584;2588;2735;2753;2766;2841;2859;2873;2905;2923;2972;3049;3079;3125;3128;3173;3218;3224;3560;3637;3770;3794;4002;4027;4083;4088;4170;4256;4285;4382;4464;4469;4476;4521;4531;4786;4847;4899;4940;5093;5108;5213;5235;5254;5284;5413;5478;5533;5616;5726;5901;6276</t>
  </si>
  <si>
    <t>Alternative splicing;Calcium;Cell membrane;Complete proteome;Deafness;G-protein coupled receptor;Membrane;Polymorphism;Receptor;Reference proteome;Repeat;Retinitis pigmentosa;Sensory transduction;Signal;Transducer;Transmembrane;Transmembrane helix;Usher syndrome;Vision</t>
  </si>
  <si>
    <t>UniRef100_Q8WXG9;UniRef90_Q8WXG9;UniRef50_Q8WXG9</t>
  </si>
  <si>
    <t>MUC16_HUMAN</t>
  </si>
  <si>
    <t>Mucin-16</t>
  </si>
  <si>
    <t>MUC16</t>
  </si>
  <si>
    <t>NC:1-22096;TM:22097-22121;CY:22122-22152</t>
  </si>
  <si>
    <t>110;139;434;787;930;957;1375;1633;1840;1877;1890;2345;2375;2737;3086;3179;3502;4222;4500;4608;4615;4626;4863;4997;5098;5133;5230;5322;5396;5472;5691;5865;6090;6734;6861;6963;8031;8057;8326;8620;8686;8915;9204;9495;9787;9920;10077;10175;10234;10512;10645;10702;10751;11055;11226;11265;11369;11596;12081;12102;12118;12170;12237;12274;12395;12416;12432;12551;12572;12588;12706;12727;12743;12826;12862;12883;12982;13018;13039;13055;13174;13195;13211;13330;13351;13367;13423;13486;13507;13523;13579;13642;13663;13679;13798;13819;13835;13954;13975;13991;14110;14131;14147;14266;14287;14303;14359;14422;14459;14580;14601;14617;14736;14757;14773;14825;14892;14913;14929;15048;15069;15204;15241;15360;15381;15397;15516;15537;15672;15693;15709;15827;15848;15864;15947;15983;16004;16020;16138;16159;16175;16258;16294;16315;16331;16450;16471;16487;16539;16606;16627;16643;16762;16783;16799;16918;16939;16955;17074;17095;17111;17230;17251;17386;17407;17423;17542;17563;17579;17698;17719;17854;17875;17891;18010;18031;18047;18166;18187;18203;18322;18343;18359;18478;18499;18515;18634;18655;18790;18811;18827;18946;18967;18983;19039;19102;19123;19139;19258;19279;19295;19414;19435;19451;19570;19591;19607;19726;19747;19763;19881;19902;19918;20037;20058;20074;20157;20193;20214;20230;20349;20370;20505;20526;20661;20682;20698;20817;20838;20973;20994;21010;21129;21150;21166;21285;21306;21378;21389;21441;21461;21477;21574;21595;21725;21745;21840;21857;21899;21932;21971;22008;22039;22062;22068</t>
  </si>
  <si>
    <t>110;139;227;434;787;871;930;957;1375;1633;1840;1877;1890;2082;2166;2345;2375;2488;2737;3086;3179;3477;3502;4222;4374;4500;4515;4608;4615;4626;4863;4997;5098;5133;5230;5322;5396;5472;5691;5865;6090;6734;6861;6963;7094;8031;8057;8326;8620;8686;8915;9204;9495;9787;9920;10008;10077;10175;10234;10512;10645;10702;10751;11055;11226;11265;11369;11596;12081;12102;12118;12170;12237;12274;12395;12416;12432;12551;12572;12588;12706;12727;12743;12826;12862;12883;12982;13018;13039;13055;13174;13195;13211;13330;13351;13367;13423;13486;13507;13523;13579;13642;13663;13679;13798;13819;13835;13954;13975;13991;14110;14131;14147;14266;14287;14303;14359;14422;14459;14580;14601;14617;14736;14757;14773;14825;14892;14913;14929;15048;15069;15204;15241;15360;15381;15397;15516;15537;15672;15693;15709;15827;15848;15864;15947;15983;16004;16020;16138;16159;16175;16258;16294;16315;16331;16450;16471;16487;16539;16606;16627;16643;16762;16783;16799;16918;16939;16955;17074;17095;17111;17230;17251;17386;17407;17423;17542;17563;17579;17698;17719;17854;17875;17891;18010;18031;18047;18166;18187;18203;18322;18343;18359;18478;18499;18515;18634;18655;18790;18811;18827;18946;18967;18983;19039;19102;19123;19139;19258;19279;19295;19414;19435;19451;19570;19591;19607;19726;19747;19763;19881;19902;19918;20037;20058;20074;20157;20193;20214;20230;20349;20370;20505;20526;20661;20682;20698;20817;20838;20973;20994;21010;21129;21150;21166;21285;21306;21378;21389;21441;21461;21477;21574;21595;21725;21745;21840;21857;21899;21932;21971;22008;22039;22062;22068</t>
  </si>
  <si>
    <t>44;102;124;155;191;281;408;415;425;436;443;511;575;610;738;741;750;754;781;790;812;844;870;875;880;892;927;971;988;1003;1007;1055;1068;1200;1334;1424;1477;1636;1655;1687;1753;1757;2011;2058;2081;2152;2157;2161;2286;2427;2498;2566;2583;2590;2603;2609;2864;2945;3129;3150;3192;3259;3268;3316;3366;3375;3376;3396;3435;3490;3491;3521;3554;3577;3670;3672;3687;3695;3753;3775;3823;3981;4023;4106;4115;4172;4180;4193;4200;4218;4288;4354;4356;4372;4453;4479;4483;4486;4490;4502;4507;4560;4568;4692;4772;4783;4801;4817;4851;4861;4867;4903;4941;4955;4965;5032;5040;5076;5094;5170;5236;5291;5348;5353;5356;5368;5373;5385;5386;5391;5392;5432;5467;5469;5501;5556;5572;5643;5651;5668;5681;5686;5687;5745;5802;5927;5940;5949;5955;5965;5983;5998;6058;6074;6136;6177;6182;6234;6240;6255;6426;6458;6471;6493;6503;6524;6549;6563;6579;6665;6697;6702;6761;6802;6819;6856;6857;6937;6992;6997;7021;7043;7130;7134;7152;7208;7212;7306;7333;7348;7392;7410;7416;7425;7448;7457;7487;7508;7556;7569;7687;7700;7725;7737;7743;7752;7845;7927;7931;7983;7984;7989;7997;8009;8026;8083;8087;8099;8103;8129;8177;8181;8191;8248;8266;8278;8279;8284;8295;8322;8325;8331;8363;8382;8387;8418;8462;8486;8508;8586;8610;8616;8676;8682;8692;8706;8710;8722;8754;8776;8842;8865;8866;8887;8903;8909;8910;8918;8925;8969;8974;9031;9092;9157;9182;9194;9200;9233;9270;9334;9356;9422;9445;9489;9490;9554;9629;9675;9734;9740;9777;9783;9792;9892;9906;10021;10073;10157;10212;10355;10366;10394;10457;10459;10479;10492;10546;10559;10591;10613;10633;10639;10693;10717;10723;10779;10834;10858;10886;10914;10970;10996;11018;11024;11078;11093;11097;11106;11134;11166;11284;11312;11327;11360;11362;11378;11446;11526;11611;11639;11645;11700;11704;11751;11785;11798;11846;11883;11889;11902;11925;11930;12048;12215;12358;12359;12371;12984;13152;13451;13608;13763;13764;13769;14076;14400;14701;14702;15169;15170;15637;15638;15949;16255;16416;16883;17195;17196;17201;17208;17507;17819;17820;20171;20639;20938;20939;20951;21268;21404;21562</t>
  </si>
  <si>
    <t>TLN[115]FTITNLQYEEDMR;N[115]SSLEYLYSGCR;N[115]TSVGPLYSGCR;TLN[115]FTITNLQYGEDMGHPGSR;TLN[115]FTITNLK;N[115]TSVGLLYSGCR;TLN[115]FTITNLQYEEDMHHPGSR;N[115]SSVGPLYSGCR;TLN[115]FTITNLQYEEDMHRPGSR;TFN[115]FTITNLHYEENMQHPGSR;TLN[115]FTITNLHYEENMQHPGSR;N[115]TSVSSLYSGCR;N[115]TSIGPLYSSCR;FN[115]ITDNVMK;DSLFINGYAPQN[115]LSIR;DSLFIN[115]GYAPQN[115]LSIR;N[115]GTQLQN[115]FTLDR</t>
  </si>
  <si>
    <t>12081;12118;12274;12395;12551;12588;12706;13211;13330;13486;13798;14617;20698;21595;21840;22062;22068</t>
  </si>
  <si>
    <t>Q8WXI7</t>
  </si>
  <si>
    <t>ANK repeat;Cell membrane;Complete proteome;Direct protein sequencing;Disulfide bond;Glycoprotein;Membrane;Phosphoprotein;Polymorphism;Reference proteome;Repeat;Secreted;Transmembrane;Transmembrane helix</t>
  </si>
  <si>
    <t>UniRef100_Q8WXI7;UniRef90_Q8WXI7;UniRef50_Q8WXI7</t>
  </si>
  <si>
    <t>CCGL_HUMAN</t>
  </si>
  <si>
    <t>Voltage-dependent calcium channel gamma-like subunit</t>
  </si>
  <si>
    <t>TMEM37</t>
  </si>
  <si>
    <t>CY:1-24;TM:25-45;NC:46-89;TM:90-112;CY:113-123;TM:124-149;NC:150-154;TM:155-176;CY:177-190</t>
  </si>
  <si>
    <t>ENSG00000171227</t>
  </si>
  <si>
    <t>ENSP00000303148</t>
  </si>
  <si>
    <t>UniRef100_Q8WXS4;UniRef90_Q8WXS4;UniRef50_Q8WXS4</t>
  </si>
  <si>
    <t>CCG8_HUMAN</t>
  </si>
  <si>
    <t>Voltage-dependent calcium channel gamma-8 subunit</t>
  </si>
  <si>
    <t>CACNG8</t>
  </si>
  <si>
    <t>CY:1-20;TM:21-40;NC:41-128;TM:129-149;CY:150-158;TM:159-182;NC:183-203;TM:204-228;CY:229-425</t>
  </si>
  <si>
    <t>ENSG00000142408</t>
  </si>
  <si>
    <t>ENSP00000270458</t>
  </si>
  <si>
    <t>53;56</t>
  </si>
  <si>
    <t>7;14;44;88;204</t>
  </si>
  <si>
    <t>Cell junction, synapse, postsynaptic cell membrane, postsynaptic density;Membrane (Multi-pass membrane protein)</t>
  </si>
  <si>
    <t>Calcium;Calcium channel;Calcium transport;Cell junction;Cell membrane;Complete proteome;Ion channel;Ion transport;Membrane;Postsynaptic cell membrane;Reference proteome;Synapse;Transmembrane;Transmembrane helix;Transport;Voltage-gated channel</t>
  </si>
  <si>
    <t>UniRef100_Q8WXS5;UniRef90_Q8WXS5;UniRef50_Q8WXS5</t>
  </si>
  <si>
    <t>CTR3_HUMAN</t>
  </si>
  <si>
    <t>Cationic amino acid transporter 3</t>
  </si>
  <si>
    <t>SLC7A3</t>
  </si>
  <si>
    <t>CY:1-32;TM:33-53;NC:54-64;TM:65-87;CY:88-107;TM:108-129;NC:130-165;TM:166-183;CY:184-191;TM:192-210;NC:211-234;TM:235-254;CY:255-287;TM:288-311;NC:312-331;TM:332-354;CY:355-382;TM:383-403;NC:404-408;TM:409-428;CY:429-475;TM:476-496;NC:497-507;TM:508-528;CY:529-539;TM:540-560;NC:561-565;TM:566-586;CY:587-619</t>
  </si>
  <si>
    <t>ENSG00000165349</t>
  </si>
  <si>
    <t>ENSP00000298085;ENSP00000363417</t>
  </si>
  <si>
    <t>Amino-acid transport;Cell membrane;Complete proteome;Glycoprotein;Membrane;Phosphoprotein;Polymorphism;Reference proteome;Transmembrane;Transmembrane helix;Transport</t>
  </si>
  <si>
    <t>UniRef100_Q8WY07;UniRef90_Q8WY07;UniRef50_Q8WY07</t>
  </si>
  <si>
    <t>SORC1_HUMAN</t>
  </si>
  <si>
    <t>VPS10 domain-containing receptor SorCS1</t>
  </si>
  <si>
    <t>SORCS1</t>
  </si>
  <si>
    <t>SP:1-34;NC:35-1100;TM:1101-1120;CY:1121-1168</t>
  </si>
  <si>
    <t>ENSG00000108018</t>
  </si>
  <si>
    <t>ENSP00000263054</t>
  </si>
  <si>
    <t>Other_receptors;VPS10R</t>
  </si>
  <si>
    <t>184;352;433;765;776;816;847;908;929</t>
  </si>
  <si>
    <t>VVSNN[115]CTDGVR;VVSN[115]N[115]CTDGVR;LTAEQGHN[115]VTLMVQLEEGDVQR</t>
  </si>
  <si>
    <t>776;816</t>
  </si>
  <si>
    <t>Q8WY21</t>
  </si>
  <si>
    <t>Alternative splicing;Complete proteome;Glycoprotein;Membrane;Polymorphism;Reference proteome;Repeat;Signal;Transmembrane;Transmembrane helix</t>
  </si>
  <si>
    <t>UniRef100_Q8WY21;UniRef90_Q8WY21;UniRef50_Q8WY21</t>
  </si>
  <si>
    <t>CNTP5_HUMAN</t>
  </si>
  <si>
    <t>Contactin-associated protein-like 5</t>
  </si>
  <si>
    <t>CNTNAP5</t>
  </si>
  <si>
    <t>SP:1-24;NC:25-1237;TM:1238-1263;CY:1264-1306</t>
  </si>
  <si>
    <t>ENSG00000155052</t>
  </si>
  <si>
    <t>ENSP00000399013</t>
  </si>
  <si>
    <t>282;355;372;496;535;571;622;635;746;1021;1057;1071;1125</t>
  </si>
  <si>
    <t>Cell adhesion;Complete proteome;Disulfide bond;EGF-like domain;Glycoprotein;Membrane;Polymorphism;Reference proteome;Repeat;Signal;Transmembrane;Transmembrane helix</t>
  </si>
  <si>
    <t>UniRef100_Q8WYK1;UniRef90_Q8WYK1;UniRef50_Q9C0A0</t>
  </si>
  <si>
    <t>TM158_HUMAN</t>
  </si>
  <si>
    <t>Transmembrane protein 158</t>
  </si>
  <si>
    <t>TMEM158</t>
  </si>
  <si>
    <t>SP:1-20;NC:21-222;TM:223-252;CY:253-300</t>
  </si>
  <si>
    <t>ENSG00000249992</t>
  </si>
  <si>
    <t>ENSP00000422431</t>
  </si>
  <si>
    <t>34;38;75</t>
  </si>
  <si>
    <t>UniRef100_Q8WZ71;UniRef90_Q91XV7;UniRef50_Q91XV7</t>
  </si>
  <si>
    <t>OR8D1_HUMAN</t>
  </si>
  <si>
    <t>Olfactory receptor 8D1</t>
  </si>
  <si>
    <t>OR8D1</t>
  </si>
  <si>
    <t>NC:1-25;TM:26-48;CY:49-59;TM:60-78;NC:79-97;TM:98-119;CY:120-136;TM:137-157;NC:158-196;TM:197-222;CY:223-241;TM:242-260;NC:261-274;TM:275-292;CY:293-308</t>
  </si>
  <si>
    <t>ENSG00000196341</t>
  </si>
  <si>
    <t>ENSP00000350474</t>
  </si>
  <si>
    <t>5;186</t>
  </si>
  <si>
    <t>UniRef100_Q8WZ84;UniRef90_Q8WZ84;UniRef50_Q8WZ84</t>
  </si>
  <si>
    <t>OR5P2_HUMAN</t>
  </si>
  <si>
    <t>Olfactory receptor 5P2</t>
  </si>
  <si>
    <t>OR5P2</t>
  </si>
  <si>
    <t>NC:1-24;TM:25-44;CY:45-55;TM:56-74;NC:75-93;TM:94-116;CY:117-136;TM:137-161;NC:162-193;TM:194-219;CY:220-238;TM:239-257;NC:258-268;TM:269-288;CY:289-322</t>
  </si>
  <si>
    <t>ENSG00000183303;ENSG00000276025</t>
  </si>
  <si>
    <t>ENSP00000331823;ENSP00000480613</t>
  </si>
  <si>
    <t>8;38;259</t>
  </si>
  <si>
    <t>UniRef100_Q8WZ92;UniRef90_Q8WZ92;UniRef50_Q8NH85</t>
  </si>
  <si>
    <t>OR5P3_HUMAN</t>
  </si>
  <si>
    <t>Olfactory receptor 5P3</t>
  </si>
  <si>
    <t>OR5P3</t>
  </si>
  <si>
    <t>NC:1-24;TM:25-48;CY:49-59;TM:60-78;NC:79-97;TM:98-120;CY:121-139;TM:140-160;NC:161-199;TM:200-223;CY:224-242;TM:243-261;NC:262-272;TM:273-292;CY:293-311</t>
  </si>
  <si>
    <t>ENSG00000182334;ENSG00000278253</t>
  </si>
  <si>
    <t>ENSP00000332068;ENSP00000482237</t>
  </si>
  <si>
    <t>UniRef100_Q8WZ94;UniRef90_Q8WZ94;UniRef50_Q8WZ94</t>
  </si>
  <si>
    <t>OR1E3_HUMAN</t>
  </si>
  <si>
    <t>Olfactory receptor 1E3</t>
  </si>
  <si>
    <t>OR1E3</t>
  </si>
  <si>
    <t>NC:1-25;TM:26-49;CY:50-106;TM:107-131;NC:132-143;TM:144-164;CY:165-196;TM:197-222;NC:223-241;TM:242-261;CY:262-272;TM:273-292;NC:293-311;TM:312-334;CY:335-343</t>
  </si>
  <si>
    <t>UniRef100_Q8WZA6;UniRef90_Q8WZA6;UniRef50_Q8WZA6</t>
  </si>
  <si>
    <t>ENK8_HUMAN</t>
  </si>
  <si>
    <t>Endogenous retrovirus group K member 8 Env polyprotein</t>
  </si>
  <si>
    <t>ERVK-8</t>
  </si>
  <si>
    <t>UniRef100_Q902F8;UniRef90_O42043;UniRef50_O42043</t>
  </si>
  <si>
    <t>EN113_HUMAN</t>
  </si>
  <si>
    <t>Endogenous retrovirus group K member 113 Env polyprotein</t>
  </si>
  <si>
    <t>HERVK_113</t>
  </si>
  <si>
    <t>100;128;153;274;355;372;461;506;507;554;566;585</t>
  </si>
  <si>
    <t>UniRef100_Q902F9;UniRef90_O42043;UniRef50_O42043</t>
  </si>
  <si>
    <t>PIEZ1_HUMAN</t>
  </si>
  <si>
    <t>Piezo-type mechanosensitive ion channel component 1</t>
  </si>
  <si>
    <t>PIEZO1</t>
  </si>
  <si>
    <t>NC:1-11;TM:12-41;CY:42-61;TM:62-84;NC:85-121;TM:122-143;CY:144-189;TM:190-212;NC:213-217;TM:218-236;CY:237-247;TM:248-269;NC:270-309;TM:310-329;CY:330-411;TM:412-432;NC:433-437;TM:438-456;CY:457-462;TM:463-484;NC:485-508;TM:509-530;CY:531-578;TM:579-596;NC:597-601;TM:602-621;CY:622-627;TM:628-648;NC:649-679;TM:680-701;CY:702-807;TM:808-825;NC:826-830;TM:831-847;CY:848-853;TM:854-873;NC:874-926;TM:927-946;CY:947-984;TM:985-1007;NC:1008-1012;TM:1013-1029;CY:1030-1040;TM:1041-1063;NC:1064-1161;TM:1162-1179;CY:1180-1185;TM:1186-1205;NC:1206-1217;TM:1218-1240;CY:1241-1246;TM:1247-1264;NC:1265-1283;TM:1284-1302;CY:1303-1677;TM:1678-1697;NC:1698-1702;TM:1703-1722;CY:1723-1728;TM:1729-1749;NC:1750-1786;TM:1787-1806;CY:1807-1959;TM:1960-1983;NC:1984-2002;TM:2003-2022;CY:2023-2030;TM:2031-2052;NC:2053-2063;TM:2064-2081;CY:2082-2100;TM:2101-2121;NC:2122-2132;TM:2133-2149;CY:2150-2169;TM:2170-2193;NC:2194-2432;TM:2433-2455;CY:2456-2521</t>
  </si>
  <si>
    <t>ENSG00000103335</t>
  </si>
  <si>
    <t>ENSP00000301015</t>
  </si>
  <si>
    <t>295;658;885;892;1095;1222;2294;2331</t>
  </si>
  <si>
    <t>VVNPQEYSSN[115]CTEPFPN[115]STNLLPTEISQSLLYR;VVN[115]PQEYSSNCTEPFPN[115]STNLLPTEISQSLLYR;ELYN[115]GTADITLR;GGTVEYANEKHMLALAPN[115]STAR;HMLALAPN[115]STAR</t>
  </si>
  <si>
    <t>885;892;2294;2331</t>
  </si>
  <si>
    <t>Q92508</t>
  </si>
  <si>
    <t>Cell membrane (Multi-pass membrane protein);Endoplasmic reticulum membrane (Multi-pass membrane protein);Endoplasmic reticulum-Golgi intermediate compartment membrane</t>
  </si>
  <si>
    <t>Cell membrane;Coiled coil;Complete proteome;Direct protein sequencing;Disease mutation;Endoplasmic reticulum;Glycoprotein;Hereditary hemolytic anemia;Ion channel;Ion transport;Membrane;Phosphoprotein;Reference proteome;Transmembrane;Transmembrane helix;Transport</t>
  </si>
  <si>
    <t>UniRef100_Q92508;UniRef90_Q92508;UniRef50_Q92508</t>
  </si>
  <si>
    <t>YLAT2_HUMAN</t>
  </si>
  <si>
    <t>Y+L amino acid transporter 2</t>
  </si>
  <si>
    <t>SLC7A6</t>
  </si>
  <si>
    <t>CY:1-45;TM:46-65;NC:66-76;TM:77-99;CY:100-110;TM:111-130;NC:131-163;TM:164-185;CY:186-195;TM:196-214;NC:215-235;TM:236-256;CY:257-268;TM:269-292;NC:293-314;TM:315-338;CY:339-363;TM:364-383;NC:384-388;TM:389-411;CY:412-423;TM:424-445;NC:446-450;TM:451-471;CY:472-515</t>
  </si>
  <si>
    <t>ENSG00000103064</t>
  </si>
  <si>
    <t>ENSP00000219343;ENSP00000455064</t>
  </si>
  <si>
    <t>18;235;294;333;373</t>
  </si>
  <si>
    <t>Basolateral cell membrane (Multi- pass membrane protein)</t>
  </si>
  <si>
    <t>Amino-acid transport;Antiport;Cell membrane;Complete proteome;Disulfide bond;Membrane;Phosphoprotein;Reference proteome;Transmembrane;Transmembrane helix;Transport</t>
  </si>
  <si>
    <t>UniRef100_Q92536;UniRef90_Q92536;UniRef50_Q9UM01</t>
  </si>
  <si>
    <t>K0247_HUMAN</t>
  </si>
  <si>
    <t>Uncharacterized protein KIAA0247</t>
  </si>
  <si>
    <t>KIAA0247</t>
  </si>
  <si>
    <t>SP:1-39;NC:40-118;TM:119-142;CY:143-303</t>
  </si>
  <si>
    <t>ENSG00000100647</t>
  </si>
  <si>
    <t>ENSP00000344424</t>
  </si>
  <si>
    <t>Complete proteome;Disulfide bond;Membrane;Reference proteome;Signal;Sushi;Transmembrane;Transmembrane helix</t>
  </si>
  <si>
    <t>UniRef100_Q92537;UniRef90_Q92537;UniRef50_Q92537</t>
  </si>
  <si>
    <t>NICA_HUMAN</t>
  </si>
  <si>
    <t>Nicastrin</t>
  </si>
  <si>
    <t>NCSTN</t>
  </si>
  <si>
    <t>SP:1-33;NC:34-669;TM:670-690;CY:691-709</t>
  </si>
  <si>
    <t>ENSG00000162736</t>
  </si>
  <si>
    <t>ENSP00000294785</t>
  </si>
  <si>
    <t>45;55;187;200;204;264;387;417;435;464;506;530;562;573;580;612</t>
  </si>
  <si>
    <t>KIYIPLN[115]K;KIYIPLN[115]KTAPCVR;IYIPLN[115]KTAPCVR;LLN[115]ATHQIGC;LLN[115]ATHQIGCQSSISGDTGVIHVVEK;LKPIN[115]TTGTLKPDDR;PIN[115]TTGTLKPDDR;TSLELWMHTDPVSQKN[115]ESVR;MHTDPVSQKN[115]ESVR;HTDPVSQKN[115]ESVR;SGAGVPAVILRRPN[115]QSQPLPPSSLQR;RPN[115]QSQPLPPSSLQR;ARN[115]ISGVVLADHSGAFHNK;N[115]ISGVVLADHSGAFHNK;ALYELAGGTN[115]FSDTVQADPQTVTR;AN[115]NSWFQSILR;YALAN[115]LTGTVVN[115]LTR;ALAN[115]LTGTVVN[115]LTR;VPSENKDLYEYSWVQGPLHSN[115]ETDR;VPSENKDLYEYSWVQGPLHSN[115]ETDRLPR;DLYEYSWVQGPLHSN[115]ETDR;DLYEYSWVQGPLHSN[115]ETDRLPR;WVQGPLHSN[115]ETDR</t>
  </si>
  <si>
    <t>45;55;264;387;417;435;506;530;573;580;612</t>
  </si>
  <si>
    <t>Q92542</t>
  </si>
  <si>
    <t>Melanosome;Membrane (Single-pass type I membrane protein)</t>
  </si>
  <si>
    <t>3D-structure;Alternative splicing;Complete proteome;Disease mutation;Glycoprotein;Membrane;Notch signaling pathway;Polymorphism;Reference proteome;Signal;Transmembrane;Transmembrane helix</t>
  </si>
  <si>
    <t>UniRef100_Q92542;UniRef90_Q92542;UniRef50_Q92542</t>
  </si>
  <si>
    <t>Cytoskeleton;Cytosol;Endosome;Extracellular space;Mitochondrion;Nucleus;Peroxisome</t>
  </si>
  <si>
    <t>TM9S4_HUMAN</t>
  </si>
  <si>
    <t>Transmembrane 9 superfamily member 4</t>
  </si>
  <si>
    <t>TM9SF4</t>
  </si>
  <si>
    <t>SP:1-23;NC:24-277;TM:278-302;CY:303-345;TM:346-370;NC:371-376;TM:377-399;CY:400-413;TM:414-437;NC:438-448;TM:449-470;CY:471-499;TM:500-525;NC:526-530;TM:531-559;CY:560-569;TM:570-591;NC:592-602;TM:603-631;CY:632-642</t>
  </si>
  <si>
    <t>ENSG00000101337</t>
  </si>
  <si>
    <t>ENSP00000217315;ENSP00000381104</t>
  </si>
  <si>
    <t>Complete proteome;Membrane;Phosphoprotein;Reference proteome;Signal;Transmembrane;Transmembrane helix</t>
  </si>
  <si>
    <t>UniRef100_Q92544;UniRef90_Q92544;UniRef50_Q92544</t>
  </si>
  <si>
    <t>SL9A6_HUMAN</t>
  </si>
  <si>
    <t>Sodium/hydrogen exchanger 6</t>
  </si>
  <si>
    <t>SLC9A6</t>
  </si>
  <si>
    <t>SP:1-42;NC:43-71;TM:72-91;CY:92-102;TM:103-120;NC:121-149;TM:150-167;CY:168-178;TM:179-200;NC:201-248;TM:249-273;CY:274-292;TM:293-316;NC:317-335;TM:336-360;CY:361-380;TM:381-403;NC:404-412;TM:413-436;CY:437-447;TM:448-467;NC:468-472;TM:473-494;CY:495-669</t>
  </si>
  <si>
    <t>ENSG00000198689</t>
  </si>
  <si>
    <t>ENSP00000359732</t>
  </si>
  <si>
    <t>128;369;623</t>
  </si>
  <si>
    <t>Endosome membrane (Multi-pass membrane protein)</t>
  </si>
  <si>
    <t>Alternative splicing;Antiport;Complete proteome;Endosome;Epilepsy;Glycoprotein;Ion transport;Isopeptide bond;Membrane;Mental retardation;Reference proteome;Sodium;Sodium transport;Transmembrane;Transmembrane helix;Transport;Ubl conjugation</t>
  </si>
  <si>
    <t>UniRef100_Q92581;UniRef90_Q92581;UniRef50_Q92581</t>
  </si>
  <si>
    <t>SGCD_HUMAN</t>
  </si>
  <si>
    <t>Delta-sarcoglycan</t>
  </si>
  <si>
    <t>SGCD</t>
  </si>
  <si>
    <t>CY:1-32;TM:33-56;NC:57-289</t>
  </si>
  <si>
    <t>ENSG00000170624</t>
  </si>
  <si>
    <t>ENSP00000403003</t>
  </si>
  <si>
    <t>60;108;284</t>
  </si>
  <si>
    <t>N[115]VTVNILNDQTK;N[115]VTVN[115]ILNDQTK</t>
  </si>
  <si>
    <t>Q92629</t>
  </si>
  <si>
    <t>Alternative splicing;Cardiomyopathy;Cell membrane;Complete proteome;Cytoplasm;Cytoskeleton;Disease mutation;Disulfide bond;Glycoprotein;Limb-girdle muscular dystrophy;Membrane;Polymorphism;Reference proteome;Signal-anchor;Transmembrane;Transmembrane helix</t>
  </si>
  <si>
    <t>UniRef100_Q92629;UniRef90_Q92629;UniRef50_Q92629</t>
  </si>
  <si>
    <t>LPAR1_HUMAN</t>
  </si>
  <si>
    <t>Lysophosphatidic acid receptor 1</t>
  </si>
  <si>
    <t>LPAR1</t>
  </si>
  <si>
    <t>NC:1-50;TM:51-76;CY:77-83;TM:84-106;NC:107-124;TM:125-144;CY:145-163;TM:164-186;NC:187-205;TM:206-232;CY:233-254;TM:255-280;NC:281-294;TM:295-313;CY:314-364</t>
  </si>
  <si>
    <t>ENSG00000198121</t>
  </si>
  <si>
    <t>ENSP00000351755;ENSP00000363552;ENSP00000363553</t>
  </si>
  <si>
    <t>27;35;194;349</t>
  </si>
  <si>
    <t>27;35;194;333;349</t>
  </si>
  <si>
    <t>5;6;7;338;346;347</t>
  </si>
  <si>
    <t>Cell membrane (Multi-pass membrane protein);Cell surface</t>
  </si>
  <si>
    <t>UniRef100_Q92633;UniRef90_Q92633;UniRef50_Q92633</t>
  </si>
  <si>
    <t>FCGRB_HUMAN</t>
  </si>
  <si>
    <t>High affinity immunoglobulin gamma Fc receptor IB</t>
  </si>
  <si>
    <t>FCGR1B</t>
  </si>
  <si>
    <t>ENSG00000198019</t>
  </si>
  <si>
    <t>Adaptive immunity;Alternative splicing;Cell membrane;Complete proteome;Disulfide bond;Glycoprotein;IgG-binding protein;Immunity;Immunoglobulin domain;Membrane;Receptor;Reference proteome;Repeat;Signal;Transmembrane;Transmembrane helix</t>
  </si>
  <si>
    <t>UniRef100_Q92637;UniRef90_Q92637;UniRef50_Q92637</t>
  </si>
  <si>
    <t>DB00028</t>
  </si>
  <si>
    <t>SORL_HUMAN</t>
  </si>
  <si>
    <t>Sortilin-related receptor</t>
  </si>
  <si>
    <t>SORL1</t>
  </si>
  <si>
    <t>SP:1-28;NC:29-2136;TM:2137-2159;CY:2160-2214</t>
  </si>
  <si>
    <t>ENSG00000137642</t>
  </si>
  <si>
    <t>ENSP00000260197</t>
  </si>
  <si>
    <t>99;158;368;430;616;674;818;871;1035;1068;1164;1191;1246;1367;1458;1608;1706;1733;1809;1854;1894;1986;2010;2054;2069;2076;2092</t>
  </si>
  <si>
    <t>368;616;1068;1191;1246;1361;1458;1608;1706;1809;1854;1894;1986;2069;2076;2092</t>
  </si>
  <si>
    <t>31;61;109;188;232;241;253;327;450;530;542;571;610;633;804;848;892;895;922;932;935;975;978;1095;1096;1175;1186;1216;1342;1386;1397;1436;1488;1563;1575;1600;1673;1698;1734;1784;1821;1862;1952;2043</t>
  </si>
  <si>
    <t>VYGQVSLN[115]DSHNQMVVH;LTIVN[115]SSVLDRPR;SDEYN[115]CSSGMCIR;AASN[115]FTEIK;GIGN[115]WSDSK;VGN[115]LTAH;AIN[115]QTAVECTWTGPR;SLTTSLHN[115]K;SRN[115]STVEYTLNK;N[115]STVEYTLNK;LGN[115]TTDNFFK;MGHN[115]YTFTVQAR</t>
  </si>
  <si>
    <t>99;871;1164;1706;1733;1809;1854;1894;1986;2076;2092</t>
  </si>
  <si>
    <t>Q92673</t>
  </si>
  <si>
    <t>Endosome;Golgi apparatus;Membrane (Single-pass type I membrane protein);Secreted</t>
  </si>
  <si>
    <t>3D-structure;Alzheimer disease;Amyloidosis;Cholesterol metabolism;Cleavage on pair of basic residues;Complete proteome;Direct protein sequencing;Disease mutation;Disulfide bond;EGF-like domain;Endocytosis;Endosome;Glycoprotein;Golgi apparatus;LDL;Lipid metabolism;Lipid transport;Membrane;Neurodegeneration;Phosphoprotein;Polymorphism;Receptor;Reference proteome;Repeat;Secreted;Signal;Steroid metabolism;Sterol metabolism;Transmembrane;Transmembrane helix;Transport</t>
  </si>
  <si>
    <t>UniRef100_Q92673;UniRef90_Q92673;UniRef50_Q92673</t>
  </si>
  <si>
    <t>PVRL2_HUMAN</t>
  </si>
  <si>
    <t>Nectin-2</t>
  </si>
  <si>
    <t>PVRL2</t>
  </si>
  <si>
    <t>SP:1-31;NC:32-358;TM:359-382;CY:383-538</t>
  </si>
  <si>
    <t>ENSG00000130202</t>
  </si>
  <si>
    <t>ENSP00000252483</t>
  </si>
  <si>
    <t>CD112</t>
  </si>
  <si>
    <t>137;324</t>
  </si>
  <si>
    <t>TVEDEGN[115]YTCEFATFPK;AVDSLFN[115]TTFVCTVTNAVGMGR</t>
  </si>
  <si>
    <t>Q92692</t>
  </si>
  <si>
    <t>3D-structure;Alternative splicing;Cell adhesion;Cell membrane;Complete proteome;Disulfide bond;Glycoprotein;Host cell receptor for virus entry;Host-virus interaction;Immunoglobulin domain;Membrane;Phosphoprotein;Receptor;Reference proteome;Repeat;Signal;Transmembrane;Transmembrane helix</t>
  </si>
  <si>
    <t>UniRef100_Q92692;UniRef90_Q92692;UniRef50_Q92692</t>
  </si>
  <si>
    <t>PTPRU_HUMAN</t>
  </si>
  <si>
    <t>Receptor-type tyrosine-protein phosphatase U</t>
  </si>
  <si>
    <t>PTPRU</t>
  </si>
  <si>
    <t>SP:1-18;NC:19-745;TM:746-770;CY:771-1446</t>
  </si>
  <si>
    <t>ENSG00000060656</t>
  </si>
  <si>
    <t>ENSP00000334941</t>
  </si>
  <si>
    <t>75;95;134;205;410;432;548;586;685;787;1172;1207;1280;1325</t>
  </si>
  <si>
    <t>95;134;410;432;548;685;787</t>
  </si>
  <si>
    <t>Alternative splicing;Cell adhesion;Cell junction;Cell membrane;Complete proteome;Differentiation;Disulfide bond;Glycoprotein;Hydrolase;Immunoglobulin domain;Membrane;Phosphoprotein;Polymorphism;Protein phosphatase;Receptor;Reference proteome;Repeat;Signal;Transmembrane;Transmembrane helix</t>
  </si>
  <si>
    <t>UniRef100_Q92729;UniRef90_Q92729;UniRef50_Q92729</t>
  </si>
  <si>
    <t>NRCAM_HUMAN</t>
  </si>
  <si>
    <t>Neuronal cell adhesion molecule</t>
  </si>
  <si>
    <t>NRCAM</t>
  </si>
  <si>
    <t>SP:1-29;NC:30-1168;TM:1169-1190;CY:1191-1304</t>
  </si>
  <si>
    <t>ENSG00000091129</t>
  </si>
  <si>
    <t>ENSP00000368314;ENSP00000401244</t>
  </si>
  <si>
    <t>83;223;245;251;276;314;433;507;619;673;716;802;858;993;1009;1019;1072;1083;1115;1288</t>
  </si>
  <si>
    <t>83;223;245;251;276;314;433;507;619;673;716;749;802;858;962;993;1009;1019;1072;1083;1115;1288</t>
  </si>
  <si>
    <t>FN[115]HTQTIQQK;VISVDELN[115]DTIAAN[115]LSDTEFYGAK;DTIAAN[115]LSDTEFYGAK;ERPPTFLTPEGN[115]ASNK;ERPPTFLTPEGN[115]ASNKEELR;TPEGN[115]ASNKEELR;PEGN[115]ASNKEELR;GSALHEDIYVLHEN[115]GTLEIPVAQK;LSPYVN[115]YSFR;QKDGDDEWTSVVVAN[115]VSK;DGDDEWTSVVVAN[115]VSK;VNVVN[115]STLAEVHWDPVPL;VNVVN[115]STLAEVHWDPVPLK;VN[115]VVN[115]STLAEVHWDPVPLK;YQPIN[115]STHELGPL;YQPIN[115]STHELGPLVDLK;PIN[115]STHELGPLVDLK</t>
  </si>
  <si>
    <t>223;245;251;276;507;716;802;858;993</t>
  </si>
  <si>
    <t>Q92823</t>
  </si>
  <si>
    <t>UniRef100_Q92823;UniRef90_Q92823;UniRef50_Q92823</t>
  </si>
  <si>
    <t>PCSK5_HUMAN</t>
  </si>
  <si>
    <t>Proprotein convertase subtilisin/kexin type 5</t>
  </si>
  <si>
    <t>PCSK5</t>
  </si>
  <si>
    <t>SP:1-32;NC:33-1743;TM:1744-1764;CY:1765-1860</t>
  </si>
  <si>
    <t>ENSG00000099139</t>
  </si>
  <si>
    <t>ENSP00000446280</t>
  </si>
  <si>
    <t>225;381;665;752;802;852;1014;1191;1230;1290;1497;1561;1570;1685;1707;1786</t>
  </si>
  <si>
    <t>Secreted;Endomembrane system (Single- pass type I membrane protein)</t>
  </si>
  <si>
    <t>Alternative splicing;Cleavage on pair of basic residues;Complete proteome;Glycoprotein;Hydrolase;Membrane;Pregnancy;Protease;Reference proteome;Repeat;Secreted;Serine protease;Signal;Transmembrane;Transmembrane helix;Zymogen</t>
  </si>
  <si>
    <t>UniRef100_Q92824;UniRef90_Q92824;UniRef50_Q04592</t>
  </si>
  <si>
    <t>EDA_HUMAN</t>
  </si>
  <si>
    <t>Ectodysplasin-A</t>
  </si>
  <si>
    <t>EDA</t>
  </si>
  <si>
    <t>CY:1-40;TM:41-64;NC:65-391</t>
  </si>
  <si>
    <t>ENSG00000158813</t>
  </si>
  <si>
    <t>ENSP00000363680;ENSP00000481963</t>
  </si>
  <si>
    <t>313;372</t>
  </si>
  <si>
    <t>87;92;103;104;110;160;162;212;235</t>
  </si>
  <si>
    <t>3D-structure;Alternative splicing;Cell membrane;Cleavage on pair of basic residues;Collagen;Complete proteome;Developmental protein;Differentiation;Disease mutation;Ectodermal dysplasia;Glycoprotein;Membrane;Polymorphism;Reference proteome;Secreted;Signal-anchor;Transmembrane;Transmembrane helix</t>
  </si>
  <si>
    <t>UniRef100_Q92838;UniRef90_Q92838;UniRef50_Q92838</t>
  </si>
  <si>
    <t>Cytosol;Endosome;Golgi apparatus;Lysosome;Mitochondrion;Nucleus;Peroxisome</t>
  </si>
  <si>
    <t>GHSR_HUMAN</t>
  </si>
  <si>
    <t>Growth hormone secretagogue receptor type 1</t>
  </si>
  <si>
    <t>GHSR</t>
  </si>
  <si>
    <t>NC:1-41;TM:42-68;CY:69-79;TM:80-100;NC:101-119;TM:120-139;CY:140-159;TM:160-183;NC:184-211;TM:212-235;CY:236-263;TM:264-286;NC:287-305;TM:306-325;CY:326-366</t>
  </si>
  <si>
    <t>ENSG00000121853</t>
  </si>
  <si>
    <t>ENSP00000241256</t>
  </si>
  <si>
    <t>3;13;27;188</t>
  </si>
  <si>
    <t>Alternative splicing;Cell membrane;Complete proteome;Disease mutation;Disulfide bond;Dwarfism;G-protein coupled receptor;Glycoprotein;Membrane;Polymorphism;Receptor;Reference proteome;Transducer;Transmembrane;Transmembrane helix</t>
  </si>
  <si>
    <t>UniRef100_Q92847;UniRef90_Q92847;UniRef50_Q92847</t>
  </si>
  <si>
    <t>SEM4D_HUMAN</t>
  </si>
  <si>
    <t>Semaphorin-4D</t>
  </si>
  <si>
    <t>SEMA4D</t>
  </si>
  <si>
    <t>SP:1-23;NC:24-734;TM:735-756;CY:757-862</t>
  </si>
  <si>
    <t>ENSG00000187764</t>
  </si>
  <si>
    <t>ENSP00000348822;ENSP00000399948;ENSP00000388768;ENSP00000405102;ENSP00000416523</t>
  </si>
  <si>
    <t>CD100</t>
  </si>
  <si>
    <t>49;77;139;191;329;379;419;613;632</t>
  </si>
  <si>
    <t>657;659;663;670;676;677;681;684;690;691;692;696;707;824</t>
  </si>
  <si>
    <t>EVHLVQFHEPDIYN[115]YSALLLSEDKDTLYIGAR;EAVFAVNALN[115]ISEK;EAVFAVN[115]ALN[115]ISEK;AVFAVNALN[115]ISEK;VFAVNALN[115]ISEK;FAVNALN[115]ISEK;AVNALN[115]ISEK;VNALN[115]ISEK;NALN[115]ISEK;VLQPLSATSLYVCGTNAFQPACDHLN[115]LTSFK;SATSLYVCGTNAFQPACDHLN[115]LTSFK;TNAFQPACDHLN[115]LTSFK;GLSAVCAYN[115]LSTAEEVFSHGK;SAVCAYN[115]LSTAEEVFSHGK;VCAYN[115]LSTAEEVFSHGK;AAN[115]YTSSLNLPDK;AAN[115]YTSSLN[115]LPDK;N[115]YTSSLNLPDK;KDVN[115]YTQIVVDR;DVN[115]YTQIVVDR;VN[115]YTQIVVDR</t>
  </si>
  <si>
    <t>49;77;139;329;379;419</t>
  </si>
  <si>
    <t>Q92854</t>
  </si>
  <si>
    <t>3D-structure;Alternative splicing;Cell membrane;Complete proteome;Developmental protein;Differentiation;Disulfide bond;Glycoprotein;Immunoglobulin domain;Membrane;Neurogenesis;Polymorphism;Receptor;Reference proteome;Signal;Transmembrane;Transmembrane helix</t>
  </si>
  <si>
    <t>UniRef100_Q92854;UniRef90_Q92854;UniRef50_Q92854</t>
  </si>
  <si>
    <t>NEO1_HUMAN</t>
  </si>
  <si>
    <t>Neogenin</t>
  </si>
  <si>
    <t>NEO1</t>
  </si>
  <si>
    <t>SP:1-33;NC:34-1103;TM:1104-1128;CY:1129-1461</t>
  </si>
  <si>
    <t>ENSG00000067141</t>
  </si>
  <si>
    <t>ENSP00000261908;ENSP00000341198</t>
  </si>
  <si>
    <t>73;210;326;470;489;639;715;909;1146;1298</t>
  </si>
  <si>
    <t>210;326;470;715;909;1298</t>
  </si>
  <si>
    <t>GSSVILN[115]CSAYSEPSPK;LPSGMLVISN[115]ATEGDGGLYR;PSGMLVISN[115]ATEGDGGLYR;SGMLVISN[115]ATEGDGGLYR;LVISN[115]ATEGDGGLYR;ISN[115]ATEGDGGLYR;N[115]ATEGDGGLYR;TPASDPHGDN[115]LTYS;TPASDPHGDN[115]LTYSV;TPASDPHGDN[115]LTYSVF;TPASDPHGDN[115]LTYSVFY;TPASDPHGDN[115]LTYSVFYT;TPASDPHGDN[115]LTYSVFYTK;PASDPHGDN[115]LTYSVFYTK;ASDPHGDN[115]LTYSVFYTK;ERVEN[115]TSHPGEMQVTIQNLMPATVYIF;ERVEN[115]TSHPGEMQVTIQNLMPATVYIFR;VEN[115]TSHPGEMQVTIQNLMPATVYIFR;TLSDVPSAAPQN[115]LSLEVR;NAN[115]ATTLSYLVTGLKPN</t>
  </si>
  <si>
    <t>73;210;470;489;639;909</t>
  </si>
  <si>
    <t>Q92859</t>
  </si>
  <si>
    <t>UniRef100_Q92859;UniRef90_P97798-2;UniRef50_P97798</t>
  </si>
  <si>
    <t>MRP2_HUMAN</t>
  </si>
  <si>
    <t>Canalicular multispecific organic anion transporter 1</t>
  </si>
  <si>
    <t>ABCC2</t>
  </si>
  <si>
    <t>NC:1-30;TM:31-52;CY:53-63;TM:64-87;NC:88-98;TM:99-118;CY:119-128;TM:129-150;NC:151-161;TM:162-184;CY:185-316;TM:317-338;NC:339-357;TM:358-382;CY:383-436;TM:437-456;NC:457-461;TM:462-481;CY:482-542;TM:543-568;NC:569-587;TM:588-606;CY:607-970;TM:971-994;NC:995-1030;TM:1031-1052;CY:1053-1098;TM:1099-1116;NC:1117-1121;TM:1122-1142;CY:1143-1208;TM:1209-1229;NC:1230-1236;TM:1237-1256;CY:1257-1545</t>
  </si>
  <si>
    <t>ENSG00000023839</t>
  </si>
  <si>
    <t>ENSP00000359478</t>
  </si>
  <si>
    <t>7;12;188;279;712;760;836;1011;1216;1247;1400;1436;1541</t>
  </si>
  <si>
    <t>7;712;836;1011;1216;1247;1541</t>
  </si>
  <si>
    <t>IFN[115]STDYPASQR</t>
  </si>
  <si>
    <t>Q92887</t>
  </si>
  <si>
    <t>ATP-binding;Cell membrane;Complete proteome;Disease mutation;Glycoprotein;Membrane;Nucleotide-binding;Phosphoprotein;Polymorphism;Reference proteome;Repeat;Transmembrane;Transmembrane helix;Transport</t>
  </si>
  <si>
    <t>UniRef100_Q92887;UniRef90_Q92887;UniRef50_Q92887</t>
  </si>
  <si>
    <t>DB00171;DB01138</t>
  </si>
  <si>
    <t>SC5A5_HUMAN</t>
  </si>
  <si>
    <t>Sodium/iodide cotransporter</t>
  </si>
  <si>
    <t>SLC5A5</t>
  </si>
  <si>
    <t>NC:1-14;TM:15-35;CY:36-54;TM:55-75;NC:76-86;TM:87-111;CY:112-132;TM:133-156;NC:157-161;TM:162-181;CY:182-187;TM:188-211;NC:212-241;TM:242-261;CY:262-281;TM:282-307;NC:308-326;TM:327-348;CY:349-390;TM:391-411;NC:412-416;TM:417-437;CY:438-444;TM:445-466;NC:467-527;TM:528-549;CY:550-643</t>
  </si>
  <si>
    <t>ENSG00000105641</t>
  </si>
  <si>
    <t>ENSP00000222248</t>
  </si>
  <si>
    <t>225;489;502</t>
  </si>
  <si>
    <t>Complete proteome;Congenital hypothyroidism;Disease mutation;Glycoprotein;Ion transport;Membrane;Phosphoprotein;Polymorphism;Reference proteome;Sodium;Sodium transport;Symport;Transmembrane;Transmembrane helix;Transport</t>
  </si>
  <si>
    <t>UniRef100_Q92911;UniRef90_Q92911;UniRef50_Q92911</t>
  </si>
  <si>
    <t>PTPR2_HUMAN</t>
  </si>
  <si>
    <t>Receptor-type tyrosine-protein phosphatase N2</t>
  </si>
  <si>
    <t>PTPRN2</t>
  </si>
  <si>
    <t>SP:1-21;NC:22-614;TM:615-639;CY:640-1015</t>
  </si>
  <si>
    <t>ENSG00000155093</t>
  </si>
  <si>
    <t>ENSP00000374069</t>
  </si>
  <si>
    <t>564;760;774;802;898</t>
  </si>
  <si>
    <t>3D-structure;Acetylation;Alternative splicing;Complete proteome;Cytoplasmic vesicle;Glycoprotein;Hydrolase;Membrane;Polymorphism;Protein phosphatase;Receptor;Reference proteome;Signal;Transmembrane;Transmembrane helix</t>
  </si>
  <si>
    <t>UniRef100_Q92932;UniRef90_Q92932;UniRef50_Q92932</t>
  </si>
  <si>
    <t>TNR14_HUMAN</t>
  </si>
  <si>
    <t>Tumor necrosis factor receptor superfamily member 14</t>
  </si>
  <si>
    <t>TNFRSF14</t>
  </si>
  <si>
    <t>SP:1-38;NC:39-200;TM:201-224;CY:225-283</t>
  </si>
  <si>
    <t>ENSG00000157873;ENSG00000273936</t>
  </si>
  <si>
    <t>ENSP00000347948;ENSP00000478308</t>
  </si>
  <si>
    <t>CD270</t>
  </si>
  <si>
    <t>110;173</t>
  </si>
  <si>
    <t>265;266;275</t>
  </si>
  <si>
    <t>GGTESQDTLCQNCPPGTFSPN[115]GTLEECQHQTK</t>
  </si>
  <si>
    <t>Q92956</t>
  </si>
  <si>
    <t>3D-structure;Alternative splicing;Complete proteome;Direct protein sequencing;Disulfide bond;Glycoprotein;Host cell receptor for virus entry;Host-virus interaction;Membrane;Polymorphism;Receptor;Reference proteome;Repeat;Signal;Transmembrane;Transmembrane helix</t>
  </si>
  <si>
    <t>UniRef100_Q92956;UniRef90_Q92956;UniRef50_Q92956</t>
  </si>
  <si>
    <t>SO2A1_HUMAN</t>
  </si>
  <si>
    <t>Solute carrier organic anion transporter family member 2A1</t>
  </si>
  <si>
    <t>SLCO2A1</t>
  </si>
  <si>
    <t>CY:1-30;TM:31-51;NC:52-70;TM:71-92;CY:93-99;TM:100-121;NC:122-168;TM:169-190;CY:191-209;TM:210-234;NC:235-253;TM:254-278;CY:279-321;TM:322-346;NC:347-361;TM:362-386;CY:387-396;TM:397-418;NC:419-513;TM:514-538;CY:539-550;TM:551-568;NC:569-606;TM:607-628;CY:629-643</t>
  </si>
  <si>
    <t>ENSG00000174640</t>
  </si>
  <si>
    <t>ENSP00000311291</t>
  </si>
  <si>
    <t>134;478;491</t>
  </si>
  <si>
    <t>HAGCSNIN[115]MSSATSK</t>
  </si>
  <si>
    <t>Q92959</t>
  </si>
  <si>
    <t>3D-structure;Cell membrane;Complete proteome;Disease mutation;Disulfide bond;Glycoprotein;Membrane;Polymorphism;Reference proteome;Transmembrane;Transmembrane helix;Transport</t>
  </si>
  <si>
    <t>UniRef100_Q92959;UniRef90_Q92959;UniRef50_Q92959</t>
  </si>
  <si>
    <t>IGSF2_HUMAN</t>
  </si>
  <si>
    <t>Immunoglobulin superfamily member 2</t>
  </si>
  <si>
    <t>CD101</t>
  </si>
  <si>
    <t>SP:1-20;NC:21-954;TM:955-979;CY:980-1021</t>
  </si>
  <si>
    <t>ENSG00000134256</t>
  </si>
  <si>
    <t>ENSP00000256652;ENSP00000358482</t>
  </si>
  <si>
    <t>44;287;322;598;721;788;823</t>
  </si>
  <si>
    <t>AEGYPVSIGCN[115]VTGH;DPQLQGIWFFN[115]GTEIAH;ITHN[115]GTIEWGNFLSR;STN[115]ASWLK;VYWTEN[115]VTEHR;WTEN[115]VTEHR</t>
  </si>
  <si>
    <t>44;322;598;721;823</t>
  </si>
  <si>
    <t>Q93033</t>
  </si>
  <si>
    <t>UniRef100_Q93033;UniRef90_Q93033;UniRef50_Q93033</t>
  </si>
  <si>
    <t>TNR25_HUMAN</t>
  </si>
  <si>
    <t>Tumor necrosis factor receptor superfamily member 25</t>
  </si>
  <si>
    <t>TNFRSF25</t>
  </si>
  <si>
    <t>SP:1-24;NC:25-200;TM:201-223;CY:224-417</t>
  </si>
  <si>
    <t>ENSG00000215788</t>
  </si>
  <si>
    <t>ENSP00000349341;ENSP00000434129</t>
  </si>
  <si>
    <t>67;106</t>
  </si>
  <si>
    <t>ALEN[115]CSAVADTR</t>
  </si>
  <si>
    <t>Q93038</t>
  </si>
  <si>
    <t>Cell membrane (Single-pass type I membrane protein);Secreted;Cell membrane (Single-pass type I membrane protein);Secreted;Cell membrane (Single-pass type I membrane protein);Secreted;Secreted;Secreted;Secreted;Secreted;Secreted;Cell membrane (Single-pass type I membrane protein)</t>
  </si>
  <si>
    <t>Alternative splicing;Apoptosis;Cell membrane;Complete proteome;Disulfide bond;Glycoprotein;Membrane;Polymorphism;Receptor;Reference proteome;Repeat;Secreted;Signal;Transmembrane;Transmembrane helix</t>
  </si>
  <si>
    <t>UniRef100_Q93038;UniRef90_Q93038;UniRef50_Q93038</t>
  </si>
  <si>
    <t>NAR4_HUMAN</t>
  </si>
  <si>
    <t>Ecto-ADP-ribosyltransferase 4</t>
  </si>
  <si>
    <t>ART4</t>
  </si>
  <si>
    <t>SP:1-46;NC:47-314</t>
  </si>
  <si>
    <t>ENSG00000111339</t>
  </si>
  <si>
    <t>ENSP00000228936</t>
  </si>
  <si>
    <t>CD297</t>
  </si>
  <si>
    <t>114;178;222;257;274</t>
  </si>
  <si>
    <t>Blood group antigen;Cell membrane;Complete proteome;Disulfide bond;Glycoprotein;Glycosyltransferase;GPI-anchor;Lipoprotein;Membrane;NAD;NADP;Polymorphism;Reference proteome;Signal;Transferase</t>
  </si>
  <si>
    <t>UniRef100_Q93070;UniRef90_Q93070;UniRef50_Q93070</t>
  </si>
  <si>
    <t>1B38_HUMAN</t>
  </si>
  <si>
    <t>HLA class I histocompatibility antigen, B-38 alpha chain</t>
  </si>
  <si>
    <t>UniRef100_Q95365;UniRef90_P01889;UniRef50_P01892</t>
  </si>
  <si>
    <t>HMR1_HUMAN</t>
  </si>
  <si>
    <t>Major histocompatibility complex class I-related gene protein</t>
  </si>
  <si>
    <t>MR1</t>
  </si>
  <si>
    <t>SP:1-22;NC:23-300;TM:301-323;CY:324-341</t>
  </si>
  <si>
    <t>ENSG00000153029</t>
  </si>
  <si>
    <t>ENSP00000356552;ENSP00000477563</t>
  </si>
  <si>
    <t>HYN[115]HSGSHTYQR;YN[115]HSGSHTYQR</t>
  </si>
  <si>
    <t>Q95460</t>
  </si>
  <si>
    <t>Cell membrane (Single-pass membrane protein|Extracellular side;Endoplasmic reticulum;Cell membrane (Single-pass type I membrane protein);Endoplasmic reticulum membrane;Secreted</t>
  </si>
  <si>
    <t>3D-structure;Alternative splicing;Cell membrane;Complete proteome;Disulfide bond;Endoplasmic reticulum;Glycoprotein;Immunity;Immunoglobulin domain;Innate immunity;Membrane;MHC I;Polymorphism;Reference proteome;Secreted;Signal;Transmembrane;Transmembrane helix</t>
  </si>
  <si>
    <t>UniRef100_Q95460;UniRef90_Q95460;UniRef50_Q95460</t>
  </si>
  <si>
    <t>1C17_HUMAN</t>
  </si>
  <si>
    <t>HLA class I histocompatibility antigen, Cw-17 alpha chain</t>
  </si>
  <si>
    <t>SP:1-24;NC:25-315;TM:316-338;CY:339-372</t>
  </si>
  <si>
    <t>UniRef100_Q95604;UniRef90_P30499;UniRef50_P01892</t>
  </si>
  <si>
    <t>2B1C_HUMAN</t>
  </si>
  <si>
    <t>HLA class II histocompatibility antigen, DRB1-12 beta chain</t>
  </si>
  <si>
    <t>ENSG00000206306;ENSG00000206240;ENSG00000228080</t>
  </si>
  <si>
    <t>ENSP00000331343;ENSP00000382378;ENSP00000408795;ENSP00000412168;ENSP00000403458;ENSP00000392280</t>
  </si>
  <si>
    <t>UniRef100_Q95IE3;UniRef90_P13762;UniRef50_P01920</t>
  </si>
  <si>
    <t>KISSR_HUMAN</t>
  </si>
  <si>
    <t>KiSS-1 receptor</t>
  </si>
  <si>
    <t>KISS1R</t>
  </si>
  <si>
    <t>NC:1-42;TM:43-68;CY:69-79;TM:80-104;NC:105-119;TM:120-138;CY:139-157;TM:158-180;NC:181-204;TM:205-227;CY:228-263;TM:264-286;NC:287-305;TM:306-326;CY:327-398</t>
  </si>
  <si>
    <t>ENSG00000116014</t>
  </si>
  <si>
    <t>ENSP00000234371</t>
  </si>
  <si>
    <t>10;18;28</t>
  </si>
  <si>
    <t>Cell membrane;Complete proteome;Disease mutation;Disulfide bond;G-protein coupled receptor;Glycoprotein;Hypogonadotropic hypogonadism;Membrane;Polymorphism;Receptor;Reference proteome;Transducer;Transmembrane;Transmembrane helix</t>
  </si>
  <si>
    <t>UniRef100_Q969F8;UniRef90_Q969F8;UniRef50_Q969F8</t>
  </si>
  <si>
    <t>S38A4_HUMAN</t>
  </si>
  <si>
    <t>Sodium-coupled neutral amino acid transporter 4</t>
  </si>
  <si>
    <t>SLC38A4</t>
  </si>
  <si>
    <t>NC:1-103;TM:104-127;CY:128-149;TM:150-173;NC:174-193;TM:194-215;CY:216-220;TM:221-242;NC:243-332;TM:333-353;CY:354-368;TM:369-390;NC:391-409;TM:410-433;CY:434-452;TM:453-471;NC:472-476;TM:477-501;CY:502-512;TM:513-539;NC:540-547</t>
  </si>
  <si>
    <t>ENSG00000139209</t>
  </si>
  <si>
    <t>ENSP00000266579;ENSP00000389843</t>
  </si>
  <si>
    <t>83;260;264;276;369</t>
  </si>
  <si>
    <t>Amino-acid transport;Cell membrane;Complete proteome;Disulfide bond;Glycoprotein;Ion transport;Membrane;Polymorphism;Reference proteome;Sodium;Sodium transport;Symport;Transmembrane;Transmembrane helix;Transport</t>
  </si>
  <si>
    <t>UniRef100_Q969I6;UniRef90_Q969I6;UniRef50_Q8R1S9</t>
  </si>
  <si>
    <t>PIGT_HUMAN</t>
  </si>
  <si>
    <t>GPI transamidase component PIG-T</t>
  </si>
  <si>
    <t>PIGT</t>
  </si>
  <si>
    <t>SP:1-23;NC:24-523;TM:524-547;CY:548-578</t>
  </si>
  <si>
    <t>ENSG00000124155</t>
  </si>
  <si>
    <t>ENSP00000279036</t>
  </si>
  <si>
    <t>164;185;291;327</t>
  </si>
  <si>
    <t>ASFKPLGLAN[115]DTDHYFLR;FKPLGLAN[115]DTDHYFLR;PLGLAN[115]DTDHYFLR;KTYAIYDLLDTAMIN[115]NSR;TYAIYDLLDTAMIN[115]NSR;TYAIYDLLDTAMIN[115]N[115]SR</t>
  </si>
  <si>
    <t>164;327</t>
  </si>
  <si>
    <t>Q969N2</t>
  </si>
  <si>
    <t>Alternative splicing;Complete proteome;Direct protein sequencing;Disease mutation;Disulfide bond;Endoplasmic reticulum;Epilepsy;Glycoprotein;GPI-anchor biosynthesis;Membrane;Polymorphism;Reference proteome;Signal;Transmembrane;Transmembrane helix</t>
  </si>
  <si>
    <t>UniRef100_Q969N2;UniRef90_Q969N2;UniRef50_Q969N2</t>
  </si>
  <si>
    <t>TAAR8_HUMAN</t>
  </si>
  <si>
    <t>Trace amine-associated receptor 8</t>
  </si>
  <si>
    <t>TAAR8</t>
  </si>
  <si>
    <t>NC:1-32;TM:33-56;CY:57-67;TM:68-90;NC:91-111;TM:112-131;CY:132-142;TM:143-168;NC:169-196;TM:197-219;CY:220-254;TM:255-275;NC:276-280;TM:281-301;CY:302-342</t>
  </si>
  <si>
    <t>ENSG00000146385</t>
  </si>
  <si>
    <t>ENSP00000275200</t>
  </si>
  <si>
    <t>4;18</t>
  </si>
  <si>
    <t>UniRef100_Q969N4;UniRef90_Q969N4;UniRef50_Q96RI8</t>
  </si>
  <si>
    <t>IGSF8_HUMAN</t>
  </si>
  <si>
    <t>Immunoglobulin superfamily member 8</t>
  </si>
  <si>
    <t>IGSF8</t>
  </si>
  <si>
    <t>SP:1-27;NC:28-579;TM:580-606;CY:607-613</t>
  </si>
  <si>
    <t>ENSG00000162729</t>
  </si>
  <si>
    <t>ENSP00000316664;ENSP00000357065;ENSP00000477565</t>
  </si>
  <si>
    <t>CD316</t>
  </si>
  <si>
    <t>50;327;463</t>
  </si>
  <si>
    <t>IGPGEPLELLCN[115]VSGALPPAGR;GETASLLCN[115]ISVR;SLLCN[115]ISVR</t>
  </si>
  <si>
    <t>327;463</t>
  </si>
  <si>
    <t>Q969P0</t>
  </si>
  <si>
    <t>Alternative splicing;Cell membrane;Complete proteome;Direct protein sequencing;Disulfide bond;Glycoprotein;Immunoglobulin domain;Lipoprotein;Membrane;Palmitate;Reference proteome;Repeat;Signal;Transmembrane;Transmembrane helix</t>
  </si>
  <si>
    <t>UniRef100_Q969P0;UniRef90_Q969P0;UniRef50_Q969P0</t>
  </si>
  <si>
    <t>MCHR2_HUMAN</t>
  </si>
  <si>
    <t>Melanin-concentrating hormone receptor 2</t>
  </si>
  <si>
    <t>MCHR2</t>
  </si>
  <si>
    <t>NC:1-35;TM:36-60;CY:61-70;TM:71-93;NC:94-101;TM:102-130;CY:131-152;TM:153-171;NC:172-196;TM:197-223;CY:224-251;TM:252-272;NC:273-285;TM:286-309;CY:310-340</t>
  </si>
  <si>
    <t>ENSG00000152034</t>
  </si>
  <si>
    <t>ENSP00000281806;ENSP00000358214</t>
  </si>
  <si>
    <t>10;17</t>
  </si>
  <si>
    <t>UniRef100_Q969V1;UniRef90_Q969V1;UniRef50_Q969V1</t>
  </si>
  <si>
    <t>PMEPA_HUMAN</t>
  </si>
  <si>
    <t>Protein TMEPAI</t>
  </si>
  <si>
    <t>PMEPA1</t>
  </si>
  <si>
    <t>NC:1-40;TM:41-65;CY:66-287</t>
  </si>
  <si>
    <t>ENSG00000124225</t>
  </si>
  <si>
    <t>ENSP00000345826</t>
  </si>
  <si>
    <t>8;19;188</t>
  </si>
  <si>
    <t>GVN[115]STAAAAAGQPN[115]VSCTCNCK</t>
  </si>
  <si>
    <t>8;19</t>
  </si>
  <si>
    <t>Q969W9</t>
  </si>
  <si>
    <t>Early endosome membrane (Single-pass membrane protein);Golgi apparatus membrane (Single-pass membrane protein)</t>
  </si>
  <si>
    <t>Alternative splicing;Complete proteome;Endosome;Golgi apparatus;Membrane;Polymorphism;Reference proteome;Repeat;Signal transduction inhibitor;Transmembrane;Transmembrane helix;Ubl conjugation pathway</t>
  </si>
  <si>
    <t>UniRef100_Q969W9;UniRef90_Q969W9;UniRef50_Q969W9</t>
  </si>
  <si>
    <t>TR19L_HUMAN</t>
  </si>
  <si>
    <t>Tumor necrosis factor receptor superfamily member 19L</t>
  </si>
  <si>
    <t>RELT</t>
  </si>
  <si>
    <t>SP:1-25;NC:26-160;TM:161-185;CY:186-430</t>
  </si>
  <si>
    <t>ENSG00000054967</t>
  </si>
  <si>
    <t>ENSP00000064780;ENSP00000377207</t>
  </si>
  <si>
    <t>Cell membrane;Complete proteome;Cytoplasm;Direct protein sequencing;Disulfide bond;Glycoprotein;Membrane;Phosphoprotein;Polymorphism;Receptor;Reference proteome;Signal;Transmembrane;Transmembrane helix</t>
  </si>
  <si>
    <t>UniRef100_Q969Z4;UniRef90_Q969Z4;UniRef50_Q969Z4</t>
  </si>
  <si>
    <t>T106A_HUMAN</t>
  </si>
  <si>
    <t>Transmembrane protein 106A</t>
  </si>
  <si>
    <t>TMEM106A</t>
  </si>
  <si>
    <t>CY:1-93;TM:94-115;NC:116-262</t>
  </si>
  <si>
    <t>ENSG00000184988</t>
  </si>
  <si>
    <t>ENSP00000466820;ENSP00000483246</t>
  </si>
  <si>
    <t>16;32;127;141;147;250</t>
  </si>
  <si>
    <t>Alternative splicing;Complete proteome;Membrane;Reference proteome;Transmembrane;Transmembrane helix</t>
  </si>
  <si>
    <t>UniRef100_Q96A25;UniRef90_Q96A25;UniRef50_Q96A25</t>
  </si>
  <si>
    <t>SLAF9_HUMAN</t>
  </si>
  <si>
    <t>SLAM family member 9</t>
  </si>
  <si>
    <t>SLAMF9</t>
  </si>
  <si>
    <t>SP:1-18;NC:19-235;TM:236-258;CY:259-289</t>
  </si>
  <si>
    <t>ENSG00000162723</t>
  </si>
  <si>
    <t>ENSP00000357072</t>
  </si>
  <si>
    <t>99;208</t>
  </si>
  <si>
    <t>UniRef100_Q96A28;UniRef90_Q96A28;UniRef50_Q96A28</t>
  </si>
  <si>
    <t>MRGRF_HUMAN</t>
  </si>
  <si>
    <t>Mas-related G-protein coupled receptor member F</t>
  </si>
  <si>
    <t>MRGPRF</t>
  </si>
  <si>
    <t>NC:1-48;TM:49-69;CY:70-80;TM:81-101;NC:102-120;TM:121-139;CY:140-158;TM:159-181;NC:182-199;TM:200-222;CY:223-239;TM:240-262;NC:263-273;TM:274-294;CY:295-343</t>
  </si>
  <si>
    <t>ENSG00000172935</t>
  </si>
  <si>
    <t>ENSP00000309782;ENSP00000403660</t>
  </si>
  <si>
    <t>4;283;341</t>
  </si>
  <si>
    <t>AGN[115]CSWEAHPGNR</t>
  </si>
  <si>
    <t>Q96AM1</t>
  </si>
  <si>
    <t>UniRef100_Q96AM1;UniRef90_Q96AM1;UniRef50_Q96AM1</t>
  </si>
  <si>
    <t>ESAM_HUMAN</t>
  </si>
  <si>
    <t>Endothelial cell-selective adhesion molecule</t>
  </si>
  <si>
    <t>ESAM</t>
  </si>
  <si>
    <t>SP:1-29;NC:30-246;TM:247-271;CY:272-390</t>
  </si>
  <si>
    <t>ENSG00000149564</t>
  </si>
  <si>
    <t>ENSP00000278927</t>
  </si>
  <si>
    <t>108;169;213;236;307</t>
  </si>
  <si>
    <t>157;193;196;301;305;312;315;334;336;339;344;349;350;359</t>
  </si>
  <si>
    <t>VGAN[115]VTLSCQSPR;GSLSLTN[115]LSSSMAGVYVCK</t>
  </si>
  <si>
    <t>169;213</t>
  </si>
  <si>
    <t>Q96AP7</t>
  </si>
  <si>
    <t>Cell junction, adherens junction;Cell junction, tight junction;Cell membrane (Single-pass type I membrane protein)</t>
  </si>
  <si>
    <t>Alternative splicing;Cell adhesion;Cell junction;Cell membrane;Complete proteome;Direct protein sequencing;Disulfide bond;Glycoprotein;Immunoglobulin domain;Membrane;Polymorphism;Reference proteome;Repeat;Signal;Tight junction;Transmembrane;Transmembrane helix</t>
  </si>
  <si>
    <t>UniRef100_Q96AP7;UniRef90_Q96AP7;UniRef50_Q925F2</t>
  </si>
  <si>
    <t>RGMA_HUMAN</t>
  </si>
  <si>
    <t>Repulsive guidance molecule A</t>
  </si>
  <si>
    <t>RGMA</t>
  </si>
  <si>
    <t>SP:1-45;NC:46-450</t>
  </si>
  <si>
    <t>ENSG00000182175</t>
  </si>
  <si>
    <t>ENSP00000330005;ENSP00000404442;ENSP00000440025;ENSP00000442498</t>
  </si>
  <si>
    <t>114;159;389</t>
  </si>
  <si>
    <t>Alternative splicing;Autocatalytic cleavage;Cell membrane;Complete proteome;Disulfide bond;Glycoprotein;GPI-anchor;Lipoprotein;Membrane;Polymorphism;Reference proteome;Signal</t>
  </si>
  <si>
    <t>UniRef100_Q96B86;UniRef90_Q6PCX7;UniRef50_Q6PCX7</t>
  </si>
  <si>
    <t>SO4A1_HUMAN</t>
  </si>
  <si>
    <t>Solute carrier organic anion transporter family member 4A1</t>
  </si>
  <si>
    <t>SLCO4A1</t>
  </si>
  <si>
    <t>CY:1-104;TM:105-124;NC:125-143;TM:144-164;CY:165-171;TM:172-192;NC:193-227;TM:228-247;CY:248-266;TM:267-290;NC:291-308;TM:309-331;CY:332-383;TM:384-404;NC:405-423;TM:424-444;CY:445-453;TM:454-474;NC:475-578;TM:579-601;CY:602-612;TM:613-638;NC:639-665;TM:666-689;CY:690-722</t>
  </si>
  <si>
    <t>ENSG00000101187</t>
  </si>
  <si>
    <t>ENSP00000217159;ENSP00000359538</t>
  </si>
  <si>
    <t>499;557</t>
  </si>
  <si>
    <t>DCSCIPQN[115]LSSGFGH;DCSCIPQN[115]LSSGFGHATAGK;CSCIPQN[115]LSSGFGHATAGK;PQN[115]LSSGFGHATAGK</t>
  </si>
  <si>
    <t>Q96BD0</t>
  </si>
  <si>
    <t>Alternative splicing;Cell membrane;Complete proteome;Disulfide bond;Glycoprotein;Ion transport;Membrane;Phosphoprotein;Polymorphism;Reference proteome;Transmembrane;Transmembrane helix;Transport</t>
  </si>
  <si>
    <t>UniRef100_Q96BD0;UniRef90_Q96BD0;UniRef50_Q96BD0</t>
  </si>
  <si>
    <t>TMIG2_HUMAN</t>
  </si>
  <si>
    <t>Transmembrane and immunoglobulin domain-containing protein 2</t>
  </si>
  <si>
    <t>TMIGD2</t>
  </si>
  <si>
    <t>SP:1-22;NC:23-149;TM:150-173;CY:174-282</t>
  </si>
  <si>
    <t>ENSG00000167664</t>
  </si>
  <si>
    <t>ENSP00000301272</t>
  </si>
  <si>
    <t>73;105;127</t>
  </si>
  <si>
    <t>ITN[115]GSLSLGVCGPQGR;AAVEIPELEEAEGN[115]ITR;VEIPELEEAEGN[115]ITR;EIPELEEAEGN[115]ITR;IPELEEAEGN[115]ITR;ELEEAEGN[115]ITR</t>
  </si>
  <si>
    <t>73;127</t>
  </si>
  <si>
    <t>Q96BF3</t>
  </si>
  <si>
    <t>Alternative splicing;Cell membrane;Complete proteome;Direct protein sequencing;Disulfide bond;Glycoprotein;Immunoglobulin domain;Membrane;Phosphoprotein;Polymorphism;Reference proteome;Signal;Transmembrane;Transmembrane helix</t>
  </si>
  <si>
    <t>UniRef100_Q96BF3;UniRef90_Q96BF3;UniRef50_Q96BF3</t>
  </si>
  <si>
    <t>T4S18_HUMAN</t>
  </si>
  <si>
    <t>Transmembrane 4 L6 family member 18</t>
  </si>
  <si>
    <t>TM4SF18</t>
  </si>
  <si>
    <t>CY:1-8;TM:9-30;NC:31-45;TM:46-70;CY:71-90;TM:91-115;NC:116-158;TM:159-181;CY:182-201</t>
  </si>
  <si>
    <t>ENSG00000163762</t>
  </si>
  <si>
    <t>ENSP00000296059;ENSP00000419278</t>
  </si>
  <si>
    <t>UniRef100_Q96CE8;UniRef90_Q96CE8;UniRef50_Q96CE8</t>
  </si>
  <si>
    <t>GP146_HUMAN</t>
  </si>
  <si>
    <t>Probable G-protein coupled receptor 146</t>
  </si>
  <si>
    <t>GPR146</t>
  </si>
  <si>
    <t>NC:1-28;TM:29-53;CY:54-64;TM:65-85;NC:86-104;TM:105-125;CY:126-146;TM:147-167;NC:168-189;TM:190-213;CY:214-233;TM:234-259;NC:260-279;TM:280-299;CY:300-333</t>
  </si>
  <si>
    <t>ENSG00000164849</t>
  </si>
  <si>
    <t>ENSP00000297468;ENSP00000380283</t>
  </si>
  <si>
    <t>8;110;300</t>
  </si>
  <si>
    <t>UniRef100_Q96CH1;UniRef90_Q96CH1;UniRef50_Q96CH1</t>
  </si>
  <si>
    <t>NTNG2_HUMAN</t>
  </si>
  <si>
    <t>Netrin-G2</t>
  </si>
  <si>
    <t>NTNG2</t>
  </si>
  <si>
    <t>SP:1-17;NC:18-530</t>
  </si>
  <si>
    <t>122;128;310;395;422</t>
  </si>
  <si>
    <t>Cell membrane (Lipid-anchor, GPI-anchor|Extracellular side</t>
  </si>
  <si>
    <t>3D-structure;Alternative splicing;Cell membrane;Complete proteome;Developmental protein;Differentiation;Disulfide bond;Glycoprotein;GPI-anchor;Laminin EGF-like domain;Lipoprotein;Membrane;Neurogenesis;Polymorphism;Reference proteome;Repeat;Signal</t>
  </si>
  <si>
    <t>UniRef100_Q96CW9;UniRef90_Q96CW9;UniRef50_Q8R4F1</t>
  </si>
  <si>
    <t>HAVR1_HUMAN</t>
  </si>
  <si>
    <t>Hepatitis A virus cellular receptor 1</t>
  </si>
  <si>
    <t>HAVCR1</t>
  </si>
  <si>
    <t>SP:1-20;NC:21-290;TM:291-311;CY:312-359</t>
  </si>
  <si>
    <t>ENSG00000113249</t>
  </si>
  <si>
    <t>ENSP00000344844;ENSP00000427898</t>
  </si>
  <si>
    <t>65;258;272;286</t>
  </si>
  <si>
    <t>140;142;143;146;147;148;149;152;153;154;155;158;159;160;163;164;166;195;196;200;201;202;204;205;222;223;225;226;235;236;246;247;248;252;254;255;262;264;265;281</t>
  </si>
  <si>
    <t>Complete proteome;Disulfide bond;Glycoprotein;Host cell receptor for virus entry;Host-virus interaction;Immunoglobulin domain;Membrane;Polymorphism;Receptor;Reference proteome;Repeat;Signal;Transmembrane;Transmembrane helix</t>
  </si>
  <si>
    <t>UniRef100_Q96D42;UniRef90_Q96D42;UniRef50_Q96D42</t>
  </si>
  <si>
    <t>SHSA4_HUMAN</t>
  </si>
  <si>
    <t>Protein shisa-4</t>
  </si>
  <si>
    <t>SHISA4</t>
  </si>
  <si>
    <t>SP:1-27;NC:28-87;TM:88-114;CY:115-197</t>
  </si>
  <si>
    <t>ENSG00000198892</t>
  </si>
  <si>
    <t>ENSP00000355064</t>
  </si>
  <si>
    <t>UniRef100_Q96DD7;UniRef90_Q96DD7;UniRef50_Q96DD7</t>
  </si>
  <si>
    <t>SLAF6_HUMAN</t>
  </si>
  <si>
    <t>SLAM family member 6</t>
  </si>
  <si>
    <t>SLAMF6</t>
  </si>
  <si>
    <t>SP:1-21;NC:22-225;TM:226-248;CY:249-332</t>
  </si>
  <si>
    <t>ENSG00000162739</t>
  </si>
  <si>
    <t>ENSP00000357036</t>
  </si>
  <si>
    <t>CD352</t>
  </si>
  <si>
    <t>58;87;137;144;161;178;203;281;303;313</t>
  </si>
  <si>
    <t>LFN[115]ETSLAFIVPHETK;RLN[115]FTQSY;RLN[115]FTQSYSLQ;RLN[115]FTQSYSLQLSNLK;LN[115]FTQSYSLQLSNLK;NIQVTN[115]HSQ;NIQVTN[115]HSQLFQN[115]MTC;IQVTN[115]HSQLFQN[115]MTCELHLTCSVEDADDN[115]VSFR;SVEDADDN[115]VSFR;WEALGNTLSSQPN[115]LTVSWDPR;GNTLSSQPN[115]LTVSWDPR;NTLSSQPN[115]LTVSWDPR;TLSSQPN[115]LTVSWDPR;LSSQPN[115]LTVSWDPR;SSQPN[115]LTVSWDPR;SQPN[115]LTVSWDPR;ISSEQDYTCIAENAVSN[115]LSF;ISSEQDYTCIAENAVSN[115]LSFSVSAQK;ISSEQDYTCIAEN[115]AVSN[115]LSFSVSAQK</t>
  </si>
  <si>
    <t>58;87;137;144;161;178;203</t>
  </si>
  <si>
    <t>Q96DU3</t>
  </si>
  <si>
    <t>3D-structure;Alternative splicing;Cell membrane;Complete proteome;Direct protein sequencing;Disulfide bond;Glycoprotein;Immunoglobulin domain;Membrane;Phosphoprotein;Receptor;Reference proteome;Signal;Transmembrane;Transmembrane helix</t>
  </si>
  <si>
    <t>UniRef100_Q96DU3;UniRef90_Q96DU3;UniRef50_Q96DU3</t>
  </si>
  <si>
    <t>KLRG1_HUMAN</t>
  </si>
  <si>
    <t>Killer cell lectin-like receptor subfamily G member 1</t>
  </si>
  <si>
    <t>KLRG1</t>
  </si>
  <si>
    <t>CY:1-35;TM:36-58;NC:59-195</t>
  </si>
  <si>
    <t>ENSG00000139187</t>
  </si>
  <si>
    <t>ENSP00000266551</t>
  </si>
  <si>
    <t>65;97;137;150</t>
  </si>
  <si>
    <t>WEDGSPLN[115]FSR</t>
  </si>
  <si>
    <t>Q96E93</t>
  </si>
  <si>
    <t>3D-structure;Alternative splicing;Cell membrane;Complete proteome;Disulfide bond;Glycoprotein;Immunity;Innate immunity;Lectin;Membrane;Polymorphism;Receptor;Reference proteome;Signal-anchor;Transmembrane;Transmembrane helix</t>
  </si>
  <si>
    <t>UniRef100_Q96E93;UniRef90_Q96E93;UniRef50_Q96E93</t>
  </si>
  <si>
    <t>NTCP4_HUMAN</t>
  </si>
  <si>
    <t>Sodium/bile acid cotransporter 4</t>
  </si>
  <si>
    <t>SLC10A4</t>
  </si>
  <si>
    <t>NC:1-104;TM:105-126;CY:127-137;TM:138-161;NC:162-195;TM:196-219;CY:220-230;TM:231-256;NC:257-265;TM:266-286;CY:287-293;TM:294-315;NC:316-360;TM:361-382;CY:383-437</t>
  </si>
  <si>
    <t>ENSG00000145248</t>
  </si>
  <si>
    <t>ENSP00000273861</t>
  </si>
  <si>
    <t>6;18;24;181;195</t>
  </si>
  <si>
    <t>Cell membrane;Complete proteome;Glycoprotein;Ion transport;Membrane;Reference proteome;Sodium;Sodium transport;Symport;Transmembrane;Transmembrane helix;Transport</t>
  </si>
  <si>
    <t>UniRef100_Q96EP9;UniRef90_Q96EP9;UniRef50_Q96EP9</t>
  </si>
  <si>
    <t>CK024_HUMAN</t>
  </si>
  <si>
    <t>Uncharacterized protein C11orf24</t>
  </si>
  <si>
    <t>C11orf24</t>
  </si>
  <si>
    <t>SP:1-20;NC:21-400;TM:401-422;CY:423-449</t>
  </si>
  <si>
    <t>ENSG00000171067</t>
  </si>
  <si>
    <t>ENSP00000307264</t>
  </si>
  <si>
    <t>41;49;222;268;271;279</t>
  </si>
  <si>
    <t>52;81;85;90;95;103;104;108;134;135;148;149;159;171;173;224;341</t>
  </si>
  <si>
    <t>N[115]ASVETVDN[115]K</t>
  </si>
  <si>
    <t>41;49</t>
  </si>
  <si>
    <t>Q96F05</t>
  </si>
  <si>
    <t>Cell membrane;Complete proteome;Glycoprotein;Golgi apparatus;Membrane;Polymorphism;Reference proteome;Signal;Transmembrane;Transmembrane helix</t>
  </si>
  <si>
    <t>UniRef100_Q96F05;UniRef90_Q96F05;UniRef50_Q96F05</t>
  </si>
  <si>
    <t>I17RA_HUMAN</t>
  </si>
  <si>
    <t>Interleukin-17 receptor A</t>
  </si>
  <si>
    <t>IL17RA</t>
  </si>
  <si>
    <t>SP:1-32;NC:33-319;TM:320-344;CY:345-866</t>
  </si>
  <si>
    <t>ENSG00000177663</t>
  </si>
  <si>
    <t>ENSP00000320936</t>
  </si>
  <si>
    <t>CD217</t>
  </si>
  <si>
    <t>49;54;67;206;225;242;265</t>
  </si>
  <si>
    <t>49;54;67;206;265</t>
  </si>
  <si>
    <t>ALVCSQPGLN[115]CTVK;N[115]STCLDDSWIHPR;VSFTLWN[115]ESTHYQ;SN[115]VTLTLR</t>
  </si>
  <si>
    <t>49;54;225;265</t>
  </si>
  <si>
    <t>Q96F46</t>
  </si>
  <si>
    <t>Membrane (Single- pass type I membrane protein);Secreted</t>
  </si>
  <si>
    <t>3D-structure;Alternative splicing;Complete proteome;Direct protein sequencing;Disulfide bond;Glycoprotein;Membrane;Polymorphism;Receptor;Reference proteome;Secreted;Signal;Transmembrane;Transmembrane helix</t>
  </si>
  <si>
    <t>UniRef100_Q96F46;UniRef90_Q96F46;UniRef50_Q96F46</t>
  </si>
  <si>
    <t>DISP1_HUMAN</t>
  </si>
  <si>
    <t>Protein dispatched homolog 1</t>
  </si>
  <si>
    <t>DISP1</t>
  </si>
  <si>
    <t>NC:1-187;TM:188-210;CY:211-498;TM:499-518;NC:519-523;TM:524-546;CY:547-556;TM:557-577;NC:578-601;TM:602-621;CY:622-632;TM:633-655;NC:656-718;TM:719-738;CY:739-983;TM:984-1004;NC:1005-1009;TM:1010-1031;CY:1032-1038;TM:1039-1059;NC:1060-1074;TM:1075-1096;CY:1097-1107;TM:1108-1127;NC:1128-1524</t>
  </si>
  <si>
    <t>ENSG00000154309</t>
  </si>
  <si>
    <t>ENSP00000284476</t>
  </si>
  <si>
    <t>15;59;130;363;391;476;559;582;626;680;836;917;1478</t>
  </si>
  <si>
    <t>Complete proteome;Developmental protein;Glycoprotein;Membrane;Polymorphism;Reference proteome;Transmembrane;Transmembrane helix</t>
  </si>
  <si>
    <t>UniRef100_Q96F81;UniRef90_Q96F81;UniRef50_Q3TDN0</t>
  </si>
  <si>
    <t>LIGO1_HUMAN</t>
  </si>
  <si>
    <t>Leucine-rich repeat and immunoglobulin-like domain-containing nogo receptor-interacting protein 1</t>
  </si>
  <si>
    <t>LINGO1</t>
  </si>
  <si>
    <t>SP:1-39;NC:40-556;TM:557-582;CY:583-620</t>
  </si>
  <si>
    <t>ENSG00000169783</t>
  </si>
  <si>
    <t>ENSP00000347451</t>
  </si>
  <si>
    <t>144;202;264;274;293;341;492;505;526;542</t>
  </si>
  <si>
    <t>3D-structure;Alternative splicing;Cell membrane;Complete proteome;Disulfide bond;Glycoprotein;Immunoglobulin domain;Leucine-rich repeat;Membrane;Polymorphism;Reference proteome;Repeat;Signal;Transmembrane;Transmembrane helix</t>
  </si>
  <si>
    <t>UniRef100_Q96FE5;UniRef90_Q96FE5;UniRef50_Q96FE5</t>
  </si>
  <si>
    <t>P3IP1_HUMAN</t>
  </si>
  <si>
    <t>Phosphoinositide-3-kinase-interacting protein 1</t>
  </si>
  <si>
    <t>PIK3IP1</t>
  </si>
  <si>
    <t>SP:1-19;NC:20-168;TM:169-192;CY:193-263</t>
  </si>
  <si>
    <t>ENSG00000100100</t>
  </si>
  <si>
    <t>ENSP00000215912</t>
  </si>
  <si>
    <t>Alternative splicing;Cell membrane;Complete proteome;Direct protein sequencing;Disulfide bond;Glycoprotein;Kringle;Membrane;Polymorphism;Reference proteome;Signal;Transmembrane;Transmembrane helix</t>
  </si>
  <si>
    <t>UniRef100_Q96FE7;UniRef90_Q96FE7;UniRef50_Q96FE7</t>
  </si>
  <si>
    <t>S47A1_HUMAN</t>
  </si>
  <si>
    <t>Multidrug and toxin extrusion protein 1</t>
  </si>
  <si>
    <t>SLC47A1</t>
  </si>
  <si>
    <t>CY:1-36;TM:37-61;NC:62-73;TM:74-98;CY:99-119;TM:120-142;NC:143-154;TM:155-173;CY:174-181;TM:182-201;NC:202-212;TM:213-236;CY:237-256;TM:257-277;NC:278-296;TM:297-317;CY:318-337;TM:338-356;NC:357-370;TM:371-394;CY:395-408;TM:409-430;NC:431-436;TM:437-458;CY:459-546;TM:547-567;NC:568-570</t>
  </si>
  <si>
    <t>ENSG00000142494</t>
  </si>
  <si>
    <t>ENSP00000270570</t>
  </si>
  <si>
    <t>Acetylation;Alternative splicing;Cell membrane;Complete proteome;Membrane;Polymorphism;Reference proteome;Transmembrane;Transmembrane helix;Transport</t>
  </si>
  <si>
    <t>UniRef100_Q96FL8;UniRef90_Q96FL8;UniRef50_Q96FL8</t>
  </si>
  <si>
    <t>ASIC4_HUMAN</t>
  </si>
  <si>
    <t>Acid-sensing ion channel 4</t>
  </si>
  <si>
    <t>ASIC4</t>
  </si>
  <si>
    <t>CY:1-195;TM:196-217;NC:218-552;TM:553-573;CY:574-647</t>
  </si>
  <si>
    <t>ENSG00000072182</t>
  </si>
  <si>
    <t>ENSP00000326627</t>
  </si>
  <si>
    <t>265;294;308;318;370;484;513</t>
  </si>
  <si>
    <t>265;294;370;484;513</t>
  </si>
  <si>
    <t>Alternative splicing;Complete proteome;Disulfide bond;Glycoprotein;Ion channel;Ion transport;Membrane;Polymorphism;Reference proteome;Sodium;Sodium channel;Sodium transport;Transmembrane;Transmembrane helix;Transport</t>
  </si>
  <si>
    <t>UniRef100_Q96FT7;UniRef90_Q96FT7;UniRef50_Q96FT7</t>
  </si>
  <si>
    <t>TSN17_HUMAN</t>
  </si>
  <si>
    <t>Tetraspanin-17</t>
  </si>
  <si>
    <t>TSPAN17</t>
  </si>
  <si>
    <t>CY:1-19;TM:20-44;NC:45-63;TM:64-86;CY:87-94;TM:95-117;NC:118-234;TM:235-257;CY:258-270</t>
  </si>
  <si>
    <t>ENSG00000048140</t>
  </si>
  <si>
    <t>51;171</t>
  </si>
  <si>
    <t>UniRef100_Q96FV3;UniRef90_Q96FV3;UniRef50_Q96FV3</t>
  </si>
  <si>
    <t>P2Y11_HUMAN</t>
  </si>
  <si>
    <t>P2Y purinoceptor 11</t>
  </si>
  <si>
    <t>P2RY11</t>
  </si>
  <si>
    <t>NC:1-29;TM:30-52;CY:53-63;TM:64-88;NC:89-112;TM:113-135;CY:136-145;TM:146-166;NC:167-203;TM:204-226;CY:227-245;TM:246-266;NC:267-307;TM:308-330;CY:331-374</t>
  </si>
  <si>
    <t>ENSG00000244165</t>
  </si>
  <si>
    <t>ENSP00000323872</t>
  </si>
  <si>
    <t>4;179;357</t>
  </si>
  <si>
    <t>RPQQGAGN[115]CSVARPEAC;RPQQGAGN[115]CSVARPEACIK</t>
  </si>
  <si>
    <t>Q96G91</t>
  </si>
  <si>
    <t>UniRef100_Q96G91;UniRef90_Q96G91;UniRef50_Q96G91</t>
  </si>
  <si>
    <t>SREC2_HUMAN</t>
  </si>
  <si>
    <t>Scavenger receptor class F member 2</t>
  </si>
  <si>
    <t>SCARF2</t>
  </si>
  <si>
    <t>SP:1-43;NC:44-444;TM:445-467;CY:468-870</t>
  </si>
  <si>
    <t>ENSG00000244486</t>
  </si>
  <si>
    <t>ENSP00000477564</t>
  </si>
  <si>
    <t>83;218;310;365;403;529</t>
  </si>
  <si>
    <t>CLTCEPGWN[115]GTK;CSN[115]GTYGEDCAFVCADCGSGHCDFQSGR</t>
  </si>
  <si>
    <t>310;365</t>
  </si>
  <si>
    <t>Q96GP6</t>
  </si>
  <si>
    <t>Alternative splicing;Cell adhesion;Complete proteome;Disease mutation;Disulfide bond;EGF-like domain;Glycoprotein;Membrane;Phosphoprotein;Polymorphism;Receptor;Reference proteome;Repeat;Signal;Transmembrane;Transmembrane helix</t>
  </si>
  <si>
    <t>UniRef100_Q96GP6;UniRef90_Q96GP6;UniRef50_Q96GP6</t>
  </si>
  <si>
    <t>PGCB_HUMAN</t>
  </si>
  <si>
    <t>Brevican core protein</t>
  </si>
  <si>
    <t>BCAN</t>
  </si>
  <si>
    <t>SP:1-22;NC:23-911</t>
  </si>
  <si>
    <t>ENSG00000132692</t>
  </si>
  <si>
    <t>ENSP00000331210</t>
  </si>
  <si>
    <t>130;337</t>
  </si>
  <si>
    <t>101;130;236;337;343;367;371;550;614;657;689;768;770;783;801;852</t>
  </si>
  <si>
    <t>TLFLFPN[115]QTGFPNK</t>
  </si>
  <si>
    <t>Q96GW7</t>
  </si>
  <si>
    <t>Secreted, extracellular space, extracellular matrix;Membrane (Lipid-anchor, GPI- anchor)</t>
  </si>
  <si>
    <t>Alternative splicing;Complete proteome;Disulfide bond;EGF-like domain;Extracellular matrix;Glycoprotein;GPI-anchor;Hyaluronic acid;Immunoglobulin domain;Lectin;Lipoprotein;Membrane;Polymorphism;Proteoglycan;Reference proteome;Repeat;Secreted;Signal;Sushi</t>
  </si>
  <si>
    <t>UniRef100_Q96GW7;UniRef90_Q96GW7;UniRef50_Q96GW7</t>
  </si>
  <si>
    <t>TECT2_HUMAN</t>
  </si>
  <si>
    <t>Tectonic-2</t>
  </si>
  <si>
    <t>TCTN2</t>
  </si>
  <si>
    <t>SP:1-25;NC:26-667;TM:668-686;CY:687-697</t>
  </si>
  <si>
    <t>ENSG00000168778</t>
  </si>
  <si>
    <t>ENSP00000304941</t>
  </si>
  <si>
    <t>76;108;130;146;152;156;174;193;372;391;455;497;636</t>
  </si>
  <si>
    <t>VIYEEATDLDKFITNTETPLNN[115]GSTPR;FITNTETPLNN[115]GSTPR</t>
  </si>
  <si>
    <t>Q96GX1</t>
  </si>
  <si>
    <t>Cytoplasm, cytoskeleton, cilium basal body;Membrane (Single-pass type I membrane protein)</t>
  </si>
  <si>
    <t>Alternative splicing;Cell projection;Ciliopathy;Cilium biogenesis/degradation;Complete proteome;Cytoplasm;Cytoskeleton;Glycoprotein;Joubert syndrome;Meckel syndrome;Membrane;Reference proteome;Signal;Transmembrane;Transmembrane helix</t>
  </si>
  <si>
    <t>UniRef100_Q96GX1;UniRef90_Q96GX1;UniRef50_Q96GX1</t>
  </si>
  <si>
    <t>S41A3_HUMAN</t>
  </si>
  <si>
    <t>Solute carrier family 41 member 3</t>
  </si>
  <si>
    <t>SLC41A3</t>
  </si>
  <si>
    <t>CY:1-64;TM:65-86;NC:87-148;TM:149-171;CY:172-182;TM:183-209;NC:210-221;TM:222-245;CY:246-251;TM:252-272;NC:273-283;TM:284-303;CY:304-314;TM:315-334;NC:335-376;TM:377-396;CY:397-407;TM:408-426;NC:427-477;TM:478-502;CY:503-507</t>
  </si>
  <si>
    <t>ENSG00000114544</t>
  </si>
  <si>
    <t>ENSP00000326070</t>
  </si>
  <si>
    <t>Alternative splicing;Cell membrane;Complete proteome;Membrane;Polymorphism;Reference proteome;Transmembrane;Transmembrane helix</t>
  </si>
  <si>
    <t>UniRef100_Q96GZ6;UniRef90_Q96GZ6;UniRef50_Q96GZ6</t>
  </si>
  <si>
    <t>TIMD4_HUMAN</t>
  </si>
  <si>
    <t>T-cell immunoglobulin and mucin domain-containing protein 4</t>
  </si>
  <si>
    <t>TIMD4</t>
  </si>
  <si>
    <t>SP:1-24;NC:25-313;TM:314-336;CY:337-378</t>
  </si>
  <si>
    <t>ENSG00000145850</t>
  </si>
  <si>
    <t>ENSP00000274532</t>
  </si>
  <si>
    <t>UniRef100_Q96H15;UniRef90_Q96H15;UniRef50_Q96H15</t>
  </si>
  <si>
    <t>CA159_HUMAN</t>
  </si>
  <si>
    <t>Uncharacterized protein C1orf159</t>
  </si>
  <si>
    <t>C1orf159</t>
  </si>
  <si>
    <t>SP:1-18;NC:19-144;TM:145-169;CY:170-380</t>
  </si>
  <si>
    <t>ENSG00000131591</t>
  </si>
  <si>
    <t>ENSP00000368644</t>
  </si>
  <si>
    <t>28;74;104;111;128;205</t>
  </si>
  <si>
    <t>CGN[115]GTLPAYN[115]GSECR;SFAGPGAPFPMN[115]R</t>
  </si>
  <si>
    <t>104;111;128</t>
  </si>
  <si>
    <t>Q96HA4</t>
  </si>
  <si>
    <t>UniRef100_Q96HA4;UniRef90_Q96HA4;UniRef50_Q96HA4</t>
  </si>
  <si>
    <t>VSIG2_HUMAN</t>
  </si>
  <si>
    <t>V-set and immunoglobulin domain-containing protein 2</t>
  </si>
  <si>
    <t>VSIG2</t>
  </si>
  <si>
    <t>SP:1-23;NC:24-241;TM:242-265;CY:266-327</t>
  </si>
  <si>
    <t>ENSG00000019102</t>
  </si>
  <si>
    <t>ENSP00000318684</t>
  </si>
  <si>
    <t>138;206</t>
  </si>
  <si>
    <t>Alternative splicing;Complete proteome;Direct protein sequencing;Disulfide bond;Glycoprotein;Immunoglobulin domain;Membrane;Reference proteome;Repeat;Signal;Transmembrane;Transmembrane helix</t>
  </si>
  <si>
    <t>UniRef100_Q96IQ7;UniRef90_Q96IQ7;UniRef50_Q96IQ7</t>
  </si>
  <si>
    <t>TXD15_HUMAN</t>
  </si>
  <si>
    <t>Thioredoxin domain-containing protein 15</t>
  </si>
  <si>
    <t>TXNDC15</t>
  </si>
  <si>
    <t>SP:1-32;NC:33-323;TM:324-342;CY:343-360</t>
  </si>
  <si>
    <t>ENSG00000113621</t>
  </si>
  <si>
    <t>ENSP00000351157</t>
  </si>
  <si>
    <t>165;181;187;194;206;278;293</t>
  </si>
  <si>
    <t>VNCEERN[115]ITGLEN[115]FTLK;N[115]ITGLEN[115]FTLK;IFIFN[115]QTGIEAK</t>
  </si>
  <si>
    <t>181;187;293</t>
  </si>
  <si>
    <t>Q96J42</t>
  </si>
  <si>
    <t>UniRef100_Q96J42;UniRef90_Q96J42;UniRef50_Q96J42</t>
  </si>
  <si>
    <t>MRP9_HUMAN</t>
  </si>
  <si>
    <t>Multidrug resistance-associated protein 9</t>
  </si>
  <si>
    <t>ABCC12</t>
  </si>
  <si>
    <t>CY:1-126;TM:127-148;NC:149-159;TM:160-185;CY:186-233;TM:234-257;NC:258-262;TM:263-281;CY:282-347;TM:348-368;NC:369-379;TM:380-402;CY:403-791;TM:792-816;NC:817-852;TM:853-873;CY:874-934;TM:935-966;NC:967-985;TM:986-1005;CY:1006-1030;TM:1031-1051;NC:1052-1359</t>
  </si>
  <si>
    <t>ENSG00000140798</t>
  </si>
  <si>
    <t>ENSP00000311030</t>
  </si>
  <si>
    <t>405;438;540;602;833;981;1256</t>
  </si>
  <si>
    <t>UniRef100_Q96J65;UniRef90_Q96J65;UniRef50_Q96J65</t>
  </si>
  <si>
    <t>ABCCB_HUMAN</t>
  </si>
  <si>
    <t>ATP-binding cassette sub-family C member 11</t>
  </si>
  <si>
    <t>ABCC11</t>
  </si>
  <si>
    <t>CY:1-162;TM:163-184;NC:185-196;TM:197-216;CY:217-269;TM:270-290;NC:291-295;TM:296-319;CY:320-378;TM:379-404;NC:405-415;TM:416-441;CY:442-802;TM:803-827;NC:828-863;TM:864-884;CY:885-936;TM:937-957;NC:958-1046;TM:1047-1069;CY:1070-1382</t>
  </si>
  <si>
    <t>ENSG00000121270</t>
  </si>
  <si>
    <t>ENSP00000349017;ENSP00000378230;ENSP00000378231</t>
  </si>
  <si>
    <t>11;633;713;838;844;992;1162;1277</t>
  </si>
  <si>
    <t>UniRef100_Q96J66;UniRef90_Q96J66;UniRef50_Q96J66</t>
  </si>
  <si>
    <t>KIRR1_HUMAN</t>
  </si>
  <si>
    <t>Kin of IRRE-like protein 1</t>
  </si>
  <si>
    <t>KIRREL</t>
  </si>
  <si>
    <t>SP:1-16;NC:17-496;TM:497-521;CY:522-757</t>
  </si>
  <si>
    <t>ENSG00000183853</t>
  </si>
  <si>
    <t>ENSP00000352138</t>
  </si>
  <si>
    <t>46;140;297;471</t>
  </si>
  <si>
    <t>VLLN[115]YSGIVQWTK;LN[115]YSGIVQWTK;IDGGPVILLQAGTPHN[115]LTCR;VGSTN[115]VSTLVNVH;VGSTN[115]VSTLVNVHF;VGSTN[115]VSTLVNVHFAPR</t>
  </si>
  <si>
    <t>46;140;297</t>
  </si>
  <si>
    <t>Q96J84</t>
  </si>
  <si>
    <t>UniRef100_Q96J84;UniRef90_Q96J84;UniRef50_Q80W68</t>
  </si>
  <si>
    <t>LRIG1_HUMAN</t>
  </si>
  <si>
    <t>Leucine-rich repeats and immunoglobulin-like domains protein 1</t>
  </si>
  <si>
    <t>LRIG1</t>
  </si>
  <si>
    <t>SP:1-33;NC:34-792;TM:793-816;CY:817-1093</t>
  </si>
  <si>
    <t>ENSG00000144749</t>
  </si>
  <si>
    <t>ENSP00000273261</t>
  </si>
  <si>
    <t>74;150;246;292;318;684</t>
  </si>
  <si>
    <t>UniRef100_Q96JA1;UniRef90_Q96JA1;UniRef50_Q96JA1</t>
  </si>
  <si>
    <t>TMX3_HUMAN</t>
  </si>
  <si>
    <t>Protein disulfide-isomerase TMX3</t>
  </si>
  <si>
    <t>TMX3</t>
  </si>
  <si>
    <t>SP:1-24;NC:25-374;TM:375-397;CY:398-454</t>
  </si>
  <si>
    <t>ENSG00000166479</t>
  </si>
  <si>
    <t>ENSP00000299608</t>
  </si>
  <si>
    <t>5.3.4</t>
  </si>
  <si>
    <t>258;313</t>
  </si>
  <si>
    <t>LVALAVIDEKN[115]TSVEHTR;LAVIDEKN[115]TSVEHTR;AVIDEKN[115]TSVEHTR</t>
  </si>
  <si>
    <t>Q96JJ7</t>
  </si>
  <si>
    <t>Alternative splicing;Complete proteome;Disulfide bond;Endoplasmic reticulum;Glycoprotein;Isomerase;Membrane;Polymorphism;Redox-active center;Reference proteome;Signal;Transmembrane;Transmembrane helix</t>
  </si>
  <si>
    <t>UniRef100_Q96JJ7;UniRef90_Q96JJ7;UniRef50_Q96JJ7</t>
  </si>
  <si>
    <t>CDHR1_HUMAN</t>
  </si>
  <si>
    <t>Cadherin-related family member 1</t>
  </si>
  <si>
    <t>CDHR1</t>
  </si>
  <si>
    <t>SP:1-19;NC:20-701;TM:702-725;CY:726-859</t>
  </si>
  <si>
    <t>ENSG00000148600</t>
  </si>
  <si>
    <t>ENSP00000485478</t>
  </si>
  <si>
    <t>58;89;296;385;643;780</t>
  </si>
  <si>
    <t>58;89;296;643</t>
  </si>
  <si>
    <t>Alternative splicing;Calcium;Cell adhesion;Cell membrane;Complete proteome;Cone-rod dystrophy;Glycoprotein;Membrane;Polymorphism;Receptor;Reference proteome;Repeat;Signal;Transmembrane;Transmembrane helix</t>
  </si>
  <si>
    <t>UniRef100_Q96JP9;UniRef90_Q96JP9;UniRef50_Q96JP9</t>
  </si>
  <si>
    <t>PCD16_HUMAN</t>
  </si>
  <si>
    <t>Protocadherin-16</t>
  </si>
  <si>
    <t>DCHS1</t>
  </si>
  <si>
    <t>SP:1-42;NC:43-2935;TM:2936-2960;CY:2961-3298</t>
  </si>
  <si>
    <t>ENSG00000166341</t>
  </si>
  <si>
    <t>ENSP00000299441</t>
  </si>
  <si>
    <t>217;256;402;584;1249;1521;1718;1996;2361;2428;2569;2761;2792;2862</t>
  </si>
  <si>
    <t>LETRPGPDGTPVPELVVTGELDREN[115]R;AQALLDVTLLDINDHAPAFN[115]QSR;ETTPALLLLVEATDRPAN[115]ASR;LVEATDRPAN[115]ASR;DAGAN[115]ASILYR;EAFALN[115]SSTGELR;ALN[115]SSTGELR;SLATSSPYFGIN[115]QTTGALYLR</t>
  </si>
  <si>
    <t>217;256;1521;1996;2761;2862</t>
  </si>
  <si>
    <t>Q96JQ0</t>
  </si>
  <si>
    <t>Calcium;Cell adhesion;Cell membrane;Complete proteome;Deafness;Disease mutation;Glycoprotein;Membrane;Mental retardation;Polymorphism;Reference proteome;Repeat;Signal;Transmembrane;Transmembrane helix</t>
  </si>
  <si>
    <t>UniRef100_Q96JQ0;UniRef90_E9PVD3;UniRef50_E9PVD3</t>
  </si>
  <si>
    <t>S41A2_HUMAN</t>
  </si>
  <si>
    <t>Solute carrier family 41 member 2</t>
  </si>
  <si>
    <t>SLC41A2</t>
  </si>
  <si>
    <t>NC:1-158;TM:159-181;CY:182-192;TM:193-210;NC:211-245;TM:246-265;CY:266-276;TM:277-302;NC:303-313;TM:314-334;CY:335-345;TM:346-368;NC:369-379;TM:380-398;CY:399-407;TM:408-429;NC:430-468;TM:469-487;CY:488-497;TM:498-519;NC:520-538;TM:539-564;CY:565-573</t>
  </si>
  <si>
    <t>ENSG00000136052</t>
  </si>
  <si>
    <t>ENSP00000258538</t>
  </si>
  <si>
    <t>78;466</t>
  </si>
  <si>
    <t>UniRef100_Q96JW4;UniRef90_Q96JW4;UniRef50_Q96JW4</t>
  </si>
  <si>
    <t>TM87B_HUMAN</t>
  </si>
  <si>
    <t>Transmembrane protein 87B</t>
  </si>
  <si>
    <t>TMEM87B</t>
  </si>
  <si>
    <t>SP:1-42;NC:43-216;TM:217-237;CY:238-247;TM:248-267;NC:268-288;TM:289-312;CY:313-322;TM:323-344;NC:345-355;TM:356-374;CY:375-394;TM:395-414;NC:415-433;TM:434-451;CY:452-555</t>
  </si>
  <si>
    <t>ENSG00000153214</t>
  </si>
  <si>
    <t>ENSP00000283206</t>
  </si>
  <si>
    <t>68;159;197;272;482;497</t>
  </si>
  <si>
    <t>TMFN[115]STDIK</t>
  </si>
  <si>
    <t>Q96K49</t>
  </si>
  <si>
    <t>UniRef100_Q96K49;UniRef90_Q96K49;UniRef50_Q96K49</t>
  </si>
  <si>
    <t>GP128_HUMAN</t>
  </si>
  <si>
    <t>Probable G-protein coupled receptor 128</t>
  </si>
  <si>
    <t>GPR128</t>
  </si>
  <si>
    <t>SP:1-26;NC:27-435;TM:436-458;CY:459-466;TM:467-489;NC:490-531;TM:532-554;CY:555-565;TM:566-590;NC:591-623;TM:624-649;CY:650-669;TM:670-691;NC:692-696;TM:697-721;CY:722-797</t>
  </si>
  <si>
    <t>ENSG00000144820</t>
  </si>
  <si>
    <t>ENSP00000273352</t>
  </si>
  <si>
    <t>82;159;178;191;195;247;261;312;316;387;413;657;709</t>
  </si>
  <si>
    <t>UniRef100_Q96K78;UniRef90_Q96K78;UniRef50_Q96K78</t>
  </si>
  <si>
    <t>MEG10_HUMAN</t>
  </si>
  <si>
    <t>Multiple epidermal growth factor-like domains protein 10</t>
  </si>
  <si>
    <t>MEGF10</t>
  </si>
  <si>
    <t>SP:1-23;NC:24-855;TM:856-879;CY:880-1140</t>
  </si>
  <si>
    <t>ENSG00000145794</t>
  </si>
  <si>
    <t>ENSP00000274473;ENSP00000423354</t>
  </si>
  <si>
    <t>134;276;397;451;496;580;678;806;807;1017;1020;1065;1066;1134</t>
  </si>
  <si>
    <t>Basolateral cell membrane (Single-pass type I membrane protein);Cell membrane (Single-pass type I membrane protein);Cell projection, phagocytic cup</t>
  </si>
  <si>
    <t>Alternative splicing;Cell adhesion;Cell membrane;Cell projection;Complete proteome;Disease mutation;Disulfide bond;EGF-like domain;Glycoprotein;Membrane;Myogenesis;Phagocytosis;Polymorphism;Reference proteome;Repeat;Signal;Transmembrane;Transmembrane helix;Ubl conjugation</t>
  </si>
  <si>
    <t>UniRef100_Q96KG7;UniRef90_Q96KG7;UniRef50_Q96KG7</t>
  </si>
  <si>
    <t>MSLNL_HUMAN</t>
  </si>
  <si>
    <t>Mesothelin-like protein</t>
  </si>
  <si>
    <t>MSLNL</t>
  </si>
  <si>
    <t>SP:1-30;NC:31-642;TM:643-666;CY:667-702</t>
  </si>
  <si>
    <t>ENSG00000162006</t>
  </si>
  <si>
    <t>ENSP00000415767</t>
  </si>
  <si>
    <t>55;122;307;411;424;530;553;582</t>
  </si>
  <si>
    <t>Cell adhesion;Complete proteome;Glycoprotein;Membrane;Polymorphism;Reference proteome;Signal;Transmembrane;Transmembrane helix</t>
  </si>
  <si>
    <t>UniRef100_Q96KJ4;UniRef90_Q96KJ4;UniRef50_Q96KJ4</t>
  </si>
  <si>
    <t>KCNS1_HUMAN</t>
  </si>
  <si>
    <t>Potassium voltage-gated channel subfamily S member 1</t>
  </si>
  <si>
    <t>KCNS1</t>
  </si>
  <si>
    <t>CY:1-221;TM:222-242;NC:243-274;TM:275-295;CY:296-306;TM:307-327;NC:328-339;TM:340-360;CY:361-375;TM:376-396;NC:397-408;IM:409-429;NC:430-436;TM:437-457;CY:458-526</t>
  </si>
  <si>
    <t>ENSG00000124134</t>
  </si>
  <si>
    <t>ENSP00000307694;ENSP00000445595</t>
  </si>
  <si>
    <t>Cell membrane;Complete proteome;Ion channel;Ion transport;Membrane;Polymorphism;Potassium;Potassium channel;Potassium transport;Reference proteome;Transmembrane;Transmembrane helix;Transport;Voltage-gated channel</t>
  </si>
  <si>
    <t>UniRef100_Q96KK3;UniRef90_Q96KK3;UniRef50_Q96KK3</t>
  </si>
  <si>
    <t>O10C1_HUMAN</t>
  </si>
  <si>
    <t>Olfactory receptor 10C1</t>
  </si>
  <si>
    <t>OR10C1</t>
  </si>
  <si>
    <t>NC:1-24;TM:25-48;CY:49-59;TM:60-80;NC:81-99;TM:100-119;CY:120-138;TM:139-161;NC:162-196;TM:197-218;CY:219-238;TM:239-259;NC:260-271;TM:272-291;CY:292-312</t>
  </si>
  <si>
    <t>ENSG00000229412;ENSG00000204689;ENSG00000224234;ENSG00000206474;ENSG00000230505;ENSG00000232397;ENSG00000279941</t>
  </si>
  <si>
    <t>ENSP00000366343;ENSP00000375393;ENSP00000408961;ENSP00000419119;ENSP00000402486;ENSP00000412512;ENSP00000485032</t>
  </si>
  <si>
    <t>UniRef100_Q96KK4;UniRef90_Q96KK4;UniRef50_Q96KK4</t>
  </si>
  <si>
    <t>BT2A3_HUMAN</t>
  </si>
  <si>
    <t>Putative butyrophilin subfamily 2 member A3</t>
  </si>
  <si>
    <t>BTN2A3P</t>
  </si>
  <si>
    <t>SP:1-27;NC:28-246;TM:247-267;CY:268-586</t>
  </si>
  <si>
    <t>45;112;214;220</t>
  </si>
  <si>
    <t>Complete proteome;Disulfide bond;Glycoprotein;Immunoglobulin domain;Membrane;Polymorphism;Reference proteome;Signal;Transmembrane;Transmembrane helix</t>
  </si>
  <si>
    <t>UniRef100_Q96KV6;UniRef90_Q96KV6;UniRef50_A4QPC6-2</t>
  </si>
  <si>
    <t>SUSD3_HUMAN</t>
  </si>
  <si>
    <t>Sushi domain-containing protein 3</t>
  </si>
  <si>
    <t>SUSD3</t>
  </si>
  <si>
    <t>NC:1-103;TM:104-129;CY:130-255</t>
  </si>
  <si>
    <t>ENSG00000157303</t>
  </si>
  <si>
    <t>ENSP00000364621</t>
  </si>
  <si>
    <t>27;141;181</t>
  </si>
  <si>
    <t>Alternative splicing;Complete proteome;Disulfide bond;Glycoprotein;Membrane;Polymorphism;Reference proteome;Sushi;Transmembrane;Transmembrane helix</t>
  </si>
  <si>
    <t>UniRef100_Q96L08;UniRef90_Q96L08;UniRef50_Q96L08</t>
  </si>
  <si>
    <t>FCRL2_HUMAN</t>
  </si>
  <si>
    <t>Fc receptor-like protein 2</t>
  </si>
  <si>
    <t>FCRL2</t>
  </si>
  <si>
    <t>SP:1-17;NC:18-399;TM:400-422;CY:423-508</t>
  </si>
  <si>
    <t>ENSG00000132704</t>
  </si>
  <si>
    <t>ENSP00000355157</t>
  </si>
  <si>
    <t>CD307b</t>
  </si>
  <si>
    <t>204;234;343;355;365</t>
  </si>
  <si>
    <t>IPISN[115]VSLEIR</t>
  </si>
  <si>
    <t>Q96LA5</t>
  </si>
  <si>
    <t>Alternative splicing;Cell membrane;Complete proteome;Direct protein sequencing;Disulfide bond;Glycoprotein;Immunoglobulin domain;Membrane;Polymorphism;Receptor;Reference proteome;Repeat;Signal;Transmembrane;Transmembrane helix</t>
  </si>
  <si>
    <t>UniRef100_Q96LA5;UniRef90_Q96LA5;UniRef50_Q96LA5</t>
  </si>
  <si>
    <t>FCRL1_HUMAN</t>
  </si>
  <si>
    <t>Fc receptor-like protein 1</t>
  </si>
  <si>
    <t>FCRL1</t>
  </si>
  <si>
    <t>SP:1-16;NC:17-308;TM:309-330;CY:331-429</t>
  </si>
  <si>
    <t>ENSG00000163534</t>
  </si>
  <si>
    <t>ENSP00000357158</t>
  </si>
  <si>
    <t>CD307a</t>
  </si>
  <si>
    <t>263;273;293;419</t>
  </si>
  <si>
    <t>Alternative splicing;Cell membrane;Complete proteome;Disulfide bond;Glycoprotein;Immunoglobulin domain;Membrane;Phosphoprotein;Polymorphism;Receptor;Reference proteome;Repeat;Signal;Transmembrane;Transmembrane helix</t>
  </si>
  <si>
    <t>UniRef100_Q96LA6;UniRef90_Q96LA6;UniRef50_Q96LA6</t>
  </si>
  <si>
    <t>MRGX4_HUMAN</t>
  </si>
  <si>
    <t>Mas-related G-protein coupled receptor member X4</t>
  </si>
  <si>
    <t>MRGPRX4</t>
  </si>
  <si>
    <t>NC:1-27;TM:28-52;CY:53-62;TM:63-81;NC:82-96;TM:97-116;CY:117-136;TM:137-158;NC:159-179;TM:180-203;CY:204-214;TM:215-240;NC:241-251;TM:252-275;CY:276-322</t>
  </si>
  <si>
    <t>ENSG00000179817</t>
  </si>
  <si>
    <t>ENSP00000314042</t>
  </si>
  <si>
    <t>25;89;264</t>
  </si>
  <si>
    <t>UniRef100_Q96LA9;UniRef90_Q96LA9;UniRef50_Q96LA9</t>
  </si>
  <si>
    <t>MRGX3_HUMAN</t>
  </si>
  <si>
    <t>Mas-related G-protein coupled receptor member X3</t>
  </si>
  <si>
    <t>MRGPRX3</t>
  </si>
  <si>
    <t>NC:1-28;TM:29-52;CY:53-62;TM:63-82;NC:83-96;TM:97-116;CY:117-136;TM:137-158;NC:159-179;TM:180-202;CY:203-213;TM:214-237;NC:238-253;TM:254-275;CY:276-322</t>
  </si>
  <si>
    <t>ENSG00000179826</t>
  </si>
  <si>
    <t>ENSP00000379571;ENSP00000481943</t>
  </si>
  <si>
    <t>UniRef100_Q96LB0;UniRef90_Q96LB0;UniRef50_Q96LA9</t>
  </si>
  <si>
    <t>MRGX2_HUMAN</t>
  </si>
  <si>
    <t>Mas-related G-protein coupled receptor member X2</t>
  </si>
  <si>
    <t>MRGPRX2</t>
  </si>
  <si>
    <t>NC:1-30;TM:31-55;CY:56-63;TM:64-84;NC:85-103;TM:104-123;CY:124-143;TM:144-163;NC:164-184;TM:185-211;CY:212-222;TM:223-250;NC:251-261;TM:262-282;CY:283-330</t>
  </si>
  <si>
    <t>ENSG00000183695</t>
  </si>
  <si>
    <t>ENSP00000333800</t>
  </si>
  <si>
    <t>UniRef100_Q96LB1;UniRef90_Q96LB1;UniRef50_Q96LB1</t>
  </si>
  <si>
    <t>MRGX1_HUMAN</t>
  </si>
  <si>
    <t>Mas-related G-protein coupled receptor member X1</t>
  </si>
  <si>
    <t>MRGPRX1</t>
  </si>
  <si>
    <t>NC:1-28;TM:29-52;CY:53-63;TM:64-85;NC:86-96;TM:97-118;CY:119-138;TM:139-166;NC:167-179;TM:180-204;CY:205-215;TM:216-242;NC:243-253;TM:254-275;CY:276-322</t>
  </si>
  <si>
    <t>ENSG00000170255</t>
  </si>
  <si>
    <t>ENSP00000305766</t>
  </si>
  <si>
    <t>16;264</t>
  </si>
  <si>
    <t>Acute phase;Cell membrane;Complete proteome;G-protein coupled receptor;Glycoprotein;Membrane;Polymorphism;Receptor;Reference proteome;Transducer;Transmembrane;Transmembrane helix</t>
  </si>
  <si>
    <t>UniRef100_Q96LB2;UniRef90_Q96LB2;UniRef50_Q96LA9</t>
  </si>
  <si>
    <t>SIG10_HUMAN</t>
  </si>
  <si>
    <t>Sialic acid-binding Ig-like lectin 10</t>
  </si>
  <si>
    <t>SIGLEC10</t>
  </si>
  <si>
    <t>SP:1-16;NC:17-550;TM:551-571;CY:572-697</t>
  </si>
  <si>
    <t>ENSG00000142512</t>
  </si>
  <si>
    <t>ENSP00000345243</t>
  </si>
  <si>
    <t>100;355;364;486;504</t>
  </si>
  <si>
    <t>GN[115]CSLVIR</t>
  </si>
  <si>
    <t>Q96LC7</t>
  </si>
  <si>
    <t>Cell membrane (Single-pass type I membrane protein);Cell membrane (Single-pass type I membrane protein);Cell membrane (Single-pass type I membrane protein);Cell membrane (Single-pass type I membrane protein);Secreted</t>
  </si>
  <si>
    <t>Alternative splicing;Cell adhesion;Cell membrane;Complete proteome;Disulfide bond;Glycoprotein;Immunoglobulin domain;Lectin;Membrane;Phosphoprotein;Polymorphism;Reference proteome;Repeat;Secreted;Signal;Transmembrane;Transmembrane helix</t>
  </si>
  <si>
    <t>UniRef100_Q96LC7;UniRef90_Q96LC7;UniRef50_Q96LC7</t>
  </si>
  <si>
    <t>SGCZ_HUMAN</t>
  </si>
  <si>
    <t>Zeta-sarcoglycan</t>
  </si>
  <si>
    <t>SGCZ</t>
  </si>
  <si>
    <t>CY:1-35;TM:36-58;NC:59-299</t>
  </si>
  <si>
    <t>ENSG00000185053</t>
  </si>
  <si>
    <t>62;110</t>
  </si>
  <si>
    <t>KDSPLVLQSDRN[115]VTVNAR;DSPLVLQSDRN[115]VTVNAR;VLQSDRN[115]VTVNAR</t>
  </si>
  <si>
    <t>Q96LD1</t>
  </si>
  <si>
    <t>Alternative splicing;Cell membrane;Complete proteome;Cytoplasm;Cytoskeleton;Disulfide bond;Glycoprotein;Membrane;Reference proteome;Signal-anchor;Transmembrane;Transmembrane helix</t>
  </si>
  <si>
    <t>UniRef100_Q96LD1;UniRef90_Q8BX51;UniRef50_Q8BX51</t>
  </si>
  <si>
    <t>HIAT1_HUMAN</t>
  </si>
  <si>
    <t>Hippocampus abundant transcript 1 protein</t>
  </si>
  <si>
    <t>HIAT1</t>
  </si>
  <si>
    <t>NC:1-36;TM:37-62;CY:63-71;TM:72-94;NC:95-102;TM:103-119;CY:120-125;TM:126-147;NC:148-158;TM:159-181;CY:182-188;TM:189-209;NC:210-244;TM:245-269;CY:270-281;TM:282-305;NC:306-312;TM:313-330;CY:331-336;TM:337-357;NC:358-376;TM:377-396;CY:397-429;TM:430-448;NC:449-490</t>
  </si>
  <si>
    <t>ENSG00000156875</t>
  </si>
  <si>
    <t>ENSP00000359171</t>
  </si>
  <si>
    <t>SLC;MFS;HIAT</t>
  </si>
  <si>
    <t>12;413;453</t>
  </si>
  <si>
    <t>Complete proteome;Glycoprotein;Membrane;Reference proteome;Transmembrane;Transmembrane helix;Transport</t>
  </si>
  <si>
    <t>UniRef100_Q96MC6;UniRef90_P70187;UniRef50_P70187</t>
  </si>
  <si>
    <t>ROBO3_HUMAN</t>
  </si>
  <si>
    <t>Roundabout homolog 3</t>
  </si>
  <si>
    <t>ROBO3</t>
  </si>
  <si>
    <t>SP:1-20;NC:21-891;TM:892-914;CY:915-1386</t>
  </si>
  <si>
    <t>ENSG00000154134</t>
  </si>
  <si>
    <t>ENSP00000380903</t>
  </si>
  <si>
    <t>IG;OtherROBO</t>
  </si>
  <si>
    <t>25;34;41;53;156;410;459;503;784;813;820;1347</t>
  </si>
  <si>
    <t>Alternative splicing;Chemotaxis;Complete proteome;Developmental protein;Differentiation;Disease mutation;Disulfide bond;Glycoprotein;Immunoglobulin domain;Membrane;Neurogenesis;Phosphoprotein;Polymorphism;Receptor;Reference proteome;Repeat;Signal;Transmembrane;Transmembrane helix</t>
  </si>
  <si>
    <t>UniRef100_Q96MS0;UniRef90_Q96MS0;UniRef50_Q9Z2I4</t>
  </si>
  <si>
    <t>KREM1_HUMAN</t>
  </si>
  <si>
    <t>Kremen protein 1</t>
  </si>
  <si>
    <t>KREMEN1</t>
  </si>
  <si>
    <t>SP:1-22;NC:23-390;TM:391-413;CY:414-473</t>
  </si>
  <si>
    <t>ENSG00000183762</t>
  </si>
  <si>
    <t>ENSP00000385431</t>
  </si>
  <si>
    <t>45;59;217;293;333;345</t>
  </si>
  <si>
    <t>Alternative splicing;Complete proteome;Disulfide bond;Glycoprotein;Kringle;Membrane;Reference proteome;Signal;Transmembrane;Transmembrane helix;Wnt signaling pathway</t>
  </si>
  <si>
    <t>UniRef100_Q96MU8;UniRef90_Q96MU8;UniRef50_Q96MU8</t>
  </si>
  <si>
    <t>G137A_HUMAN</t>
  </si>
  <si>
    <t>Integral membrane protein GPR137</t>
  </si>
  <si>
    <t>GPR137</t>
  </si>
  <si>
    <t>NC:1-27;TM:28-50;CY:51-60;TM:61-81;NC:82-92;TM:93-116;CY:117-136;TM:137-161;NC:162-175;TM:176-198;CY:199-217;TM:218-242;NC:243-272;TM:273-295;CY:296-417</t>
  </si>
  <si>
    <t>ENSG00000173264</t>
  </si>
  <si>
    <t>ENSP00000321698</t>
  </si>
  <si>
    <t>4;236;257</t>
  </si>
  <si>
    <t>UniRef100_Q96N19;UniRef90_Q96N19;UniRef50_Q96N19</t>
  </si>
  <si>
    <t>S6A18_HUMAN</t>
  </si>
  <si>
    <t>Sodium-dependent neutral amino acid transporter B(0)AT3</t>
  </si>
  <si>
    <t>SLC6A18</t>
  </si>
  <si>
    <t>CY:1-26;TM:27-45;NC:46-55;TM:56-76;CY:77-89;TM:90-115;NC:116-178;TM:179-199;CY:200-207;TM:208-229;NC:230-256;TM:257-278;CY:279-289;TM:290-311;NC:312-400;TM:401-422;CY:423-442;TM:443-467;NC:468-477;TM:478-497;CY:498-517;TM:518-540;NC:541-565;TM:566-591;CY:592-628</t>
  </si>
  <si>
    <t>ENSG00000164363</t>
  </si>
  <si>
    <t>ENSP00000323549</t>
  </si>
  <si>
    <t>144;168;174;354</t>
  </si>
  <si>
    <t>Amino-acid transport;Complete proteome;Glycoprotein;Membrane;Neurotransmitter transport;Polymorphism;Reference proteome;Symport;Transmembrane;Transmembrane helix;Transport</t>
  </si>
  <si>
    <t>UniRef100_Q96N87;UniRef90_Q96N87;UniRef50_O88576</t>
  </si>
  <si>
    <t>LRFN5_HUMAN</t>
  </si>
  <si>
    <t>Leucine-rich repeat and fibronectin type-III domain-containing protein 5</t>
  </si>
  <si>
    <t>LRFN5</t>
  </si>
  <si>
    <t>SP:1-17;NC:18-527;TM:528-550;CY:551-719</t>
  </si>
  <si>
    <t>ENSG00000165379</t>
  </si>
  <si>
    <t>ENSP00000298119</t>
  </si>
  <si>
    <t>73;330;339;382;406;452;671;672</t>
  </si>
  <si>
    <t>UniRef100_Q96NI6;UniRef90_Q8BXA0;UniRef50_Q8BXA0</t>
  </si>
  <si>
    <t>PTHD1_HUMAN</t>
  </si>
  <si>
    <t>Patched domain-containing protein 1</t>
  </si>
  <si>
    <t>PTCHD1</t>
  </si>
  <si>
    <t>NC:1-19;TM:20-41;CY:42-270;TM:271-291;NC:292-296;TM:297-318;CY:319-326;TM:327-345;NC:346-364;TM:365-389;CY:390-398;TM:399-420;NC:421-501;TM:502-520;CY:521-698;TM:699-719;NC:720-724;TM:725-745;CY:746-792;TM:793-815;NC:816-826;TM:827-849;CY:850-888</t>
  </si>
  <si>
    <t>ENSG00000165186</t>
  </si>
  <si>
    <t>ENSP00000368666</t>
  </si>
  <si>
    <t>77;133;167;319;326;551;568;599;608;762;818</t>
  </si>
  <si>
    <t>UniRef100_Q96NR3;UniRef90_Q96NR3;UniRef50_Q96NR3</t>
  </si>
  <si>
    <t>PCFT_HUMAN</t>
  </si>
  <si>
    <t>Proton-coupled folate transporter</t>
  </si>
  <si>
    <t>SLC46A1</t>
  </si>
  <si>
    <t>CY:1-27;TM:28-48;NC:49-84;TM:85-106;CY:107-115;TM:116-137;NC:138-144;TM:145-169;CY:170-180;TM:181-200;NC:201-210;TM:211-231;CY:232-266;TM:267-284;NC:285-303;TM:304-325;CY:326-332;TM:333-354;NC:355-359;TM:360-378;CY:379-389;TM:390-412;NC:413-422;TM:423-443;CY:444-459</t>
  </si>
  <si>
    <t>ENSG00000076351</t>
  </si>
  <si>
    <t>ENSP00000480703</t>
  </si>
  <si>
    <t>58;68</t>
  </si>
  <si>
    <t>FSADLGYN[115]GTR</t>
  </si>
  <si>
    <t>Q96NT5</t>
  </si>
  <si>
    <t>Apical cell membrane (Multi-pass membrane protein);Cytoplasm</t>
  </si>
  <si>
    <t>Acetylation;Alternative splicing;Cell membrane;Complete proteome;Cytoplasm;Disease mutation;Folate-binding;Glycoprotein;Membrane;Phosphoprotein;Polymorphism;Reference proteome;Transmembrane;Transmembrane helix;Transport</t>
  </si>
  <si>
    <t>UniRef100_Q96NT5;UniRef90_Q96NT5;UniRef50_Q96NT5</t>
  </si>
  <si>
    <t>CNT3B_HUMAN</t>
  </si>
  <si>
    <t>Contactin-associated protein-like 3B</t>
  </si>
  <si>
    <t>CNTNAP3B</t>
  </si>
  <si>
    <t>SP:1-25;NC:26-1244;TM:1245-1268;CY:1269-1288</t>
  </si>
  <si>
    <t>ENSG00000154529</t>
  </si>
  <si>
    <t>285;359;441;497;623;706;1023;1073;1120;1278</t>
  </si>
  <si>
    <t>Alternative splicing;Cell adhesion;Complete proteome;Disulfide bond;EGF-like domain;Glycoprotein;Membrane;Reference proteome;Repeat;Signal;Transmembrane;Transmembrane helix</t>
  </si>
  <si>
    <t>UniRef100_Q96NU0;UniRef90_Q9BZ76;UniRef50_Q99P47</t>
  </si>
  <si>
    <t>PVRL4_HUMAN</t>
  </si>
  <si>
    <t>Nectin-4</t>
  </si>
  <si>
    <t>PVRL4</t>
  </si>
  <si>
    <t>SP:1-31;NC:32-346;TM:347-371;CY:372-510</t>
  </si>
  <si>
    <t>ENSG00000143217</t>
  </si>
  <si>
    <t>ENSP00000356991</t>
  </si>
  <si>
    <t>281;430;489</t>
  </si>
  <si>
    <t>152;191;192;193;383;403;410;415;426;432;437;444;446;447;450</t>
  </si>
  <si>
    <t>Cell junction, adherens junction;Cell membrane (Single-pass type I membrane protein);Secreted</t>
  </si>
  <si>
    <t>3D-structure;Alternative splicing;Cell adhesion;Cell junction;Cell membrane;Complete proteome;Disease mutation;Disulfide bond;Ectodermal dysplasia;Glycoprotein;Host-virus interaction;Immunoglobulin domain;Membrane;Polymorphism;Reference proteome;Repeat;Secreted;Signal;Transmembrane;Transmembrane helix</t>
  </si>
  <si>
    <t>UniRef100_Q96NY8;UniRef90_Q96NY8;UniRef50_Q96NY8</t>
  </si>
  <si>
    <t>FCRL3_HUMAN</t>
  </si>
  <si>
    <t>Fc receptor-like protein 3</t>
  </si>
  <si>
    <t>FCRL3</t>
  </si>
  <si>
    <t>SP:1-17;NC:18-572;TM:573-596;CY:597-734</t>
  </si>
  <si>
    <t>ENSG00000160856</t>
  </si>
  <si>
    <t>ENSP00000357167;ENSP00000434331</t>
  </si>
  <si>
    <t>CD307c</t>
  </si>
  <si>
    <t>426;438;448;519;531;541;561;568</t>
  </si>
  <si>
    <t>VVTLN[115]VTGTSR</t>
  </si>
  <si>
    <t>Q96P31</t>
  </si>
  <si>
    <t>UniRef100_Q96P31;UniRef90_Q96P31;UniRef50_Q96P31</t>
  </si>
  <si>
    <t>QRFPR_HUMAN</t>
  </si>
  <si>
    <t>Pyroglutamylated RFamide peptide receptor</t>
  </si>
  <si>
    <t>QRFPR</t>
  </si>
  <si>
    <t>NC:1-45;TM:46-70;CY:71-81;TM:82-103;NC:104-122;TM:123-141;CY:142-161;TM:162-182;NC:183-212;TM:213-235;CY:236-270;TM:271-292;NC:293-311;TM:312-334;CY:335-431</t>
  </si>
  <si>
    <t>ENSG00000186867</t>
  </si>
  <si>
    <t>ENSP00000377948</t>
  </si>
  <si>
    <t>5;19;106;353</t>
  </si>
  <si>
    <t>UniRef100_Q96P65;UniRef90_Q96P65;UniRef50_Q96P65</t>
  </si>
  <si>
    <t>GP101_HUMAN</t>
  </si>
  <si>
    <t>Probable G-protein coupled receptor 101</t>
  </si>
  <si>
    <t>GPR101</t>
  </si>
  <si>
    <t>NC:1-31;TM:32-57;CY:58-68;TM:69-90;NC:91-106;TM:107-127;CY:128-147;TM:148-169;NC:170-192;TM:193-218;CY:219-399;TM:400-425;NC:426-430;TM:431-454;CY:455-508</t>
  </si>
  <si>
    <t>ENSG00000165370</t>
  </si>
  <si>
    <t>ENSP00000298110</t>
  </si>
  <si>
    <t>7;13;361</t>
  </si>
  <si>
    <t>UniRef100_Q96P66;UniRef90_Q96P66;UniRef50_Q96P66</t>
  </si>
  <si>
    <t>GPR82_HUMAN</t>
  </si>
  <si>
    <t>Probable G-protein coupled receptor 82</t>
  </si>
  <si>
    <t>GPR82</t>
  </si>
  <si>
    <t>NC:1-11;TM:12-32;CY:33-52;TM:53-76;NC:77-95;TM:96-115;CY:116-154;TM:155-176;NC:177-196;TM:197-222;CY:223-249;TM:250-268;NC:269-336</t>
  </si>
  <si>
    <t>ENSG00000171657</t>
  </si>
  <si>
    <t>ENSP00000303549</t>
  </si>
  <si>
    <t>3;4</t>
  </si>
  <si>
    <t>UniRef100_Q96P67;UniRef90_Q96P67;UniRef50_Q96P67</t>
  </si>
  <si>
    <t>OXGR1_HUMAN</t>
  </si>
  <si>
    <t>2-oxoglutarate receptor 1</t>
  </si>
  <si>
    <t>OXGR1</t>
  </si>
  <si>
    <t>NC:1-37;TM:38-60;CY:61-71;TM:72-94;NC:95-114;TM:115-137;CY:138-148;TM:149-172;NC:173-196;TM:197-221;CY:222-241;TM:242-263;NC:264-282;TM:283-305;CY:306-337</t>
  </si>
  <si>
    <t>ENSG00000165621</t>
  </si>
  <si>
    <t>ENSP00000298440;ENSP00000438800</t>
  </si>
  <si>
    <t>10;23;176;179</t>
  </si>
  <si>
    <t>UniRef100_Q96P68;UniRef90_Q96P68;UniRef50_Q96P68</t>
  </si>
  <si>
    <t>GPR78_HUMAN</t>
  </si>
  <si>
    <t>G-protein coupled receptor 78</t>
  </si>
  <si>
    <t>GPR78</t>
  </si>
  <si>
    <t>NC:1-5;TM:6-32;CY:33-42;TM:43-66;NC:67-80;TM:81-102;CY:103-121;TM:122-149;NC:150-168;TM:169-192;CY:193-242;TM:243-261;NC:262-274;TM:275-296;CY:297-363</t>
  </si>
  <si>
    <t>ENSG00000155269</t>
  </si>
  <si>
    <t>ENSP00000371927</t>
  </si>
  <si>
    <t>47;348;355</t>
  </si>
  <si>
    <t>UniRef100_Q96P69;UniRef90_Q96P69;UniRef50_Q96P69</t>
  </si>
  <si>
    <t>GNRR2_HUMAN</t>
  </si>
  <si>
    <t>Putative gonadotropin-releasing hormone II receptor</t>
  </si>
  <si>
    <t>GNRHR2</t>
  </si>
  <si>
    <t>NC:1-28;TM:29-48;CY:49-67;TM:68-88;NC:89-115;TM:116-140;CY:141-177;TM:178-202;NC:203-213;TM:214-236;CY:237-292</t>
  </si>
  <si>
    <t>ENSG00000211451</t>
  </si>
  <si>
    <t>ENSP00000354569</t>
  </si>
  <si>
    <t>5;14</t>
  </si>
  <si>
    <t>Cell membrane;Complete proteome;Disulfide bond;G-protein coupled receptor;Membrane;Phosphoprotein;Receptor;Reference proteome;Transducer;Transmembrane;Transmembrane helix</t>
  </si>
  <si>
    <t>UniRef100_Q96P88;UniRef90_Q96P88;UniRef50_Q96P88</t>
  </si>
  <si>
    <t>DB00644;DB00666;DB01406</t>
  </si>
  <si>
    <t>CASD1_HUMAN</t>
  </si>
  <si>
    <t>CAS1 domain-containing protein 1</t>
  </si>
  <si>
    <t>CASD1</t>
  </si>
  <si>
    <t>SP:1-41;NC:42-311;TM:312-333;CY:334-362;TM:363-383;NC:384-395;TM:396-416;CY:417-436;TM:437-457;NC:458-462;TM:463-481;CY:482-492;TM:493-509;NC:510-513;TM:514-535;CY:536-546;TM:547-570;NC:571-601;TM:602-620;CY:621-640;TM:641-658;NC:659-669;TM:670-688;CY:689-698;TM:699-719;NC:720-725;TM:726-750;CY:751-770;TM:771-791;NC:792-797</t>
  </si>
  <si>
    <t>ENSG00000127995</t>
  </si>
  <si>
    <t>ENSP00000297273</t>
  </si>
  <si>
    <t>46;141;175;187;241;768</t>
  </si>
  <si>
    <t>434;597</t>
  </si>
  <si>
    <t>IHN[115]GSSEALSQYK;MN[115]ITSIAPLLEK;IDAYNEAAVSILN[115]SSTR</t>
  </si>
  <si>
    <t>175;187;241</t>
  </si>
  <si>
    <t>Q96PB1</t>
  </si>
  <si>
    <t>UniRef100_Q96PB1;UniRef90_Q96PB1;UniRef50_Q7TN73</t>
  </si>
  <si>
    <t>LRC3B_HUMAN</t>
  </si>
  <si>
    <t>Leucine-rich repeat-containing protein 3B</t>
  </si>
  <si>
    <t>LRRC3B</t>
  </si>
  <si>
    <t>SP:1-40;NC:41-203;TM:204-225;CY:226-259</t>
  </si>
  <si>
    <t>ENSG00000179796</t>
  </si>
  <si>
    <t>ENSP00000379880;ENSP00000406370;ENSP00000394940</t>
  </si>
  <si>
    <t>47;94</t>
  </si>
  <si>
    <t>UniRef100_Q96PB8;UniRef90_Q96PB8;UniRef50_Q96PB8</t>
  </si>
  <si>
    <t>DCBD2_HUMAN</t>
  </si>
  <si>
    <t>Discoidin, CUB and LCCL domain-containing protein 2</t>
  </si>
  <si>
    <t>DCBLD2</t>
  </si>
  <si>
    <t>SP:1-68;NC:69-527;TM:528-552;CY:553-775</t>
  </si>
  <si>
    <t>ENSG00000057019</t>
  </si>
  <si>
    <t>ENSP00000321573</t>
  </si>
  <si>
    <t>41;95;155;272;474;516;522</t>
  </si>
  <si>
    <t>41;95;155;272;432;474;516;522</t>
  </si>
  <si>
    <t>TEIGKYCGLGLQMN[115]HSIESK;YCGLGLQMN[115]HSIESK;GLGLQMN[115]HSIESK;GLQMN[115]HSIESK;GIPYYESSLANN[115]VTSVVGH</t>
  </si>
  <si>
    <t>155;272</t>
  </si>
  <si>
    <t>Q96PD2</t>
  </si>
  <si>
    <t>Alternative splicing;Complete proteome;Disulfide bond;Glycoprotein;Membrane;Phosphoprotein;Polymorphism;Reference proteome;Signal;Transmembrane;Transmembrane helix</t>
  </si>
  <si>
    <t>UniRef100_Q96PD2;UniRef90_Q96PD2;UniRef50_Q96PD2</t>
  </si>
  <si>
    <t>GP124_HUMAN</t>
  </si>
  <si>
    <t>G-protein coupled receptor 124</t>
  </si>
  <si>
    <t>GPR124</t>
  </si>
  <si>
    <t>SP:1-33;NC:34-771;TM:772-793;CY:794-804;TM:805-825;NC:826-832;TM:833-854;CY:855-886;TM:887-907;NC:908-926;TM:927-948;CY:949-1018;TM:1019-1040;NC:1041-1045;TM:1046-1067;CY:1068-1338</t>
  </si>
  <si>
    <t>ENSG00000020181</t>
  </si>
  <si>
    <t>ENSP00000406367</t>
  </si>
  <si>
    <t>84;101;162;207;275;336;436;602;659;690;737;794</t>
  </si>
  <si>
    <t>N[115]GSFLGLSLLEK;WLLPWAQN[115]R;LPFQCSASYLGN[115]DTR;LFHSHSN[115]TSRPGAAGPGK;GVATPVIFAGTSGCGVGN[115]LTEPVAVSLR</t>
  </si>
  <si>
    <t>101;207;275;659;690</t>
  </si>
  <si>
    <t>Q96PE1</t>
  </si>
  <si>
    <t>Alternative splicing;Angiogenesis;Cell membrane;Complete proteome;G-protein coupled receptor;Glycoprotein;Immunoglobulin domain;Leucine-rich repeat;Membrane;Receptor;Reference proteome;Repeat;Signal;Transducer;Transmembrane;Transmembrane helix</t>
  </si>
  <si>
    <t>UniRef100_Q96PE1;UniRef90_Q96PE1;UniRef50_Q96PE1</t>
  </si>
  <si>
    <t>OPALI_HUMAN</t>
  </si>
  <si>
    <t>Opalin</t>
  </si>
  <si>
    <t>OPALIN</t>
  </si>
  <si>
    <t>NC:1-30;TM:31-53;CY:54-141</t>
  </si>
  <si>
    <t>ENSG00000197430</t>
  </si>
  <si>
    <t>ENSP00000360214</t>
  </si>
  <si>
    <t>6;12</t>
  </si>
  <si>
    <t>Alternative splicing;Cell membrane;Complete proteome;Glycoprotein;Membrane;Reference proteome;Transmembrane;Transmembrane helix</t>
  </si>
  <si>
    <t>UniRef100_Q96PE5;UniRef90_Q96PE5;UniRef50_Q96PE5</t>
  </si>
  <si>
    <t>FCRL4_HUMAN</t>
  </si>
  <si>
    <t>Fc receptor-like protein 4</t>
  </si>
  <si>
    <t>FCRL4</t>
  </si>
  <si>
    <t>SP:1-19;NC:20-386;TM:387-408;CY:409-515</t>
  </si>
  <si>
    <t>ENSG00000163518</t>
  </si>
  <si>
    <t>ENSP00000271532</t>
  </si>
  <si>
    <t>CD307d</t>
  </si>
  <si>
    <t>147;209;374;478</t>
  </si>
  <si>
    <t>Adaptive immunity;Alternative splicing;Cell membrane;Chromosomal rearrangement;Complete proteome;Disulfide bond;Glycoprotein;Immunity;Immunoglobulin domain;Membrane;Phosphoprotein;Polymorphism;Receptor;Reference proteome;Repeat;Signal;Transmembrane;Transmembrane helix</t>
  </si>
  <si>
    <t>UniRef100_Q96PJ5;UniRef90_Q96PJ5;UniRef50_Q96PJ5</t>
  </si>
  <si>
    <t>TECTB_HUMAN</t>
  </si>
  <si>
    <t>Beta-tectorin</t>
  </si>
  <si>
    <t>TECTB</t>
  </si>
  <si>
    <t>SP:1-17;NC:18-329</t>
  </si>
  <si>
    <t>ENSG00000119913</t>
  </si>
  <si>
    <t>ENSP00000358430</t>
  </si>
  <si>
    <t>80;104;116;145</t>
  </si>
  <si>
    <t>Cell membrane;Complete proteome;Disulfide bond;Extracellular matrix;Glycoprotein;GPI-anchor;Lipoprotein;Membrane;Reference proteome;Secreted;Signal</t>
  </si>
  <si>
    <t>UniRef100_Q96PL2;UniRef90_Q96PL2;UniRef50_P54097</t>
  </si>
  <si>
    <t>ERMAP_HUMAN</t>
  </si>
  <si>
    <t>Erythroid membrane-associated protein</t>
  </si>
  <si>
    <t>ERMAP</t>
  </si>
  <si>
    <t>SP:1-29;NC:30-154;TM:155-177;CY:178-475</t>
  </si>
  <si>
    <t>ENSG00000164010</t>
  </si>
  <si>
    <t>ENSP00000361592;ENSP00000361595</t>
  </si>
  <si>
    <t>132;373;376;386;441</t>
  </si>
  <si>
    <t>Blood group antigen;Cell membrane;Complete proteome;Cytoplasm;Disulfide bond;Glycoprotein;Immunoglobulin domain;Membrane;Polymorphism;Reference proteome;Signal;Transmembrane;Transmembrane helix</t>
  </si>
  <si>
    <t>UniRef100_Q96PL5;UniRef90_Q96PL5;UniRef50_Q96PL5</t>
  </si>
  <si>
    <t>SORC2_HUMAN</t>
  </si>
  <si>
    <t>VPS10 domain-containing receptor SorCS2</t>
  </si>
  <si>
    <t>SORCS2</t>
  </si>
  <si>
    <t>SP:1-50;NC:51-1078;TM:1079-1100;CY:1101-1159</t>
  </si>
  <si>
    <t>ENSG00000184985</t>
  </si>
  <si>
    <t>ENSP00000422185</t>
  </si>
  <si>
    <t>158;328;362;600;830;891;902;1140</t>
  </si>
  <si>
    <t>YVTCAIHN[115]CSEK;AMYVN[115]LTLTGEPIR</t>
  </si>
  <si>
    <t>328;830</t>
  </si>
  <si>
    <t>Q96PQ0</t>
  </si>
  <si>
    <t>3D-structure;Complete proteome;Glycoprotein;Membrane;Polymorphism;Reference proteome;Repeat;Signal;Transmembrane;Transmembrane helix</t>
  </si>
  <si>
    <t>UniRef100_Q96PQ0;UniRef90_Q96PQ0;UniRef50_Q96PQ0</t>
  </si>
  <si>
    <t>SIG12_HUMAN</t>
  </si>
  <si>
    <t>Sialic acid-binding Ig-like lectin 12</t>
  </si>
  <si>
    <t>SIGLEC12</t>
  </si>
  <si>
    <t>SP:1-18;NC:19-478;TM:479-502;CY:503-595</t>
  </si>
  <si>
    <t>ENSG00000254521</t>
  </si>
  <si>
    <t>ENSP00000291707</t>
  </si>
  <si>
    <t>140;179;230;290;360;367;385</t>
  </si>
  <si>
    <t>FLLLGDPQTNN[115]CSLSIR</t>
  </si>
  <si>
    <t>Q96PQ1</t>
  </si>
  <si>
    <t>Alternative splicing;Cell adhesion;Complete proteome;Disulfide bond;Glycoprotein;Immunoglobulin domain;Lectin;Membrane;Phosphoprotein;Polymorphism;Reference proteome;Repeat;Signal;Transmembrane;Transmembrane helix</t>
  </si>
  <si>
    <t>UniRef100_Q96PQ1;UniRef90_Q96PQ1;UniRef50_Q96PQ1</t>
  </si>
  <si>
    <t>AQP10_HUMAN</t>
  </si>
  <si>
    <t>Aquaporin-10</t>
  </si>
  <si>
    <t>AQP10</t>
  </si>
  <si>
    <t>CY:1-23;TM:24-44;NC:45-54;TM:55-76;CY:77-99;TM:100-122;NC:123-159;TM:160-178;CY:179-189;TM:190-213;NC:214-301</t>
  </si>
  <si>
    <t>ENSG00000143595</t>
  </si>
  <si>
    <t>ENSP00000318355</t>
  </si>
  <si>
    <t>75;128;133</t>
  </si>
  <si>
    <t>Alternative splicing;Complete proteome;Membrane;Polymorphism;Reference proteome;Repeat;Transmembrane;Transmembrane helix;Transport</t>
  </si>
  <si>
    <t>UniRef100_Q96PS8;UniRef90_Q96PS8;UniRef50_Q96PS8</t>
  </si>
  <si>
    <t>SLIK1_HUMAN</t>
  </si>
  <si>
    <t>SLIT and NTRK-like protein 1</t>
  </si>
  <si>
    <t>SLITRK1</t>
  </si>
  <si>
    <t>SP:1-21;NC:22-618;TM:619-643;CY:644-696</t>
  </si>
  <si>
    <t>18;253;363;416;595;655</t>
  </si>
  <si>
    <t>Complete proteome;Leucine-rich repeat;Membrane;Polymorphism;Reference proteome;Repeat;Signal;Transmembrane;Transmembrane helix</t>
  </si>
  <si>
    <t>UniRef100_Q96PX8;UniRef90_Q96PX8;UniRef50_Q96PX8</t>
  </si>
  <si>
    <t>CSMD1_HUMAN</t>
  </si>
  <si>
    <t>CUB and sushi domain-containing protein 1</t>
  </si>
  <si>
    <t>CSMD1</t>
  </si>
  <si>
    <t>SP:1-26;NC:27-3487;TM:3488-3510;CY:3511-3565</t>
  </si>
  <si>
    <t>40;57;588;687;956;1016;1035;1185;1198;1400;1455;1573;1645;1793;1806;1883;2019;2150;2155;2188;2359;2395;2401;2446;2471;2504;2606;2751;2762;2796;2895;2964;3023;3057;3106;3229;3261;3340;3380;3387</t>
  </si>
  <si>
    <t>3D-structure;Alternative splicing;Complete proteome;Disulfide bond;Glycoprotein;Membrane;Polymorphism;Reference proteome;Repeat;Signal;Sushi;Transmembrane;Transmembrane helix</t>
  </si>
  <si>
    <t>UniRef100_Q96PZ7;UniRef90_Q96PZ7;UniRef50_Q96PZ7</t>
  </si>
  <si>
    <t>S38A2_HUMAN</t>
  </si>
  <si>
    <t>Sodium-coupled neutral amino acid transporter 2</t>
  </si>
  <si>
    <t>SLC38A2</t>
  </si>
  <si>
    <t>CY:1-75;TM:76-95;NC:96-100;TM:101-123;CY:124-162;TM:163-182;NC:183-188;TM:189-211;CY:212-216;TM:217-237;NC:238-291;TM:292-312;CY:313-330;TM:331-350;NC:351-369;TM:370-394;CY:395-413;TM:414-431;NC:432-436;TM:437-461;CY:462-472;TM:473-495;NC:496-506</t>
  </si>
  <si>
    <t>ENSG00000134294</t>
  </si>
  <si>
    <t>ENSP00000256689</t>
  </si>
  <si>
    <t>27;79;254;258;274;278;326</t>
  </si>
  <si>
    <t>Alternative splicing;Amino-acid transport;Cell membrane;Complete proteome;Glycoprotein;Ion transport;Membrane;Phosphoprotein;Polymorphism;Reference proteome;Sodium;Sodium transport;Symport;Transmembrane;Transmembrane helix;Transport;Ubl conjugation</t>
  </si>
  <si>
    <t>UniRef100_Q96QD8;UniRef90_Q96QD8;UniRef50_Q96QD8</t>
  </si>
  <si>
    <t>MYCT_HUMAN</t>
  </si>
  <si>
    <t>Proton myo-inositol cotransporter</t>
  </si>
  <si>
    <t>SLC2A13</t>
  </si>
  <si>
    <t>CY:1-78;TM:79-97;NC:98-121;TM:122-142;CY:143-149;TM:150-169;NC:170-174;TM:175-196;CY:197-207;TM:208-232;NC:233-237;TM:238-259;CY:260-324;TM:325-347;NC:348-361;TM:362-385;CY:386-394;TM:395-416;NC:417-504;TM:505-525;CY:526-545;TM:546-567;NC:568-572;TM:573-594;CY:595-648</t>
  </si>
  <si>
    <t>ENSG00000151229</t>
  </si>
  <si>
    <t>ENSP00000280871</t>
  </si>
  <si>
    <t>285;433;458;485</t>
  </si>
  <si>
    <t>ITFKPIAPSGQN[115]ATCTR;PIAPSGQN[115]ATCTR</t>
  </si>
  <si>
    <t>Q96QE2</t>
  </si>
  <si>
    <t>Complete proteome;Glycoprotein;Membrane;Phosphoprotein;Reference proteome;Transmembrane;Transmembrane helix;Transport</t>
  </si>
  <si>
    <t>UniRef100_Q96QE2;UniRef90_Q96QE2;UniRef50_Q96QE2</t>
  </si>
  <si>
    <t>LR37B_HUMAN</t>
  </si>
  <si>
    <t>Leucine-rich repeat-containing protein 37B</t>
  </si>
  <si>
    <t>LRRC37B</t>
  </si>
  <si>
    <t>SP:1-25;NC:26-905;TM:906-928;CY:929-947</t>
  </si>
  <si>
    <t>ENSG00000185158</t>
  </si>
  <si>
    <t>ENSP00000340519;ENSP00000378202</t>
  </si>
  <si>
    <t>358;789</t>
  </si>
  <si>
    <t>Alternative splicing;Coiled coil;Complete proteome;Glycoprotein;Leucine-rich repeat;Membrane;Reference proteome;Repeat;Signal;Transmembrane;Transmembrane helix</t>
  </si>
  <si>
    <t>UniRef100_Q96QE4;UniRef90_Q96QE4;UniRef50_Q96QE4</t>
  </si>
  <si>
    <t>PCD15_HUMAN</t>
  </si>
  <si>
    <t>Protocadherin-15</t>
  </si>
  <si>
    <t>PCDH15</t>
  </si>
  <si>
    <t>SP:1-26;NC:27-1375;TM:1376-1397;CY:1398-1955</t>
  </si>
  <si>
    <t>ENSG00000150275</t>
  </si>
  <si>
    <t>ENSP00000322604</t>
  </si>
  <si>
    <t>52;97;201;390;419;559;610;662;724;768;821;851;1064;1084;1175;1469;1532;1632;1739;1911</t>
  </si>
  <si>
    <t>N[115]LSVVEEEANAFVGQVK</t>
  </si>
  <si>
    <t>Q96QU1</t>
  </si>
  <si>
    <t>Alternative splicing;Calcium;Cell adhesion;Cell membrane;Complete proteome;Deafness;Disease mutation;Disulfide bond;Glycoprotein;Hearing;Membrane;Non-syndromic deafness;Polymorphism;Reference proteome;Repeat;Retinitis pigmentosa;Secreted;Signal;Transmembrane;Transmembrane helix;Usher syndrome</t>
  </si>
  <si>
    <t>UniRef100_Q96QU1;UniRef90_Q96QU1;UniRef50_Q99PJ1</t>
  </si>
  <si>
    <t>OR5BC_HUMAN</t>
  </si>
  <si>
    <t>Olfactory receptor 5B12</t>
  </si>
  <si>
    <t>OR5B12</t>
  </si>
  <si>
    <t>NC:1-22;TM:23-44;CY:45-55;TM:56-76;NC:77-96;TM:97-117;CY:118-136;TM:137-156;NC:157-194;TM:195-219;CY:220-238;TM:239-258;NC:259-270;TM:271-290;CY:291-314</t>
  </si>
  <si>
    <t>ENSG00000172362</t>
  </si>
  <si>
    <t>ENSP00000306657</t>
  </si>
  <si>
    <t>3;63;153;261</t>
  </si>
  <si>
    <t>UniRef100_Q96R08;UniRef90_Q96R08;UniRef50_Q96R08</t>
  </si>
  <si>
    <t>OR5B2_HUMAN</t>
  </si>
  <si>
    <t>Olfactory receptor 5B2</t>
  </si>
  <si>
    <t>OR5B2</t>
  </si>
  <si>
    <t>NC:1-22;TM:23-48;CY:49-56;TM:57-76;NC:77-95;TM:96-114;CY:115-134;TM:135-158;NC:159-195;TM:196-223;CY:224-234;TM:235-258;NC:259-270;TM:271-290;CY:291-309</t>
  </si>
  <si>
    <t>ENSG00000172365</t>
  </si>
  <si>
    <t>ENSP00000303076</t>
  </si>
  <si>
    <t>UniRef100_Q96R09;UniRef90_Q96R09;UniRef50_Q8NGQ1</t>
  </si>
  <si>
    <t>OR2M4_HUMAN</t>
  </si>
  <si>
    <t>Olfactory receptor 2M4</t>
  </si>
  <si>
    <t>OR2M4</t>
  </si>
  <si>
    <t>NC:1-25;TM:26-50;CY:51-59;TM:60-81;NC:82-100;TM:101-120;CY:121-139;TM:140-163;NC:164-196;TM:197-218;CY:219-237;TM:238-260;NC:261-272;TM:273-292;CY:293-311</t>
  </si>
  <si>
    <t>ENSG00000171180</t>
  </si>
  <si>
    <t>ENSP00000306688</t>
  </si>
  <si>
    <t>5;19;42</t>
  </si>
  <si>
    <t>UniRef100_Q96R27;UniRef90_Q96R27;UniRef50_Q96R27</t>
  </si>
  <si>
    <t>OR2M2_HUMAN</t>
  </si>
  <si>
    <t>Olfactory receptor 2M2</t>
  </si>
  <si>
    <t>OR2M2</t>
  </si>
  <si>
    <t>NC:1-25;TM:26-50;CY:51-59;TM:60-81;NC:82-100;TM:101-120;CY:121-139;TM:140-161;NC:162-197;TM:198-223;CY:224-237;TM:238-260;NC:261-272;TM:273-292;CY:293-347</t>
  </si>
  <si>
    <t>ENSG00000198601</t>
  </si>
  <si>
    <t>ENSP00000352710</t>
  </si>
  <si>
    <t>UniRef100_Q96R28;UniRef90_Q96R28;UniRef50_Q96R27</t>
  </si>
  <si>
    <t>OR2V2_HUMAN</t>
  </si>
  <si>
    <t>Olfactory receptor 2V2</t>
  </si>
  <si>
    <t>OR2V2</t>
  </si>
  <si>
    <t>NC:1-25;TM:26-51;CY:52-60;TM:61-80;NC:81-99;TM:100-121;CY:122-140;TM:141-163;NC:164-198;TM:199-222;CY:223-237;TM:238-261;NC:262-273;TM:274-293;CY:294-315</t>
  </si>
  <si>
    <t>ENSG00000182613</t>
  </si>
  <si>
    <t>ENSP00000332185</t>
  </si>
  <si>
    <t>UniRef100_Q96R30;UniRef90_Q96R30;UniRef50_Q96R27</t>
  </si>
  <si>
    <t>OR2A7_HUMAN</t>
  </si>
  <si>
    <t>Olfactory receptor 2A7</t>
  </si>
  <si>
    <t>OR2A7</t>
  </si>
  <si>
    <t>ENSG00000243896</t>
  </si>
  <si>
    <t>ENSP00000420502</t>
  </si>
  <si>
    <t>UniRef100_Q96R45;UniRef90_O95047;UniRef50_O95047</t>
  </si>
  <si>
    <t>102725084;401427</t>
  </si>
  <si>
    <t>O2A14_HUMAN</t>
  </si>
  <si>
    <t>Olfactory receptor 2A14</t>
  </si>
  <si>
    <t>OR2A14</t>
  </si>
  <si>
    <t>NC:1-21;TM:22-49;CY:50-57;TM:58-77;NC:78-96;TM:97-119;CY:120-138;TM:139-162;NC:163-195;TM:196-219;CY:220-238;TM:239-260;NC:261-271;TM:272-291;CY:292-310</t>
  </si>
  <si>
    <t>ENSG00000221938</t>
  </si>
  <si>
    <t>ENSP00000386137</t>
  </si>
  <si>
    <t>UniRef100_Q96R47;UniRef90_Q96R47;UniRef50_Q96R47</t>
  </si>
  <si>
    <t>OR2A5_HUMAN</t>
  </si>
  <si>
    <t>Olfactory receptor 2A5</t>
  </si>
  <si>
    <t>OR2A5</t>
  </si>
  <si>
    <t>NC:1-23;TM:24-50;CY:51-56;TM:57-74;NC:75-100;TM:101-120;CY:121-138;TM:139-163;NC:164-194;TM:195-217;CY:218-237;TM:238-261;NC:262-272;TM:273-292;CY:293-311</t>
  </si>
  <si>
    <t>ENSG00000221836</t>
  </si>
  <si>
    <t>ENSP00000386208</t>
  </si>
  <si>
    <t>UniRef100_Q96R48;UniRef90_Q96R48;UniRef50_O95047</t>
  </si>
  <si>
    <t>O14A2_HUMAN</t>
  </si>
  <si>
    <t>Olfactory receptor 14A2</t>
  </si>
  <si>
    <t>OR14A2</t>
  </si>
  <si>
    <t>NC:1-22;TM:23-47;CY:48-58;TM:59-77;NC:78-89;TM:90-113;CY:114-133;TM:134-157;NC:158-191;TM:192-219;CY:220-238;TM:239-258;NC:259-269;TM:270-290;CY:291-314</t>
  </si>
  <si>
    <t>ENSG00000241128</t>
  </si>
  <si>
    <t>ENSP00000355441</t>
  </si>
  <si>
    <t>3;63;83;87</t>
  </si>
  <si>
    <t>UniRef100_Q96R54;UniRef90_Q96R54;UniRef50_Q8NGZ2</t>
  </si>
  <si>
    <t>OR4CC_HUMAN</t>
  </si>
  <si>
    <t>Olfactory receptor 4C12</t>
  </si>
  <si>
    <t>OR4C12</t>
  </si>
  <si>
    <t>NC:1-24;TM:25-45;CY:46-56;TM:57-74;NC:75-102;TM:103-124;CY:125-135;TM:136-160;NC:161-193;TM:194-219;CY:220-234;TM:235-257;NC:258-268;TM:269-287;CY:288-309</t>
  </si>
  <si>
    <t>ENSG00000221954</t>
  </si>
  <si>
    <t>ENSP00000334418</t>
  </si>
  <si>
    <t>6;129;225</t>
  </si>
  <si>
    <t>UniRef100_Q96R67;UniRef90_Q96R67;UniRef50_Q8NGB6</t>
  </si>
  <si>
    <t>OR4F4_HUMAN</t>
  </si>
  <si>
    <t>Olfactory receptor 4F4</t>
  </si>
  <si>
    <t>OR4F4</t>
  </si>
  <si>
    <t>NC:1-19;TM:20-42;CY:43-51;TM:52-71;NC:72-90;TM:91-113;CY:114-129;TM:130-151;NC:152-192;TM:193-218;CY:219-229;TM:230-253;NC:254-264;TM:265-282;CY:283-305</t>
  </si>
  <si>
    <t>ENSG00000177693</t>
  </si>
  <si>
    <t>ENSP00000317482</t>
  </si>
  <si>
    <t>UniRef100_Q96R69;UniRef90_Q8NGA8;UniRef50_Q8NH41</t>
  </si>
  <si>
    <t>OR4K3_HUMAN</t>
  </si>
  <si>
    <t>Olfactory receptor 4K3</t>
  </si>
  <si>
    <t>OR4K3</t>
  </si>
  <si>
    <t>NC:1-24;TM:25-48;CY:49-58;TM:59-79;NC:80-101;TM:102-120;CY:121-140;TM:141-161;NC:162-193;TM:194-224;CY:225-236;TM:237-260;NC:261-271;TM:272-289;CY:290-315</t>
  </si>
  <si>
    <t>UniRef100_Q96R72;UniRef90_Q96R72;UniRef50_Q8NH41</t>
  </si>
  <si>
    <t>OR1F2_HUMAN</t>
  </si>
  <si>
    <t>Putative olfactory receptor 1F2</t>
  </si>
  <si>
    <t>OR1F2P</t>
  </si>
  <si>
    <t>NC:1-25;TM:26-48;CY:49-58;TM:59-78;NC:79-98;TM:99-119;CY:120-138;TM:139-158;NC:159-200;TM:201-223;CY:224-235;TM:236-259;NC:260-270;TM:271-290;CY:291-312</t>
  </si>
  <si>
    <t>UniRef100_Q96R84;UniRef90_Q96R84;UniRef50_P23266</t>
  </si>
  <si>
    <t>OR7D2_HUMAN</t>
  </si>
  <si>
    <t>Olfactory receptor 7D2</t>
  </si>
  <si>
    <t>OR7D2</t>
  </si>
  <si>
    <t>NC:1-25;TM:26-48;CY:49-59;TM:60-81;NC:82-100;TM:101-120;CY:121-139;TM:140-162;NC:163-197;TM:198-218;CY:219-237;TM:238-260;NC:261-270;TM:271-290;CY:291-312</t>
  </si>
  <si>
    <t>ENSG00000188000</t>
  </si>
  <si>
    <t>ENSP00000345563</t>
  </si>
  <si>
    <t>UniRef100_Q96RA2;UniRef90_Q96RA2;UniRef50_Q96RA2</t>
  </si>
  <si>
    <t>OR5MB_HUMAN</t>
  </si>
  <si>
    <t>Olfactory receptor 5M11</t>
  </si>
  <si>
    <t>OR5M11</t>
  </si>
  <si>
    <t>NC:1-24;TM:25-48;CY:49-59;TM:60-78;NC:79-98;TM:99-119;CY:120-138;TM:139-161;NC:162-197;TM:198-221;CY:222-240;TM:241-260;NC:261-271;TM:272-291;CY:292-305</t>
  </si>
  <si>
    <t>ENSG00000255223</t>
  </si>
  <si>
    <t>ENSP00000432417</t>
  </si>
  <si>
    <t>5;76;205</t>
  </si>
  <si>
    <t>UniRef100_Q96RB7;UniRef90_Q96RB7;UniRef50_Q6IEU7</t>
  </si>
  <si>
    <t>OR8B4_HUMAN</t>
  </si>
  <si>
    <t>Olfactory receptor 8B4</t>
  </si>
  <si>
    <t>OR8B4</t>
  </si>
  <si>
    <t>NC:1-26;TM:27-48;CY:49-59;TM:60-79;NC:80-98;TM:99-119;CY:120-138;TM:139-157;NC:158-195;TM:196-220;CY:221-239;TM:240-260;NC:261-271;TM:272-291;CY:292-309</t>
  </si>
  <si>
    <t>ENSG00000280090;ENSG00000198657</t>
  </si>
  <si>
    <t>ENSP00000348449;ENSP00000485485;ENSP00000485212</t>
  </si>
  <si>
    <t>UniRef100_Q96RC9;UniRef90_Q96RC9;UniRef50_Q96RC9</t>
  </si>
  <si>
    <t>OR8B2_HUMAN</t>
  </si>
  <si>
    <t>Olfactory receptor 8B2</t>
  </si>
  <si>
    <t>OR8B2</t>
  </si>
  <si>
    <t>NC:1-26;TM:27-48;CY:49-59;TM:60-78;NC:79-99;TM:100-120;CY:121-139;TM:140-158;NC:159-196;TM:197-221;CY:222-240;TM:241-260;NC:261-273;TM:274-291;CY:292-313</t>
  </si>
  <si>
    <t>ENSG00000204293</t>
  </si>
  <si>
    <t>ENSP00000364152</t>
  </si>
  <si>
    <t>5;65;206</t>
  </si>
  <si>
    <t>UniRef100_Q96RD0;UniRef90_Q96RD0;UniRef50_Q96RD0</t>
  </si>
  <si>
    <t>OR6C1_HUMAN</t>
  </si>
  <si>
    <t>Olfactory receptor 6C1</t>
  </si>
  <si>
    <t>OR6C1</t>
  </si>
  <si>
    <t>NC:1-21;TM:22-46;CY:47-57;TM:58-76;NC:77-95;TM:96-118;CY:119-137;TM:138-161;NC:162-194;TM:195-219;CY:220-238;TM:239-258;NC:259-270;TM:271-290;CY:291-312</t>
  </si>
  <si>
    <t>ENSG00000205330</t>
  </si>
  <si>
    <t>ENSP00000368990</t>
  </si>
  <si>
    <t>UniRef100_Q96RD1;UniRef90_Q96RD1;UniRef50_Q9NZP2</t>
  </si>
  <si>
    <t>O52B2_HUMAN</t>
  </si>
  <si>
    <t>Olfactory receptor 52B2</t>
  </si>
  <si>
    <t>OR52B2</t>
  </si>
  <si>
    <t>NC:1-25;TM:26-50;CY:51-60;TM:61-80;NC:81-102;TM:103-122;CY:123-141;TM:142-164;NC:165-197;TM:198-223;CY:224-242;TM:243-262;NC:263-273;TM:274-294;CY:295-323</t>
  </si>
  <si>
    <t>ENSG00000255307</t>
  </si>
  <si>
    <t>ENSP00000432011</t>
  </si>
  <si>
    <t>UniRef100_Q96RD2;UniRef90_Q96RD2;UniRef50_Q8NGJ2</t>
  </si>
  <si>
    <t>O52E6_HUMAN</t>
  </si>
  <si>
    <t>Olfactory receptor 52E6</t>
  </si>
  <si>
    <t>OR52E6</t>
  </si>
  <si>
    <t>NC:1-25;TM:26-50;CY:51-61;TM:62-80;NC:81-99;TM:100-122;CY:123-141;TM:142-165;NC:166-197;TM:198-218;CY:219-237;TM:238-261;NC:262-271;TM:272-293;CY:294-313</t>
  </si>
  <si>
    <t>ENSG00000205409</t>
  </si>
  <si>
    <t>ENSP00000328878</t>
  </si>
  <si>
    <t>UniRef100_Q96RD3;UniRef90_Q96RD3;UniRef50_Q8NGI2</t>
  </si>
  <si>
    <t>PANX2_HUMAN</t>
  </si>
  <si>
    <t>Pannexin-2</t>
  </si>
  <si>
    <t>PANX2</t>
  </si>
  <si>
    <t>CY:1-52;TM:53-70;NC:71-122;TM:123-145;CY:146-225;TM:226-250;NC:251-289;TM:290-315;CY:316-677</t>
  </si>
  <si>
    <t>ENSG00000073150</t>
  </si>
  <si>
    <t>ENSP00000159647</t>
  </si>
  <si>
    <t>86;369;620</t>
  </si>
  <si>
    <t>Alternative splicing;Cell junction;Cell membrane;Complete proteome;Gap junction;Glycoprotein;Ion channel;Ion transport;Membrane;Polymorphism;Reference proteome;Transmembrane;Transmembrane helix;Transport</t>
  </si>
  <si>
    <t>UniRef100_Q96RD6;UniRef90_Q96RD6;UniRef50_P60571</t>
  </si>
  <si>
    <t>PANX1_HUMAN</t>
  </si>
  <si>
    <t>Pannexin-1</t>
  </si>
  <si>
    <t>PANX1</t>
  </si>
  <si>
    <t>CY:1-36;TM:37-55;NC:56-107;TM:108-127;CY:128-213;TM:214-235;NC:236-266;TM:267-292;CY:293-426</t>
  </si>
  <si>
    <t>ENSG00000110218</t>
  </si>
  <si>
    <t>ENSP00000227638</t>
  </si>
  <si>
    <t>255;338;394</t>
  </si>
  <si>
    <t>N[115]DSTVPDQFQCK</t>
  </si>
  <si>
    <t>Q96RD7</t>
  </si>
  <si>
    <t>Cell junction, gap junction;Cell membrane (Multi-pass membrane protein);Endoplasmic reticulum membrane (Multi-pass membrane protein)</t>
  </si>
  <si>
    <t>Alternative splicing;Calcium;Calcium channel;Calcium transport;Cell junction;Cell membrane;Complete proteome;Endoplasmic reticulum;Gap junction;Glycoprotein;Ion channel;Ion transport;Membrane;Polymorphism;Reference proteome;S-nitrosylation;Transmembrane;Transmembrane helix;Transport</t>
  </si>
  <si>
    <t>UniRef100_Q96RD7;UniRef90_Q96RD7;UniRef50_Q96RD7</t>
  </si>
  <si>
    <t>FCRL5_HUMAN</t>
  </si>
  <si>
    <t>Fc receptor-like protein 5</t>
  </si>
  <si>
    <t>FCRL5</t>
  </si>
  <si>
    <t>SP:1-15;NC:16-848;TM:849-873;CY:874-977</t>
  </si>
  <si>
    <t>ENSG00000143297</t>
  </si>
  <si>
    <t>ENSP00000354691</t>
  </si>
  <si>
    <t>CD307e</t>
  </si>
  <si>
    <t>132;383;621;631;714;795;806;816;843</t>
  </si>
  <si>
    <t>AEVTLN[115]NTIYK</t>
  </si>
  <si>
    <t>Q96RD9</t>
  </si>
  <si>
    <t>UniRef100_Q96RD9;UniRef90_Q96RD9;UniRef50_Q96RD9</t>
  </si>
  <si>
    <t>PAR4_HUMAN</t>
  </si>
  <si>
    <t>Proteinase-activated receptor 4</t>
  </si>
  <si>
    <t>F2RL3</t>
  </si>
  <si>
    <t>SP:1-19;NC:20-81;TM:82-102;CY:103-113;TM:114-134;NC:135-153;TM:154-172;CY:173-191;TM:192-213;NC:214-242;TM:243-268;CY:269-283;TM:284-307;NC:308-318;TM:319-343;CY:344-385</t>
  </si>
  <si>
    <t>ENSG00000127533</t>
  </si>
  <si>
    <t>ENSP00000248076</t>
  </si>
  <si>
    <t>GYPGQVCAN[115]DSDTLELPDSSR</t>
  </si>
  <si>
    <t>Q96RI0</t>
  </si>
  <si>
    <t>3D-structure;Blood coagulation;Cell membrane;Complete proteome;Disulfide bond;G-protein coupled receptor;Glycoprotein;Hemostasis;Membrane;Polymorphism;Receptor;Reference proteome;Signal;Transducer;Transmembrane;Transmembrane helix</t>
  </si>
  <si>
    <t>UniRef100_Q96RI0;UniRef90_Q96RI0;UniRef50_Q96RI0</t>
  </si>
  <si>
    <t>TAAR6_HUMAN</t>
  </si>
  <si>
    <t>Trace amine-associated receptor 6</t>
  </si>
  <si>
    <t>TAAR6</t>
  </si>
  <si>
    <t>NC:1-32;TM:33-57;CY:58-68;TM:69-90;NC:91-105;TM:106-128;CY:129-144;TM:145-169;NC:170-202;TM:203-224;CY:225-255;TM:256-276;NC:277-281;TM:282-302;CY:303-345</t>
  </si>
  <si>
    <t>ENSG00000146383</t>
  </si>
  <si>
    <t>ENSP00000275198</t>
  </si>
  <si>
    <t>4;19;333</t>
  </si>
  <si>
    <t>UniRef100_Q96RI8;UniRef90_Q96RI8;UniRef50_Q96RI8</t>
  </si>
  <si>
    <t>TAAR9_HUMAN</t>
  </si>
  <si>
    <t>Trace amine-associated receptor 9</t>
  </si>
  <si>
    <t>TAAR9</t>
  </si>
  <si>
    <t>NC:1-33;TM:34-58;CY:59-68;TM:69-90;NC:91-110;TM:111-132;CY:133-143;TM:144-168;NC:169-197;TM:198-222;CY:223-255;TM:256-275;NC:276-294;TM:295-315;CY:316-348</t>
  </si>
  <si>
    <t>ENSG00000237110</t>
  </si>
  <si>
    <t>ENSP00000424607</t>
  </si>
  <si>
    <t>4;19</t>
  </si>
  <si>
    <t>UniRef100_Q96RI9;UniRef90_Q96RI9;UniRef50_Q96RI8</t>
  </si>
  <si>
    <t>TAAR1_HUMAN</t>
  </si>
  <si>
    <t>Trace amine-associated receptor 1</t>
  </si>
  <si>
    <t>TAAR1</t>
  </si>
  <si>
    <t>NC:1-25;TM:26-48;CY:49-59;TM:60-81;NC:82-103;TM:104-124;CY:125-135;TM:136-160;NC:161-191;TM:192-213;CY:214-251;TM:252-276;NC:277-288;TM:289-310;CY:311-339</t>
  </si>
  <si>
    <t>ENSG00000146399</t>
  </si>
  <si>
    <t>ENSP00000275216</t>
  </si>
  <si>
    <t>10;17;296</t>
  </si>
  <si>
    <t>UniRef100_Q96RJ0;UniRef90_Q96RJ0;UniRef50_Q96RJ0</t>
  </si>
  <si>
    <t>DB00182;DB01576;DB01577;DB06714</t>
  </si>
  <si>
    <t>SIG11_HUMAN</t>
  </si>
  <si>
    <t>Sialic acid-binding Ig-like lectin 11</t>
  </si>
  <si>
    <t>SIGLEC11</t>
  </si>
  <si>
    <t>SP:1-29;NC:30-558;TM:559-584;CY:585-698</t>
  </si>
  <si>
    <t>ENSG00000161640</t>
  </si>
  <si>
    <t>ENSP00000412361</t>
  </si>
  <si>
    <t>55;90;262;366;375;497;515</t>
  </si>
  <si>
    <t>Alternative splicing;Cell adhesion;Complete proteome;Disulfide bond;Glycoprotein;Immunoglobulin domain;Lectin;Membrane;Phosphoprotein;Reference proteome;Repeat;Signal;Transmembrane;Transmembrane helix</t>
  </si>
  <si>
    <t>UniRef100_Q96RL6;UniRef90_Q96RL6;UniRef50_Q96LC7</t>
  </si>
  <si>
    <t>S26A8_HUMAN</t>
  </si>
  <si>
    <t>Testis anion transporter 1</t>
  </si>
  <si>
    <t>SLC26A8</t>
  </si>
  <si>
    <t>CY:1-90;TM:91-109;NC:110-119;TM:120-140;CY:141-146;TM:147-166;NC:167-197;TM:198-224;CY:225-230;TM:231-254;NC:255-271;TM:272-292;CY:293-305;TM:306-327;NC:328-353;TM:354-375;CY:376-394;TM:395-416;NC:417-427;TM:428-445;CY:446-454;TM:455-473;NC:474-496;TM:497-517;CY:518-970</t>
  </si>
  <si>
    <t>ENSG00000112053</t>
  </si>
  <si>
    <t>ENSP00000347778;ENSP00000417638</t>
  </si>
  <si>
    <t>52;192;277;384;595;651;687;688;692;842</t>
  </si>
  <si>
    <t>Alternative splicing;Anion exchange;Complete proteome;Developmental protein;Differentiation;Glycoprotein;Ion transport;Meiosis;Membrane;Polymorphism;Reference proteome;Spermatogenesis;Transmembrane;Transmembrane helix;Transport</t>
  </si>
  <si>
    <t>UniRef100_Q96RN1;UniRef90_Q96RN1;UniRef50_Q96RN1</t>
  </si>
  <si>
    <t>PCX1_HUMAN</t>
  </si>
  <si>
    <t>Pecanex-like protein 1</t>
  </si>
  <si>
    <t>PCNX</t>
  </si>
  <si>
    <t>CY:1-31;TM:32-51;NC:52-56;TM:57-77;CY:78-975;TM:976-997;NC:998-1002;TM:1003-1025;CY:1026-1031;TM:1032-1049;NC:1050-1068;TM:1069-1087;CY:1088-1107;TM:1108-1133;NC:1134-1161;TM:1162-1182;CY:1183-1193;TM:1194-1212;NC:1213-1263;TM:1264-1287;CY:1288-1293;TM:1294-1311;NC:1312-1408;TM:1409-1426;CY:1427-1432;TM:1433-1451;NC:1452-1456;TM:1457-1476;CY:1477-1486;TM:1487-1513;NC:1514-2341</t>
  </si>
  <si>
    <t>ENSG00000100731</t>
  </si>
  <si>
    <t>ENSP00000304192</t>
  </si>
  <si>
    <t>109;215;348;394;702;852;863;1091;1155;1579;1720;1982;2062;2072;2234;2260</t>
  </si>
  <si>
    <t>1661;2283</t>
  </si>
  <si>
    <t>UniRef100_Q96RV3;UniRef90_Q96RV3;UniRef50_Q96RV3</t>
  </si>
  <si>
    <t>S22AC_HUMAN</t>
  </si>
  <si>
    <t>Solute carrier family 22 member 12</t>
  </si>
  <si>
    <t>SLC22A12</t>
  </si>
  <si>
    <t>NC:1-12;TM:13-32;CY:33-174;TM:175-196;NC:197-201;TM:202-222;CY:223-232;TM:233-254;NC:255-259;TM:260-279;CY:280-349;TM:350-368;NC:369-378;TM:379-400;CY:401-407;TM:408-426;NC:427-431;TM:432-455;CY:456-465;TM:466-487;NC:488-494;TM:495-515;CY:516-553</t>
  </si>
  <si>
    <t>ENSG00000197891</t>
  </si>
  <si>
    <t>ENSP00000366797</t>
  </si>
  <si>
    <t>39;56;102</t>
  </si>
  <si>
    <t>Alternative splicing;Cell membrane;Complete proteome;Disease mutation;Glycoprotein;Ion transport;Membrane;Polymorphism;Reference proteome;Transmembrane;Transmembrane helix;Transport</t>
  </si>
  <si>
    <t>UniRef100_Q96S37;UniRef90_Q96S37;UniRef50_Q96S37</t>
  </si>
  <si>
    <t>MYADM_HUMAN</t>
  </si>
  <si>
    <t>Myeloid-associated differentiation marker</t>
  </si>
  <si>
    <t>MYADM</t>
  </si>
  <si>
    <t>CY:1-37;TM:38-61;NC:62-66;TM:67-89;CY:90-100;TM:101-122;NC:123-136;TM:137-157;CY:158-167;TM:168-190;NC:191-201;TM:202-225;CY:226-237;TM:238-261;NC:262-293;TM:294-319;CY:320-322</t>
  </si>
  <si>
    <t>ENSG00000179820</t>
  </si>
  <si>
    <t>ENSP00000337222;ENSP00000375648;ENSP00000375649;ENSP00000375650;ENSP00000375651</t>
  </si>
  <si>
    <t>Other;MAL</t>
  </si>
  <si>
    <t>Complete proteome;Membrane;Phosphoprotein;Reference proteome;Repeat;Transmembrane;Transmembrane helix</t>
  </si>
  <si>
    <t>UniRef100_Q96S97;UniRef90_Q96S97;UniRef50_Q96S97</t>
  </si>
  <si>
    <t>SERC2_HUMAN</t>
  </si>
  <si>
    <t>Serine incorporator 2</t>
  </si>
  <si>
    <t>SERINC2</t>
  </si>
  <si>
    <t>SP:1-26;NC:27-35;TM:36-58;CY:59-99;TM:100-121;NC:122-132;TM:133-151;CY:152-157;TM:158-181;NC:182-200;TM:201-226;CY:227-237;TM:238-256;NC:257-267;TM:268-286;CY:287-320;TM:321-340;NC:341-387;TM:388-409;CY:410-421;TM:422-448;NC:449-455</t>
  </si>
  <si>
    <t>ENSG00000168528</t>
  </si>
  <si>
    <t>ENSP00000362813</t>
  </si>
  <si>
    <t>34;243;304</t>
  </si>
  <si>
    <t>UniRef100_Q96SA4;UniRef90_Q96SA4;UniRef50_Q96SA4</t>
  </si>
  <si>
    <t>TSN18_HUMAN</t>
  </si>
  <si>
    <t>Tetraspanin-18</t>
  </si>
  <si>
    <t>TSPAN18</t>
  </si>
  <si>
    <t>CY:1-11;TM:12-35;NC:36-52;TM:53-73;CY:74-82;TM:83-108;NC:109-217;TM:218-244;CY:245-248</t>
  </si>
  <si>
    <t>ENSG00000157570</t>
  </si>
  <si>
    <t>ENSP00000339820;ENSP00000429993</t>
  </si>
  <si>
    <t>111;129</t>
  </si>
  <si>
    <t>HYQGNN[115]DTDVFSATWN</t>
  </si>
  <si>
    <t>Q96SJ8</t>
  </si>
  <si>
    <t>UniRef100_Q96SJ8;UniRef90_Q96SJ8;UniRef50_Q96SJ8</t>
  </si>
  <si>
    <t>DIRC2_HUMAN</t>
  </si>
  <si>
    <t>Disrupted in renal carcinoma protein 2</t>
  </si>
  <si>
    <t>DIRC2</t>
  </si>
  <si>
    <t>CY:1-51;TM:52-70;NC:71-89;TM:90-111;CY:112-117;TM:118-139;NC:140-154;TM:155-176;CY:177-184;TM:185-205;NC:206-229;TM:230-250;CY:251-279;TM:280-299;NC:300-318;TM:319-337;CY:338-347;TM:348-366;NC:367-380;TM:381-405;CY:406-415;TM:416-438;NC:439-443;TM:444-463;CY:464-478</t>
  </si>
  <si>
    <t>ENSG00000138463</t>
  </si>
  <si>
    <t>ENSP00000261038</t>
  </si>
  <si>
    <t>209;394</t>
  </si>
  <si>
    <t>69;444</t>
  </si>
  <si>
    <t>Alternative splicing;Chromosomal rearrangement;Complete proteome;Glycoprotein;Lysosome;Membrane;Reference proteome;Transmembrane;Transmembrane helix;Transport</t>
  </si>
  <si>
    <t>UniRef100_Q96SL1;UniRef90_Q96SL1;UniRef50_Q96SL1</t>
  </si>
  <si>
    <t>SL9A7_HUMAN</t>
  </si>
  <si>
    <t>Sodium/hydrogen exchanger 7</t>
  </si>
  <si>
    <t>SLC9A7</t>
  </si>
  <si>
    <t>NC:1-71;TM:72-91;CY:92-98;TM:99-119;NC:120-181;TM:182-199;CY:200-210;TM:211-233;NC:234-252;TM:253-271;CY:272-279;TM:280-303;NC:304-319;TM:320-343;CY:344-349;TM:350-367;NC:368-372;TM:373-392;CY:393-413;TM:414-435;NC:436-440;TM:441-466;CY:467-508;TM:509-531;NC:532-614;TM:615-635;CY:636-725</t>
  </si>
  <si>
    <t>ENSG00000065923</t>
  </si>
  <si>
    <t>ENSP00000330320</t>
  </si>
  <si>
    <t>145;346;400;571;588;673</t>
  </si>
  <si>
    <t>AFSTLLVN[115]VSGK</t>
  </si>
  <si>
    <t>Q96T83</t>
  </si>
  <si>
    <t>Golgi apparatus, trans-Golgi network membrane (Multi-pass membrane protein);Recycling endosome membrane (Multi-pass membrane protein)</t>
  </si>
  <si>
    <t>Antiport;Complete proteome;Endosome;Golgi apparatus;Ion transport;Membrane;Potassium;Potassium transport;Reference proteome;Sodium;Sodium transport;Transmembrane;Transmembrane helix;Transport</t>
  </si>
  <si>
    <t>UniRef100_Q96T83;UniRef90_Q96T83;UniRef50_Q96T83</t>
  </si>
  <si>
    <t>CSF3R_HUMAN</t>
  </si>
  <si>
    <t>Granulocyte colony-stimulating factor receptor</t>
  </si>
  <si>
    <t>CSF3R</t>
  </si>
  <si>
    <t>SP:1-23;NC:24-625;TM:626-649;CY:650-836</t>
  </si>
  <si>
    <t>ENSG00000119535</t>
  </si>
  <si>
    <t>ENSP00000355406;ENSP00000362198</t>
  </si>
  <si>
    <t>CD114</t>
  </si>
  <si>
    <t>6;51;93;128;134;389;474;571;579;610;713</t>
  </si>
  <si>
    <t>329;330;335;711;715;717;722;737;738;742;747;760;761;773;783;795;806</t>
  </si>
  <si>
    <t>253;318;446</t>
  </si>
  <si>
    <t>3D-structure;Alternative splicing;Cell adhesion;Cell membrane;Complete proteome;Direct protein sequencing;Disease mutation;Disulfide bond;Glycoprotein;Immunoglobulin domain;Membrane;Polymorphism;Receptor;Reference proteome;Repeat;Secreted;Signal;Transmembrane;Transmembrane helix</t>
  </si>
  <si>
    <t>UniRef100_Q99062;UniRef90_Q99062;UniRef50_Q99062</t>
  </si>
  <si>
    <t>DB00019;DB00099</t>
  </si>
  <si>
    <t>HBEGF_HUMAN</t>
  </si>
  <si>
    <t>Proheparin-binding EGF-like growth factor</t>
  </si>
  <si>
    <t>HBEGF</t>
  </si>
  <si>
    <t>SP:1-23;NC:24-160;TM:161-184;CY:185-208</t>
  </si>
  <si>
    <t>ENSG00000113070</t>
  </si>
  <si>
    <t>ENSP00000230990</t>
  </si>
  <si>
    <t>37;38;44;46;47;75;77;78;85;131;147</t>
  </si>
  <si>
    <t>3D-structure;Cell membrane;Complete proteome;Direct protein sequencing;Disulfide bond;EGF-like domain;Glycoprotein;Growth factor;Heparin-binding;Membrane;Receptor;Reference proteome;Secreted;Signal;Transmembrane;Transmembrane helix</t>
  </si>
  <si>
    <t>UniRef100_Q99075;UniRef90_Q99075;UniRef50_Q99075</t>
  </si>
  <si>
    <t>MUC4_HUMAN</t>
  </si>
  <si>
    <t>Mucin-4</t>
  </si>
  <si>
    <t>MUC4</t>
  </si>
  <si>
    <t>SP:1-28;NC:29-2125;TM:2126-2151;CY:2152-2169</t>
  </si>
  <si>
    <t>ENSG00000145113</t>
  </si>
  <si>
    <t>235;260;622;978;1472;1525;1544;1553;1588;1609;1632;1647;1659;1685;1703;1739;1754;1802;1809;1857;1876;1919;1942;1949;2049</t>
  </si>
  <si>
    <t>235;260;365;525;622;838;978;1472;1525;1544;1553;1588;1609;1632;1647;1659;1685;1703;1739;1754;1802;1809;1857;1876;1919;1942;1949;2049</t>
  </si>
  <si>
    <t>66;86;127;140;172;192;225;253;286;291;319;355;367;383;404;420;446;514;600;630;661;670;711;736;751;804;865;898;949;954;977;1005;1038</t>
  </si>
  <si>
    <t>6;11;189;204;434;435;493;505;572;760;1156;1190;1204;1210;1220;1251;1283;1321;1328;1331;1333;1342;1359;1372;1383;1390;1396;1407;1411;1440;1511;1564;1597;1629;1662;1759;1987;2112;2151</t>
  </si>
  <si>
    <t>VLLDN[115]QTVTFQPDHEDGGGQETFN[115]ATGVLLSR;RNDQLPSN[115]FTPVFYSQLQK;NDQLPSN[115]FTPVFYSQLQK;N[115]DQLPSN[115]FTPVFYSQLQK;N[115]ASIGLHTR;GQTTLIQYTSNAEDAN[115]FTLR;TVVCHCNAESQCLYN[115]QTSR;TVVCHCN[115]AESQCLYN[115]QTSR;VGN[115]SSLEVAGCK;DVTALN[115]VSTLK;TALN[115]VSTLK</t>
  </si>
  <si>
    <t>1525;1544;1647;1685;1739;1802;1809;2049</t>
  </si>
  <si>
    <t>Q99102</t>
  </si>
  <si>
    <t>Membrane (Single-pass membrane protein);Secreted;Secreted;Secreted;Cell membrane (Single-pass membrane protein);Cell membrane (Single-pass membrane protein);Secreted;Cell membrane (Single- pass membrane protein)</t>
  </si>
  <si>
    <t>Alternative splicing;Cell adhesion;Cell membrane;Complete proteome;Disulfide bond;EGF-like domain;Glycoprotein;Membrane;Polymorphism;Reference proteome;Repeat;Secreted;Signal;Transmembrane;Transmembrane helix</t>
  </si>
  <si>
    <t>UniRef100_Q99102;UniRef90_Q99102;UniRef50_Q99102</t>
  </si>
  <si>
    <t>SCN2A_HUMAN</t>
  </si>
  <si>
    <t>Sodium channel protein type 2 subunit alpha</t>
  </si>
  <si>
    <t>SCN2A</t>
  </si>
  <si>
    <t>CY:1-124;TM:125-148;NC:149-159;TM:160-179;CY:180-190;TM:191-208;NC:209-219;TM:220-239;CY:240-250;TM:251-271;NC:272-400;TM:401-426;CY:427-753;TM:754-777;NC:778-789;TM:790-811;CY:812-822;TM:823-841;NC:842-852;TM:853-871;CY:872-879;TM:880-900;NC:901-959;TM:960-983;CY:984-1207;TM:1208-1228;NC:1229-1247;TM:1248-1266;CY:1267-1272;TM:1273-1294;NC:1295-1299;TM:1300-1317;CY:1318-1337;TM:1338-1360;NC:1361-1448;TM:1449-1473;CY:1474-1531;TM:1532-1550;NC:1551-1561;TM:1562-1582;CY:1583-1591;TM:1592-1612;NC:1613-1622;TM:1623-1640;CY:1641-1659;TM:1660-1683;NC:1684-1751;TM:1752-1774;CY:1775-2005</t>
  </si>
  <si>
    <t>ENSG00000136531</t>
  </si>
  <si>
    <t>ENSP00000283256;ENSP00000364586</t>
  </si>
  <si>
    <t>212;285;291;297;303;308;340;604;624;883;1055;1072;1136;1368;1382;1393;1778;1957</t>
  </si>
  <si>
    <t>291;303;308;883;1055;1072;1136;1368;1393;1957</t>
  </si>
  <si>
    <t>ALIESN[115]QTAR</t>
  </si>
  <si>
    <t>Q99250</t>
  </si>
  <si>
    <t>3D-structure;Alternative splicing;Cell membrane;Complete proteome;Disease mutation;Disulfide bond;Epilepsy;Glycoprotein;Ion channel;Ion transport;Membrane;Phosphoprotein;Polymorphism;Reference proteome;Repeat;Sodium;Sodium channel;Sodium transport;Transmembrane;Transmembrane helix;Transport;Ubl conjugation;Voltage-gated channel</t>
  </si>
  <si>
    <t>UniRef100_Q99250;UniRef90_Q99250;UniRef50_P35498</t>
  </si>
  <si>
    <t>DB00555;DB00818;DB00909;DB00313</t>
  </si>
  <si>
    <t>GML_HUMAN</t>
  </si>
  <si>
    <t>Glycosyl-phosphatidylinositol-anchored molecule-like protein</t>
  </si>
  <si>
    <t>GML</t>
  </si>
  <si>
    <t>SP:1-17;NC:18-158</t>
  </si>
  <si>
    <t>ENSG00000104499</t>
  </si>
  <si>
    <t>ENSP00000220940</t>
  </si>
  <si>
    <t>72;76</t>
  </si>
  <si>
    <t>UniRef100_Q99445;UniRef90_Q99445;UniRef50_Q99445</t>
  </si>
  <si>
    <t>NPY6R_HUMAN</t>
  </si>
  <si>
    <t>Putative neuropeptide Y receptor type 6</t>
  </si>
  <si>
    <t>NPY6R</t>
  </si>
  <si>
    <t>NC:1-33;TM:34-60;CY:61-80;TM:81-99;NC:100-110;TM:111-132;CY:133-151;TM:152-174;NC:175-207;TM:208-230;CY:231-259;TM:260-279;NC:280-290</t>
  </si>
  <si>
    <t>11;18;53;69;77;182</t>
  </si>
  <si>
    <t>11;69</t>
  </si>
  <si>
    <t>Complete proteome;Disulfide bond;G-protein coupled receptor;Glycoprotein;Membrane;Receptor;Reference proteome;Transducer;Transmembrane;Transmembrane helix</t>
  </si>
  <si>
    <t>UniRef100_Q99463;UniRef90_Q99463;UniRef50_Q99463</t>
  </si>
  <si>
    <t>NOTC4_HUMAN</t>
  </si>
  <si>
    <t>Neurogenic locus notch homolog protein 4</t>
  </si>
  <si>
    <t>NOTCH4</t>
  </si>
  <si>
    <t>SP:1-23;NC:24-1446;TM:1447-1468;CY:1469-2003</t>
  </si>
  <si>
    <t>ENSG00000204301;ENSG00000238196;ENSG00000223355;ENSG00000234876</t>
  </si>
  <si>
    <t>ENSP00000364163;ENSP00000401321;ENSP00000408335;ENSP00000403447</t>
  </si>
  <si>
    <t>664;714;964;1143</t>
  </si>
  <si>
    <t>664;714;745;964;1143</t>
  </si>
  <si>
    <t>92;93;95;100;125;444;481;519;544;595;655;758;767;884;898;899;1090;1118;1138;1145;1216;1555;1847;1849</t>
  </si>
  <si>
    <t>Activator;Alternative splicing;ANK repeat;Cell membrane;Complete proteome;Developmental protein;Differentiation;Disulfide bond;EGF-like domain;Glycoprotein;Membrane;Notch signaling pathway;Nucleus;Phosphoprotein;Polymorphism;Receptor;Reference proteome;Repeat;Signal;Transcription;Transcription regulation;Transmembrane;Transmembrane helix;Triplet repeat expansion</t>
  </si>
  <si>
    <t>UniRef100_Q99466;UniRef90_Q99466;UniRef50_Q99466</t>
  </si>
  <si>
    <t>CD180_HUMAN</t>
  </si>
  <si>
    <t>CD180 antigen</t>
  </si>
  <si>
    <t>CD180</t>
  </si>
  <si>
    <t>SP:1-18;NC:19-626;TM:627-653;CY:654-661</t>
  </si>
  <si>
    <t>ENSG00000134061</t>
  </si>
  <si>
    <t>ENSP00000256447</t>
  </si>
  <si>
    <t>34;53;70;78;201;234;244;394;402;451;573</t>
  </si>
  <si>
    <t>LMN[115]LTFLDLTR</t>
  </si>
  <si>
    <t>Q99467</t>
  </si>
  <si>
    <t>3D-structure;Cell membrane;Complete proteome;Direct protein sequencing;Glycoprotein;Immunity;Inflammatory response;Innate immunity;Leucine-rich repeat;Membrane;Polymorphism;Receptor;Reference proteome;Repeat;Signal;Transmembrane;Transmembrane helix</t>
  </si>
  <si>
    <t>UniRef100_Q99467;UniRef90_Q99467;UniRef50_Q99467</t>
  </si>
  <si>
    <t>S1PR3_HUMAN</t>
  </si>
  <si>
    <t>Sphingosine 1-phosphate receptor 3</t>
  </si>
  <si>
    <t>S1PR3</t>
  </si>
  <si>
    <t>NC:1-41;TM:42-64;CY:65-74;TM:75-96;NC:97-115;TM:116-134;CY:135-153;TM:154-176;NC:177-195;TM:196-220;CY:221-239;TM:240-265;NC:266-279;TM:280-301;CY:302-378</t>
  </si>
  <si>
    <t>ENSG00000213694</t>
  </si>
  <si>
    <t>ENSP00000350878;ENSP00000365006</t>
  </si>
  <si>
    <t>15;233;343;344</t>
  </si>
  <si>
    <t>LQPVRGN[115]ETLR;VRGN[115]ETLR</t>
  </si>
  <si>
    <t>Q99500</t>
  </si>
  <si>
    <t>UniRef100_Q99500;UniRef90_Q99500;UniRef50_Q99500</t>
  </si>
  <si>
    <t>SORT_HUMAN</t>
  </si>
  <si>
    <t>Sortilin</t>
  </si>
  <si>
    <t>SORT1</t>
  </si>
  <si>
    <t>SP:1-33;NC:34-756;TM:757-778;CY:779-831</t>
  </si>
  <si>
    <t>ENSG00000134243</t>
  </si>
  <si>
    <t>ENSP00000256637</t>
  </si>
  <si>
    <t>98;162;274;406;582;684;817</t>
  </si>
  <si>
    <t>78;742</t>
  </si>
  <si>
    <t>LAN[115]NTHQHVFDDLR;LAN[115]N[115]THQHVFDDLR;AN[115]NTHQHVFDDLR;N[115]NTHQHVFDDLR;DITDLIN[115]NTFIR;DITDLIN[115]N[115]TFIR;TDLIN[115]NTFIR;WGSDNTIFFTTYAN[115]GSCK;HLYTTTGGETDFTN[115]VTSLR</t>
  </si>
  <si>
    <t>98;162;274;406</t>
  </si>
  <si>
    <t>Q99523</t>
  </si>
  <si>
    <t>Cell membrane (Single-pass type I membrane protein|Extracellular side;Endoplasmic reticulum membrane (Single-pass type I membrane protein);Endosome membrane (Single-pass type I membrane protein);Golgi apparatus, Golgi stack membrane (Single-pass type I membrane protein);Lysosome membrane (Single-pass type I membrane protein);Membrane (Single-pass type I membrane protein);Nucleus membrane (Single-pass type I membrane protein)</t>
  </si>
  <si>
    <t>3D-structure;Alternative splicing;Cell membrane;Cleavage on pair of basic residues;Complete proteome;Developmental protein;Differentiation;Direct protein sequencing;Disulfide bond;Endocytosis;Endoplasmic reticulum;Endosome;Glycoprotein;Golgi apparatus;Lysosome;Membrane;Nucleus;Osteogenesis;Phosphoprotein;Polymorphism;Receptor;Reference proteome;Repeat;Signal;Transmembrane;Transmembrane helix;Transport</t>
  </si>
  <si>
    <t>UniRef100_Q99523;UniRef90_Q99523;UniRef50_Q99523</t>
  </si>
  <si>
    <t>Endoplasmic Reticulum;Endosome;Golgi apparatus;Lysosome;Nucleus;Plasma membrane</t>
  </si>
  <si>
    <t>GPER1_HUMAN</t>
  </si>
  <si>
    <t>G-protein coupled estrogen receptor 1</t>
  </si>
  <si>
    <t>GPER1</t>
  </si>
  <si>
    <t>NC:1-58;TM:59-84;CY:85-95;TM:96-117;NC:118-131;TM:132-153;CY:154-173;TM:174-196;NC:197-218;TM:219-241;CY:242-260;TM:261-283;NC:284-305;TM:306-327;CY:328-375</t>
  </si>
  <si>
    <t>ENSG00000164850</t>
  </si>
  <si>
    <t>ENSP00000297469;ENSP00000380277;ENSP00000380281;ENSP00000385151</t>
  </si>
  <si>
    <t>25;32;44;84</t>
  </si>
  <si>
    <t>25;44</t>
  </si>
  <si>
    <t>Basolateral cell membrane (Multi-pass membrane protein);Cell junction, synapse, postsynaptic cell membrane, postsynaptic density;Cell membrane (Multi- pass membrane protein);Cell projection, axon;Cell projection, dendrite;Cell projection, dendritic spine membrane (Multi-pass membrane protein);Cytoplasm;Cytoplasm, cytoskeleton;Cytoplasm, perinuclear region;Cytoplasmic vesicle membrane (Multi-pass membrane protein);Early endosome;Endoplasmic reticulum membrane (Multi-pass membrane protein);Golgi apparatus membrane (Multi-pass membrane protein);Golgi apparatus, trans-Golgi network;Mitochondrion membrane (Multi-pass membrane protein);Nucleus;Recycling endosome</t>
  </si>
  <si>
    <t>Acetylation;Apoptosis;Cell cycle;Cell junction;Cell membrane;Cell projection;Complete proteome;Cytoplasm;Cytoplasmic vesicle;Cytoskeleton;Differentiation;Disulfide bond;Endoplasmic reticulum;Endosome;G-protein coupled receptor;Glycoprotein;Golgi apparatus;Immunity;Inflammatory response;Innate immunity;Membrane;Mitochondrion;Neurogenesis;Nucleus;Polymorphism;Postsynaptic cell membrane;Receptor;Reference proteome;Synapse;Transducer;Transmembrane;Transmembrane helix;Ubl conjugation</t>
  </si>
  <si>
    <t>UniRef100_Q99527;UniRef90_Q99527;UniRef50_Q99527</t>
  </si>
  <si>
    <t>P2RX4_HUMAN</t>
  </si>
  <si>
    <t>P2X purinoceptor 4</t>
  </si>
  <si>
    <t>P2RX4</t>
  </si>
  <si>
    <t>CY:1-29;TM:30-50;NC:51-338;TM:339-361;CY:362-388</t>
  </si>
  <si>
    <t>ENSG00000135124</t>
  </si>
  <si>
    <t>ENSP00000336607</t>
  </si>
  <si>
    <t>75;110;153;184;199;208;287</t>
  </si>
  <si>
    <t>110;184;208</t>
  </si>
  <si>
    <t>GVAVTN[115]TSK;CVAFN[115]GSVK;AAEN[115]FTLLVK</t>
  </si>
  <si>
    <t>75;153;184</t>
  </si>
  <si>
    <t>Q99571</t>
  </si>
  <si>
    <t>Alternative splicing;Complete proteome;Disulfide bond;Glycoprotein;Ion channel;Ion transport;Ligand-gated ion channel;Membrane;Polymorphism;Receptor;Reference proteome;Transmembrane;Transmembrane helix;Transport</t>
  </si>
  <si>
    <t>UniRef100_Q99571;UniRef90_Q99571;UniRef50_Q99571</t>
  </si>
  <si>
    <t>P2RX7_HUMAN</t>
  </si>
  <si>
    <t>P2X purinoceptor 7</t>
  </si>
  <si>
    <t>P2RX7</t>
  </si>
  <si>
    <t>CY:1-28;TM:29-47;NC:48-329;TM:330-355;CY:356-595</t>
  </si>
  <si>
    <t>ENSG00000089041</t>
  </si>
  <si>
    <t>ENSP00000330696</t>
  </si>
  <si>
    <t>187;202;213;241;284</t>
  </si>
  <si>
    <t>PALLNSAEN[115]FTVLIK;NNIDFPGHN[115]YTTR;RLDDKTTN[115]VSLYPGYNFR;LDDKTTN[115]VSLYPGYNFR;TTN[115]VSLYPGYNFR</t>
  </si>
  <si>
    <t>187;202;284</t>
  </si>
  <si>
    <t>Q99572</t>
  </si>
  <si>
    <t>ADP-ribosylation;Alternative splicing;Cell membrane;Complete proteome;Disulfide bond;Glycoprotein;Ion channel;Ion transport;Ligand-gated ion channel;Lipoprotein;Membrane;Palmitate;Phosphoprotein;Polymorphism;Receptor;Reference proteome;Transmembrane;Transmembrane helix;Transport</t>
  </si>
  <si>
    <t>UniRef100_Q99572;UniRef90_Q99572;UniRef50_Q9Z1M0</t>
  </si>
  <si>
    <t>OSMR_HUMAN</t>
  </si>
  <si>
    <t>Oncostatin-M-specific receptor subunit beta</t>
  </si>
  <si>
    <t>OSMR</t>
  </si>
  <si>
    <t>SP:1-27;NC:28-739;TM:740-761;CY:762-979</t>
  </si>
  <si>
    <t>ENSG00000145623</t>
  </si>
  <si>
    <t>ENSP00000274276</t>
  </si>
  <si>
    <t>42;84;131;163;176;221;307;326;345;361;380;422;446;491;509;580;798;846;858;963</t>
  </si>
  <si>
    <t>129;132;293;415</t>
  </si>
  <si>
    <t>IETSNVIWVGN[115]YSTTVK;NIQNN[115]VSCYLEGK;NIQN[115]N[115]VSCYLEGK;SVNILFN[115]LTHR;SVNFENVN[115]ATNAIMTWK;MMQYN[115]VSIK;WSEWSGQN[115]FTTLEAAPSEAPDVWR;IVSLEPGN[115]HTVT;IVSLEPGN[115]HTVTL;IVSLEPGN[115]HTVTLF;ILFYNVVVENLDKPSSSELHSIPAPAN[115]STK;YNVVVENLDKPSSSELHSIPAPAN[115]STK;NVVVENLDKPSSSELHSIPAPAN[115]STK;NLDKPSSSELHSIPAPAN[115]STK;NVGPN[115]TTSTVISTDAFR;NVGPN[115]TTSTVISTDAFRPGVR;N[115]VGPN[115]TTSTVISTDAFRPGVR</t>
  </si>
  <si>
    <t>84;176;326;345;380;422;446;491;580</t>
  </si>
  <si>
    <t>Q99650</t>
  </si>
  <si>
    <t>Alternative splicing;Amyloidosis;Complete proteome;Disease mutation;Disulfide bond;Glycoprotein;Membrane;Phosphoprotein;Polymorphism;Receptor;Reference proteome;Repeat;Signal;Transmembrane;Transmembrane helix</t>
  </si>
  <si>
    <t>UniRef100_Q99650;UniRef90_Q99650;UniRef50_Q99650</t>
  </si>
  <si>
    <t>I12R2_HUMAN</t>
  </si>
  <si>
    <t>Interleukin-12 receptor subunit beta-2</t>
  </si>
  <si>
    <t>IL12RB2</t>
  </si>
  <si>
    <t>SP:1-23;NC:24-622;TM:623-643;CY:644-862</t>
  </si>
  <si>
    <t>ENSG00000081985</t>
  </si>
  <si>
    <t>ENSP00000262345</t>
  </si>
  <si>
    <t>48;129;166;186;195;271;347;376;480;671</t>
  </si>
  <si>
    <t>Alternative splicing;Complete proteome;Disulfide bond;Glycoprotein;Membrane;Phosphoprotein;Polymorphism;Receptor;Reference proteome;Repeat;Signal;Transmembrane;Transmembrane helix</t>
  </si>
  <si>
    <t>UniRef100_Q99665;UniRef90_Q99665;UniRef50_Q99665</t>
  </si>
  <si>
    <t>LPAR4_HUMAN</t>
  </si>
  <si>
    <t>Lysophosphatidic acid receptor 4</t>
  </si>
  <si>
    <t>LPAR4</t>
  </si>
  <si>
    <t>NC:1-43;TM:44-65;CY:66-75;TM:76-98;NC:99-116;TM:117-135;CY:136-154;TM:155-176;NC:177-203;TM:204-228;CY:229-250;TM:251-273;NC:274-290;TM:291-313;CY:314-370</t>
  </si>
  <si>
    <t>ENSG00000147145</t>
  </si>
  <si>
    <t>ENSP00000408205;ENSP00000478261</t>
  </si>
  <si>
    <t>15;24;28;183;220</t>
  </si>
  <si>
    <t>24;28;183</t>
  </si>
  <si>
    <t>Cell membrane;Complete proteome;Disulfide bond;G-protein coupled receptor;Glycoprotein;Lipid-binding;Membrane;Receptor;Reference proteome;Transducer;Transmembrane;Transmembrane helix</t>
  </si>
  <si>
    <t>UniRef100_Q99677;UniRef90_Q99677;UniRef50_Q99677</t>
  </si>
  <si>
    <t>GPR20_HUMAN</t>
  </si>
  <si>
    <t>G-protein coupled receptor 20</t>
  </si>
  <si>
    <t>GPR20</t>
  </si>
  <si>
    <t>NC:1-50;TM:51-74;CY:75-87;TM:88-107;NC:108-126;TM:127-147;CY:148-166;TM:167-190;NC:191-196;TM:197-219;CY:220-238;TM:239-258;NC:259-276;TM:277-300;CY:301-358</t>
  </si>
  <si>
    <t>ENSG00000204882;ENSG00000275181</t>
  </si>
  <si>
    <t>ENSP00000366970;ENSP00000479665</t>
  </si>
  <si>
    <t>UniRef100_Q99678;UniRef90_Q99678;UniRef50_Q99678</t>
  </si>
  <si>
    <t>GPR21_HUMAN</t>
  </si>
  <si>
    <t>Probable G-protein coupled receptor 21</t>
  </si>
  <si>
    <t>GPR21</t>
  </si>
  <si>
    <t>NC:1-31;TM:32-58;CY:59-70;TM:71-92;NC:93-103;TM:104-125;CY:126-145;TM:146-168;NC:169-189;TM:190-214;CY:215-252;TM:253-273;NC:274-285;TM:286-307;CY:308-349</t>
  </si>
  <si>
    <t>ENSG00000188394</t>
  </si>
  <si>
    <t>ENSP00000362746</t>
  </si>
  <si>
    <t>2;8</t>
  </si>
  <si>
    <t>UniRef100_Q99679;UniRef90_Q99679;UniRef50_Q99679</t>
  </si>
  <si>
    <t>GPR22_HUMAN</t>
  </si>
  <si>
    <t>Probable G-protein coupled receptor 22</t>
  </si>
  <si>
    <t>GPR22</t>
  </si>
  <si>
    <t>NC:1-43;TM:44-66;CY:67-85;TM:86-105;NC:106-116;TM:117-137;CY:138-156;TM:157-177;NC:178-208;TM:209-231;CY:232-310;TM:311-332;NC:333-345;TM:346-369;CY:370-433</t>
  </si>
  <si>
    <t>ENSG00000172209</t>
  </si>
  <si>
    <t>ENSP00000302676</t>
  </si>
  <si>
    <t>16;59;192;333</t>
  </si>
  <si>
    <t>UniRef100_Q99680;UniRef90_Q99680;UniRef50_Q99680</t>
  </si>
  <si>
    <t>MCHR1_HUMAN</t>
  </si>
  <si>
    <t>Melanin-concentrating hormone receptor 1</t>
  </si>
  <si>
    <t>MCHR1</t>
  </si>
  <si>
    <t>NC:1-109;TM:110-135;CY:136-146;TM:147-169;NC:170-187;TM:188-208;CY:209-227;TM:228-250;NC:251-275;TM:276-299;CY:300-322;TM:323-344;NC:345-359;TM:360-383;CY:384-422</t>
  </si>
  <si>
    <t>ENSG00000128285</t>
  </si>
  <si>
    <t>ENSP00000249016</t>
  </si>
  <si>
    <t>82;85;92;127;153</t>
  </si>
  <si>
    <t>92;127</t>
  </si>
  <si>
    <t>UniRef100_Q99705;UniRef90_Q99705;UniRef50_Q99705</t>
  </si>
  <si>
    <t>KI2L4_HUMAN</t>
  </si>
  <si>
    <t>Killer cell immunoglobulin-like receptor 2DL4</t>
  </si>
  <si>
    <t>KIR2DL4</t>
  </si>
  <si>
    <t>SP:1-23;NC:24-242;TM:243-262;CY:263-377</t>
  </si>
  <si>
    <t>ENSG00000189013;ENSG00000274232;ENSG00000275456;ENSG00000275317;ENSG00000277362;ENSG00000277750;ENSG00000273575;ENSG00000278271;ENSG00000278430;ENSG00000276044;ENSG00000278074;ENSG00000274609;ENSG00000276779;ENSG00000274955;ENSG00000277964;ENSG00000275699</t>
  </si>
  <si>
    <t>ENSP00000482206;ENSP00000479179;ENSP00000484389;ENSP00000478362;ENSP00000477887;ENSP00000483782;ENSP00000477886;ENSP00000483101;ENSP00000482383;ENSP00000478491;ENSP00000480801;ENSP00000477601;ENSP00000482452</t>
  </si>
  <si>
    <t>CD158d</t>
  </si>
  <si>
    <t>141;175</t>
  </si>
  <si>
    <t>UniRef100_Q99706;UniRef90_Q99706;UniRef50_Q99706</t>
  </si>
  <si>
    <t>ABCA3_HUMAN</t>
  </si>
  <si>
    <t>ATP-binding cassette sub-family A member 3</t>
  </si>
  <si>
    <t>ABCA3</t>
  </si>
  <si>
    <t>CY:1-20;TM:21-42;NC:43-261;TM:262-282;CY:283-302;TM:303-326;NC:327-345;TM:346-368;CY:369-374;TM:375-393;NC:394-925;TM:926-947;CY:948-1099;TM:1100-1120;NC:1121-1140;TM:1141-1163;CY:1164-1182;TM:1183-1207;NC:1208-1213;TM:1214-1235;CY:1236-1246;TM:1247-1265;NC:1266-1303;TM:1304-1324;CY:1325-1704</t>
  </si>
  <si>
    <t>ENSG00000167972</t>
  </si>
  <si>
    <t>ENSP00000301732</t>
  </si>
  <si>
    <t>14;53;124;140;620;783;945</t>
  </si>
  <si>
    <t>302;305;920</t>
  </si>
  <si>
    <t>Alternative splicing;ATP-binding;Complete proteome;Disease mutation;Membrane;Nucleotide-binding;Polymorphism;Reference proteome;Repeat;Transmembrane;Transmembrane helix;Transport</t>
  </si>
  <si>
    <t>UniRef100_Q99758;UniRef90_Q99758;UniRef50_Q99758</t>
  </si>
  <si>
    <t>CML1_HUMAN</t>
  </si>
  <si>
    <t>Chemokine-like receptor 1</t>
  </si>
  <si>
    <t>CMKLR1</t>
  </si>
  <si>
    <t>NC:1-40;TM:41-65;CY:66-75;TM:76-97;NC:98-113;TM:114-134;CY:135-154;TM:155-176;NC:177-221;TM:222-247;CY:248-258;TM:259-278;NC:279-297;TM:298-318;CY:319-373</t>
  </si>
  <si>
    <t>ENSG00000174600</t>
  </si>
  <si>
    <t>ENSP00000311733;ENSP00000401293;ENSP00000449716</t>
  </si>
  <si>
    <t>9;192</t>
  </si>
  <si>
    <t>346;349</t>
  </si>
  <si>
    <t>ISCFNN[115]FSLSTPGSSSWPTHSQMDPVGY</t>
  </si>
  <si>
    <t>Q99788</t>
  </si>
  <si>
    <t>UniRef100_Q99788;UniRef90_Q99788;UniRef50_Q99788</t>
  </si>
  <si>
    <t>GPA33_HUMAN</t>
  </si>
  <si>
    <t>Cell surface A33 antigen</t>
  </si>
  <si>
    <t>GPA33</t>
  </si>
  <si>
    <t>SP:1-21;NC:22-234;TM:235-259;CY:260-319</t>
  </si>
  <si>
    <t>ENSG00000143167</t>
  </si>
  <si>
    <t>ENSP00000356842</t>
  </si>
  <si>
    <t>112;200;223</t>
  </si>
  <si>
    <t>112;223</t>
  </si>
  <si>
    <t>Complete proteome;Direct protein sequencing;Disulfide bond;Glycoprotein;Immunoglobulin domain;Lipoprotein;Membrane;Palmitate;Polymorphism;Reference proteome;Signal;Transmembrane;Transmembrane helix</t>
  </si>
  <si>
    <t>UniRef100_Q99795;UniRef90_Q99795;UniRef50_Q99795</t>
  </si>
  <si>
    <t>TM9S2_HUMAN</t>
  </si>
  <si>
    <t>Transmembrane 9 superfamily member 2</t>
  </si>
  <si>
    <t>TM9SF2</t>
  </si>
  <si>
    <t>SP:1-33;NC:34-300;TM:301-323;CY:324-370;TM:371-392;NC:393-397;TM:398-422;CY:423-433;TM:434-457;NC:458-463;TM:464-493;CY:494-523;TM:524-546;NC:547-552;TM:553-581;CY:582-592;TM:593-612;NC:613-629;TM:630-653;CY:654-663</t>
  </si>
  <si>
    <t>ENSG00000125304</t>
  </si>
  <si>
    <t>ENSP00000365567</t>
  </si>
  <si>
    <t>Complete proteome;Endosome;Membrane;Reference proteome;Signal;Transmembrane;Transmembrane helix</t>
  </si>
  <si>
    <t>UniRef100_Q99805;UniRef90_Q99805;UniRef50_Q99805</t>
  </si>
  <si>
    <t>S29A1_HUMAN</t>
  </si>
  <si>
    <t>Equilibrative nucleoside transporter 1</t>
  </si>
  <si>
    <t>SLC29A1</t>
  </si>
  <si>
    <t>CY:1-11;TM:12-32;NC:33-78;TM:79-98;CY:99-109;TM:110-130;NC:131-135;TM:136-159;CY:160-178;TM:179-199;NC:200-204;TM:205-226;CY:227-288;TM:289-307;NC:308-326;TM:327-344;CY:345-363;TM:364-382;NC:383-393;TM:394-418;CY:419-429;TM:430-452;NC:453-456</t>
  </si>
  <si>
    <t>ENSG00000112759</t>
  </si>
  <si>
    <t>ENSP00000360773;ENSP00000360778;ENSP00000360789;ENSP00000360796;ENSP00000360805;ENSP00000360820;ENSP00000377424;ENSP00000377427;ENSP00000392668</t>
  </si>
  <si>
    <t>48;277;288</t>
  </si>
  <si>
    <t>269;271</t>
  </si>
  <si>
    <t>NRLDMSQN[115]VSLVTAELSK;LDMSQN[115]VSLVT;LDMSQN[115]VSLVTAEL;LDMSQN[115]VSLVTAELS;LDMSQN[115]VSLVTAELSK;DMSQN[115]VSLVTAELSK;MSQN[115]VSLVTAELSK;SQN[115]VSLVTAELSK</t>
  </si>
  <si>
    <t>Q99808</t>
  </si>
  <si>
    <t>Apical cell membrane (Multi-pass membrane protein);Basolateral cell membrane (Multi-pass membrane protein);Cell membrane (Multi-pass membrane protein)</t>
  </si>
  <si>
    <t>Alternative splicing;Cell membrane;Complete proteome;Direct protein sequencing;Glycoprotein;Membrane;Polymorphism;Reference proteome;Transmembrane;Transmembrane helix;Transport</t>
  </si>
  <si>
    <t>UniRef100_Q99808;UniRef90_Q99808;UniRef50_Q99808</t>
  </si>
  <si>
    <t>SMO_HUMAN</t>
  </si>
  <si>
    <t>Smoothened homolog</t>
  </si>
  <si>
    <t>SMO</t>
  </si>
  <si>
    <t>SP:1-31;NC:32-231;TM:232-254;CY:255-263;TM:264-283;NC:284-314;TM:315-339;CY:340-358;TM:359-379;NC:380-400;TM:401-420;CY:421-449;TM:450-474;NC:475-519;TM:520-542;CY:543-787</t>
  </si>
  <si>
    <t>ENSG00000128602</t>
  </si>
  <si>
    <t>ENSP00000249373</t>
  </si>
  <si>
    <t>35;188;309;446;493</t>
  </si>
  <si>
    <t>33;638;699;700;734</t>
  </si>
  <si>
    <t>AASSGN[115]ATGPGPR;FN[115]SSGQCEVPLVR</t>
  </si>
  <si>
    <t>35;188</t>
  </si>
  <si>
    <t>Q99835</t>
  </si>
  <si>
    <t>3D-structure;Cell projection;Complete proteome;Developmental protein;Disulfide bond;G-protein coupled receptor;Glycoprotein;Membrane;Polymorphism;Receptor;Reference proteome;Signal;Transducer;Transmembrane;Transmembrane helix</t>
  </si>
  <si>
    <t>UniRef100_Q99835;UniRef90_Q99835;UniRef50_P56726</t>
  </si>
  <si>
    <t>DB01047;DB08828</t>
  </si>
  <si>
    <t>SC6A7_HUMAN</t>
  </si>
  <si>
    <t>Sodium-dependent proline transporter</t>
  </si>
  <si>
    <t>SLC6A7</t>
  </si>
  <si>
    <t>CY:1-44;TM:45-63;NC:64-74;TM:75-97;CY:98-117;TM:118-142;NC:143-212;TM:213-233;CY:234-241;TM:242-262;NC:263-291;TM:292-312;CY:313-323;TM:324-347;NC:348-381;TM:382-403;CY:404-423;TM:424-443;NC:444-456;TM:457-477;CY:478-496;TM:497-518;NC:519-537;TM:538-559;CY:560-636</t>
  </si>
  <si>
    <t>ENSG00000011083</t>
  </si>
  <si>
    <t>ENSP00000230671</t>
  </si>
  <si>
    <t>39;182;586</t>
  </si>
  <si>
    <t>Amino-acid transport;Complete proteome;Glycoprotein;Membrane;Neurotransmitter transport;Phosphoprotein;Polymorphism;Reference proteome;Symport;Transmembrane;Transmembrane helix;Transport</t>
  </si>
  <si>
    <t>UniRef100_Q99884;UniRef90_Q99884;UniRef50_Q99884</t>
  </si>
  <si>
    <t>DB00172</t>
  </si>
  <si>
    <t>GBRG3_HUMAN</t>
  </si>
  <si>
    <t>Gamma-aminobutyric acid receptor subunit gamma-3</t>
  </si>
  <si>
    <t>GABRG3</t>
  </si>
  <si>
    <t>SP:1-17;NC:18-254;TM:255-277;CY:278-285;TM:286-304;NC:305-314;TM:315-336;CY:337-446;TM:447-466;NC:467-467</t>
  </si>
  <si>
    <t>ENSG00000182256</t>
  </si>
  <si>
    <t>ENSP00000479113</t>
  </si>
  <si>
    <t>110;228;375;392</t>
  </si>
  <si>
    <t>Alternative splicing;Cell junction;Cell membrane;Chloride;Chloride channel;Complete proteome;Disulfide bond;Glycoprotein;Ion channel;Ion transport;Lipoprotein;Membrane;Palmitate;Polymorphism;Postsynaptic cell membrane;Reference proteome;Signal;Synapse;Transmembrane;Transmembrane helix;Transport</t>
  </si>
  <si>
    <t>UniRef100_Q99928;UniRef90_Q99928;UniRef50_Q99928</t>
  </si>
  <si>
    <t>ADAM2_HUMAN</t>
  </si>
  <si>
    <t>Disintegrin and metalloproteinase domain-containing protein 2</t>
  </si>
  <si>
    <t>ADAM2</t>
  </si>
  <si>
    <t>SP:1-16;NC:17-686;TM:687-707;CY:708-735</t>
  </si>
  <si>
    <t>ENSG00000104755;ENSG00000276286</t>
  </si>
  <si>
    <t>ENSP00000265708;ENSP00000482337</t>
  </si>
  <si>
    <t>122;220;353;459;566</t>
  </si>
  <si>
    <t>Alternative splicing;Cell adhesion;Complete proteome;Disulfide bond;EGF-like domain;Glycoprotein;Membrane;Polymorphism;Reference proteome;Signal;Transmembrane;Transmembrane helix</t>
  </si>
  <si>
    <t>UniRef100_Q99965;UniRef90_Q99965;UniRef50_Q99965</t>
  </si>
  <si>
    <t>P2Y13_HUMAN</t>
  </si>
  <si>
    <t>P2Y purinoceptor 13</t>
  </si>
  <si>
    <t>P2RY13</t>
  </si>
  <si>
    <t>NC:1-47;TM:48-70;CY:71-79;TM:80-101;NC:102-120;TM:121-139;CY:140-158;TM:159-180;NC:181-214;TM:215-236;CY:237-256;TM:257-274;NC:275-301;TM:302-321;CY:322-354</t>
  </si>
  <si>
    <t>ENSG00000181631</t>
  </si>
  <si>
    <t>ENSP00000320376</t>
  </si>
  <si>
    <t>23;31;285;343;350</t>
  </si>
  <si>
    <t>UniRef100_Q9BPV8;UniRef90_Q9BPV8;UniRef50_Q9BPV8</t>
  </si>
  <si>
    <t>PD1L2_HUMAN</t>
  </si>
  <si>
    <t>Programmed cell death 1 ligand 2</t>
  </si>
  <si>
    <t>PDCD1LG2</t>
  </si>
  <si>
    <t>SP:1-19;NC:20-220;TM:221-243;CY:244-273</t>
  </si>
  <si>
    <t>ENSG00000197646</t>
  </si>
  <si>
    <t>ENSP00000380855</t>
  </si>
  <si>
    <t>CD273</t>
  </si>
  <si>
    <t>37;64;157;163;189</t>
  </si>
  <si>
    <t>VEN[115]DTSPHR;EN[115]DTSPHR;N[115]FSCVFWNTHVR</t>
  </si>
  <si>
    <t>64;189</t>
  </si>
  <si>
    <t>Q9BQ51</t>
  </si>
  <si>
    <t>Cell membrane (Single-pass type I membrane protein);Endomembrane system (Single-pass type I membrane protein);Secreted</t>
  </si>
  <si>
    <t>Alternative splicing;Cell membrane;Complete proteome;Direct protein sequencing;Disulfide bond;Glycoprotein;Immunoglobulin domain;Membrane;Polymorphism;Receptor;Reference proteome;Repeat;Secreted;Signal;Transmembrane;Transmembrane helix</t>
  </si>
  <si>
    <t>UniRef100_Q9BQ51;UniRef90_Q9BQ51;UniRef50_Q9WUL5</t>
  </si>
  <si>
    <t>HEPH_HUMAN</t>
  </si>
  <si>
    <t>Hephaestin</t>
  </si>
  <si>
    <t>HEPH</t>
  </si>
  <si>
    <t>SP:1-23;NC:24-1107;TM:1108-1132;CY:1133-1158</t>
  </si>
  <si>
    <t>ENSG00000089472</t>
  </si>
  <si>
    <t>ENSP00000343939;ENSP00000411687</t>
  </si>
  <si>
    <t>164;236;588;714;758;829;873;931</t>
  </si>
  <si>
    <t>Alternative splicing;Complete proteome;Copper;Copper transport;Disulfide bond;Glycoprotein;Ion transport;Iron;Iron transport;Membrane;Metal-binding;Oxidoreductase;Polymorphism;Reference proteome;Repeat;Signal;Transmembrane;Transmembrane helix;Transport</t>
  </si>
  <si>
    <t>UniRef100_Q9BQS7;UniRef90_Q9BQS7;UniRef50_Q9BQS7</t>
  </si>
  <si>
    <t>CSTN3_HUMAN</t>
  </si>
  <si>
    <t>Calsyntenin-3</t>
  </si>
  <si>
    <t>CLSTN3</t>
  </si>
  <si>
    <t>SP:1-19;NC:20-844;TM:845-868;CY:869-956</t>
  </si>
  <si>
    <t>ENSG00000139182</t>
  </si>
  <si>
    <t>ENSP00000266546</t>
  </si>
  <si>
    <t>299;327;347;507;740</t>
  </si>
  <si>
    <t>Cell membrane (Single-pass type I membrane protein);Endoplasmic reticulum membrane;Golgi apparatus membrane</t>
  </si>
  <si>
    <t>Alternative splicing;Calcium;Cell adhesion;Cell membrane;Complete proteome;Endoplasmic reticulum;Glycoprotein;Golgi apparatus;Membrane;Polymorphism;Reference proteome;Repeat;Signal;Transmembrane;Transmembrane helix</t>
  </si>
  <si>
    <t>UniRef100_Q9BQT9;UniRef90_Q99JH7;UniRef50_Q99JH7</t>
  </si>
  <si>
    <t>MXRA8_HUMAN</t>
  </si>
  <si>
    <t>Matrix-remodeling-associated protein 8</t>
  </si>
  <si>
    <t>MXRA8</t>
  </si>
  <si>
    <t>SP:1-22;NC:23-341;TM:342-363;CY:364-442</t>
  </si>
  <si>
    <t>ENSG00000162576</t>
  </si>
  <si>
    <t>ENSP00000307887</t>
  </si>
  <si>
    <t>119;306</t>
  </si>
  <si>
    <t>GSPGN[115]GSSHSGAPGPD;GSPGN[115]GSSHSGAPGPDPTLA;GSPGN[115]GSSHSGAPGPDPTLAR</t>
  </si>
  <si>
    <t>Q9BRK3</t>
  </si>
  <si>
    <t>UniRef100_Q9BRK3;UniRef90_Q9BRK3;UniRef50_Q9BRK3</t>
  </si>
  <si>
    <t>S35A5_HUMAN</t>
  </si>
  <si>
    <t>Probable UDP-sugar transporter protein SLC35A5</t>
  </si>
  <si>
    <t>SLC35A5</t>
  </si>
  <si>
    <t>CY:1-9;TM:10-29;NC:30-49;TM:50-74;CY:75-93;TM:94-115;NC:116-120;TM:121-141;CY:142-147;TM:148-167;NC:168-228;TM:229-249;CY:250-269;TM:270-287;NC:288-298;TM:299-324;CY:325-330;TM:331-351;NC:352-356;TM:357-376;CY:377-424</t>
  </si>
  <si>
    <t>ENSG00000138459</t>
  </si>
  <si>
    <t>ENSP00000417654</t>
  </si>
  <si>
    <t>128;204;218;374</t>
  </si>
  <si>
    <t>Complete proteome;Glycoprotein;Membrane;Phosphoprotein;Polymorphism;Reference proteome;Sugar transport;Transmembrane;Transmembrane helix;Transport</t>
  </si>
  <si>
    <t>UniRef100_Q9BS91;UniRef90_Q9BS91;UniRef50_Q9BS91</t>
  </si>
  <si>
    <t>TTYH2_HUMAN</t>
  </si>
  <si>
    <t>Protein tweety homolog 2</t>
  </si>
  <si>
    <t>TTYH2</t>
  </si>
  <si>
    <t>NC:1-44;TM:45-68;CY:69-88;TM:89-109;NC:110-212;TM:213-234;CY:235-240;TM:241-260;NC:261-388;TM:389-410;CY:411-534</t>
  </si>
  <si>
    <t>ENSG00000141540</t>
  </si>
  <si>
    <t>ENSP00000269346</t>
  </si>
  <si>
    <t>Channels;Chloride_channels;Tweety</t>
  </si>
  <si>
    <t>31;129;283;352</t>
  </si>
  <si>
    <t>ILN[115]VTEGQISTEVTR</t>
  </si>
  <si>
    <t>Q9BSA4</t>
  </si>
  <si>
    <t>Alternative splicing;Calcium;Cell membrane;Chloride;Chloride channel;Complete proteome;Glycoprotein;Ion channel;Ion transport;Membrane;Phosphoprotein;Polymorphism;Reference proteome;Transmembrane;Transmembrane helix;Transport</t>
  </si>
  <si>
    <t>UniRef100_Q9BSA4;UniRef90_Q9BSA4;UniRef50_Q9BSA4</t>
  </si>
  <si>
    <t>TM204_HUMAN</t>
  </si>
  <si>
    <t>Transmembrane protein 204</t>
  </si>
  <si>
    <t>TMEM204</t>
  </si>
  <si>
    <t>CY:1-6;TM:7-27;NC:28-103;TM:104-127;CY:128-138;TM:139-159;NC:160-169;TM:170-191;CY:192-226</t>
  </si>
  <si>
    <t>ENSG00000131634</t>
  </si>
  <si>
    <t>ENSP00000253934;ENSP00000454945</t>
  </si>
  <si>
    <t>Cell junction, adherens junction;Cell membrane (Multi-pass membrane protein)</t>
  </si>
  <si>
    <t>Cell junction;Cell membrane;Complete proteome;Glycoprotein;Membrane;Polymorphism;Reference proteome;Stress response;Transmembrane;Transmembrane helix</t>
  </si>
  <si>
    <t>UniRef100_Q9BSN7;UniRef90_Q9BSN7;UniRef50_Q9BSN7</t>
  </si>
  <si>
    <t>UPK3B_HUMAN</t>
  </si>
  <si>
    <t>Uroplakin-3b</t>
  </si>
  <si>
    <t>UPK3B</t>
  </si>
  <si>
    <t>SP:1-29;NC:30-241;TM:242-264;CY:265-320</t>
  </si>
  <si>
    <t>ENSG00000243566;ENSG00000276184</t>
  </si>
  <si>
    <t>ENSP00000257632;ENSP00000441284;ENSP00000479568</t>
  </si>
  <si>
    <t>Alternative splicing;Cell membrane;Complete proteome;Glycoprotein;Membrane;Polymorphism;Reference proteome;Signal;Transmembrane;Transmembrane helix</t>
  </si>
  <si>
    <t>UniRef100_Q9BT76;UniRef90_Q9BT76;UniRef50_Q9BT76</t>
  </si>
  <si>
    <t>LRFN3_HUMAN</t>
  </si>
  <si>
    <t>Leucine-rich repeat and fibronectin type-III domain-containing protein 3</t>
  </si>
  <si>
    <t>LRFN3</t>
  </si>
  <si>
    <t>SP:1-16;NC:17-537;TM:538-559;CY:560-628</t>
  </si>
  <si>
    <t>ENSG00000126243</t>
  </si>
  <si>
    <t>ENSP00000246529;ENSP00000466989</t>
  </si>
  <si>
    <t>81;339;348;393;462</t>
  </si>
  <si>
    <t>Cell junction, synapse;Cell junction, synapse, postsynaptic cell membrane;Cell junction, synapse, presynaptic cell membrane;Cell membrane (Single-pass type I membrane protein);Cell projection, axon;Cell projection, dendrite</t>
  </si>
  <si>
    <t>Cell adhesion;Cell junction;Cell membrane;Cell projection;Complete proteome;Disulfide bond;Glycoprotein;Immunoglobulin domain;Leucine-rich repeat;Membrane;Polymorphism;Postsynaptic cell membrane;Reference proteome;Repeat;Signal;Synapse;Transmembrane;Transmembrane helix</t>
  </si>
  <si>
    <t>UniRef100_Q9BTN0;UniRef90_Q8BLY3;UniRef50_Q8BLY3</t>
  </si>
  <si>
    <t>CRUM3_HUMAN</t>
  </si>
  <si>
    <t>Protein crumbs homolog 3</t>
  </si>
  <si>
    <t>CRB3</t>
  </si>
  <si>
    <t>SP:1-26;NC:27-55;TM:56-80;CY:81-120</t>
  </si>
  <si>
    <t>ENSG00000130545</t>
  </si>
  <si>
    <t>ENSP00000310123;ENSP00000469707;ENSP00000472010</t>
  </si>
  <si>
    <t>Apical cell membrane (Single-pass type I membrane protein);Cell junction, tight junction</t>
  </si>
  <si>
    <t>Alternative splicing;Cell junction;Cell membrane;Complete proteome;Glycoprotein;Membrane;Reference proteome;Signal;Tight junction;Transmembrane;Transmembrane helix</t>
  </si>
  <si>
    <t>UniRef100_Q9BUF7;UniRef90_Q9BUF7;UniRef50_Q9BUF7</t>
  </si>
  <si>
    <t>LFG2_HUMAN</t>
  </si>
  <si>
    <t>Protein lifeguard 2</t>
  </si>
  <si>
    <t>FAIM2</t>
  </si>
  <si>
    <t>CY:1-105;TM:106-126;NC:127-138;TM:139-158;CY:159-164;TM:165-185;NC:186-192;TM:193-214;CY:215-225;TM:226-249;NC:250-254;TM:255-277;CY:278-288;TM:289-311;NC:312-316</t>
  </si>
  <si>
    <t>ENSG00000135472</t>
  </si>
  <si>
    <t>ENSP00000321951</t>
  </si>
  <si>
    <t>33;37;43;57;64;72;73;74;75</t>
  </si>
  <si>
    <t>Cell junction, synapse, postsynaptic cell membrane;Cell membrane (Multi-pass membrane protein);Membrane raft</t>
  </si>
  <si>
    <t>Alternative splicing;Apoptosis;Cell junction;Cell membrane;Complete proteome;Glycoprotein;Membrane;Postsynaptic cell membrane;Reference proteome;Synapse;Transmembrane;Transmembrane helix</t>
  </si>
  <si>
    <t>UniRef100_Q9BWQ8;UniRef90_Q9BWQ8;UniRef50_Q8K097</t>
  </si>
  <si>
    <t>BOC_HUMAN</t>
  </si>
  <si>
    <t>Brother of CDO</t>
  </si>
  <si>
    <t>BOC</t>
  </si>
  <si>
    <t>SP:1-30;NC:31-854;TM:855-878;CY:879-1114</t>
  </si>
  <si>
    <t>ENSG00000144857</t>
  </si>
  <si>
    <t>ENSP00000347546;ENSP00000418663</t>
  </si>
  <si>
    <t>65;76;98;189;275;517;725;741;759</t>
  </si>
  <si>
    <t>3D-structure;Alternative splicing;Cell adhesion;Cell membrane;Complete proteome;Direct protein sequencing;Disulfide bond;Glycoprotein;Immunoglobulin domain;Membrane;Polymorphism;Reference proteome;Repeat;Signal;Transmembrane;Transmembrane helix</t>
  </si>
  <si>
    <t>UniRef100_Q9BWV1;UniRef90_Q9BWV1;UniRef50_Q9BWV1</t>
  </si>
  <si>
    <t>JAM3_HUMAN</t>
  </si>
  <si>
    <t>Junctional adhesion molecule C</t>
  </si>
  <si>
    <t>JAM3</t>
  </si>
  <si>
    <t>SP:1-34;NC:35-242;TM:243-267;CY:268-310</t>
  </si>
  <si>
    <t>ENSG00000166086</t>
  </si>
  <si>
    <t>ENSP00000299106</t>
  </si>
  <si>
    <t>38;104;192</t>
  </si>
  <si>
    <t>FRN[115]SSFHLNSETGTLVF;FRN[115]SSFHLNSETGTLVFTAVHK;N[115]SSFHLNSETGTLVF;N[115]SSFHLNSETGTLVFTAVHK;N[115]SSFHLN[115]SETGTLVFTAVHK</t>
  </si>
  <si>
    <t>Q9BX67</t>
  </si>
  <si>
    <t>Cell junction, desmosome;Cell membrane (Single-pass type I membrane protein);Secreted, extracellular space</t>
  </si>
  <si>
    <t>Alternative splicing;Angiogenesis;Cell adhesion;Cell junction;Cell membrane;Complete proteome;Direct protein sequencing;Disease mutation;Disulfide bond;Glycoprotein;Immunoglobulin domain;Membrane;Reference proteome;Secreted;Signal;Transmembrane;Transmembrane helix</t>
  </si>
  <si>
    <t>UniRef100_Q9BX67;UniRef90_Q9BX67;UniRef50_Q9BX67</t>
  </si>
  <si>
    <t>PLVAP_HUMAN</t>
  </si>
  <si>
    <t>Plasmalemma vesicle-associated protein</t>
  </si>
  <si>
    <t>PLVAP</t>
  </si>
  <si>
    <t>CY:1-26;TM:27-49;NC:50-442</t>
  </si>
  <si>
    <t>ENSG00000130300</t>
  </si>
  <si>
    <t>ENSP00000252590</t>
  </si>
  <si>
    <t>83;89;113;151</t>
  </si>
  <si>
    <t>LLGLTASQSN[115]LTK;LTASQSN[115]LTK</t>
  </si>
  <si>
    <t>Q9BX97</t>
  </si>
  <si>
    <t>Cell membrane (Single-pass type II membrane protein);Cytoplasm, perinuclear region;Membrane, caveola (Single-pass type II membrane protein)</t>
  </si>
  <si>
    <t>Cell membrane;Coiled coil;Complete proteome;Cytoplasm;Glycoprotein;Membrane;Reference proteome;Signal-anchor;Transmembrane;Transmembrane helix</t>
  </si>
  <si>
    <t>UniRef100_Q9BX97;UniRef90_Q9BX97;UniRef50_Q9BX97</t>
  </si>
  <si>
    <t>SUCR1_HUMAN</t>
  </si>
  <si>
    <t>Succinate receptor 1</t>
  </si>
  <si>
    <t>SUCNR1</t>
  </si>
  <si>
    <t>NC:1-27;TM:28-49;CY:50-60;TM:61-80;NC:81-99;TM:100-118;CY:119-137;TM:138-160;NC:161-184;TM:185-210;CY:211-230;TM:231-250;NC:251-279;TM:280-298;CY:299-334</t>
  </si>
  <si>
    <t>ENSG00000198829</t>
  </si>
  <si>
    <t>ENSP00000355156</t>
  </si>
  <si>
    <t>8;56;64;168</t>
  </si>
  <si>
    <t>MLGIMAWN[115]ATCK</t>
  </si>
  <si>
    <t>Q9BXA5</t>
  </si>
  <si>
    <t>UniRef100_Q9BXA5;UniRef90_Q9BXA5;UniRef50_Q9BXA5</t>
  </si>
  <si>
    <t>LGR4_HUMAN</t>
  </si>
  <si>
    <t>Leucine-rich repeat-containing G-protein coupled receptor 4</t>
  </si>
  <si>
    <t>LGR4</t>
  </si>
  <si>
    <t>SP:1-24;NC:25-542;TM:543-564;CY:565-575;TM:576-599;NC:600-619;TM:620-641;CY:642-661;TM:662-682;NC:683-702;TM:703-730;CY:731-750;TM:751-775;NC:776-783;TM:784-804;CY:805-951</t>
  </si>
  <si>
    <t>ENSG00000205213</t>
  </si>
  <si>
    <t>ENSP00000368516</t>
  </si>
  <si>
    <t>68;199;294;314;505;854</t>
  </si>
  <si>
    <t>827;829;831;832;871</t>
  </si>
  <si>
    <t>3D-structure;Alternative splicing;Biological rhythms;Cell membrane;Complete proteome;Developmental protein;Differentiation;Disulfide bond;G-protein coupled receptor;Glycoprotein;Immunity;Innate immunity;Leucine-rich repeat;Membrane;Polymorphism;Receptor;Reference proteome;Repeat;Signal;Spermatogenesis;Transducer;Transmembrane;Transmembrane helix;Wnt signaling pathway</t>
  </si>
  <si>
    <t>UniRef100_Q9BXB1;UniRef90_Q9BXB1;UniRef50_A2ARI4</t>
  </si>
  <si>
    <t>HCAR1_HUMAN</t>
  </si>
  <si>
    <t>Hydroxycarboxylic acid receptor 1</t>
  </si>
  <si>
    <t>HCAR1</t>
  </si>
  <si>
    <t>NC:1-20;TM:21-42;CY:43-51;TM:52-71;NC:72-90;TM:91-111;CY:112-130;TM:131-152;NC:153-178;TM:179-201;CY:202-220;TM:221-244;NC:245-258;TM:259-280;CY:281-346</t>
  </si>
  <si>
    <t>ENSG00000196917</t>
  </si>
  <si>
    <t>ENSP00000389255</t>
  </si>
  <si>
    <t>UniRef100_Q9BXC0;UniRef90_Q9BXC0;UniRef50_Q9BXC0</t>
  </si>
  <si>
    <t>GP174_HUMAN</t>
  </si>
  <si>
    <t>Probable G-protein coupled receptor 174</t>
  </si>
  <si>
    <t>GPR174</t>
  </si>
  <si>
    <t>NC:1-22;TM:23-46;CY:47-54;TM:55-79;NC:80-89;TM:90-114;CY:115-134;TM:135-155;NC:156-182;TM:183-206;CY:207-227;TM:228-249;NC:250-268;TM:269-294;CY:295-333</t>
  </si>
  <si>
    <t>ENSG00000147138</t>
  </si>
  <si>
    <t>ENSP00000276077</t>
  </si>
  <si>
    <t>4;164;322</t>
  </si>
  <si>
    <t>PAN[115]YTCTRPDGDNTDFR</t>
  </si>
  <si>
    <t>Q9BXC1</t>
  </si>
  <si>
    <t>UniRef100_Q9BXC1;UniRef90_Q9BXC1;UniRef50_Q3U507</t>
  </si>
  <si>
    <t>VN1R3_HUMAN</t>
  </si>
  <si>
    <t>Vomeronasal type-1 receptor 3</t>
  </si>
  <si>
    <t>VN1R3</t>
  </si>
  <si>
    <t>NC:1-5;TM:6-29;CY:30-49;TM:50-70;NC:71-89;TM:90-110;CY:111-130;TM:131-151;NC:152-182;TM:183-208;CY:209-232;TM:233-250;NC:251-263;TM:264-285;CY:286-311</t>
  </si>
  <si>
    <t>144;159;222;268</t>
  </si>
  <si>
    <t>UniRef100_Q9BXE9;UniRef90_Q9BXE9;UniRef50_Q9BXE9</t>
  </si>
  <si>
    <t>AMNLS_HUMAN</t>
  </si>
  <si>
    <t>Protein amnionless</t>
  </si>
  <si>
    <t>AMN</t>
  </si>
  <si>
    <t>SP:1-19;NC:20-358;TM:359-383;CY:384-453</t>
  </si>
  <si>
    <t>ENSG00000166126</t>
  </si>
  <si>
    <t>ENSP00000299155</t>
  </si>
  <si>
    <t>35;39</t>
  </si>
  <si>
    <t>Alternative promoter usage;Complete proteome;Developmental protein;Direct protein sequencing;Disease mutation;Glycoprotein;Membrane;Reference proteome;Signal;Transmembrane;Transmembrane helix</t>
  </si>
  <si>
    <t>UniRef100_Q9BXJ7;UniRef90_Q9BXJ7;UniRef50_Q9BXJ7</t>
  </si>
  <si>
    <t>DB00200</t>
  </si>
  <si>
    <t>CLC7A_HUMAN</t>
  </si>
  <si>
    <t>C-type lectin domain family 7 member A</t>
  </si>
  <si>
    <t>CLEC7A</t>
  </si>
  <si>
    <t>CY:1-44;TM:45-70;NC:71-247</t>
  </si>
  <si>
    <t>ENSG00000172243</t>
  </si>
  <si>
    <t>ENSP00000302569;ENSP00000432876</t>
  </si>
  <si>
    <t>Cell membrane (Single- pass type II membrane protein);Cytoplasm;Cytoplasm;Cytoplasm</t>
  </si>
  <si>
    <t>Alternative splicing;Cell membrane;Complete proteome;Cytoplasm;Disulfide bond;Glycoprotein;Immunity;Inflammatory response;Innate immunity;Lectin;Membrane;Metal-binding;Phosphoprotein;Polymorphism;Receptor;Reference proteome;Signal-anchor;Transmembrane;Transmembrane helix</t>
  </si>
  <si>
    <t>UniRef100_Q9BXN2;UniRef90_Q9BXN2;UniRef50_Q9BXN2</t>
  </si>
  <si>
    <t>S12A9_HUMAN</t>
  </si>
  <si>
    <t>Solute carrier family 12 member 9</t>
  </si>
  <si>
    <t>SLC12A9</t>
  </si>
  <si>
    <t>CY:1-39;TM:40-62;NC:63-71;TM:72-97;CY:98-118;TM:119-140;NC:141-166;TM:167-188;CY:189-194;TM:195-215;NC:216-263;TM:264-285;CY:286-296;TM:297-320;NC:321-339;TM:340-363;CY:364-393;TM:394-411;NC:412-416;TM:417-441;CY:442-461;TM:462-491;NC:492-738;TM:739-760;CY:761-914</t>
  </si>
  <si>
    <t>ENSG00000146828</t>
  </si>
  <si>
    <t>ENSP00000275730</t>
  </si>
  <si>
    <t>228;243;286</t>
  </si>
  <si>
    <t>PGPN[115]GSSLPPR;FGHFTGFN[115]SSTLK</t>
  </si>
  <si>
    <t>228;243</t>
  </si>
  <si>
    <t>Q9BXP2</t>
  </si>
  <si>
    <t>Alternative splicing;Cell membrane;Complete proteome;Glycoprotein;Membrane;Reference proteome;Transmembrane;Transmembrane helix;Transport</t>
  </si>
  <si>
    <t>UniRef100_Q9BXP2;UniRef90_Q9BXP2;UniRef50_Q9BXP2</t>
  </si>
  <si>
    <t>TLR10_HUMAN</t>
  </si>
  <si>
    <t>Toll-like receptor 10</t>
  </si>
  <si>
    <t>TLR10</t>
  </si>
  <si>
    <t>SP:1-19;NC:20-576;TM:577-600;CY:601-811</t>
  </si>
  <si>
    <t>ENSG00000174123</t>
  </si>
  <si>
    <t>ENSP00000308925;ENSP00000354459;ENSP00000421483;ENSP00000424923;ENSP00000478206;ENSP00000478985</t>
  </si>
  <si>
    <t>CD290</t>
  </si>
  <si>
    <t>33;36;140;189;236;278;330;395;416;427</t>
  </si>
  <si>
    <t>3D-structure;Complete proteome;Glycoprotein;Immunity;Inflammatory response;Innate immunity;Leucine-rich repeat;Membrane;Polymorphism;Receptor;Reference proteome;Repeat;Signal;Transmembrane;Transmembrane helix</t>
  </si>
  <si>
    <t>UniRef100_Q9BXR5;UniRef90_Q9BXR5;UniRef50_Q9BXR5</t>
  </si>
  <si>
    <t>S26A6_HUMAN</t>
  </si>
  <si>
    <t>Solute carrier family 26 member 6</t>
  </si>
  <si>
    <t>SLC26A6</t>
  </si>
  <si>
    <t>CY:1-110;TM:111-136;NC:137-186;TM:187-210;CY:211-263;TM:264-283;NC:284-294;TM:295-313;CY:314-345;TM:346-368;NC:369-379;TM:380-400;CY:401-413;TM:414-434;NC:435-482;TM:483-506;CY:507-759</t>
  </si>
  <si>
    <t>ENSG00000225697</t>
  </si>
  <si>
    <t>ENSP00000351597;ENSP00000378920</t>
  </si>
  <si>
    <t>167;172;614</t>
  </si>
  <si>
    <t>SVMVGSVTESLAPQALN[115]DSMIN[115]ETAR;SVTESLAPQALN[115]DSMIN[115]ETAR;TESLAPQALN[115]DSMIN[115]ETAR;SLAPQALN[115]DSMIN[115]ETAR;APQALN[115]DSMIN[115]ETAR;LN[115]DSMIN[115]ETAR;N[115]DSMIN[115]ETAR</t>
  </si>
  <si>
    <t>167;172</t>
  </si>
  <si>
    <t>Q9BXS9</t>
  </si>
  <si>
    <t>Apical cell membrane (Multi-pass membrane protein);Cell membrane (Multi-pass membrane protein);Cytoplasmic vesicle membrane (Multi-pass membrane protein);Membrane (Multi-pass membrane protein);Microsome;Apical cell membrane (Multi-pass membrane protein);Basolateral cell membrane (Multi-pass membrane protein);Cell membrane (Multi-pass membrane protein);Cell membrane (Multi-pass membrane protein);Cell membrane (Multi-pass membrane protein)</t>
  </si>
  <si>
    <t>Alternative splicing;Anion exchange;Antiport;Cell membrane;Chloride;Chloride channel;Complete proteome;Cytoplasmic vesicle;Endoplasmic reticulum;Ion channel;Ion transport;Membrane;Microsome;Phosphoprotein;Polymorphism;Reference proteome;Transmembrane;Transmembrane helix;Transport</t>
  </si>
  <si>
    <t>UniRef100_Q9BXS9;UniRef90_Q9BXS9;UniRef50_Q8CIW6</t>
  </si>
  <si>
    <t>CCG6_HUMAN</t>
  </si>
  <si>
    <t>Voltage-dependent calcium channel gamma-6 subunit</t>
  </si>
  <si>
    <t>CACNG6</t>
  </si>
  <si>
    <t>CY:1-40;TM:41-62;NC:63-138;TM:139-162;CY:163-168;TM:169-189;NC:190-217;TM:218-242;CY:243-260</t>
  </si>
  <si>
    <t>ENSG00000130433</t>
  </si>
  <si>
    <t>ENSP00000252729</t>
  </si>
  <si>
    <t>71;113</t>
  </si>
  <si>
    <t>DTCGPAELPGEAN[115]CTYFK</t>
  </si>
  <si>
    <t>Q9BXT2</t>
  </si>
  <si>
    <t>Calcium;Calcium channel;Calcium transport;Complete proteome;Ion channel;Ion transport;Membrane;Polymorphism;Reference proteome;Transmembrane;Transmembrane helix;Transport;Voltage-gated channel</t>
  </si>
  <si>
    <t>UniRef100_Q9BXT2;UniRef90_Q9BXT2;UniRef50_Q8VHW7</t>
  </si>
  <si>
    <t>S4A5_HUMAN</t>
  </si>
  <si>
    <t>Electrogenic sodium bicarbonate cotransporter 4</t>
  </si>
  <si>
    <t>SLC4A5</t>
  </si>
  <si>
    <t>NC:1-518;TM:519-544;CY:545-559;TM:560-587;NC:588-606;TM:607-629;CY:630-639;TM:640-662;NC:663-739;TM:740-761;CY:762-775;TM:776-799;NC:800-828;TM:829-847;CY:848-866;TM:867-883;NC:884-888;TM:889-908;CY:909-928;TM:929-948;NC:949-953;TM:954-974;CY:975-1016;TM:1017-1034;NC:1035-1039;TM:1040-1057;CY:1058-1137</t>
  </si>
  <si>
    <t>ENSG00000188687</t>
  </si>
  <si>
    <t>ENSP00000251768;ENSP00000366861</t>
  </si>
  <si>
    <t>239;436;688;693;703;711</t>
  </si>
  <si>
    <t>Alternative splicing;Anion exchange;Cell membrane;Complete proteome;Ion transport;Membrane;Polymorphism;Reference proteome;Sodium;Sodium transport;Transmembrane;Transmembrane helix;Transport</t>
  </si>
  <si>
    <t>UniRef100_Q9BY07;UniRef90_Q9BY07;UniRef50_Q9BY07</t>
  </si>
  <si>
    <t>TSCOT_HUMAN</t>
  </si>
  <si>
    <t>Thymic stromal cotransporter homolog</t>
  </si>
  <si>
    <t>SLC46A2</t>
  </si>
  <si>
    <t>CY:1-20;TM:21-44;NC:45-77;TM:78-98;CY:99-108;TM:109-129;NC:130-134;TM:135-160;CY:161-172;TM:173-194;NC:195-205;TM:206-227;CY:228-282;TM:283-308;NC:309-319;TM:320-341;CY:342-348;TM:349-368;NC:369-373;TM:374-395;CY:396-406;TM:407-425;NC:426-436;TM:437-460;CY:461-475</t>
  </si>
  <si>
    <t>ENSG00000119457</t>
  </si>
  <si>
    <t>ENSP00000363345</t>
  </si>
  <si>
    <t>Cell membrane;Complete proteome;Glycoprotein;Membrane;Polymorphism;Reference proteome;Transmembrane;Transmembrane helix;Transport</t>
  </si>
  <si>
    <t>UniRef100_Q9BY10;UniRef90_Q9BY10;UniRef50_Q8CA03</t>
  </si>
  <si>
    <t>TX101_HUMAN</t>
  </si>
  <si>
    <t>Testis-expressed sequence 101 protein</t>
  </si>
  <si>
    <t>TEX101</t>
  </si>
  <si>
    <t>SP:1-26;NC:27-249</t>
  </si>
  <si>
    <t>ENSG00000131126</t>
  </si>
  <si>
    <t>ENSP00000472769</t>
  </si>
  <si>
    <t>45;159</t>
  </si>
  <si>
    <t>Alternative splicing;Cell membrane;Complete proteome;Glycoprotein;GPI-anchor;Lipoprotein;Membrane;Polymorphism;Reference proteome;Signal</t>
  </si>
  <si>
    <t>UniRef100_Q9BY14;UniRef90_Q9BY14;UniRef50_Q9BY14</t>
  </si>
  <si>
    <t>EMR3_HUMAN</t>
  </si>
  <si>
    <t>EGF-like module-containing mucin-like hormone receptor-like 3</t>
  </si>
  <si>
    <t>EMR3</t>
  </si>
  <si>
    <t>SP:1-21;NC:22-357;TM:358-380;CY:381-390;TM:391-410;NC:411-419;TM:420-439;CY:440-464;TM:465-486;NC:487-505;TM:506-530;CY:531-555;TM:556-574;NC:575-579;TM:580-601;CY:602-652</t>
  </si>
  <si>
    <t>ENSG00000131355</t>
  </si>
  <si>
    <t>ENSP00000253673</t>
  </si>
  <si>
    <t>34;39;145;189;202;250;279;327;334;386;450;455</t>
  </si>
  <si>
    <t>SHTMCN[115]CSHL</t>
  </si>
  <si>
    <t>Q9BY15</t>
  </si>
  <si>
    <t>Cell membrane (Multi-pass membrane protein);Secreted, extracellular space;Cell membrane (Multi-pass membrane protein);Secreted</t>
  </si>
  <si>
    <t>Alternative splicing;Calcium;Cell membrane;Complete proteome;Disulfide bond;EGF-like domain;G-protein coupled receptor;Glycoprotein;Membrane;Polymorphism;Receptor;Reference proteome;Repeat;Secreted;Signal;Transducer;Transmembrane;Transmembrane helix</t>
  </si>
  <si>
    <t>UniRef100_Q9BY15;UniRef90_Q9BY15;UniRef50_Q9BY15</t>
  </si>
  <si>
    <t>GPR87_HUMAN</t>
  </si>
  <si>
    <t>G-protein coupled receptor 87</t>
  </si>
  <si>
    <t>GPR87</t>
  </si>
  <si>
    <t>NC:1-44;TM:45-68;CY:69-77;TM:78-99;NC:100-118;TM:119-137;CY:138-156;TM:157-178;NC:179-207;TM:208-233;CY:234-253;TM:254-275;NC:276-297;TM:298-318;CY:319-358</t>
  </si>
  <si>
    <t>ENSG00000138271</t>
  </si>
  <si>
    <t>ENSP00000260843</t>
  </si>
  <si>
    <t>4;25;33;72;251</t>
  </si>
  <si>
    <t>UniRef100_Q9BY21;UniRef90_Q9BY21;UniRef50_Q9BY21</t>
  </si>
  <si>
    <t>CADM1_HUMAN</t>
  </si>
  <si>
    <t>Cell adhesion molecule 1</t>
  </si>
  <si>
    <t>CADM1</t>
  </si>
  <si>
    <t>SP:1-19;NC:20-374;TM:375-396;CY:397-442</t>
  </si>
  <si>
    <t>ENSG00000182985</t>
  </si>
  <si>
    <t>ENSP00000395359</t>
  </si>
  <si>
    <t>67;101;113;165;304;308;432</t>
  </si>
  <si>
    <t>DVTVIEGEVATISCQVN[115]K;DVTVIEGEVATISCQVN[115]KSDDSVIQLLNPNR;FQLLN[115]FSSSELK;VSLTN[115]VSISDEGR;SLTN[115]VSISDEGR;LTN[115]VSISDEGR;TN[115]VSISDEGR;DTAVEGEEIEVN[115];DTAVEGEEIEVN[115]CTAM;DTAVEGEEIEVN[115]CTAMASK;DTAVEGEEIEVN[115]CTAMASKPATTIR;VDDEMPQHAVLSGPNLFINNLN[115]K;VDDEMPQHAVLSGPNLFINNLN[115]KTDN[115]GTYR;VDDEMPQHAVLSGPNLFINN[115]LNKTDN[115]GTYR;VDDEMPQHAVLSGPNLFINN[115]LN[115]K;VDDEMPQHAVLSGPNLFIN[115]NLNKTDN[115]GTYR;VDDEMPQHAVLSGPNLFIN[115]NLN[115]K;VDDEMPQHAVLSGPNLFIN[115]NLN[115]KTDN[115]GTYR;VDDEMPQHAVLSGPNLFIN[115]N[115]LNKTDN[115]GTYR;VDDEMPQHAVLSGPN[115]LFINNLNKTDN[115]GTYR;VDDEMPQHAVLSGPN[115]LFINNLN[115]K;PQHAVLSGPNLFINNLN[115]K;AVLSGPNLFINNLN[115]K;SGPNLFINNLN[115]K;SGPNLFINNLN[115]KTDN[115]GTYR;GPNLFINNLN[115]K;INNLN[115]KTDN[115]GTYR</t>
  </si>
  <si>
    <t>67;101;113;165;304;308</t>
  </si>
  <si>
    <t>Q9BY67</t>
  </si>
  <si>
    <t>3D-structure;Alternative splicing;Apoptosis;Cell adhesion;Cell junction;Cell membrane;Complete proteome;Developmental protein;Differentiation;Disulfide bond;Glycoprotein;Immunity;Immunoglobulin domain;Membrane;Phosphoprotein;Polymorphism;Reference proteome;Repeat;Signal;Spermatogenesis;Synapse;Transmembrane;Transmembrane helix;Tumor suppressor</t>
  </si>
  <si>
    <t>UniRef100_Q9BY67;UniRef90_Q8R5M8-2;UniRef50_Q8R5M8</t>
  </si>
  <si>
    <t>MFRP_HUMAN</t>
  </si>
  <si>
    <t>Membrane frizzled-related protein</t>
  </si>
  <si>
    <t>MFRP</t>
  </si>
  <si>
    <t>CY:1-64;TM:65-90;NC:91-579</t>
  </si>
  <si>
    <t>ENSG00000235718</t>
  </si>
  <si>
    <t>ENSP00000391664</t>
  </si>
  <si>
    <t>227;293;304;345;415;453;480</t>
  </si>
  <si>
    <t>51;67;172;249;329;438;443;488;560</t>
  </si>
  <si>
    <t>Apical cell membrane (Single- pass type II membrane protein)</t>
  </si>
  <si>
    <t>Alternative splicing;Cell membrane;Complete proteome;Disease mutation;Disulfide bond;Glycoprotein;Membrane;Microphthalmia;Polymorphism;Reference proteome;Repeat;Retinitis pigmentosa;Signal-anchor;Transmembrane;Transmembrane helix</t>
  </si>
  <si>
    <t>UniRef100_Q9BY79;UniRef90_Q9BY79;UniRef50_Q9BY79</t>
  </si>
  <si>
    <t>TMPSD_HUMAN</t>
  </si>
  <si>
    <t>Transmembrane protease serine 13</t>
  </si>
  <si>
    <t>TMPRSS13</t>
  </si>
  <si>
    <t>CY:1-165;TM:166-189;NC:190-586</t>
  </si>
  <si>
    <t>ENSG00000137747</t>
  </si>
  <si>
    <t>8;255;292;405;445</t>
  </si>
  <si>
    <t>Alternative splicing;Complete proteome;Disulfide bond;Glycoprotein;Hydrolase;Membrane;Polymorphism;Protease;Reference proteome;Repeat;Serine protease;Signal-anchor;Transmembrane;Transmembrane helix</t>
  </si>
  <si>
    <t>UniRef100_Q9BYE2;UniRef90_Q9BYE2;UniRef50_Q9BYE2</t>
  </si>
  <si>
    <t>CDHR2_HUMAN</t>
  </si>
  <si>
    <t>Cadherin-related family member 2</t>
  </si>
  <si>
    <t>CDHR2</t>
  </si>
  <si>
    <t>SP:1-19;NC:20-1151;TM:1152-1177;CY:1178-1310</t>
  </si>
  <si>
    <t>ENSG00000074276</t>
  </si>
  <si>
    <t>ENSP00000261944;ENSP00000421078;ENSP00000424565</t>
  </si>
  <si>
    <t>29;134;182;188;195;300;355;371;401;460;565;600;616;632;680;696;701;775;821;871;877;911;932;1107</t>
  </si>
  <si>
    <t>Apical cell membrane (Single-pass type I membrane protein);Cell junction</t>
  </si>
  <si>
    <t>Calcium;Cell adhesion;Cell junction;Cell membrane;Complete proteome;Glycoprotein;Membrane;Polymorphism;Reference proteome;Repeat;Signal;Transmembrane;Transmembrane helix</t>
  </si>
  <si>
    <t>UniRef100_Q9BYE9;UniRef90_Q9BYE9;UniRef50_Q9BYE9</t>
  </si>
  <si>
    <t>ACE2_HUMAN</t>
  </si>
  <si>
    <t>Angiotensin-converting enzyme 2</t>
  </si>
  <si>
    <t>ACE2</t>
  </si>
  <si>
    <t>SP:1-19;NC:20-739;TM:740-765;CY:766-805</t>
  </si>
  <si>
    <t>ENSG00000130234</t>
  </si>
  <si>
    <t>ENSP00000252519;ENSP00000389326</t>
  </si>
  <si>
    <t>53;90;103;322;432;546;690</t>
  </si>
  <si>
    <t>3D-structure;Alternative splicing;Carboxypeptidase;Cell membrane;Chloride;Complete proteome;Cytoplasm;Direct protein sequencing;Disulfide bond;Glycoprotein;Host-virus interaction;Hydrolase;Membrane;Metal-binding;Metalloprotease;Polymorphism;Protease;Reference proteome;Secreted;Signal;Transmembrane;Transmembrane helix;Zinc</t>
  </si>
  <si>
    <t>UniRef100_Q9BYF1;UniRef90_Q9BYF1;UniRef50_Q9BYF1</t>
  </si>
  <si>
    <t>DB00691;DB00722</t>
  </si>
  <si>
    <t>S17A9_HUMAN</t>
  </si>
  <si>
    <t>Solute carrier family 17 member 9</t>
  </si>
  <si>
    <t>SLC17A9</t>
  </si>
  <si>
    <t>NC:1-61;TM:62-80;CY:81-91;TM:92-112;NC:113-121;TM:122-143;CY:144-153;TM:154-176;NC:177-182;TM:183-202;CY:203-239;TM:240-262;NC:263-275;TM:276-297;CY:298-316;TM:317-343;NC:344-368;TM:369-393;CY:394-401;TM:402-422;NC:423-436</t>
  </si>
  <si>
    <t>ENSG00000101194</t>
  </si>
  <si>
    <t>ENSP00000359376</t>
  </si>
  <si>
    <t>Alternative splicing;Complete proteome;Exocytosis;Membrane;Polymorphism;Reference proteome;Transmembrane;Transmembrane helix;Transport</t>
  </si>
  <si>
    <t>UniRef100_Q9BYT1;UniRef90_Q9BYT1;UniRef50_Q9BYT1</t>
  </si>
  <si>
    <t>ANO3_HUMAN</t>
  </si>
  <si>
    <t>Anoctamin-3</t>
  </si>
  <si>
    <t>ANO3</t>
  </si>
  <si>
    <t>CY:1-398;TM:399-422;NC:423-470;TM:471-490;CY:491-546;TM:547-571;NC:572-590;TM:591-613;CY:614-640;TM:641-663;NC:664-758;TM:759-782;CY:783-808;TM:809-833;NC:834-910;TM:911-935;CY:936-981</t>
  </si>
  <si>
    <t>ENSG00000134343</t>
  </si>
  <si>
    <t>ENSP00000256737</t>
  </si>
  <si>
    <t>18;88;302;333;425;448;455;650;866</t>
  </si>
  <si>
    <t>369;372;398</t>
  </si>
  <si>
    <t>Alternative splicing;Cell membrane;Complete proteome;Disease mutation;Dystonia;Glycoprotein;Lipid transport;Membrane;Polymorphism;Reference proteome;Transmembrane;Transmembrane helix;Transport</t>
  </si>
  <si>
    <t>UniRef100_Q9BYT9;UniRef90_Q9BYT9;UniRef50_Q9BYT9</t>
  </si>
  <si>
    <t>GTR11_HUMAN</t>
  </si>
  <si>
    <t>Solute carrier family 2, facilitated glucose transporter member 11</t>
  </si>
  <si>
    <t>SLC2A11</t>
  </si>
  <si>
    <t>CY:1-11;TM:12-30;NC:31-63;TM:64-86;CY:87-97;TM:98-115;NC:116-125;TM:126-146;CY:147-156;TM:157-176;NC:177-187;TM:188-209;CY:210-274;TM:275-296;NC:297-309;TM:310-332;CY:333-338;TM:339-360;NC:361-366;TM:367-386;CY:387-405;TM:406-430;NC:431-435;TM:436-456;CY:457-496</t>
  </si>
  <si>
    <t>ENSG00000133460;ENSG00000275744</t>
  </si>
  <si>
    <t>ENSP00000342542;ENSP00000482495</t>
  </si>
  <si>
    <t>31;47;289</t>
  </si>
  <si>
    <t>Alternative splicing;Cell membrane;Complete proteome;Glycoprotein;Membrane;Polymorphism;Reference proteome;Sugar transport;Transmembrane;Transmembrane helix;Transport</t>
  </si>
  <si>
    <t>UniRef100_Q9BYW1;UniRef90_Q9BYW1;UniRef50_Q9BYW1</t>
  </si>
  <si>
    <t>ADA33_HUMAN</t>
  </si>
  <si>
    <t>Disintegrin and metalloproteinase domain-containing protein 33</t>
  </si>
  <si>
    <t>ADAM33</t>
  </si>
  <si>
    <t>SP:1-27;NC:28-701;TM:702-725;CY:726-813</t>
  </si>
  <si>
    <t>ENSG00000149451</t>
  </si>
  <si>
    <t>ENSP00000348912</t>
  </si>
  <si>
    <t>109;145;231;276;448</t>
  </si>
  <si>
    <t>3D-structure;Alternative splicing;Asthma;Cleavage on pair of basic residues;Complete proteome;Disulfide bond;EGF-like domain;Glycoprotein;Hydrolase;Membrane;Metal-binding;Metalloprotease;Polymorphism;Protease;Reference proteome;Signal;Transmembrane;Transmembrane helix;Zinc;Zymogen</t>
  </si>
  <si>
    <t>UniRef100_Q9BZ11;UniRef90_Q9BZ11;UniRef50_Q9BZ11</t>
  </si>
  <si>
    <t>CNTP3_HUMAN</t>
  </si>
  <si>
    <t>Contactin-associated protein-like 3</t>
  </si>
  <si>
    <t>CNTNAP3</t>
  </si>
  <si>
    <t>ENSG00000106714</t>
  </si>
  <si>
    <t>ENSP00000297668</t>
  </si>
  <si>
    <t>285;359;441;497;600;623;706;1023;1073;1120;1278</t>
  </si>
  <si>
    <t>UniRef100_Q9BZ76;UniRef90_Q9BZ76;UniRef50_Q99P47</t>
  </si>
  <si>
    <t>PC11X_HUMAN</t>
  </si>
  <si>
    <t>Protocadherin-11 X-linked</t>
  </si>
  <si>
    <t>PCDH11X</t>
  </si>
  <si>
    <t>SP:1-23;NC:24-812;TM:813-834;CY:835-1347</t>
  </si>
  <si>
    <t>ENSG00000102290</t>
  </si>
  <si>
    <t>ENSP00000362186</t>
  </si>
  <si>
    <t>27;48;54;145;303;344;365;447;478;553;628;679;703;732;773;778;1102;1138</t>
  </si>
  <si>
    <t>27;303;344;365;553;703;732;778;1102;1138</t>
  </si>
  <si>
    <t>UniRef100_Q9BZA7;UniRef90_Q9BZA7;UniRef50_Q9BZA7</t>
  </si>
  <si>
    <t>PC11Y_HUMAN</t>
  </si>
  <si>
    <t>Protocadherin-11 Y-linked</t>
  </si>
  <si>
    <t>PCDH11Y</t>
  </si>
  <si>
    <t>SP:1-25;NC:26-844;TM:845-866;CY:867-1340</t>
  </si>
  <si>
    <t>ENSG00000099715;ENSG00000280342</t>
  </si>
  <si>
    <t>ENSP00000383306;ENSP00000485560</t>
  </si>
  <si>
    <t>27;59;80;86;177;335;376;397;479;510;585;660;711;735;764;805;810;1012;1097;1131</t>
  </si>
  <si>
    <t>Alternative splicing;Calcium;Cell adhesion;Cell membrane;Chromosomal rearrangement;Complete proteome;Glycoprotein;Membrane;Polymorphism;Reference proteome;Repeat;Signal;Transmembrane;Transmembrane helix</t>
  </si>
  <si>
    <t>UniRef100_Q9BZA8;UniRef90_Q9BZA7-5;UniRef50_Q9BZA7</t>
  </si>
  <si>
    <t>ABCA2_HUMAN</t>
  </si>
  <si>
    <t>ATP-binding cassette sub-family A member 2</t>
  </si>
  <si>
    <t>ABCA2</t>
  </si>
  <si>
    <t>NC:1-21;TM:22-42;CY:43-53;TM:54-73;NC:74-705;TM:706-728;CY:729-748;TM:749-771;NC:772-782;TM:783-805;CY:806-811;TM:812-831;NC:832-891;TM:892-913;CY:914-1456;TM:1457-1478;NC:1479-1791;TM:1792-1814;CY:1815-1823;TM:1824-1842;NC:1843-1847;TM:1848-1866;CY:1867-1874;TM:1875-1897;NC:1898-1902;TM:1903-1925;CY:1926-1987;TM:1988-2013;NC:2014-2435</t>
  </si>
  <si>
    <t>ENSG00000107331</t>
  </si>
  <si>
    <t>ENSP00000344155;ENSP00000360666</t>
  </si>
  <si>
    <t>14;89;168;173;305;368;379;420;432;476;484;494;530;544;590;600;628;1408;1496;1549;1557;1612;1677;1775;2054</t>
  </si>
  <si>
    <t>SPAN[115]GSLGPTLN[115]LSSGESR</t>
  </si>
  <si>
    <t>1549;1557</t>
  </si>
  <si>
    <t>Q9BZC7</t>
  </si>
  <si>
    <t>Endosome membrane (Multi-pass membrane protein);Lysosome membrane (Multi-pass membrane protein)</t>
  </si>
  <si>
    <t>Alternative splicing;ATP-binding;Complete proteome;Endosome;Glycoprotein;Lysosome;Membrane;Nucleotide-binding;Phosphoprotein;Polymorphism;Reference proteome;Repeat;Transmembrane;Transmembrane helix;Transport</t>
  </si>
  <si>
    <t>UniRef100_Q9BZC7;UniRef90_Q9BZC7;UniRef50_Q9BZC7</t>
  </si>
  <si>
    <t>Cytosol;Endoplasmic Reticulum;Extracellular space;Golgi apparatus;Mitochondrion;Nucleus;Peroxisome</t>
  </si>
  <si>
    <t>S29A3_HUMAN</t>
  </si>
  <si>
    <t>Equilibrative nucleoside transporter 3</t>
  </si>
  <si>
    <t>SLC29A3</t>
  </si>
  <si>
    <t>CY:1-51;TM:52-72;NC:73-105;TM:106-126;CY:127-132;TM:133-153;NC:154-163;TM:164-188;CY:189-199;TM:200-218;NC:219-229;TM:230-251;CY:252-305;TM:306-326;NC:327-337;TM:338-358;CY:359-377;TM:378-398;NC:399-414;TM:415-437;CY:438-449;TM:450-473;NC:474-475</t>
  </si>
  <si>
    <t>ENSG00000198246</t>
  </si>
  <si>
    <t>ENSP00000362285</t>
  </si>
  <si>
    <t>14;84</t>
  </si>
  <si>
    <t>Late endosome membrane;Lysosome membrane;Membrane (Multi-pass membrane protein)</t>
  </si>
  <si>
    <t>Alternative splicing;Complete proteome;Disease mutation;Endosome;Glycoprotein;Lysosome;Membrane;Phosphoprotein;Polymorphism;Reference proteome;Transmembrane;Transmembrane helix;Transport</t>
  </si>
  <si>
    <t>UniRef100_Q9BZD2;UniRef90_Q9BZD2;UniRef50_Q9BZD2</t>
  </si>
  <si>
    <t>PPAT_HUMAN</t>
  </si>
  <si>
    <t>Testicular acid phosphatase</t>
  </si>
  <si>
    <t>ACPT</t>
  </si>
  <si>
    <t>SP:1-28;NC:29-390;TM:391-414;CY:415-426</t>
  </si>
  <si>
    <t>ENSG00000142513</t>
  </si>
  <si>
    <t>ENSP00000270593</t>
  </si>
  <si>
    <t>191;269;330;339</t>
  </si>
  <si>
    <t>Alternative splicing;Complete proteome;Disulfide bond;Glycoprotein;Hydrolase;Membrane;Reference proteome;Signal;Transmembrane;Transmembrane helix</t>
  </si>
  <si>
    <t>UniRef100_Q9BZG2;UniRef90_Q9BZG2;UniRef50_Q9BZG2</t>
  </si>
  <si>
    <t>LYNX1_HUMAN</t>
  </si>
  <si>
    <t>Ly-6/neurotoxin-like protein 1</t>
  </si>
  <si>
    <t>LYNX1</t>
  </si>
  <si>
    <t>ENSG00000180155</t>
  </si>
  <si>
    <t>ENSP00000479586</t>
  </si>
  <si>
    <t>Secreted;Cell membrane (Lipid-anchor, GPI-anchor);Cell projection, dendrite;Secreted</t>
  </si>
  <si>
    <t>3D-structure;Alternative splicing;Cell membrane;Cell projection;Complete proteome;Disulfide bond;Glycoprotein;GPI-anchor;Lipoprotein;Membrane;Reference proteome;Secreted;Signal</t>
  </si>
  <si>
    <t>UniRef100_Q9BZG9;UniRef90_Q9BZG9;UniRef50_Q9WVC2</t>
  </si>
  <si>
    <t>GPR63_HUMAN</t>
  </si>
  <si>
    <t>Probable G-protein coupled receptor 63</t>
  </si>
  <si>
    <t>GPR63</t>
  </si>
  <si>
    <t>NC:1-81;TM:82-107;CY:108-117;TM:118-140;NC:141-158;TM:159-177;CY:178-196;TM:197-215;NC:216-240;TM:241-265;CY:266-311;TM:312-335;NC:336-353;TM:354-373;CY:374-419</t>
  </si>
  <si>
    <t>ENSG00000112218</t>
  </si>
  <si>
    <t>ENSP00000229955</t>
  </si>
  <si>
    <t>16;28;62</t>
  </si>
  <si>
    <t>UniRef100_Q9BZJ6;UniRef90_Q9BZJ6;UniRef50_Q9BZJ6</t>
  </si>
  <si>
    <t>GPR62_HUMAN</t>
  </si>
  <si>
    <t>Probable G-protein coupled receptor 62</t>
  </si>
  <si>
    <t>GPR62</t>
  </si>
  <si>
    <t>NC:1-15;TM:16-39;CY:40-48;TM:49-73;NC:74-92;TM:93-112;CY:113-129;TM:130-150;NC:151-174;TM:175-199;CY:200-238;TM:239-258;NC:259-276;TM:277-293;CY:294-368</t>
  </si>
  <si>
    <t>ENSG00000180929</t>
  </si>
  <si>
    <t>ENSP00000319250</t>
  </si>
  <si>
    <t>3;8</t>
  </si>
  <si>
    <t>UniRef100_Q9BZJ7;UniRef90_Q9BZJ7;UniRef50_Q9BZJ7</t>
  </si>
  <si>
    <t>GPR61_HUMAN</t>
  </si>
  <si>
    <t>Probable G-protein coupled receptor 61</t>
  </si>
  <si>
    <t>GPR61</t>
  </si>
  <si>
    <t>NC:1-43;TM:44-67;CY:68-75;TM:76-97;NC:98-116;TM:117-137;CY:138-155;TM:156-178;NC:179-206;TM:207-230;CY:231-285;TM:286-305;NC:306-324;TM:325-344;CY:345-451</t>
  </si>
  <si>
    <t>ENSG00000156097</t>
  </si>
  <si>
    <t>ENSP00000385422;ENSP00000433661;ENSP00000432456;ENSP00000484035;ENSP00000484797</t>
  </si>
  <si>
    <t>UniRef100_Q9BZJ8;UniRef90_Q9BZJ8;UniRef50_Q9BZJ8</t>
  </si>
  <si>
    <t>N2DL3_HUMAN</t>
  </si>
  <si>
    <t>NKG2D ligand 3</t>
  </si>
  <si>
    <t>ULBP3</t>
  </si>
  <si>
    <t>SP:1-14;NC:15-244</t>
  </si>
  <si>
    <t>ENSG00000131019</t>
  </si>
  <si>
    <t>ENSP00000356308;ENSP00000403562</t>
  </si>
  <si>
    <t>HSLWYN[115]FTIIHLPR</t>
  </si>
  <si>
    <t>Q9BZM4</t>
  </si>
  <si>
    <t>3D-structure;Cell membrane;Complete proteome;Disulfide bond;Glycoprotein;GPI-anchor;Host-virus interaction;Lipoprotein;Membrane;Reference proteome;Signal</t>
  </si>
  <si>
    <t>UniRef100_Q9BZM4;UniRef90_Q9BZM4;UniRef50_Q6H3X3-2</t>
  </si>
  <si>
    <t>N2DL2_HUMAN</t>
  </si>
  <si>
    <t>NKG2D ligand 2</t>
  </si>
  <si>
    <t>ULBP2</t>
  </si>
  <si>
    <t>SP:1-28;NC:29-246</t>
  </si>
  <si>
    <t>ENSG00000131015</t>
  </si>
  <si>
    <t>ENSP00000356320</t>
  </si>
  <si>
    <t>Cell membrane;Complete proteome;Direct protein sequencing;Disulfide bond;Glycoprotein;GPI-anchor;Lipoprotein;Membrane;Reference proteome;Secreted;Signal</t>
  </si>
  <si>
    <t>UniRef100_Q9BZM5;UniRef90_Q6H3X3-2;UniRef50_Q6H3X3-2</t>
  </si>
  <si>
    <t>N2DL1_HUMAN</t>
  </si>
  <si>
    <t>NKG2D ligand 1</t>
  </si>
  <si>
    <t>ULBP1</t>
  </si>
  <si>
    <t>SP:1-25;NC:26-244</t>
  </si>
  <si>
    <t>ENSG00000111981</t>
  </si>
  <si>
    <t>ENSP00000229708</t>
  </si>
  <si>
    <t>Cell membrane (Lipid-anchor, GPI-anchor);Endoplasmic reticulum</t>
  </si>
  <si>
    <t>Cell membrane;Complete proteome;Disulfide bond;Endoplasmic reticulum;Glycoprotein;GPI-anchor;Lipoprotein;Membrane;Polymorphism;Reference proteome;Signal</t>
  </si>
  <si>
    <t>UniRef100_Q9BZM6;UniRef90_Q9BZM6;UniRef50_Q6H3X3-2</t>
  </si>
  <si>
    <t>RTN4R_HUMAN</t>
  </si>
  <si>
    <t>Reticulon-4 receptor</t>
  </si>
  <si>
    <t>RTN4R</t>
  </si>
  <si>
    <t>SP:1-29;NC:30-473</t>
  </si>
  <si>
    <t>ENSG00000040608</t>
  </si>
  <si>
    <t>ENSP00000043402</t>
  </si>
  <si>
    <t>82;179;237;372;380;423</t>
  </si>
  <si>
    <t>DLGN[115]LTHLFLHGNR;LFANN[115]LSALPTEALAPLR;FANN[115]LSALPTEALAPLR;VPPGDSPPGN[115]GSGPR;PPGDSPPGN[115]GSGPR</t>
  </si>
  <si>
    <t>179;237;372</t>
  </si>
  <si>
    <t>Q9BZR6</t>
  </si>
  <si>
    <t>3D-structure;Cell membrane;Complete proteome;Direct protein sequencing;Disulfide bond;Glycoprotein;GPI-anchor;Leucine-rich repeat;Lipoprotein;Membrane;Receptor;Reference proteome;Repeat;Signal</t>
  </si>
  <si>
    <t>UniRef100_Q9BZR6;UniRef90_Q9BZR6;UniRef50_Q9BZR6</t>
  </si>
  <si>
    <t>S19A3_HUMAN</t>
  </si>
  <si>
    <t>Thiamine transporter 2</t>
  </si>
  <si>
    <t>SLC19A3</t>
  </si>
  <si>
    <t>CY:1-11;TM:12-29;NC:30-55;TM:56-74;CY:75-81;TM:82-99;NC:100-110;TM:111-130;CY:131-141;TM:142-163;NC:164-168;TM:169-190;CY:191-277;TM:278-301;NC:302-314;TM:315-336;CY:337-344;TM:345-367;NC:368-372;TM:373-396;CY:397-402;TM:403-425;NC:426-436;TM:437-456;CY:457-496</t>
  </si>
  <si>
    <t>ENSG00000135917</t>
  </si>
  <si>
    <t>ENSP00000258403;ENSP00000397393</t>
  </si>
  <si>
    <t>45;166;256</t>
  </si>
  <si>
    <t>Complete proteome;Disease mutation;Glycoprotein;Membrane;Polymorphism;Reference proteome;Transmembrane;Transmembrane helix;Transport</t>
  </si>
  <si>
    <t>UniRef100_Q9BZV2;UniRef90_Q9BZV2;UniRef50_Q9BZV2</t>
  </si>
  <si>
    <t>DB00151</t>
  </si>
  <si>
    <t>IMPG2_HUMAN</t>
  </si>
  <si>
    <t>Interphotoreceptor matrix proteoglycan 2</t>
  </si>
  <si>
    <t>IMPG2</t>
  </si>
  <si>
    <t>SP:1-22;NC:23-1099;TM:1100-1124;CY:1125-1241</t>
  </si>
  <si>
    <t>ENSG00000081148</t>
  </si>
  <si>
    <t>ENSP00000193391</t>
  </si>
  <si>
    <t>154;301;320;370;942;956</t>
  </si>
  <si>
    <t>Complete proteome;Direct protein sequencing;Disease mutation;Disulfide bond;EGF-like domain;Glycoprotein;Heparin-binding;Membrane;Polymorphism;Receptor;Reference proteome;Repeat;Retinitis pigmentosa;Signal;Transmembrane;Transmembrane helix</t>
  </si>
  <si>
    <t>UniRef100_Q9BZV3;UniRef90_Q9BZV3;UniRef50_Q9BZV3</t>
  </si>
  <si>
    <t>S13A1_HUMAN</t>
  </si>
  <si>
    <t>Solute carrier family 13 member 1</t>
  </si>
  <si>
    <t>SLC13A1</t>
  </si>
  <si>
    <t>CY:1-11;TM:12-31;NC:32-38;TM:39-62;CY:63-80;TM:81-99;NC:100-118;TM:119-138;CY:139-238;TM:239-264;NC:265-284;TM:285-309;CY:310-343;TM:344-362;NC:363-381;TM:382-399;CY:400-468;TM:469-490;NC:491-512;TM:513-532;CY:533-552;TM:553-575;NC:576-595</t>
  </si>
  <si>
    <t>ENSG00000081800</t>
  </si>
  <si>
    <t>ENSP00000194130</t>
  </si>
  <si>
    <t>140;174;207;591</t>
  </si>
  <si>
    <t>Complete proteome;Glycoprotein;Ion transport;Membrane;Polymorphism;Reference proteome;Sodium;Sodium transport;Sulfate transport;Symport;Transmembrane;Transmembrane helix;Transport</t>
  </si>
  <si>
    <t>UniRef100_Q9BZW2;UniRef90_Q9BZW2;UniRef50_Q9BZW2</t>
  </si>
  <si>
    <t>CD244_HUMAN</t>
  </si>
  <si>
    <t>Natural killer cell receptor 2B4</t>
  </si>
  <si>
    <t>CD244</t>
  </si>
  <si>
    <t>SP:1-18;NC:19-227;TM:228-251;CY:252-370</t>
  </si>
  <si>
    <t>ENSG00000122223</t>
  </si>
  <si>
    <t>ENSP00000357012</t>
  </si>
  <si>
    <t>71;77;89;164;181;192;200;213;332;338</t>
  </si>
  <si>
    <t>181;192;213;338</t>
  </si>
  <si>
    <t>263;302;304;305;308;309;323</t>
  </si>
  <si>
    <t>WEN[115]GSLPSNTSNDR;WEN[115]GSLPSN[115]TSNDR;WEN[115]GSLPSN[115]TSN[115]DR;GSLPSN[115]TSNDR;DGN[115]VSYAWYR;GN[115]VSYAWYR</t>
  </si>
  <si>
    <t>71;77;164</t>
  </si>
  <si>
    <t>Q9BZW8</t>
  </si>
  <si>
    <t>Alternative splicing;Complete proteome;Direct protein sequencing;Disulfide bond;Glycoprotein;Immunoglobulin domain;Membrane;Phosphoprotein;Polymorphism;Receptor;Reference proteome;Repeat;Signal;Transmembrane;Transmembrane helix</t>
  </si>
  <si>
    <t>UniRef100_Q9BZW8;UniRef90_Q9BZW8;UniRef50_Q9BZW8</t>
  </si>
  <si>
    <t>SN_HUMAN</t>
  </si>
  <si>
    <t>Sialoadhesin</t>
  </si>
  <si>
    <t>SIGLEC1</t>
  </si>
  <si>
    <t>SP:1-19;NC:20-1641;TM:1642-1665;CY:1666-1709</t>
  </si>
  <si>
    <t>ENSG00000088827</t>
  </si>
  <si>
    <t>ENSP00000341141</t>
  </si>
  <si>
    <t>CD169</t>
  </si>
  <si>
    <t>159;265;339;499;697;726;730;741;886;1104;1138;1251;1462;1476</t>
  </si>
  <si>
    <t>602;605;838;839;991;1353</t>
  </si>
  <si>
    <t>SPLGQAN[115]TSLELR;VVAEPGLDVPEGAALN[115]LSCR</t>
  </si>
  <si>
    <t>1251;1462</t>
  </si>
  <si>
    <t>Q9BZZ2</t>
  </si>
  <si>
    <t>Alternative splicing;Cell adhesion;Cell membrane;Complete proteome;Disulfide bond;Endocytosis;Glycoprotein;Immunoglobulin domain;Lectin;Membrane;Polymorphism;Reference proteome;Repeat;Secreted;Signal;Transmembrane;Transmembrane helix</t>
  </si>
  <si>
    <t>UniRef100_Q9BZZ2;UniRef90_Q9BZZ2;UniRef50_Q62230</t>
  </si>
  <si>
    <t>CNTP4_HUMAN</t>
  </si>
  <si>
    <t>Contactin-associated protein-like 4</t>
  </si>
  <si>
    <t>CNTNAP4</t>
  </si>
  <si>
    <t>SP:1-25;NC:26-1240;TM:1241-1265;CY:1266-1308</t>
  </si>
  <si>
    <t>ENSG00000152910</t>
  </si>
  <si>
    <t>ENSP00000479811</t>
  </si>
  <si>
    <t>260;285;359;538;574;602;625;637;706;748;1023;1073</t>
  </si>
  <si>
    <t>Cell junction, synapse, presynaptic cell membrane (Single-pass type I membrane protein)</t>
  </si>
  <si>
    <t>Alternative splicing;Cell adhesion;Cell junction;Cell membrane;Complete proteome;Disulfide bond;EGF-like domain;Glycoprotein;Membrane;Polymorphism;Reference proteome;Repeat;Signal;Synapse;Transmembrane;Transmembrane helix</t>
  </si>
  <si>
    <t>UniRef100_Q9C0A0;UniRef90_Q9C0A0;UniRef50_Q9C0A0</t>
  </si>
  <si>
    <t>ZDHC5_HUMAN</t>
  </si>
  <si>
    <t>Palmitoyltransferase ZDHHC5</t>
  </si>
  <si>
    <t>ZDHHC5</t>
  </si>
  <si>
    <t>NC:1-16;TM:17-41;CY:42-48;TM:49-68;NC:69-147;TM:148-173;CY:174-184;TM:185-209;NC:210-267;TM:268-287;CY:288-715</t>
  </si>
  <si>
    <t>ENSG00000156599</t>
  </si>
  <si>
    <t>ENSP00000287169</t>
  </si>
  <si>
    <t>61;239;461;465;535</t>
  </si>
  <si>
    <t>GGVNPFTNGCCNN[115]VSR</t>
  </si>
  <si>
    <t>Q9C0B5</t>
  </si>
  <si>
    <t>Acyltransferase;Alternative splicing;Cell membrane;Complete proteome;Membrane;Metal-binding;Phosphoprotein;Reference proteome;Transferase;Transmembrane;Transmembrane helix;Zinc;Zinc-finger</t>
  </si>
  <si>
    <t>UniRef100_Q9C0B5;UniRef90_Q8VDZ4;UniRef50_Q8VDZ4</t>
  </si>
  <si>
    <t>SEM4C_HUMAN</t>
  </si>
  <si>
    <t>Semaphorin-4C</t>
  </si>
  <si>
    <t>SEMA4C</t>
  </si>
  <si>
    <t>SP:1-20;NC:21-663;TM:664-686;CY:687-833</t>
  </si>
  <si>
    <t>ENSG00000168758</t>
  </si>
  <si>
    <t>ENSP00000306844</t>
  </si>
  <si>
    <t>106;121;310;419;522;564</t>
  </si>
  <si>
    <t>GKNN[115]QTECFNFIR;NN[115]QTECFNFIR;FLQPYN[115]ASHLYVCGTYAFQPK;KGTN[115]FTHLVADR;GTN[115]FTHLVADR;DPYCAWSVN[115]TSR</t>
  </si>
  <si>
    <t>106;121;419;522</t>
  </si>
  <si>
    <t>Q9C0C4</t>
  </si>
  <si>
    <t>Cell junction, synapse, postsynaptic cell membrane, postsynaptic density (Single-pass type I membrane protein);Cytoplasmic vesicle, secretory vesicle, synaptic vesicle membrane (Single-pass type I membrane protein)</t>
  </si>
  <si>
    <t>Cell junction;Cell membrane;Complete proteome;Cytoplasmic vesicle;Developmental protein;Differentiation;Disulfide bond;Glycoprotein;Immunoglobulin domain;Membrane;Neurogenesis;Postsynaptic cell membrane;Reference proteome;Signal;Synapse;Transmembrane;Transmembrane helix</t>
  </si>
  <si>
    <t>UniRef100_Q9C0C4;UniRef90_Q9C0C4;UniRef50_Q64151</t>
  </si>
  <si>
    <t>TTYH3_HUMAN</t>
  </si>
  <si>
    <t>Protein tweety homolog 3</t>
  </si>
  <si>
    <t>TTYH3</t>
  </si>
  <si>
    <t>NC:1-41;TM:42-66;CY:67-84;TM:85-106;NC:107-209;TM:210-231;CY:232-237;TM:238-257;NC:258-387;TM:388-409;CY:410-523</t>
  </si>
  <si>
    <t>ENSG00000136295</t>
  </si>
  <si>
    <t>ENSP00000258796</t>
  </si>
  <si>
    <t>126;144;351</t>
  </si>
  <si>
    <t>HAN[115]RTVAGVQDR;TVAGVQDRVWDTAVGLN[115]HTAEPSLQTLER;VWDTAVGLN[115]HTAEPSLQTLER;DTAVGLN[115]HTAEPSLQTLER;LN[115]HTAEPSLQTLER;VQEVLN[115]GTEVNLQH;VQEVLN[115]GTEVNLQHLT;VQEVLN[115]GTEVNLQHLTA;VQEVLN[115]GTEVNLQHLTAL;VQEVLN[115]GTEVNLQHLTALVDCR</t>
  </si>
  <si>
    <t>Q9C0H2</t>
  </si>
  <si>
    <t>Alternative splicing;Calcium;Cell membrane;Chloride;Chloride channel;Complete proteome;Glycoprotein;Ion channel;Ion transport;Membrane;Phosphoprotein;Reference proteome;Transmembrane;Transmembrane helix;Transport</t>
  </si>
  <si>
    <t>UniRef100_Q9C0H2;UniRef90_Q9C0H2;UniRef50_Q9C0H2</t>
  </si>
  <si>
    <t>THS7B_HUMAN</t>
  </si>
  <si>
    <t>Thrombospondin type-1 domain-containing protein 7B</t>
  </si>
  <si>
    <t>THSD7B</t>
  </si>
  <si>
    <t>SP:1-31;NC:32-1557;TM:1558-1581;CY:1582-1608</t>
  </si>
  <si>
    <t>ENSG00000144229</t>
  </si>
  <si>
    <t>ENSP00000272643</t>
  </si>
  <si>
    <t>6;150;190;219;683;757;842;933;1188;1310;1458;1526</t>
  </si>
  <si>
    <t>12;14;44;49;67;74;99;106;111;188;248;293;342;345;403;408;424;490;493;545;607;610;665;670;688;746;800;805;816;877;934;1006;1009;1026;1064;1069;1135;1138;1192;1255;1258;1306;1311;1378;1381;1437;1442;1450;1545;1559</t>
  </si>
  <si>
    <t>Coiled coil;Complete proteome;Disulfide bond;Glycoprotein;Membrane;Reference proteome;Repeat;Signal;Transmembrane;Transmembrane helix</t>
  </si>
  <si>
    <t>UniRef100_Q9C0I4;UniRef90_Q9C0I4;UniRef50_Q9C0I4</t>
  </si>
  <si>
    <t>S39A8_HUMAN</t>
  </si>
  <si>
    <t>Zinc transporter ZIP8</t>
  </si>
  <si>
    <t>SLC39A8</t>
  </si>
  <si>
    <t>SP:1-30;NC:31-127;TM:128-149;CY:150-160;TM:161-182;NC:183-194;TM:195-212;CY:213-365;TM:366-385;NC:386-390;TM:391-410;CY:411-429;TM:430-454;NC:455-460</t>
  </si>
  <si>
    <t>ENSG00000138821</t>
  </si>
  <si>
    <t>ENSP00000349174;ENSP00000378310</t>
  </si>
  <si>
    <t>40;88;273</t>
  </si>
  <si>
    <t>GFSN[115]ATQITSSK</t>
  </si>
  <si>
    <t>Q9C0K1</t>
  </si>
  <si>
    <t>Alternative splicing;Complete proteome;Glycoprotein;Ion transport;Membrane;Polymorphism;Reference proteome;Transmembrane;Transmembrane helix;Transport;Zinc;Zinc transport</t>
  </si>
  <si>
    <t>UniRef100_Q9C0K1;UniRef90_Q9C0K1;UniRef50_Q9C0K1</t>
  </si>
  <si>
    <t>2B1E_HUMAN</t>
  </si>
  <si>
    <t>HLA class II histocompatibility antigen, DRB1-14 beta chain</t>
  </si>
  <si>
    <t>ENSG00000206306;ENSG00000196126;ENSG00000206240;ENSG00000228080</t>
  </si>
  <si>
    <t>ENSP00000331343;ENSP00000353099;ENSP00000382378;ENSP00000408795;ENSP00000412168;ENSP00000403458;ENSP00000392280</t>
  </si>
  <si>
    <t>UniRef100_Q9GIY3;UniRef90_P04229;UniRef50_P04229</t>
  </si>
  <si>
    <t>OR2B2_HUMAN</t>
  </si>
  <si>
    <t>Olfactory receptor 2B2</t>
  </si>
  <si>
    <t>OR2B2</t>
  </si>
  <si>
    <t>NC:1-27;TM:28-48;CY:49-59;TM:60-79;NC:80-97;TM:98-120;CY:121-139;TM:140-158;NC:159-199;TM:200-223;CY:224-236;TM:237-261;NC:262-272;TM:273-292;CY:293-357</t>
  </si>
  <si>
    <t>ENSG00000168131</t>
  </si>
  <si>
    <t>ENSP00000304419</t>
  </si>
  <si>
    <t>5;42;65;333</t>
  </si>
  <si>
    <t>UniRef100_Q9GZK3;UniRef90_Q9GZK3;UniRef50_O76002</t>
  </si>
  <si>
    <t>OR2H1_HUMAN</t>
  </si>
  <si>
    <t>Olfactory receptor 2H1</t>
  </si>
  <si>
    <t>OR2H1</t>
  </si>
  <si>
    <t>NC:1-24;TM:25-49;CY:50-56;TM:57-80;NC:81-98;TM:99-118;CY:119-137;TM:138-156;NC:157-196;TM:197-218;CY:219-235;TM:236-259;NC:260-270;TM:271-290;CY:291-316</t>
  </si>
  <si>
    <t>ENSG00000204688;ENSG00000206471;ENSG00000206516;ENSG00000232984;ENSG00000224395;ENSG00000229125;ENSG00000229408;ENSG00000235132</t>
  </si>
  <si>
    <t>ENSP00000366336;ENSP00000366337;ENSP00000366340;ENSP00000373042;ENSP00000373140;ENSP00000380010;ENSP00000383527;ENSP00000383529;ENSP00000383530;ENSP00000383547;ENSP00000383548;ENSP00000383549;ENSP00000407739;ENSP00000396944;ENSP00000395850;ENSP00000395567;ENSP00000410401;ENSP00000394698;ENSP00000397171;ENSP00000388844;ENSP00000412463;ENSP00000409651;ENSP00000413910;ENSP00000396414;ENSP00000398695;ENSP00000410659;ENSP00000389230;ENSP00000411617;ENSP00000392619;ENSP00000395934;ENSP00000408584;ENSP00000405714</t>
  </si>
  <si>
    <t>UniRef100_Q9GZK4;UniRef90_Q9GZK4;UniRef50_O95371</t>
  </si>
  <si>
    <t>OR2J1_HUMAN</t>
  </si>
  <si>
    <t>Olfactory receptor 2J1</t>
  </si>
  <si>
    <t>OR2J1</t>
  </si>
  <si>
    <t>NC:1-25;TM:26-49;CY:50-60;TM:61-81;NC:82-100;TM:101-121;CY:122-140;TM:141-161;NC:162-200;TM:201-222;CY:223-241;TM:242-262;NC:263-273;TM:274-293;CY:294-312</t>
  </si>
  <si>
    <t>ENSG00000204702;ENSG00000226931</t>
  </si>
  <si>
    <t>ENSP00000366376;ENSP00000414527</t>
  </si>
  <si>
    <t>UniRef100_Q9GZK6;UniRef90_O76002;UniRef50_O76002</t>
  </si>
  <si>
    <t>O11A1_HUMAN</t>
  </si>
  <si>
    <t>Olfactory receptor 11A1</t>
  </si>
  <si>
    <t>OR11A1</t>
  </si>
  <si>
    <t>NC:1-25;TM:26-50;CY:51-60;TM:61-80;NC:81-99;TM:100-121;CY:122-141;TM:142-165;NC:166-200;TM:201-222;CY:223-242;TM:243-262;NC:263-273;TM:274-293;CY:294-315</t>
  </si>
  <si>
    <t>ENSG00000204694;ENSG00000206472;ENSG00000206517;ENSG00000223898;ENSG00000234347;ENSG00000237258;ENSG00000230780;ENSG00000232289</t>
  </si>
  <si>
    <t>ENSP00000366352;ENSP00000366353;ENSP00000366354;ENSP00000373043;ENSP00000373141;ENSP00000383532;ENSP00000383550;ENSP00000409994;ENSP00000400657;ENSP00000404787;ENSP00000399062;ENSP00000400331;ENSP00000403427;ENSP00000399592;ENSP00000398659;ENSP00000392324;ENSP00000412097;ENSP00000447956;ENSP00000447215;ENSP00000450263;ENSP00000447267;ENSP00000447745;ENSP00000447627;ENSP00000447222</t>
  </si>
  <si>
    <t>8;67</t>
  </si>
  <si>
    <t>UniRef100_Q9GZK7;UniRef90_Q9GZK7;UniRef50_Q9GZK7</t>
  </si>
  <si>
    <t>OR8D2_HUMAN</t>
  </si>
  <si>
    <t>Olfactory receptor 8D2</t>
  </si>
  <si>
    <t>OR8D2</t>
  </si>
  <si>
    <t>NC:1-26;TM:27-48;CY:49-58;TM:59-78;NC:79-98;TM:99-118;CY:119-138;TM:139-158;NC:159-196;TM:197-221;CY:222-241;TM:242-260;NC:261-274;TM:275-292;CY:293-311</t>
  </si>
  <si>
    <t>ENSG00000197263;ENSG00000279116</t>
  </si>
  <si>
    <t>ENSP00000350022;ENSP00000485661;ENSP00000485536</t>
  </si>
  <si>
    <t>UniRef100_Q9GZM6;UniRef90_Q9GZM6;UniRef50_Q9GZM6</t>
  </si>
  <si>
    <t>GPR88_HUMAN</t>
  </si>
  <si>
    <t>Probable G-protein coupled receptor 88</t>
  </si>
  <si>
    <t>GPR88</t>
  </si>
  <si>
    <t>NC:1-35;TM:36-56;CY:57-67;TM:68-86;NC:87-117;TM:118-140;CY:141-160;TM:161-180;NC:181-191;TM:192-215;CY:216-282;TM:283-303;NC:304-314;TM:315-336;CY:337-384</t>
  </si>
  <si>
    <t>ENSG00000181656</t>
  </si>
  <si>
    <t>ENSP00000314223</t>
  </si>
  <si>
    <t>UniRef100_Q9GZN0;UniRef90_Q9EPB7;UniRef50_Q9EPB7</t>
  </si>
  <si>
    <t>S6A16_HUMAN</t>
  </si>
  <si>
    <t>Orphan sodium- and chloride-dependent neurotransmitter transporter NTT5</t>
  </si>
  <si>
    <t>SLC6A16</t>
  </si>
  <si>
    <t>CY:1-137;TM:138-158;NC:159-176;TM:177-196;CY:197-202;TM:203-221;NC:222-264;TM:265-284;CY:285-292;TM:293-314;NC:315-337;TM:338-361;CY:362-379;TM:380-402;NC:403-494;TM:495-516;CY:517-536;TM:537-555;NC:556-567;TM:568-589;CY:590-609;TM:610-633;NC:634-657;TM:658-680;CY:681-736</t>
  </si>
  <si>
    <t>ENSG00000063127</t>
  </si>
  <si>
    <t>ENSP00000338627</t>
  </si>
  <si>
    <t>14;229;335;733</t>
  </si>
  <si>
    <t>Alternative splicing;Complete proteome;Glycoprotein;Membrane;Neurotransmitter transport;Polymorphism;Reference proteome;Symport;Transmembrane;Transmembrane helix;Transport</t>
  </si>
  <si>
    <t>UniRef100_Q9GZN6;UniRef90_Q9GZN6;UniRef50_Q9GZN6</t>
  </si>
  <si>
    <t>VN1R1_HUMAN</t>
  </si>
  <si>
    <t>Vomeronasal type-1 receptor 1</t>
  </si>
  <si>
    <t>VN1R1</t>
  </si>
  <si>
    <t>NC:1-51;TM:52-73;CY:74-84;TM:85-107;NC:108-129;TM:130-148;CY:149-167;TM:168-190;NC:191-228;TM:229-247;CY:248-273;TM:274-295;NC:296-303;TM:304-325;CY:326-353</t>
  </si>
  <si>
    <t>ENSG00000178201</t>
  </si>
  <si>
    <t>ENSP00000322339</t>
  </si>
  <si>
    <t>117;183;198;256</t>
  </si>
  <si>
    <t>UniRef100_Q9GZP7;UniRef90_Q9GZP7;UniRef50_Q9GZP7</t>
  </si>
  <si>
    <t>NMUR2_HUMAN</t>
  </si>
  <si>
    <t>Neuromedin-U receptor 2</t>
  </si>
  <si>
    <t>NMUR2</t>
  </si>
  <si>
    <t>NC:1-48;TM:49-71;CY:72-81;TM:82-101;NC:102-122;TM:123-142;CY:143-162;TM:163-183;NC:184-214;TM:215-238;CY:239-268;TM:269-286;NC:287-302;TM:303-326;CY:327-415</t>
  </si>
  <si>
    <t>ENSG00000132911</t>
  </si>
  <si>
    <t>ENSP00000255262</t>
  </si>
  <si>
    <t>9;27;181;194;413</t>
  </si>
  <si>
    <t>UniRef100_Q9GZQ4;UniRef90_Q9GZQ4;UniRef50_Q9GZQ4</t>
  </si>
  <si>
    <t>NPFF1_HUMAN</t>
  </si>
  <si>
    <t>Neuropeptide FF receptor 1</t>
  </si>
  <si>
    <t>NPFFR1</t>
  </si>
  <si>
    <t>NC:1-42;TM:43-69;CY:70-80;TM:81-101;NC:102-120;TM:121-139;CY:140-158;TM:159-181;NC:182-214;TM:215-237;CY:238-268;TM:269-293;NC:294-312;TM:313-332;CY:333-430</t>
  </si>
  <si>
    <t>ENSG00000148734</t>
  </si>
  <si>
    <t>ENSP00000277942</t>
  </si>
  <si>
    <t>10;18;29;113;195;321</t>
  </si>
  <si>
    <t>UniRef100_Q9GZQ6;UniRef90_Q9GZQ6;UniRef50_Q9GZQ6</t>
  </si>
  <si>
    <t>MCLN1_HUMAN</t>
  </si>
  <si>
    <t>Mucolipin-1</t>
  </si>
  <si>
    <t>MCOLN1</t>
  </si>
  <si>
    <t>CY:1-65;TM:66-85;NC:86-296;TM:297-317;CY:318-352;TM:353-375;NC:376-386;TM:387-406;CY:407-425;TM:426-447;NC:448-495;TM:496-518;CY:519-580</t>
  </si>
  <si>
    <t>ENSG00000090674</t>
  </si>
  <si>
    <t>ENSP00000264079</t>
  </si>
  <si>
    <t>159;179;220;230</t>
  </si>
  <si>
    <t>GGGDPWTN[115]GSGLALCQR</t>
  </si>
  <si>
    <t>Q9GZU1</t>
  </si>
  <si>
    <t>Cell membrane (Multi-pass membrane protein);Late endosome membrane (Multi-pass membrane protein);Lysosome membrane (Multi-pass membrane protein)</t>
  </si>
  <si>
    <t>Calcium;Calcium transport;Cell membrane;Complete proteome;Disease mutation;Endosome;Glycoprotein;Ion channel;Ion transport;Lysosome;Membrane;Mucolipidosis;Phosphoprotein;Polymorphism;Reference proteome;Transmembrane;Transmembrane helix;Transport</t>
  </si>
  <si>
    <t>UniRef100_Q9GZU1;UniRef90_Q9GZU1;UniRef50_Q9GZU1</t>
  </si>
  <si>
    <t>SC5A7_HUMAN</t>
  </si>
  <si>
    <t>High affinity choline transporter 1</t>
  </si>
  <si>
    <t>SLC5A7</t>
  </si>
  <si>
    <t>NC:1-5;TM:6-27;CY:28-47;TM:48-68;NC:69-81;TM:82-103;CY:104-127;TM:128-149;NC:150-160;TM:161-182;CY:183-188;TM:189-208;NC:209-236;TM:237-257;CY:258-269;TM:270-296;NC:297-317;TM:318-343;CY:344-377;TM:378-398;NC:399-403;TM:404-427;CY:428-433;TM:434-456;NC:457-480;TM:481-502;CY:503-580</t>
  </si>
  <si>
    <t>ENSG00000115665</t>
  </si>
  <si>
    <t>ENSP00000264047;ENSP00000387346</t>
  </si>
  <si>
    <t>69;301;371</t>
  </si>
  <si>
    <t>Complete proteome;Glycoprotein;Ion transport;Membrane;Neurodegeneration;Neurotransmitter biosynthesis;Phosphoprotein;Polymorphism;Reference proteome;Sodium;Sodium transport;Symport;Transmembrane;Transmembrane helix;Transport</t>
  </si>
  <si>
    <t>UniRef100_Q9GZV3;UniRef90_Q9GZV3;UniRef50_Q9GZV3</t>
  </si>
  <si>
    <t>ACH10_HUMAN</t>
  </si>
  <si>
    <t>Neuronal acetylcholine receptor subunit alpha-10</t>
  </si>
  <si>
    <t>CHRNA10</t>
  </si>
  <si>
    <t>SP:1-24;NC:25-235;TM:236-258;CY:259-267;TM:268-286;NC:287-300;TM:301-322;CY:323-428;TM:429-448;NC:449-450</t>
  </si>
  <si>
    <t>ENSG00000129749</t>
  </si>
  <si>
    <t>ENSP00000250699</t>
  </si>
  <si>
    <t>40;56</t>
  </si>
  <si>
    <t>Calcium;Calcium channel;Calcium transport;Cell junction;Cell membrane;Complete proteome;Disulfide bond;Glycoprotein;Ion channel;Ion transport;Ligand-gated ion channel;Membrane;Polymorphism;Postsynaptic cell membrane;Receptor;Reference proteome;Signal;Synapse;Transmembrane;Transmembrane helix;Transport</t>
  </si>
  <si>
    <t>UniRef100_Q9GZZ6;UniRef90_Q9GZZ6;UniRef50_Q9GZZ6</t>
  </si>
  <si>
    <t>DB00184;DB00202;DB00333;DB00674;DB01090;DB01116;DB01161</t>
  </si>
  <si>
    <t>GFRA4_HUMAN</t>
  </si>
  <si>
    <t>GDNF family receptor alpha-4</t>
  </si>
  <si>
    <t>GFRA4</t>
  </si>
  <si>
    <t>SP:1-23;NC:24-299</t>
  </si>
  <si>
    <t>ENSG00000125861</t>
  </si>
  <si>
    <t>ENSP00000313423</t>
  </si>
  <si>
    <t>Cell membrane (Lipid- anchor, GPI-anchor);Cell membrane (Lipid- anchor, GPI-anchor);Secreted</t>
  </si>
  <si>
    <t>Alternative splicing;Cell membrane;Complete proteome;Glycoprotein;GPI-anchor;Lipoprotein;Membrane;Receptor;Reference proteome;Secreted;Signal</t>
  </si>
  <si>
    <t>UniRef100_Q9GZZ7;UniRef90_Q9GZZ7;UniRef50_Q9GZZ7</t>
  </si>
  <si>
    <t>ADA19_HUMAN</t>
  </si>
  <si>
    <t>Disintegrin and metalloproteinase domain-containing protein 19</t>
  </si>
  <si>
    <t>ADAM19</t>
  </si>
  <si>
    <t>SP:1-25;NC:26-701;TM:702-724;CY:725-955</t>
  </si>
  <si>
    <t>ENSG00000135074</t>
  </si>
  <si>
    <t>ENSP00000428654</t>
  </si>
  <si>
    <t>144;444;447;645</t>
  </si>
  <si>
    <t>N[115]TSFFETEGCGK</t>
  </si>
  <si>
    <t>Q9H013</t>
  </si>
  <si>
    <t>Alternative splicing;Complete proteome;Disulfide bond;EGF-like domain;Glycoprotein;Hydrolase;Membrane;Metal-binding;Metalloprotease;Polymorphism;Protease;Reference proteome;SH3-binding;Signal;Transmembrane;Transmembrane helix;Zinc;Zymogen</t>
  </si>
  <si>
    <t>UniRef100_Q9H013;UniRef90_Q9H013;UniRef50_Q9H013</t>
  </si>
  <si>
    <t>S22A4_HUMAN</t>
  </si>
  <si>
    <t>Solute carrier family 22 member 4</t>
  </si>
  <si>
    <t>SLC22A4</t>
  </si>
  <si>
    <t>CY:1-19;TM:20-43;NC:44-141;TM:142-160;CY:161-171;TM:172-191;NC:192-196;TM:197-217;CY:218-228;TM:229-252;NC:253-257;TM:258-277;CY:278-337;TM:338-358;NC:359-369;TM:370-392;CY:393-398;TM:399-418;NC:419-423;TM:424-447;CY:448-458;TM:459-481;NC:482-486;TM:487-507;CY:508-551</t>
  </si>
  <si>
    <t>ENSG00000197208</t>
  </si>
  <si>
    <t>ENSP00000200652</t>
  </si>
  <si>
    <t>N[115]NSVPLR</t>
  </si>
  <si>
    <t>Q9H015</t>
  </si>
  <si>
    <t>ATP-binding;Complete proteome;Disease mutation;Glycoprotein;Ion transport;Membrane;Nucleotide-binding;Polymorphism;Reference proteome;Sodium;Sodium transport;Symport;Transmembrane;Transmembrane helix;Transport</t>
  </si>
  <si>
    <t>UniRef100_Q9H015;UniRef90_Q9H015;UniRef50_O76082</t>
  </si>
  <si>
    <t>Mitochondrion</t>
  </si>
  <si>
    <t>LMA2L_HUMAN</t>
  </si>
  <si>
    <t>VIP36-like protein</t>
  </si>
  <si>
    <t>LMAN2L</t>
  </si>
  <si>
    <t>SP:1-44;NC:45-311;TM:312-336;CY:337-348</t>
  </si>
  <si>
    <t>ENSG00000114988</t>
  </si>
  <si>
    <t>ENSP00000264963</t>
  </si>
  <si>
    <t>ISAMVNN[115]GSLSYDHER;ISAMVN[115]N[115]GSLSYDHER;VNN[115]GSLSYDHER</t>
  </si>
  <si>
    <t>Q9H0V9</t>
  </si>
  <si>
    <t>Alternative splicing;Complete proteome;Disulfide bond;Endoplasmic reticulum;Glycoprotein;Golgi apparatus;Lectin;Membrane;Metal-binding;Reference proteome;Signal;Transmembrane;Transmembrane helix</t>
  </si>
  <si>
    <t>UniRef100_Q9H0V9;UniRef90_Q9H0V9;UniRef50_Q9H0V9</t>
  </si>
  <si>
    <t>SLIK2_HUMAN</t>
  </si>
  <si>
    <t>SLIT and NTRK-like protein 2</t>
  </si>
  <si>
    <t>SLITRK2</t>
  </si>
  <si>
    <t>SP:1-19;NC:20-617;TM:618-644;CY:645-845</t>
  </si>
  <si>
    <t>84;219;366;421;583;799</t>
  </si>
  <si>
    <t>KFTN[115]ISDLQPK;KFTN[115]ISDLQPKPTSPK;IAVIQEGAFTN[115]LTSLR</t>
  </si>
  <si>
    <t>366;421</t>
  </si>
  <si>
    <t>Q9H156</t>
  </si>
  <si>
    <t>Alternative splicing;Complete proteome;Glycoprotein;Leucine-rich repeat;Membrane;Phosphoprotein;Polymorphism;Reference proteome;Repeat;Signal;Transmembrane;Transmembrane helix</t>
  </si>
  <si>
    <t>UniRef100_Q9H156;UniRef90_Q810C0;UniRef50_Q810C0</t>
  </si>
  <si>
    <t>PCDC1_HUMAN</t>
  </si>
  <si>
    <t>Protocadherin alpha-C1</t>
  </si>
  <si>
    <t>PCDHAC1</t>
  </si>
  <si>
    <t>SP:1-19;NC:20-681;TM:682-703;CY:704-963</t>
  </si>
  <si>
    <t>ENSG00000248383</t>
  </si>
  <si>
    <t>ENSP00000253807</t>
  </si>
  <si>
    <t>38;248;274;562;766;945;955</t>
  </si>
  <si>
    <t>248;274;945;955</t>
  </si>
  <si>
    <t>UniRef100_Q9H158;UniRef90_Q9H158;UniRef50_Q9H158</t>
  </si>
  <si>
    <t>CAD19_HUMAN</t>
  </si>
  <si>
    <t>Cadherin-19</t>
  </si>
  <si>
    <t>CDH19</t>
  </si>
  <si>
    <t>SP:1-21;NC:22-596;TM:597-618;CY:619-772</t>
  </si>
  <si>
    <t>ENSG00000071991</t>
  </si>
  <si>
    <t>ENSP00000262150</t>
  </si>
  <si>
    <t>57;74;419;437;508;515;516;534</t>
  </si>
  <si>
    <t>SDLDNGN[115]NSFQYK;SDLDN[115]GN[115]NSFQYK;VFNINDN[115]GTITTSNSLDR</t>
  </si>
  <si>
    <t>74;419</t>
  </si>
  <si>
    <t>Q9H159</t>
  </si>
  <si>
    <t>UniRef100_Q9H159;UniRef90_Q9H159;UniRef50_Q9H159</t>
  </si>
  <si>
    <t>ABCG4_HUMAN</t>
  </si>
  <si>
    <t>ATP-binding cassette sub-family G member 4</t>
  </si>
  <si>
    <t>ABCG4</t>
  </si>
  <si>
    <t>CY:1-393;TM:394-413;NC:414-426;TM:427-448;CY:449-469;TM:470-492;NC:493-503;TM:504-525;CY:526-532;TM:533-555;NC:556-616;TM:617-638;CY:639-646</t>
  </si>
  <si>
    <t>ENSG00000172350</t>
  </si>
  <si>
    <t>ENSP00000479253;ENSP00000481728;ENSP00000484289</t>
  </si>
  <si>
    <t>Active_transporters;ABCG</t>
  </si>
  <si>
    <t>Alternative splicing;ATP-binding;Complete proteome;Glycoprotein;Membrane;Nucleotide-binding;Polymorphism;Reference proteome;Transmembrane;Transmembrane helix;Transport</t>
  </si>
  <si>
    <t>UniRef100_Q9H172;UniRef90_Q9H172;UniRef50_Q9H172</t>
  </si>
  <si>
    <t>MUC3B_HUMAN</t>
  </si>
  <si>
    <t>Mucin-3B (Fragments)</t>
  </si>
  <si>
    <t>MUC3B</t>
  </si>
  <si>
    <t>SP:1-18;NC:19-1139;TM:1140-1164;CY:1165-1237</t>
  </si>
  <si>
    <t>99;759;789;955;964;993;1029;1054</t>
  </si>
  <si>
    <t>Complete proteome;Disulfide bond;EGF-like domain;Glycoprotein;Membrane;Polymorphism;Reference proteome;Signal;Transmembrane;Transmembrane helix</t>
  </si>
  <si>
    <t>UniRef100_Q9H195;UniRef90_Q9H195;UniRef50_Q9H195</t>
  </si>
  <si>
    <t>LPAR5_HUMAN</t>
  </si>
  <si>
    <t>Lysophosphatidic acid receptor 5</t>
  </si>
  <si>
    <t>LPAR5</t>
  </si>
  <si>
    <t>NC:1-25;TM:26-48;CY:49-57;TM:58-79;NC:80-98;TM:99-117;CY:118-136;TM:137-157;NC:158-187;TM:188-210;CY:211-234;TM:235-258;NC:259-277;TM:278-299;CY:300-372</t>
  </si>
  <si>
    <t>ENSG00000184574</t>
  </si>
  <si>
    <t>ENSP00000327875;ENSP00000393098</t>
  </si>
  <si>
    <t>4;9;251;323</t>
  </si>
  <si>
    <t>MLAN[115]SSSTN[115]SSVLPCPDYRPTHR</t>
  </si>
  <si>
    <t>4;9</t>
  </si>
  <si>
    <t>Q9H1C0</t>
  </si>
  <si>
    <t>UniRef100_Q9H1C0;UniRef90_Q9H1C0;UniRef50_Q9H1C0</t>
  </si>
  <si>
    <t>UN93B_HUMAN</t>
  </si>
  <si>
    <t>Protein unc-93 homolog B1</t>
  </si>
  <si>
    <t>UNC93B1</t>
  </si>
  <si>
    <t>CY:1-59;TM:60-81;NC:82-110;TM:111-130;CY:131-136;TM:137-155;NC:156-160;TM:161-182;CY:183-214;TM:215-242;NC:243-285;TM:286-311;CY:312-342;TM:343-365;NC:366-375;TM:376-398;CY:399-404;TM:405-424;NC:425-430;TM:431-448;CY:449-468;TM:469-489;NC:490-494;TM:495-512;CY:513-597</t>
  </si>
  <si>
    <t>ENSG00000110057</t>
  </si>
  <si>
    <t>ENSP00000227471</t>
  </si>
  <si>
    <t>116;251;272;449</t>
  </si>
  <si>
    <t>Cytoplasmic vesicle, phagosome;Endoplasmic reticulum membrane (Multi-pass membrane protein);Endosome;Lysosome</t>
  </si>
  <si>
    <t>Adaptive immunity;Antiviral defense;Complete proteome;Cytoplasmic vesicle;Endoplasmic reticulum;Endosome;Glycoprotein;Immunity;Innate immunity;Lysosome;Membrane;Phosphoprotein;Polymorphism;Reference proteome;Transmembrane;Transmembrane helix</t>
  </si>
  <si>
    <t>UniRef100_Q9H1C4;UniRef90_Q9H1C4;UniRef50_Q9H1C4</t>
  </si>
  <si>
    <t>TRPV6_HUMAN</t>
  </si>
  <si>
    <t>Transient receptor potential cation channel subfamily V member 6</t>
  </si>
  <si>
    <t>TRPV6</t>
  </si>
  <si>
    <t>CY:1-328;TM:329-349;NC:350-387;TM:388-408;CY:409-419;TM:420-440;NC:441-448;TM:449-469;CY:470-492;TM:493-513;NC:514-523;IM:524-544;NC:545-556;TM:557-577;CY:578-725</t>
  </si>
  <si>
    <t>ENSG00000165125</t>
  </si>
  <si>
    <t>ENSP00000352358</t>
  </si>
  <si>
    <t>208;358</t>
  </si>
  <si>
    <t>Alternative splicing;ANK repeat;Calcium;Calcium channel;Calcium transport;Calmodulin-binding;Cell membrane;Complete proteome;Glycoprotein;Ion channel;Ion transport;Membrane;Phosphoprotein;Polymorphism;Reference proteome;Repeat;Transmembrane;Transmembrane helix;Transport</t>
  </si>
  <si>
    <t>UniRef100_Q9H1D0;UniRef90_Q9H1D0;UniRef50_Q9H1D0</t>
  </si>
  <si>
    <t>TMX4_HUMAN</t>
  </si>
  <si>
    <t>Thioredoxin-related transmembrane protein 4</t>
  </si>
  <si>
    <t>TMX4</t>
  </si>
  <si>
    <t>SP:1-25;NC:26-188;TM:189-215;CY:216-349</t>
  </si>
  <si>
    <t>ENSG00000125827</t>
  </si>
  <si>
    <t>ENSP00000246024</t>
  </si>
  <si>
    <t>VQPMTASN[115]WTLVMEGEWMLK;TASN[115]WTLVMEGEWMLK</t>
  </si>
  <si>
    <t>Q9H1E5</t>
  </si>
  <si>
    <t>Complete proteome;Disulfide bond;Electron transport;Membrane;Phosphoprotein;Polymorphism;Redox-active center;Reference proteome;Signal;Transmembrane;Transmembrane helix;Transport</t>
  </si>
  <si>
    <t>UniRef100_Q9H1E5;UniRef90_Q9H1E5;UniRef50_Q9H1E5</t>
  </si>
  <si>
    <t>MEGF9_HUMAN</t>
  </si>
  <si>
    <t>Multiple epidermal growth factor-like domains protein 9</t>
  </si>
  <si>
    <t>MEGF9</t>
  </si>
  <si>
    <t>SP:1-35;NC:36-513;TM:514-537;CY:538-602</t>
  </si>
  <si>
    <t>ENSG00000106780</t>
  </si>
  <si>
    <t>ENSP00000363040</t>
  </si>
  <si>
    <t>40;182;205;218;245;267;305;428;468;481;500;559</t>
  </si>
  <si>
    <t>Complete proteome;Disulfide bond;Glycoprotein;Laminin EGF-like domain;Membrane;Polymorphism;Reference proteome;Repeat;Signal;Transmembrane;Transmembrane helix</t>
  </si>
  <si>
    <t>UniRef100_Q9H1U4;UniRef90_Q9H1U4;UniRef50_Q9H1U4</t>
  </si>
  <si>
    <t>S6A17_HUMAN</t>
  </si>
  <si>
    <t>Sodium-dependent neutral amino acid transporter SLC6A17</t>
  </si>
  <si>
    <t>SLC6A17</t>
  </si>
  <si>
    <t>CY:1-68;TM:69-87;NC:88-98;TM:99-120;CY:121-141;TM:142-169;NC:170-223;TM:224-244;CY:245-254;TM:255-277;NC:278-300;TM:301-322;CY:323-333;TM:334-355;NC:356-456;TM:457-482;CY:483-494;TM:495-513;NC:514-527;TM:528-548;CY:549-568;TM:569-592;NC:593-615;TM:616-638;CY:639-727</t>
  </si>
  <si>
    <t>ENSG00000197106</t>
  </si>
  <si>
    <t>ENSP00000330199</t>
  </si>
  <si>
    <t>186;393</t>
  </si>
  <si>
    <t>Cell junction;Complete proteome;Cytoplasmic vesicle;Glycoprotein;Membrane;Neurotransmitter transport;Phosphoprotein;Polymorphism;Reference proteome;Symport;Synapse;Transmembrane;Transmembrane helix;Transport</t>
  </si>
  <si>
    <t>UniRef100_Q9H1V8;UniRef90_P31662;UniRef50_Q9H2J7</t>
  </si>
  <si>
    <t>OPN3_HUMAN</t>
  </si>
  <si>
    <t>Opsin-3</t>
  </si>
  <si>
    <t>OPN3</t>
  </si>
  <si>
    <t>NC:1-43;TM:44-67;CY:68-78;TM:79-100;NC:101-118;TM:119-137;CY:138-156;TM:157-176;NC:177-201;TM:202-223;CY:224-256;TM:257-279;NC:280-290;TM:291-312;CY:313-402</t>
  </si>
  <si>
    <t>ENSG00000054277</t>
  </si>
  <si>
    <t>ENSP00000355512</t>
  </si>
  <si>
    <t>5;82;150;198;367;390</t>
  </si>
  <si>
    <t>Alternative splicing;Chromophore;Complete proteome;Disulfide bond;G-protein coupled receptor;Glycoprotein;Lipoprotein;Membrane;Palmitate;Photoreceptor protein;Polymorphism;Receptor;Reference proteome;Retinal protein;Sensory transduction;Transducer;Transmembrane;Transmembrane helix</t>
  </si>
  <si>
    <t>UniRef100_Q9H1Y3;UniRef90_Q9H1Y3;UniRef50_Q9H1Y3</t>
  </si>
  <si>
    <t>O2AG1_HUMAN</t>
  </si>
  <si>
    <t>Olfactory receptor 2AG1</t>
  </si>
  <si>
    <t>OR2AG1</t>
  </si>
  <si>
    <t>NC:1-26;TM:27-48;CY:49-58;TM:59-78;NC:79-97;TM:98-120;CY:121-139;TM:140-162;NC:163-198;TM:199-225;CY:226-236;TM:237-261;NC:262-272;TM:273-292;CY:293-316</t>
  </si>
  <si>
    <t>ENSG00000279486;ENSG00000170803</t>
  </si>
  <si>
    <t>ENSP00000307447;ENSP00000485326;ENSP00000485214</t>
  </si>
  <si>
    <t>UniRef100_Q9H205;UniRef90_Q9H205;UniRef50_Q9H205</t>
  </si>
  <si>
    <t>O10A5_HUMAN</t>
  </si>
  <si>
    <t>Olfactory receptor 10A5</t>
  </si>
  <si>
    <t>OR10A5</t>
  </si>
  <si>
    <t>NC:1-25;TM:26-49;CY:50-60;TM:61-80;NC:81-101;TM:102-122;CY:123-144;TM:145-165;NC:166-197;TM:198-218;CY:219-238;TM:239-262;NC:263-273;TM:274-293;CY:294-317</t>
  </si>
  <si>
    <t>ENSG00000166363</t>
  </si>
  <si>
    <t>ENSP00000299454</t>
  </si>
  <si>
    <t>5;66;266</t>
  </si>
  <si>
    <t>UniRef100_Q9H207;UniRef90_Q9H207;UniRef50_Q9H209</t>
  </si>
  <si>
    <t>O10A2_HUMAN</t>
  </si>
  <si>
    <t>Olfactory receptor 10A2</t>
  </si>
  <si>
    <t>OR10A2</t>
  </si>
  <si>
    <t>NC:1-11;TM:12-35;CY:36-46;TM:47-66;NC:67-87;TM:88-108;CY:109-130;TM:131-151;NC:152-183;TM:184-204;CY:205-223;TM:224-247;NC:248-259;TM:260-279;CY:280-303</t>
  </si>
  <si>
    <t>ENSG00000170790</t>
  </si>
  <si>
    <t>ENSP00000303862</t>
  </si>
  <si>
    <t>52;252</t>
  </si>
  <si>
    <t>UniRef100_Q9H208;UniRef90_Q9H208;UniRef50_Q9H208</t>
  </si>
  <si>
    <t>O10A4_HUMAN</t>
  </si>
  <si>
    <t>Olfactory receptor 10A4</t>
  </si>
  <si>
    <t>OR10A4</t>
  </si>
  <si>
    <t>NC:1-25;TM:26-49;CY:50-60;TM:61-80;NC:81-101;TM:102-121;CY:122-141;TM:142-165;NC:166-200;TM:201-222;CY:223-242;TM:243-262;NC:263-273;TM:274-292;CY:293-315</t>
  </si>
  <si>
    <t>ENSG00000170782</t>
  </si>
  <si>
    <t>ENSP00000369157</t>
  </si>
  <si>
    <t>UniRef100_Q9H209;UniRef90_Q9H209;UniRef50_Q9H209</t>
  </si>
  <si>
    <t>OR2D2_HUMAN</t>
  </si>
  <si>
    <t>Olfactory receptor 2D2</t>
  </si>
  <si>
    <t>OR2D2</t>
  </si>
  <si>
    <t>NC:1-25;TM:26-48;CY:49-59;TM:60-78;NC:79-97;TM:98-120;CY:121-139;TM:140-163;NC:164-196;TM:197-220;CY:221-236;TM:237-260;NC:261-272;TM:273-290;CY:291-308</t>
  </si>
  <si>
    <t>ENSG00000166368</t>
  </si>
  <si>
    <t>ENSP00000299459</t>
  </si>
  <si>
    <t>UniRef100_Q9H210;UniRef90_Q9H210;UniRef50_Q9H210</t>
  </si>
  <si>
    <t>ABCG5_HUMAN</t>
  </si>
  <si>
    <t>ATP-binding cassette sub-family G member 5</t>
  </si>
  <si>
    <t>ABCG5</t>
  </si>
  <si>
    <t>CY:1-383;TM:384-405;NC:406-422;TM:423-444;CY:445-464;TM:465-487;NC:488-499;TM:500-522;CY:523-528;TM:529-549;NC:550-623;TM:624-643;CY:644-651</t>
  </si>
  <si>
    <t>ENSG00000138075</t>
  </si>
  <si>
    <t>ENSP00000260645</t>
  </si>
  <si>
    <t>187;584;591</t>
  </si>
  <si>
    <t>Alternative splicing;ATP-binding;Complete proteome;Disease mutation;Glycoprotein;Membrane;Nucleotide-binding;Polymorphism;Reference proteome;Transmembrane;Transmembrane helix;Transport</t>
  </si>
  <si>
    <t>UniRef100_Q9H222;UniRef90_Q9H222;UniRef50_Q9H222</t>
  </si>
  <si>
    <t>S1PR5_HUMAN</t>
  </si>
  <si>
    <t>Sphingosine 1-phosphate receptor 5</t>
  </si>
  <si>
    <t>S1PR5</t>
  </si>
  <si>
    <t>NC:1-37;TM:38-61;CY:62-71;TM:72-94;NC:95-112;TM:113-131;CY:132-151;TM:152-172;NC:173-191;TM:192-215;CY:216-247;TM:248-271;NC:272-290;TM:291-309;CY:310-398</t>
  </si>
  <si>
    <t>ENSG00000180739</t>
  </si>
  <si>
    <t>ENSP00000328472;ENSP00000416915</t>
  </si>
  <si>
    <t>PAPVSEVIVLHYN[115]YTGK</t>
  </si>
  <si>
    <t>Q9H228</t>
  </si>
  <si>
    <t>UniRef100_Q9H228;UniRef90_Q9H228;UniRef50_Q9H228</t>
  </si>
  <si>
    <t>DB08868</t>
  </si>
  <si>
    <t>P2Y12_HUMAN</t>
  </si>
  <si>
    <t>P2Y purinoceptor 12</t>
  </si>
  <si>
    <t>P2RY12</t>
  </si>
  <si>
    <t>NC:1-27;TM:28-50;CY:51-58;TM:59-81;NC:82-100;TM:101-120;CY:121-139;TM:140-161;NC:162-188;TM:189-213;CY:214-233;TM:234-255;NC:256-282;TM:283-302;CY:303-342</t>
  </si>
  <si>
    <t>ENSG00000169313</t>
  </si>
  <si>
    <t>ENSP00000307259</t>
  </si>
  <si>
    <t>6;13</t>
  </si>
  <si>
    <t>9;321</t>
  </si>
  <si>
    <t>3D-structure;Blood coagulation;Cell membrane;Complete proteome;Disease mutation;Disulfide bond;G-protein coupled receptor;Glycoprotein;Hemostasis;Membrane;Phosphoprotein;Polymorphism;Receptor;Reference proteome;Transducer;Transmembrane;Transmembrane helix</t>
  </si>
  <si>
    <t>UniRef100_Q9H244;UniRef90_Q9H244;UniRef50_Q9H244</t>
  </si>
  <si>
    <t>DB00208;DB00374;DB00758;DB01240;DB06209;DB08816</t>
  </si>
  <si>
    <t>CAD23_HUMAN</t>
  </si>
  <si>
    <t>Cadherin-23</t>
  </si>
  <si>
    <t>CDH23</t>
  </si>
  <si>
    <t>SP:1-23;NC:24-3064;TM:3065-3090;CY:3091-3354</t>
  </si>
  <si>
    <t>ENSG00000107736</t>
  </si>
  <si>
    <t>155;206;349;393;434;466;472;652;694;765;810;827;941;1001;1018;1171;1282;1315;1473;1534;1651;1667;1818;1857;1889;1902;2013;2050;2129;2168;2195;2263;2357;2369;2377;2616;2749;2808;2877;2896;2941;2981;3155</t>
  </si>
  <si>
    <t>3D-structure;Alternative splicing;Calcium;Cell adhesion;Cell membrane;Complete proteome;Deafness;Disease mutation;Glycoprotein;Hearing;Membrane;Metal-binding;Non-syndromic deafness;Polymorphism;Reference proteome;Repeat;Retinitis pigmentosa;Sensory transduction;Signal;Transmembrane;Transmembrane helix;Usher syndrome;Vision</t>
  </si>
  <si>
    <t>UniRef100_Q9H251;UniRef90_Q9H251;UniRef50_Q9H251</t>
  </si>
  <si>
    <t>O51E2_HUMAN</t>
  </si>
  <si>
    <t>Olfactory receptor 51E2</t>
  </si>
  <si>
    <t>OR51E2</t>
  </si>
  <si>
    <t>NC:1-23;TM:24-47;CY:48-58;TM:59-77;NC:78-98;TM:99-119;CY:120-138;TM:139-159;NC:160-194;TM:195-220;CY:221-239;TM:240-260;NC:261-269;TM:270-291;CY:292-320</t>
  </si>
  <si>
    <t>ENSG00000167332</t>
  </si>
  <si>
    <t>ENSP00000380153</t>
  </si>
  <si>
    <t>5;136</t>
  </si>
  <si>
    <t>UniRef100_Q9H255;UniRef90_Q8VBV9;UniRef50_Q8VBV9</t>
  </si>
  <si>
    <t>DCSTP_HUMAN</t>
  </si>
  <si>
    <t>Dendritic cell-specific transmembrane protein</t>
  </si>
  <si>
    <t>DCSTAMP</t>
  </si>
  <si>
    <t>CY:1-29;TM:30-51;NC:52-56;TM:57-75;CY:76-95;TM:96-115;NC:116-213;TM:214-231;CY:232-293;TM:294-317;NC:318-376;TM:377-398;CY:399-470</t>
  </si>
  <si>
    <t>ENSG00000164935</t>
  </si>
  <si>
    <t>ENSP00000297581</t>
  </si>
  <si>
    <t>168;187;357</t>
  </si>
  <si>
    <t>Cell membrane (Multi-pass membrane protein);Endoplasmic reticulum membrane (Multi-pass membrane protein);Endoplasmic reticulum-Golgi intermediate compartment membrane (Multi-pass membrane protein);Endosome</t>
  </si>
  <si>
    <t>Alternative splicing;Cell membrane;Complete proteome;Differentiation;Endoplasmic reticulum;Endosome;Immunity;Membrane;Polymorphism;Reference proteome;Transmembrane;Transmembrane helix</t>
  </si>
  <si>
    <t>UniRef100_Q9H295;UniRef90_Q9H295;UniRef50_Q7TNJ0</t>
  </si>
  <si>
    <t>CXL16_HUMAN</t>
  </si>
  <si>
    <t>C-X-C motif chemokine 16</t>
  </si>
  <si>
    <t>CXCL16</t>
  </si>
  <si>
    <t>SP:1-29;NC:30-203;TM:204-227;CY:228-254</t>
  </si>
  <si>
    <t>ENSG00000161921</t>
  </si>
  <si>
    <t>ENSP00000293778;ENSP00000459592</t>
  </si>
  <si>
    <t>SCAR;Class_G</t>
  </si>
  <si>
    <t>119;120;124;127;147;148;152;159;160;170;171;174;237</t>
  </si>
  <si>
    <t>ELTRPN[115]ETTIHTAGH;ELTRPN[115]ETTIHTAGHSLAAGPEAGENQK</t>
  </si>
  <si>
    <t>Q9H2A7</t>
  </si>
  <si>
    <t>Cell membrane;Chemotaxis;Complete proteome;Cytokine;Disulfide bond;Glycoprotein;Membrane;Polymorphism;Reference proteome;Secreted;Signal;Transmembrane;Transmembrane helix</t>
  </si>
  <si>
    <t>UniRef100_Q9H2A7;UniRef90_Q9H2A7;UniRef50_Q9H2A7</t>
  </si>
  <si>
    <t>S26A1_HUMAN</t>
  </si>
  <si>
    <t>Sulfate anion transporter 1</t>
  </si>
  <si>
    <t>SLC26A1</t>
  </si>
  <si>
    <t>CY:1-67;TM:68-88;NC:89-94;TM:95-114;CY:115-120;TM:121-137;NC:138-175;TM:176-198;CY:199-209;TM:210-230;NC:231-255;TM:256-276;CY:277-288;TM:289-309;NC:310-342;TM:343-364;CY:365-375;TM:376-400;NC:401-413;TM:414-434;CY:435-440;TM:441-458;NC:459-472;TM:473-500;CY:501-701</t>
  </si>
  <si>
    <t>ENSG00000145217</t>
  </si>
  <si>
    <t>ENSP00000354721;ENSP00000381528</t>
  </si>
  <si>
    <t>158;163</t>
  </si>
  <si>
    <t>Alternative splicing;Anion exchange;Antiport;Complete proteome;Glycoprotein;Ion channel;Ion transport;Membrane;Polymorphism;Reference proteome;Transmembrane;Transmembrane helix;Transport</t>
  </si>
  <si>
    <t>UniRef100_Q9H2B4;UniRef90_Q9H2B4;UniRef50_Q9H2B4</t>
  </si>
  <si>
    <t>O52A5_HUMAN</t>
  </si>
  <si>
    <t>Olfactory receptor 52A5</t>
  </si>
  <si>
    <t>OR52A5</t>
  </si>
  <si>
    <t>NC:1-28;TM:29-50;CY:51-61;TM:62-82;NC:83-102;TM:103-122;CY:123-141;TM:142-164;NC:165-199;TM:200-223;CY:224-241;TM:242-263;NC:264-273;TM:274-295;CY:296-316</t>
  </si>
  <si>
    <t>ENSG00000171944</t>
  </si>
  <si>
    <t>ENSP00000303469</t>
  </si>
  <si>
    <t>UniRef100_Q9H2C5;UniRef90_Q9H2C5;UniRef50_Q9H2C5</t>
  </si>
  <si>
    <t>O51V1_HUMAN</t>
  </si>
  <si>
    <t>Olfactory receptor 51V1</t>
  </si>
  <si>
    <t>OR51V1</t>
  </si>
  <si>
    <t>NC:1-34;TM:35-57;CY:58-68;TM:69-89;NC:90-109;TM:110-129;CY:130-149;TM:150-174;NC:175-205;TM:206-230;CY:231-249;TM:250-270;NC:271-280;TM:281-303;CY:304-321</t>
  </si>
  <si>
    <t>ENSG00000176742</t>
  </si>
  <si>
    <t>ENSP00000321729</t>
  </si>
  <si>
    <t>UniRef100_Q9H2C8;UniRef90_Q9H2C8;UniRef50_Q9H339</t>
  </si>
  <si>
    <t>SEM6A_HUMAN</t>
  </si>
  <si>
    <t>Semaphorin-6A</t>
  </si>
  <si>
    <t>SEMA6A</t>
  </si>
  <si>
    <t>SP:1-21;NC:22-647;TM:648-673;CY:674-1030</t>
  </si>
  <si>
    <t>ENSG00000092421</t>
  </si>
  <si>
    <t>ENSP00000345512;ENSP00000424388</t>
  </si>
  <si>
    <t>33;49;65;282;434;461;937;940;943;950</t>
  </si>
  <si>
    <t>33;49;65;434;937</t>
  </si>
  <si>
    <t>Alternative splicing;Cell membrane;Complete proteome;Developmental protein;Differentiation;Disulfide bond;Glycoprotein;Membrane;Neurogenesis;Phosphoprotein;Polymorphism;Reference proteome;Signal;Transmembrane;Transmembrane helix</t>
  </si>
  <si>
    <t>UniRef100_Q9H2E6;UniRef90_O35464;UniRef50_O35464</t>
  </si>
  <si>
    <t>S38A1_HUMAN</t>
  </si>
  <si>
    <t>Sodium-coupled neutral amino acid transporter 1</t>
  </si>
  <si>
    <t>SLC38A1</t>
  </si>
  <si>
    <t>CY:1-79;TM:80-101;NC:102-106;TM:107-126;CY:127-146;TM:147-168;NC:169-187;TM:188-211;CY:212-216;TM:217-238;NC:239-275;TM:276-297;CY:298-308;TM:309-331;NC:332-350;TM:351-373;CY:374-393;TM:394-411;NC:412-416;TM:417-441;CY:442-452;TM:453-475;NC:476-487</t>
  </si>
  <si>
    <t>ENSG00000111371</t>
  </si>
  <si>
    <t>ENSP00000381634;ENSP00000398142;ENSP00000447853;ENSP00000449607</t>
  </si>
  <si>
    <t>15;23;26;79;251;257;312</t>
  </si>
  <si>
    <t>FQIPCIVPELN[115]STISAN[115]STNADTCTPK;IVPELNSTISAN[115]STNADTCTPK;IVPELNSTISAN[115]STN[115]ADTCTPK;IVPELN[115]STISANSTN[115]ADTCTPK;IVPELN[115]STISAN[115]STNADTCTPK;IVPELN[115]STISAN[115]STN[115]ADTCTPK;VPELN[115]STISAN[115]STNADTCTPK;PELN[115]STISAN[115]STNADTCTPK;LN[115]STISAN[115]STNADTCTPK;STISAN[115]STNADTCTPK;STISAN[115]STN[115]ADTCTPK;TISAN[115]STNADTCTPK;ISAN[115]STNADTCTPK;SAN[115]STNADTCTPK;AN[115]STNADTCTPK</t>
  </si>
  <si>
    <t>251;257</t>
  </si>
  <si>
    <t>Q9H2H9</t>
  </si>
  <si>
    <t>Amino-acid transport;Cell membrane;Complete proteome;Glycoprotein;Ion transport;Membrane;Phosphoprotein;Reference proteome;Sodium;Sodium transport;Symport;Transmembrane;Transmembrane helix;Transport</t>
  </si>
  <si>
    <t>UniRef100_Q9H2H9;UniRef90_Q9H2H9;UniRef50_Q9H2H9</t>
  </si>
  <si>
    <t>S6A15_HUMAN</t>
  </si>
  <si>
    <t>Sodium-dependent neutral amino acid transporter B(0)AT2</t>
  </si>
  <si>
    <t>SLC6A15</t>
  </si>
  <si>
    <t>CY:1-69;TM:70-88;NC:89-99;TM:100-120;CY:121-140;TM:141-167;NC:168-224;TM:225-244;CY:245-252;TM:253-274;NC:275-302;TM:303-323;CY:324-334;TM:335-356;NC:357-456;TM:457-476;CY:477-495;TM:496-515;NC:516-528;TM:529-550;CY:551-570;TM:571-594;NC:595-613;TM:614-639;CY:640-730</t>
  </si>
  <si>
    <t>ENSG00000072041</t>
  </si>
  <si>
    <t>ENSP00000266682</t>
  </si>
  <si>
    <t>187;213;276;383;394</t>
  </si>
  <si>
    <t>N[115]ASHTFVEPECEQSSATTYYWYR;MGN[115]ISQDIIPH</t>
  </si>
  <si>
    <t>187;383</t>
  </si>
  <si>
    <t>Q9H2J7</t>
  </si>
  <si>
    <t>Alternative splicing;Amino-acid transport;Complete proteome;Glycoprotein;Ion transport;Membrane;Neurotransmitter transport;Phosphoprotein;Polymorphism;Reference proteome;Sodium;Sodium transport;Symport;Transmembrane;Transmembrane helix;Transport</t>
  </si>
  <si>
    <t>UniRef100_Q9H2J7;UniRef90_Q9H2J7;UniRef50_Q9H2J7</t>
  </si>
  <si>
    <t>ADAM7_HUMAN</t>
  </si>
  <si>
    <t>Disintegrin and metalloproteinase domain-containing protein 7</t>
  </si>
  <si>
    <t>ADAM7</t>
  </si>
  <si>
    <t>SP:1-18;NC:19-668;TM:669-690;CY:691-754</t>
  </si>
  <si>
    <t>ENSG00000069206</t>
  </si>
  <si>
    <t>ENSP00000175238</t>
  </si>
  <si>
    <t>84;167;174;184;584;668;750</t>
  </si>
  <si>
    <t>UniRef100_Q9H2U9;UniRef90_Q9H2U9;UniRef50_Q9H2U9</t>
  </si>
  <si>
    <t>M4A6A_HUMAN</t>
  </si>
  <si>
    <t>Membrane-spanning 4-domains subfamily A member 6A</t>
  </si>
  <si>
    <t>MS4A6A</t>
  </si>
  <si>
    <t>CY:1-46;TM:47-69;NC:70-85;TM:86-105;CY:106-112;TM:113-136;NC:137-184;TM:185-206;CY:207-248</t>
  </si>
  <si>
    <t>ENSG00000110077</t>
  </si>
  <si>
    <t>ENSP00000436979</t>
  </si>
  <si>
    <t>8;20;74</t>
  </si>
  <si>
    <t>UniRef100_Q9H2W1;UniRef90_Q9H2W1;UniRef50_Q9H2W1</t>
  </si>
  <si>
    <t>CLC4M_HUMAN</t>
  </si>
  <si>
    <t>C-type lectin domain family 4 member M</t>
  </si>
  <si>
    <t>CLEC4M</t>
  </si>
  <si>
    <t>CY:1-48;TM:49-70;NC:71-399</t>
  </si>
  <si>
    <t>ENSG00000104938</t>
  </si>
  <si>
    <t>ENSP00000316228</t>
  </si>
  <si>
    <t>CD299</t>
  </si>
  <si>
    <t>92;361</t>
  </si>
  <si>
    <t>Cell membrane (Single-pass type II membrane protein);Secreted;Cell membrane (Single-pass type II membrane protein);Cell membrane (Single-pass type II membrane protein);Secreted;Secreted;Secreted</t>
  </si>
  <si>
    <t>3D-structure;Adaptive immunity;Alternative splicing;Calcium;Cell membrane;Complete proteome;Disulfide bond;Endocytosis;Glycoprotein;Host-virus interaction;Immunity;Innate immunity;Lectin;Mannose-binding;Membrane;Metal-binding;Polymorphism;Receptor;Reference proteome;Repeat;Secreted;Signal-anchor;Transmembrane;Transmembrane helix</t>
  </si>
  <si>
    <t>UniRef100_Q9H2X3;UniRef90_Q9H2X3;UniRef50_Q9NNX6</t>
  </si>
  <si>
    <t>S12A5_HUMAN</t>
  </si>
  <si>
    <t>Solute carrier family 12 member 5</t>
  </si>
  <si>
    <t>SLC12A5</t>
  </si>
  <si>
    <t>CY:1-125;TM:126-152;NC:153-157;TM:158-182;CY:183-201;TM:202-231;NC:232-252;TM:253-272;CY:273-278;TM:279-298;NC:299-419;TM:420-439;CY:440-458;TM:459-484;NC:485-504;TM:505-526;CY:527-558;TM:559-577;NC:578-582;TM:583-605;CY:606-616;TM:617-641;NC:642-850;TM:851-869;CY:870-1139</t>
  </si>
  <si>
    <t>ENSG00000124140</t>
  </si>
  <si>
    <t>ENSP00000387694</t>
  </si>
  <si>
    <t>53;90;314;333;351;362;442;833;1066</t>
  </si>
  <si>
    <t>LAWEGN[115]ETVTTR;NN[115]VTEIQGIPGAASGLIK</t>
  </si>
  <si>
    <t>333;362</t>
  </si>
  <si>
    <t>Q9H2X9</t>
  </si>
  <si>
    <t>Alternative splicing;Complete proteome;Glycoprotein;Ion transport;Membrane;Polymorphism;Potassium;Potassium transport;Reference proteome;Symport;Transmembrane;Transmembrane helix;Transport</t>
  </si>
  <si>
    <t>UniRef100_Q9H2X9;UniRef90_Q63633;UniRef50_Q63633</t>
  </si>
  <si>
    <t>DB00761;DB00887</t>
  </si>
  <si>
    <t>SO5A1_HUMAN</t>
  </si>
  <si>
    <t>Solute carrier organic anion transporter family member 5A1</t>
  </si>
  <si>
    <t>SLCO5A1</t>
  </si>
  <si>
    <t>CY:1-128;TM:129-149;NC:150-168;TM:169-189;CY:190-195;TM:196-218;NC:219-260;TM:261-284;CY:285-303;TM:304-327;NC:328-346;TM:347-368;CY:369-431;TM:432-454;NC:455-471;TM:472-493;CY:494-504;TM:505-524;NC:525-648;TM:649-672;CY:673-683;TM:684-706;NC:707-736;TM:737-760;CY:761-848</t>
  </si>
  <si>
    <t>ENSG00000137571</t>
  </si>
  <si>
    <t>ENSP00000260126</t>
  </si>
  <si>
    <t>228;241;297;400;431;469;550;590;597;730</t>
  </si>
  <si>
    <t>UniRef100_Q9H2Y9;UniRef90_Q9H2Y9;UniRef50_Q9H2Y9</t>
  </si>
  <si>
    <t>TTYH1_HUMAN</t>
  </si>
  <si>
    <t>Protein tweety homolog 1</t>
  </si>
  <si>
    <t>TTYH1</t>
  </si>
  <si>
    <t>NC:1-42;TM:43-67;CY:68-87;TM:88-110;NC:111-213;TM:214-235;CY:236-240;TM:241-261;NC:262-391;TM:392-413;CY:414-450</t>
  </si>
  <si>
    <t>ENSG00000167614;ENSG00000276887;ENSG00000275650;ENSG00000276537</t>
  </si>
  <si>
    <t>ENSP00000365713;ENSP00000484774;ENSP00000480769;ENSP00000481138</t>
  </si>
  <si>
    <t>130;205;284;355</t>
  </si>
  <si>
    <t>Alternative splicing;Cell adhesion;Cell membrane;Chloride;Chloride channel;Complete proteome;Glycoprotein;Ion channel;Ion transport;Membrane;Reference proteome;Transmembrane;Transmembrane helix;Transport</t>
  </si>
  <si>
    <t>UniRef100_Q9H313;UniRef90_Q9H313;UniRef50_Q9H313</t>
  </si>
  <si>
    <t>TM245_HUMAN</t>
  </si>
  <si>
    <t>Transmembrane protein 245</t>
  </si>
  <si>
    <t>TMEM245</t>
  </si>
  <si>
    <t>CY:1-53;TM:54-77;NC:78-115;TM:116-136;CY:137-147;TM:148-169;NC:170-188;TM:189-209;CY:210-215;TM:216-235;NC:236-240;TM:241-257;CY:258-353;TM:354-374;NC:375-379;TM:380-400;CY:401-458;TM:459-481;NC:482-623;TM:624-646;CY:647-651;TM:652-670;NC:671-731;TM:732-756;CY:757-775;TM:776-795;NC:796-814;TM:815-836;CY:837-911</t>
  </si>
  <si>
    <t>ENSG00000106771</t>
  </si>
  <si>
    <t>210;500;551;575;630;855</t>
  </si>
  <si>
    <t>ILGDKVN[115]NTAVIEK;VN[115]NTAVIEK</t>
  </si>
  <si>
    <t>Q9H330</t>
  </si>
  <si>
    <t>Acetylation;Alternative splicing;Complete proteome;Glycoprotein;Membrane;Phosphoprotein;Polymorphism;Reference proteome;Transmembrane;Transmembrane helix</t>
  </si>
  <si>
    <t>UniRef100_Q9H330;UniRef90_Q9H330;UniRef50_Q9H330</t>
  </si>
  <si>
    <t>O51B5_HUMAN</t>
  </si>
  <si>
    <t>Olfactory receptor 51B5</t>
  </si>
  <si>
    <t>OR51B5</t>
  </si>
  <si>
    <t>NC:1-23;TM:24-46;CY:47-57;TM:58-79;NC:80-98;TM:99-118;CY:119-138;TM:139-158;NC:159-196;TM:197-219;CY:220-236;TM:237-260;NC:261-267;TM:268-286;CY:287-312</t>
  </si>
  <si>
    <t>ENSG00000242180</t>
  </si>
  <si>
    <t>ENSP00000300773</t>
  </si>
  <si>
    <t>UniRef100_Q9H339;UniRef90_Q9H339;UniRef50_Q9H339</t>
  </si>
  <si>
    <t>O51B6_HUMAN</t>
  </si>
  <si>
    <t>Olfactory receptor 51B6</t>
  </si>
  <si>
    <t>OR51B6</t>
  </si>
  <si>
    <t>NC:1-23;TM:24-46;CY:47-57;TM:58-79;NC:80-98;TM:99-121;CY:122-141;TM:142-163;NC:164-197;TM:198-219;CY:220-238;TM:239-260;NC:261-267;TM:268-290;CY:291-312</t>
  </si>
  <si>
    <t>ENSG00000176239</t>
  </si>
  <si>
    <t>ENSP00000369568</t>
  </si>
  <si>
    <t>4;40</t>
  </si>
  <si>
    <t>UniRef100_Q9H340;UniRef90_Q9H340;UniRef50_Q9H340</t>
  </si>
  <si>
    <t>O51M1_HUMAN</t>
  </si>
  <si>
    <t>Olfactory receptor 51M1</t>
  </si>
  <si>
    <t>OR51M1</t>
  </si>
  <si>
    <t>NC:1-37;TM:38-61;CY:62-72;TM:73-99;NC:100-104;TM:105-129;CY:130-161;TM:162-185;NC:186-209;TM:210-234;CY:235-252;TM:253-274;NC:275-282;TM:283-304;CY:305-326</t>
  </si>
  <si>
    <t>ENSG00000184698</t>
  </si>
  <si>
    <t>ENSP00000333196</t>
  </si>
  <si>
    <t>UniRef100_Q9H341;UniRef90_Q9H341;UniRef50_Q9H340</t>
  </si>
  <si>
    <t>O51J1_HUMAN</t>
  </si>
  <si>
    <t>Olfactory receptor 51J1</t>
  </si>
  <si>
    <t>OR51J1</t>
  </si>
  <si>
    <t>NC:1-27;TM:28-52;CY:53-63;TM:64-89;NC:90-108;TM:109-127;CY:128-156;TM:157-180;NC:181-197;TM:198-218;CY:219-238;TM:239-263;NC:264-273;TM:274-294;CY:295-316</t>
  </si>
  <si>
    <t>ENSG00000184321</t>
  </si>
  <si>
    <t>ENSP00000332473</t>
  </si>
  <si>
    <t>5;193</t>
  </si>
  <si>
    <t>UniRef100_Q9H342;UniRef90_Q9H342;UniRef50_Q9H342</t>
  </si>
  <si>
    <t>O51I1_HUMAN</t>
  </si>
  <si>
    <t>Olfactory receptor 51I1</t>
  </si>
  <si>
    <t>OR51I1</t>
  </si>
  <si>
    <t>NC:1-25;TM:26-50;CY:51-61;TM:62-80;NC:81-99;TM:100-122;CY:123-142;TM:143-164;NC:165-198;TM:199-223;CY:224-242;TM:243-264;NC:265-274;TM:275-295;CY:296-314</t>
  </si>
  <si>
    <t>ENSG00000167359</t>
  </si>
  <si>
    <t>ENSP00000369559</t>
  </si>
  <si>
    <t>UniRef100_Q9H343;UniRef90_Q9H343;UniRef50_Q9H340</t>
  </si>
  <si>
    <t>O51I2_HUMAN</t>
  </si>
  <si>
    <t>Olfactory receptor 51I2</t>
  </si>
  <si>
    <t>OR51I2</t>
  </si>
  <si>
    <t>NC:1-25;TM:26-48;CY:49-58;TM:59-78;NC:79-97;TM:98-120;CY:121-139;TM:140-162;NC:163-196;TM:197-221;CY:222-240;TM:241-259;NC:260-270;TM:271-292;CY:293-312</t>
  </si>
  <si>
    <t>ENSG00000187918</t>
  </si>
  <si>
    <t>ENSP00000341987</t>
  </si>
  <si>
    <t>5;91</t>
  </si>
  <si>
    <t>UniRef100_Q9H344;UniRef90_Q9H344;UniRef50_Q9H340</t>
  </si>
  <si>
    <t>O52D1_HUMAN</t>
  </si>
  <si>
    <t>Olfactory receptor 52D1</t>
  </si>
  <si>
    <t>OR52D1</t>
  </si>
  <si>
    <t>NC:1-26;TM:27-51;CY:52-62;TM:63-81;NC:82-100;TM:101-123;CY:124-142;TM:143-166;NC:167-198;TM:199-224;CY:225-243;TM:244-264;NC:265-275;TM:276-297;CY:298-318</t>
  </si>
  <si>
    <t>ENSG00000181609</t>
  </si>
  <si>
    <t>ENSP00000326232</t>
  </si>
  <si>
    <t>5;194</t>
  </si>
  <si>
    <t>UniRef100_Q9H346;UniRef90_Q9H346;UniRef50_Q8NGJ2</t>
  </si>
  <si>
    <t>HRH4_HUMAN</t>
  </si>
  <si>
    <t>Histamine H4 receptor</t>
  </si>
  <si>
    <t>HRH4</t>
  </si>
  <si>
    <t>NC:1-19;TM:20-41;CY:42-52;TM:53-73;NC:74-87;TM:88-108;CY:109-128;TM:129-152;NC:153-171;TM:172-194;CY:195-304;TM:305-328;NC:329-340;TM:341-361;CY:362-390</t>
  </si>
  <si>
    <t>ENSG00000134489</t>
  </si>
  <si>
    <t>ENSP00000256906</t>
  </si>
  <si>
    <t>199;345</t>
  </si>
  <si>
    <t>UniRef100_Q9H3N8;UniRef90_Q9H3N8;UniRef50_Q9H3N8</t>
  </si>
  <si>
    <t>DB00321;DB00334;DB00363;DB00408;DB00477;DB00543;DB00667;DB01142;DB06148</t>
  </si>
  <si>
    <t>MUC13_HUMAN</t>
  </si>
  <si>
    <t>Mucin-13</t>
  </si>
  <si>
    <t>MUC13</t>
  </si>
  <si>
    <t>SP:1-17;NC:18-419;TM:420-443;CY:444-512</t>
  </si>
  <si>
    <t>ENSG00000173702</t>
  </si>
  <si>
    <t>ENSP00000485028</t>
  </si>
  <si>
    <t>151;169;193;206;284;332;449</t>
  </si>
  <si>
    <t>Apical cell membrane;Cell membrane (Single-pass type I membrane protein);Secreted</t>
  </si>
  <si>
    <t>Cell membrane;Complete proteome;Disulfide bond;EGF-like domain;Glycoprotein;Membrane;Polymorphism;Reference proteome;Repeat;Secreted;Signal;Transmembrane;Transmembrane helix</t>
  </si>
  <si>
    <t>UniRef100_Q9H3R2;UniRef90_Q9H3R2;UniRef50_Q9H3R2</t>
  </si>
  <si>
    <t>SEM4A_HUMAN</t>
  </si>
  <si>
    <t>Semaphorin-4A</t>
  </si>
  <si>
    <t>SEMA4A</t>
  </si>
  <si>
    <t>SP:1-31;NC:32-682;TM:683-705;CY:706-761</t>
  </si>
  <si>
    <t>ENSG00000196189</t>
  </si>
  <si>
    <t>ENSP00000347117;ENSP00000357265;ENSP00000357268</t>
  </si>
  <si>
    <t>120;135;496;607</t>
  </si>
  <si>
    <t>KSN[115]ETQCF;KSN[115]ETQCFN;KSN[115]ETQCFNFIR;SN[115]ETQCFN;SN[115]ETQCFNFIR;SN[115]ETQCFN[115]FIR;VLVSYN[115]VTH;AN[115]CSVYESCVDCVLAR</t>
  </si>
  <si>
    <t>120;135;496</t>
  </si>
  <si>
    <t>Q9H3S1</t>
  </si>
  <si>
    <t>Adaptive immunity;Alternative splicing;Angiogenesis;Cell membrane;Complete proteome;Cone-rod dystrophy;Developmental protein;Differentiation;Disease mutation;Disulfide bond;Glycoprotein;Immunity;Immunoglobulin domain;Membrane;Neurogenesis;Polymorphism;Reference proteome;Retinitis pigmentosa;Signal;Transmembrane;Transmembrane helix</t>
  </si>
  <si>
    <t>UniRef100_Q9H3S1;UniRef90_Q9H3S1;UniRef50_Q62178</t>
  </si>
  <si>
    <t>TMPS5_HUMAN</t>
  </si>
  <si>
    <t>Transmembrane protease serine 5</t>
  </si>
  <si>
    <t>TMPRSS5</t>
  </si>
  <si>
    <t>CY:1-49;TM:50-72;NC:73-457</t>
  </si>
  <si>
    <t>ENSG00000166682</t>
  </si>
  <si>
    <t>ENSP00000299882</t>
  </si>
  <si>
    <t>163;170;195;319;375</t>
  </si>
  <si>
    <t>LN[115]SSQEFAQLSPR</t>
  </si>
  <si>
    <t>Q9H3S3</t>
  </si>
  <si>
    <t>UniRef100_Q9H3S3;UniRef90_Q9H3S3;UniRef50_Q9H3S3</t>
  </si>
  <si>
    <t>SEM6C_HUMAN</t>
  </si>
  <si>
    <t>Semaphorin-6C</t>
  </si>
  <si>
    <t>SEMA6C</t>
  </si>
  <si>
    <t>SP:1-24;NC:25-602;TM:603-628;CY:629-930</t>
  </si>
  <si>
    <t>ENSG00000143434</t>
  </si>
  <si>
    <t>ENSP00000344148;ENSP00000357910</t>
  </si>
  <si>
    <t>70;286;437</t>
  </si>
  <si>
    <t>Alternative splicing;Cell membrane;Complete proteome;Developmental protein;Differentiation;Disulfide bond;Glycoprotein;Membrane;Neurogenesis;Polymorphism;Reference proteome;Signal;Transmembrane;Transmembrane helix</t>
  </si>
  <si>
    <t>UniRef100_Q9H3T2;UniRef90_Q9H3T2;UniRef50_Q9H3T2</t>
  </si>
  <si>
    <t>SEM6B_HUMAN</t>
  </si>
  <si>
    <t>Semaphorin-6B</t>
  </si>
  <si>
    <t>SEMA6B</t>
  </si>
  <si>
    <t>SP:1-28;NC:29-601;TM:602-624;CY:625-888</t>
  </si>
  <si>
    <t>ENSG00000167680</t>
  </si>
  <si>
    <t>ENSP00000467290</t>
  </si>
  <si>
    <t>74;155;167;291;386;441;462</t>
  </si>
  <si>
    <t>PGCCAAPGMQYN[115]ASSALPDDILNFVK</t>
  </si>
  <si>
    <t>Q9H3T3</t>
  </si>
  <si>
    <t>Alternative splicing;Cell membrane;Complete proteome;Developmental protein;Differentiation;Direct protein sequencing;Disulfide bond;Glycoprotein;Membrane;Neurogenesis;Reference proteome;Signal;Transmembrane;Transmembrane helix</t>
  </si>
  <si>
    <t>UniRef100_Q9H3T3;UniRef90_Q9H3T3;UniRef50_Q9H3T3</t>
  </si>
  <si>
    <t>LRRN3_HUMAN</t>
  </si>
  <si>
    <t>Leucine-rich repeat neuronal protein 3</t>
  </si>
  <si>
    <t>LRRN3</t>
  </si>
  <si>
    <t>SP:1-22;NC:23-626;TM:627-649;CY:650-708</t>
  </si>
  <si>
    <t>ENSG00000173114</t>
  </si>
  <si>
    <t>ENSP00000312001;ENSP00000412417;ENSP00000397312</t>
  </si>
  <si>
    <t>93;103;223;382;522;579;608;624;625;706</t>
  </si>
  <si>
    <t>UniRef100_Q9H3W5;UniRef90_Q9H3W5;UniRef50_Q9ESY6</t>
  </si>
  <si>
    <t>FZD8_HUMAN</t>
  </si>
  <si>
    <t>Frizzled-8</t>
  </si>
  <si>
    <t>FZD8</t>
  </si>
  <si>
    <t>SP:1-27;NC:28-277;TM:278-301;CY:302-312;TM:313-332;NC:333-397;TM:398-422;CY:423-440;TM:441-460;NC:461-484;TM:485-508;CY:509-528;TM:529-553;NC:554-583;TM:584-605;CY:606-694</t>
  </si>
  <si>
    <t>ENSG00000177283</t>
  </si>
  <si>
    <t>ENSP00000363826</t>
  </si>
  <si>
    <t>49;152;475</t>
  </si>
  <si>
    <t>178;670</t>
  </si>
  <si>
    <t>Cell membrane (Multi-pass membrane protein);Golgi apparatus;Membrane (Multi-pass membrane protein)</t>
  </si>
  <si>
    <t>Cell membrane;Complete proteome;Developmental protein;Disulfide bond;G-protein coupled receptor;Glycoprotein;Golgi apparatus;Membrane;Receptor;Reference proteome;Signal;Transducer;Transmembrane;Transmembrane helix;Ubl conjugation;Wnt signaling pathway</t>
  </si>
  <si>
    <t>UniRef100_Q9H461;UniRef90_Q9H461;UniRef50_Q9H461</t>
  </si>
  <si>
    <t>DPEP2_HUMAN</t>
  </si>
  <si>
    <t>Dipeptidase 2</t>
  </si>
  <si>
    <t>DPEP2</t>
  </si>
  <si>
    <t>SP:1-32;NC:33-486</t>
  </si>
  <si>
    <t>ENSG00000167261</t>
  </si>
  <si>
    <t>ENSP00000377430;ENSP00000458977</t>
  </si>
  <si>
    <t>111;176;235;326</t>
  </si>
  <si>
    <t>111;176;235;322;326</t>
  </si>
  <si>
    <t>Membrane (Lipid-anchor, GPI- anchor)</t>
  </si>
  <si>
    <t>Alternative splicing;Complete proteome;Dipeptidase;Disulfide bond;Glycoprotein;GPI-anchor;Hydrolase;Lipoprotein;Membrane;Metal-binding;Metalloprotease;Polymorphism;Protease;Reference proteome;Signal;Zinc</t>
  </si>
  <si>
    <t>UniRef100_Q9H4A9;UniRef90_Q9H4A9;UniRef50_Q9DA79</t>
  </si>
  <si>
    <t>DPEP3_HUMAN</t>
  </si>
  <si>
    <t>Dipeptidase 3</t>
  </si>
  <si>
    <t>DPEP3</t>
  </si>
  <si>
    <t>SP:1-36;NC:37-488</t>
  </si>
  <si>
    <t>ENSG00000141096</t>
  </si>
  <si>
    <t>ENSP00000268793</t>
  </si>
  <si>
    <t>119;184;243;334;465</t>
  </si>
  <si>
    <t>Complete proteome;Dipeptidase;Disulfide bond;Glycoprotein;GPI-anchor;Hydrolase;Lipoprotein;Meiosis;Membrane;Metal-binding;Metalloprotease;Protease;Reference proteome;Signal;Zinc</t>
  </si>
  <si>
    <t>UniRef100_Q9H4B8;UniRef90_Q9H4B8;UniRef50_Q9DA79</t>
  </si>
  <si>
    <t>CSTN2_HUMAN</t>
  </si>
  <si>
    <t>Calsyntenin-2</t>
  </si>
  <si>
    <t>CLSTN2</t>
  </si>
  <si>
    <t>SP:1-22;NC:23-828;TM:829-853;CY:854-955</t>
  </si>
  <si>
    <t>ENSG00000158258</t>
  </si>
  <si>
    <t>ENSP00000402460</t>
  </si>
  <si>
    <t>56;98;342;374;716;729</t>
  </si>
  <si>
    <t>Calcium;Cell adhesion;Cell membrane;Complete proteome;Endoplasmic reticulum;Glycoprotein;Golgi apparatus;Membrane;Polymorphism;Reference proteome;Repeat;Signal;Transmembrane;Transmembrane helix</t>
  </si>
  <si>
    <t>UniRef100_Q9H4D0;UniRef90_Q9ER65-2;UniRef50_Q9ER65-2</t>
  </si>
  <si>
    <t>VIAAT_HUMAN</t>
  </si>
  <si>
    <t>Vesicular inhibitory amino acid transporter</t>
  </si>
  <si>
    <t>SLC32A1</t>
  </si>
  <si>
    <t>CY:1-133;TM:134-157;NC:158-207;TM:208-230;CY:231-241;TM:242-260;NC:261-265;TM:266-286;CY:287-305;TM:306-323;NC:324-341;TM:342-361;CY:362-380;TM:381-401;NC:402-432;TM:433-455;CY:456-462;TM:463-482;NC:483-489;TM:490-512;CY:513-525</t>
  </si>
  <si>
    <t>ENSG00000101438</t>
  </si>
  <si>
    <t>ENSP00000217420</t>
  </si>
  <si>
    <t>SLC;APC;SLC32</t>
  </si>
  <si>
    <t>18;124;341</t>
  </si>
  <si>
    <t>Complete proteome;Cytoplasmic vesicle;Glycoprotein;Membrane;Neurotransmitter transport;Nitration;Polymorphism;Reference proteome;Transmembrane;Transmembrane helix;Transport</t>
  </si>
  <si>
    <t>UniRef100_Q9H598;UniRef90_O35633;UniRef50_O35633</t>
  </si>
  <si>
    <t>PIEZ2_HUMAN</t>
  </si>
  <si>
    <t>Piezo-type mechanosensitive ion channel component 2</t>
  </si>
  <si>
    <t>PIEZO2</t>
  </si>
  <si>
    <t>SP:1-20;NC:21-29;TM:30-47;CY:48-58;TM:59-81;NC:82-119;TM:120-140;CY:141-213;TM:214-232;NC:233-237;TM:238-259;CY:260-265;TM:266-289;NC:290-336;TM:337-356;CY:357-485;TM:486-509;NC:510-514;TM:515-533;CY:534-541;TM:542-561;NC:562-582;TM:583-600;CY:601-676;TM:677-698;NC:699-703;TM:704-724;CY:725-734;TM:735-754;NC:755-786;TM:787-808;CY:809-931;TM:932-952;NC:953-957;TM:958-976;CY:977-980;TM:981-1001;NC:1002-1053;TM:1054-1074;CY:1075-1116;TM:1117-1135;NC:1136-1140;TM:1141-1157;CY:1158-1168;TM:1169-1190;NC:1191-1222;TM:1223-1242;CY:1243-1290;TM:1291-1307;NC:1308-1312;TM:1313-1336;CY:1337-1347;TM:1348-1372;NC:1373-1404;TM:1405-1424;CY:1425-1906;TM:1907-1930;NC:1931-1935;TM:1936-1957;CY:1958-1963;TM:1964-1982;NC:1983-2014;TM:2015-2033;CY:2034-2188;TM:2189-2211;NC:2212-2230;TM:2231-2251;CY:2252-2259;TM:2260-2278;NC:2279-2289;TM:2290-2310;CY:2311-2328;TM:2329-2348;NC:2349-2361;TM:2362-2381;CY:2382-2401;TM:2402-2423;NC:2424-2661;TM:2662-2684;CY:2685-2752</t>
  </si>
  <si>
    <t>ENSG00000154864</t>
  </si>
  <si>
    <t>ENSP00000421377</t>
  </si>
  <si>
    <t>95;765;1009;1013;1020;1030;1085;1713;2114;2125;2525;2539;2559;2572;2622;2634</t>
  </si>
  <si>
    <t>256;1536</t>
  </si>
  <si>
    <t>MIAGN[115]STESSK</t>
  </si>
  <si>
    <t>Q9H5I5</t>
  </si>
  <si>
    <t>Alternative splicing;Coiled coil;Complete proteome;Disease mutation;Glycoprotein;Ion channel;Ion transport;Membrane;Polymorphism;Reference proteome;Transmembrane;Transmembrane helix;Transport</t>
  </si>
  <si>
    <t>UniRef100_Q9H5I5;UniRef90_Q9H5I5;UniRef50_Q9H5I5</t>
  </si>
  <si>
    <t>CDCP1_HUMAN</t>
  </si>
  <si>
    <t>CUB domain-containing protein 1</t>
  </si>
  <si>
    <t>CDCP1</t>
  </si>
  <si>
    <t>SP:1-29;NC:30-666;TM:667-691;CY:692-836</t>
  </si>
  <si>
    <t>ENSG00000163814</t>
  </si>
  <si>
    <t>ENSP00000296129</t>
  </si>
  <si>
    <t>CD318</t>
  </si>
  <si>
    <t>39;122;180;205;213;270;310;339;386;477;512;577;639;642;729</t>
  </si>
  <si>
    <t>ESN[115]ITVLIK;NIDCMSGPCPFGEVQLQPSTSLLPTLN[115]R;FGEVQLQPSTSLLPTLN[115]R;IGTFCSN[115]GTVSR;N[115]VSGFSIANR;N[115]VSGFSIAN[115]R;ASVSFLNFN[115]LSNCER;ASVSFLNFN[115]LSN[115]CER;ASVSFLN[115]FN[115]LSNCER;LNFN[115]LSNCER;NFN[115]LSNCER;LQFQVLVQHPQN[115]ESNK;FQVLVQHPQN[115]ESNK;QVLVQHPQN[115]ESNK;VLVQHPQN[115]ESNK;LVQHPQN[115]ESNK;VQHPQN[115]ESNK;TCSSN[115]LTLTSGSK;SSN[115]LTLTSGSK;QN[115]ISVTLR;SWN[115]ISVPR</t>
  </si>
  <si>
    <t>39;122;180;205;213;270;339;386;512;577</t>
  </si>
  <si>
    <t>Q9H5V8</t>
  </si>
  <si>
    <t>Cell membrane (Single-pass membrane protein);Secreted</t>
  </si>
  <si>
    <t>Alternative splicing;Cell membrane;Complete proteome;Direct protein sequencing;Disulfide bond;Glycoprotein;Membrane;Phosphoprotein;Polymorphism;Reference proteome;Secreted;Signal;Transmembrane;Transmembrane helix</t>
  </si>
  <si>
    <t>UniRef100_Q9H5V8;UniRef90_Q9H5V8;UniRef50_Q9H5V8</t>
  </si>
  <si>
    <t>SLIK6_HUMAN</t>
  </si>
  <si>
    <t>SLIT and NTRK-like protein 6</t>
  </si>
  <si>
    <t>SLITRK6</t>
  </si>
  <si>
    <t>SP:1-26;NC:27-607;TM:608-633;CY:634-841</t>
  </si>
  <si>
    <t>292;409;726;741</t>
  </si>
  <si>
    <t>IEVLEEGSFMN[115]LTR</t>
  </si>
  <si>
    <t>Q9H5Y7</t>
  </si>
  <si>
    <t>Cell membrane;Complete proteome;Deafness;Hearing;Leucine-rich repeat;Membrane;Polymorphism;Reference proteome;Repeat;Sensory transduction;Signal;Transmembrane;Transmembrane helix;Vision</t>
  </si>
  <si>
    <t>UniRef100_Q9H5Y7;UniRef90_Q9H5Y7;UniRef50_Q8C110</t>
  </si>
  <si>
    <t>IGFR1_HUMAN</t>
  </si>
  <si>
    <t>IGF-like family receptor 1</t>
  </si>
  <si>
    <t>IGFLR1</t>
  </si>
  <si>
    <t>SP:1-22;NC:23-160;TM:161-185;CY:186-355</t>
  </si>
  <si>
    <t>ENSG00000126246</t>
  </si>
  <si>
    <t>ENSP00000246532;ENSP00000466181</t>
  </si>
  <si>
    <t>Alternative splicing;Cell membrane;Complete proteome;Membrane;Polymorphism;Receptor;Reference proteome;Signal;Transmembrane;Transmembrane helix</t>
  </si>
  <si>
    <t>UniRef100_Q9H665;UniRef90_Q9H665;UniRef50_Q9H665</t>
  </si>
  <si>
    <t>CLMP_HUMAN</t>
  </si>
  <si>
    <t>CXADR-like membrane protein</t>
  </si>
  <si>
    <t>CLMP</t>
  </si>
  <si>
    <t>SP:1-18;NC:19-230;TM:231-256;CY:257-373</t>
  </si>
  <si>
    <t>ENSG00000166250</t>
  </si>
  <si>
    <t>ENSP00000405577</t>
  </si>
  <si>
    <t>74;197;352</t>
  </si>
  <si>
    <t>HVYNN[115]LTEEQK;HVYNN[115]LTEEQKGR;HVYN[115]N[115]LTEEQK;VYNN[115]LTEEQK;VLLQN[115]LTM;VLLQN[115]LTMSY;VLLQN[115]LTMSYSGLYQCTAGNEAGK</t>
  </si>
  <si>
    <t>74;197</t>
  </si>
  <si>
    <t>Q9H6B4</t>
  </si>
  <si>
    <t>Cell junction;Cell membrane;Complete proteome;Disease mutation;Disulfide bond;Glycoprotein;Immunoglobulin domain;Membrane;Polymorphism;Reference proteome;Repeat;Signal;Tight junction;Transmembrane;Transmembrane helix</t>
  </si>
  <si>
    <t>UniRef100_Q9H6B4;UniRef90_Q9H6B4;UniRef50_Q9H6B4</t>
  </si>
  <si>
    <t>FNDC4_HUMAN</t>
  </si>
  <si>
    <t>Fibronectin type III domain-containing protein 4</t>
  </si>
  <si>
    <t>FNDC4</t>
  </si>
  <si>
    <t>SP:1-44;NC:45-169;TM:170-188;CY:189-234</t>
  </si>
  <si>
    <t>ENSG00000115226</t>
  </si>
  <si>
    <t>ENSP00000264703</t>
  </si>
  <si>
    <t>52;97;147;197</t>
  </si>
  <si>
    <t>UniRef100_Q9H6D8;UniRef90_Q9H6D8;UniRef50_Q1L867</t>
  </si>
  <si>
    <t>TM231_HUMAN</t>
  </si>
  <si>
    <t>Transmembrane protein 231</t>
  </si>
  <si>
    <t>TMEM231</t>
  </si>
  <si>
    <t>CY:1-22;TM:23-43;NC:44-266;TM:267-284;CY:285-316</t>
  </si>
  <si>
    <t>ENSG00000205084</t>
  </si>
  <si>
    <t>ENSP00000258173</t>
  </si>
  <si>
    <t>194;199;221</t>
  </si>
  <si>
    <t>N[115]VTTVLNDPNPIWLVGR</t>
  </si>
  <si>
    <t>Q9H6L2</t>
  </si>
  <si>
    <t>Alternative splicing;Cell membrane;Cell projection;Ciliopathy;Cilium;Cilium biogenesis/degradation;Complete proteome;Disease mutation;Glycoprotein;Joubert syndrome;Meckel syndrome;Membrane;Polymorphism;Reference proteome;Transmembrane;Transmembrane helix</t>
  </si>
  <si>
    <t>UniRef100_Q9H6L2;UniRef90_Q9H6L2;UniRef50_Q3U284</t>
  </si>
  <si>
    <t>ANTR1_HUMAN</t>
  </si>
  <si>
    <t>Anthrax toxin receptor 1</t>
  </si>
  <si>
    <t>ANTXR1</t>
  </si>
  <si>
    <t>SP:1-27;NC:28-321;TM:322-343;CY:344-564</t>
  </si>
  <si>
    <t>ENSG00000169604</t>
  </si>
  <si>
    <t>ENSP00000301945</t>
  </si>
  <si>
    <t>166;184;262;483</t>
  </si>
  <si>
    <t>DLGAIVYCVGVKDFN[115]ETQLAR;VGVKDFN[115]ETQLAR;DFN[115]ETQLAR;IN[115]DSVTLNEK;IN[115]DSVTLNEKPF;IN[115]DSVTLNEKPFSVEDTYLLCPAPILK</t>
  </si>
  <si>
    <t>184;262</t>
  </si>
  <si>
    <t>Q9H6X2</t>
  </si>
  <si>
    <t>Cell membrane (Single-pass type I membrane protein);Cell projection, filopodium membrane (Single-pass type I membrane protein);Cell projection, lamellipodium membrane (Single-pass type I membrane protein)</t>
  </si>
  <si>
    <t>3D-structure;Alternative splicing;Cell membrane;Cell projection;Complete proteome;Disulfide bond;Glycoprotein;Hypotrichosis;Membrane;Metal-binding;Phosphoprotein;Polymorphism;Receptor;Reference proteome;Signal;Transmembrane;Transmembrane helix</t>
  </si>
  <si>
    <t>UniRef100_Q9H6X2;UniRef90_Q9H6X2;UniRef50_Q9H6X2</t>
  </si>
  <si>
    <t>RN167_HUMAN</t>
  </si>
  <si>
    <t>E3 ubiquitin-protein ligase RNF167</t>
  </si>
  <si>
    <t>RNF167</t>
  </si>
  <si>
    <t>SP:1-24;NC:25-170;TM:171-197;CY:198-350</t>
  </si>
  <si>
    <t>ENSG00000108523</t>
  </si>
  <si>
    <t>ENSP00000262482;ENSP00000459324;ENSP00000458794;ENSP00000460190</t>
  </si>
  <si>
    <t>33;79</t>
  </si>
  <si>
    <t>Endomembrane system (Single-pass membrane protein)</t>
  </si>
  <si>
    <t>Complete proteome;Glycoprotein;Ligase;Membrane;Metal-binding;Polymorphism;Reference proteome;Signal;Transmembrane;Transmembrane helix;Ubl conjugation;Ubl conjugation pathway;Zinc;Zinc-finger</t>
  </si>
  <si>
    <t>UniRef100_Q9H6Y7;UniRef90_Q9H6Y7;UniRef50_Q9H6Y7</t>
  </si>
  <si>
    <t>LRC19_HUMAN</t>
  </si>
  <si>
    <t>Leucine-rich repeat-containing protein 19</t>
  </si>
  <si>
    <t>LRRC19</t>
  </si>
  <si>
    <t>SP:1-19;NC:20-269;TM:270-291;CY:292-370</t>
  </si>
  <si>
    <t>ENSG00000184434</t>
  </si>
  <si>
    <t>ENSP00000369395</t>
  </si>
  <si>
    <t>32;37;62;95;179;192;195;202;251;256</t>
  </si>
  <si>
    <t>UniRef100_Q9H756;UniRef90_Q9H756;UniRef50_Q9H756</t>
  </si>
  <si>
    <t>AT133_HUMAN</t>
  </si>
  <si>
    <t>Probable cation-transporting ATPase 13A3</t>
  </si>
  <si>
    <t>ATP13A3</t>
  </si>
  <si>
    <t>NC:1-27;TM:28-49;CY:50-205;TM:206-226;NC:227-231;TM:232-253;CY:254-409;TM:410-430;NC:431-448;TM:449-469;CY:470-932;TM:933-960;NC:961-965;TM:966-988;CY:989-1000;TM:1001-1027;NC:1028-1074;TM:1075-1092;CY:1093-1103;TM:1104-1126;NC:1127-1139;TM:1140-1160;CY:1161-1226</t>
  </si>
  <si>
    <t>ENSG00000133657</t>
  </si>
  <si>
    <t>ENSP00000256031;ENSP00000416508</t>
  </si>
  <si>
    <t>23;150;300;312;318;704;1045;1053;1059;1073;1217</t>
  </si>
  <si>
    <t>Alternative splicing;ATP-binding;Complete proteome;Hydrolase;Magnesium;Membrane;Metal-binding;Nucleotide-binding;Phosphoprotein;Reference proteome;Transmembrane;Transmembrane helix</t>
  </si>
  <si>
    <t>UniRef100_Q9H7F0;UniRef90_Q9H7F0;UniRef50_Q9H7F0</t>
  </si>
  <si>
    <t>GI24_HUMAN</t>
  </si>
  <si>
    <t>Platelet receptor Gi24</t>
  </si>
  <si>
    <t>C10orf54</t>
  </si>
  <si>
    <t>SP:1-32;NC:33-190;TM:191-216;CY:217-311</t>
  </si>
  <si>
    <t>ENSG00000107738</t>
  </si>
  <si>
    <t>ENSP00000378409</t>
  </si>
  <si>
    <t>49;91;108;128;135;190</t>
  </si>
  <si>
    <t>SLYVCPEGQN[115]VTLTCR;YVCPEGQN[115]VTLTCR;N[115]LTFQDLH;N[115]LTFQDLHLH;N[115]LTFQDLHLHHGGHQAAN[115]TSHDLAQR;LHHGGHQAAN[115]TSHDLAQR;HGGHQAAN[115]TSHDLAQR</t>
  </si>
  <si>
    <t>49;91;108</t>
  </si>
  <si>
    <t>Q9H7M9</t>
  </si>
  <si>
    <t>Cell membrane;Complete proteome;Direct protein sequencing;Disulfide bond;Glycoprotein;Immunoglobulin domain;Membrane;Phosphoprotein;Polymorphism;Receptor;Reference proteome;Signal;Transmembrane;Transmembrane helix</t>
  </si>
  <si>
    <t>UniRef100_Q9H7M9;UniRef90_Q9H7M9;UniRef50_Q9H7M9</t>
  </si>
  <si>
    <t>NPAL2_HUMAN</t>
  </si>
  <si>
    <t>NIPA-like protein 2</t>
  </si>
  <si>
    <t>NIPAL2</t>
  </si>
  <si>
    <t>NC:1-45;TM:46-67;CY:68-87;TM:88-109;NC:110-114;TM:115-135;CY:136-143;TM:144-162;NC:163-179;TM:180-200;CY:201-208;TM:209-233;NC:234-245;TM:246-266;CY:267-277;TM:278-298;NC:299-303;TM:304-326;CY:327-368</t>
  </si>
  <si>
    <t>ENSG00000104361</t>
  </si>
  <si>
    <t>ENSP00000339256</t>
  </si>
  <si>
    <t>23;33;163;274;363</t>
  </si>
  <si>
    <t>UniRef100_Q9H841;UniRef90_Q9H841;UniRef50_Q9H841</t>
  </si>
  <si>
    <t>MANS1_HUMAN</t>
  </si>
  <si>
    <t>MANSC domain-containing protein 1</t>
  </si>
  <si>
    <t>MANSC1</t>
  </si>
  <si>
    <t>SP:1-25;NC:26-383;TM:384-408;CY:409-431</t>
  </si>
  <si>
    <t>ENSG00000111261</t>
  </si>
  <si>
    <t>ENSP00000438205</t>
  </si>
  <si>
    <t>72;222;251;327;352</t>
  </si>
  <si>
    <t>224;276</t>
  </si>
  <si>
    <t>UniRef100_Q9H8J5;UniRef90_Q9H8J5;UniRef50_Q9H8J5</t>
  </si>
  <si>
    <t>CNNM2_HUMAN</t>
  </si>
  <si>
    <t>Metal transporter CNNM2</t>
  </si>
  <si>
    <t>CNNM2</t>
  </si>
  <si>
    <t>NC:1-250;TM:251-271;CY:272-313;IM:314-334;CY:335-338;TM:339-359;NC:360-368;TM:369-389;CY:390-875</t>
  </si>
  <si>
    <t>ENSG00000148842</t>
  </si>
  <si>
    <t>ENSP00000358894</t>
  </si>
  <si>
    <t>112;327;527;591;747;757;783;866</t>
  </si>
  <si>
    <t>VYGQNINN[115]ETWSR</t>
  </si>
  <si>
    <t>Q9H8M5</t>
  </si>
  <si>
    <t>3D-structure;Alternative splicing;CBS domain;Cell membrane;Complete proteome;Disease mutation;Glycoprotein;Ion transport;Membrane;Polymorphism;Primary hypomagnesemia;Reference proteome;Repeat;Transmembrane;Transmembrane helix;Transport</t>
  </si>
  <si>
    <t>UniRef100_Q9H8M5;UniRef90_Q3TWN3;UniRef50_Q3TWN3</t>
  </si>
  <si>
    <t>ZDH11_HUMAN</t>
  </si>
  <si>
    <t>Probable palmitoyltransferase ZDHHC11</t>
  </si>
  <si>
    <t>ZDHHC11</t>
  </si>
  <si>
    <t>NC:1-39;TM:40-63;CY:64-69;TM:70-90;NC:91-167;TM:168-197;CY:198-216;TM:217-239;NC:240-244;TM:245-261;CY:262-412</t>
  </si>
  <si>
    <t>ENSG00000188818</t>
  </si>
  <si>
    <t>ENSP00000283441</t>
  </si>
  <si>
    <t>Acyltransferase;Alternative splicing;Complete proteome;Membrane;Metal-binding;Polymorphism;Reference proteome;Transferase;Transmembrane;Transmembrane helix;Zinc;Zinc-finger</t>
  </si>
  <si>
    <t>UniRef100_Q9H8X9;UniRef90_Q9H8X9;UniRef50_Q9H8X9</t>
  </si>
  <si>
    <t>MER34_HUMAN</t>
  </si>
  <si>
    <t>Endogenous retrovirus group MER34 member 1 Env polyprotein</t>
  </si>
  <si>
    <t>ERVMER34-1</t>
  </si>
  <si>
    <t>SP:1-24;NC:25-489;TM:490-510;CY:511-563</t>
  </si>
  <si>
    <t>ENSG00000226887</t>
  </si>
  <si>
    <t>ENSP00000460255;ENSP00000460602</t>
  </si>
  <si>
    <t>40;89;122;131;166;192;196;225;234;287;293;333;369;390;449</t>
  </si>
  <si>
    <t>Membrane (Single-pass type I membrane protein);Virion</t>
  </si>
  <si>
    <t>Complete proteome;ERV;Glycoprotein;Membrane;Reference proteome;Signal;Transmembrane;Transmembrane helix;Transposable element;Viral envelope protein;Virion</t>
  </si>
  <si>
    <t>UniRef100_Q9H9K5;UniRef90_Q9H9K5;UniRef50_Q9H9K5</t>
  </si>
  <si>
    <t>CHODL_HUMAN</t>
  </si>
  <si>
    <t>Chondrolectin</t>
  </si>
  <si>
    <t>CHODL</t>
  </si>
  <si>
    <t>SP:1-21;NC:22-216;TM:217-242;CY:243-273</t>
  </si>
  <si>
    <t>ENSG00000154645</t>
  </si>
  <si>
    <t>ENSP00000299295;ENSP00000339975;ENSP00000382996;ENSP00000383001</t>
  </si>
  <si>
    <t>86;255</t>
  </si>
  <si>
    <t>Alternative splicing;Complete proteome;Cytoplasm;Disulfide bond;Glycoprotein;Lectin;Membrane;Reference proteome;Signal;Transmembrane;Transmembrane helix</t>
  </si>
  <si>
    <t>UniRef100_Q9H9P2;UniRef90_Q9H9P2;UniRef50_Q9H9P2</t>
  </si>
  <si>
    <t>FKRP_HUMAN</t>
  </si>
  <si>
    <t>Fukutin-related protein</t>
  </si>
  <si>
    <t>FKRP</t>
  </si>
  <si>
    <t>CY:1-6;TM:7-27;NC:28-495</t>
  </si>
  <si>
    <t>ENSG00000181027</t>
  </si>
  <si>
    <t>ENSP00000326570;ENSP00000375776</t>
  </si>
  <si>
    <t>172;209</t>
  </si>
  <si>
    <t>DLFN[115]LSAPLAR</t>
  </si>
  <si>
    <t>Q9H9S5</t>
  </si>
  <si>
    <t>Cell membrane, sarcolemma;Golgi apparatus membrane (Single-pass type II membrane protein);Rough endoplasmic reticulum;Secreted</t>
  </si>
  <si>
    <t>Cardiomyopathy;Cell membrane;Complete proteome;Congenital muscular dystrophy;Disease mutation;Disulfide bond;Dystroglycanopathy;Endoplasmic reticulum;Glycoprotein;Golgi apparatus;Limb-girdle muscular dystrophy;Lissencephaly;Membrane;Reference proteome;Secreted;Signal-anchor;Transferase;Transmembrane;Transmembrane helix</t>
  </si>
  <si>
    <t>UniRef100_Q9H9S5;UniRef90_Q9H9S5;UniRef50_Q9H9S5</t>
  </si>
  <si>
    <t>Endoplasmic Reticulum;Extracellular space;Golgi apparatus</t>
  </si>
  <si>
    <t>CAHM2_HUMAN</t>
  </si>
  <si>
    <t>Calcium homeostasis modulator protein 2</t>
  </si>
  <si>
    <t>CALHM2</t>
  </si>
  <si>
    <t>CY:1-20;TM:21-42;NC:43-53;TM:54-75;CY:76-95;TM:96-118;NC:119-185;TM:186-205;CY:206-323</t>
  </si>
  <si>
    <t>ENSG00000138172</t>
  </si>
  <si>
    <t>ENSP00000260743;ENSP00000358803</t>
  </si>
  <si>
    <t>77;93;168</t>
  </si>
  <si>
    <t>Alternative splicing;Complete proteome;Ion channel;Ion transport;Membrane;Polymorphism;Reference proteome;Transmembrane;Transmembrane helix;Transport</t>
  </si>
  <si>
    <t>UniRef100_Q9HA72;UniRef90_Q9HA72;UniRef50_Q9HA72</t>
  </si>
  <si>
    <t>S52A2_HUMAN</t>
  </si>
  <si>
    <t>Solute carrier family 52, riboflavin transporter, member 2</t>
  </si>
  <si>
    <t>SLC52A2</t>
  </si>
  <si>
    <t>SP:1-25;NC:26-48;TM:49-68;CY:69-79;TM:80-100;NC:101-111;TM:112-136;CY:137-146;TM:147-166;NC:167-195;TM:196-218;CY:219-276;TM:277-297;NC:298-308;TM:309-331;CY:332-338;TM:339-359;NC:360-368;TM:369-391;CY:392-403;TM:404-424;NC:425-445</t>
  </si>
  <si>
    <t>ENSG00000185803</t>
  </si>
  <si>
    <t>ENSP00000333638;ENSP00000385961;ENSP00000434728;ENSP00000435820;ENSP00000436768</t>
  </si>
  <si>
    <t>129;178</t>
  </si>
  <si>
    <t>Cell membrane;Complete proteome;Deafness;Disease mutation;Host cell receptor for virus entry;Membrane;Receptor;Reference proteome;Transmembrane;Transmembrane helix;Transport</t>
  </si>
  <si>
    <t>UniRef100_Q9HAB3;UniRef90_Q9HAB3;UniRef50_Q9NWF4</t>
  </si>
  <si>
    <t>LPHN3_HUMAN</t>
  </si>
  <si>
    <t>Latrophilin-3</t>
  </si>
  <si>
    <t>LPHN3</t>
  </si>
  <si>
    <t>SP:1-19;NC:20-865;TM:866-889;CY:890-900;TM:901-918;NC:919-929;TM:930-957;CY:958-968;TM:969-988;NC:989-1007;TM:1008-1031;CY:1032-1051;TM:1052-1075;NC:1076-1080;TM:1081-1104;CY:1105-1447</t>
  </si>
  <si>
    <t>ENSG00000150471</t>
  </si>
  <si>
    <t>93;464;549;608;746;759;804;830;919;1076;1157;1174;1229</t>
  </si>
  <si>
    <t>Alternative splicing;Cell membrane;Complete proteome;Disulfide bond;G-protein coupled receptor;Glycoprotein;Lectin;Membrane;Polymorphism;Receptor;Reference proteome;Signal;Transducer;Transmembrane;Transmembrane helix</t>
  </si>
  <si>
    <t>UniRef100_Q9HAR2;UniRef90_O97827-5;UniRef50_Q80TS3-3</t>
  </si>
  <si>
    <t>S28A3_HUMAN</t>
  </si>
  <si>
    <t>Solute carrier family 28 member 3</t>
  </si>
  <si>
    <t>SLC28A3</t>
  </si>
  <si>
    <t>CY:1-103;TM:104-123;NC:124-128;TM:129-149;CY:150-169;TM:170-191;NC:192-196;TM:197-217;CY:218-224;TM:225-245;NC:246-283;TM:284-305;CY:306-316;TM:317-340;NC:341-359;TM:360-382;CY:383-388;TM:389-408;NC:409-444;TM:445-468;CY:469-479;TM:480-499;NC:500-554;TM:555-578;CY:579-590;TM:591-612;NC:613-691</t>
  </si>
  <si>
    <t>ENSG00000197506</t>
  </si>
  <si>
    <t>ENSP00000365413</t>
  </si>
  <si>
    <t>30;34;630;636;664</t>
  </si>
  <si>
    <t>172;175</t>
  </si>
  <si>
    <t>Alternative splicing;Cell membrane;Complete proteome;Endoplasmic reticulum;Membrane;Polymorphism;Reference proteome;Transmembrane;Transmembrane helix</t>
  </si>
  <si>
    <t>UniRef100_Q9HAS3;UniRef90_Q9HAS3;UniRef50_Q9HAS3</t>
  </si>
  <si>
    <t>TNR27_HUMAN</t>
  </si>
  <si>
    <t>Tumor necrosis factor receptor superfamily member 27</t>
  </si>
  <si>
    <t>EDA2R</t>
  </si>
  <si>
    <t>NC:1-138;TM:139-162;CY:163-297</t>
  </si>
  <si>
    <t>ENSG00000131080</t>
  </si>
  <si>
    <t>ENSP00000363851;ENSP00000415242</t>
  </si>
  <si>
    <t>Alternative splicing;Complete proteome;Developmental protein;Differentiation;Disulfide bond;Glycoprotein;Membrane;Polymorphism;Receptor;Reference proteome;Repeat;Transmembrane;Transmembrane helix</t>
  </si>
  <si>
    <t>UniRef100_Q9HAV5;UniRef90_Q9HAV5;UniRef50_Q9HAV5</t>
  </si>
  <si>
    <t>ILRL2_HUMAN</t>
  </si>
  <si>
    <t>Interleukin-1 receptor-like 2</t>
  </si>
  <si>
    <t>IL1RL2</t>
  </si>
  <si>
    <t>SP:1-19;NC:20-335;TM:336-359;CY:360-575</t>
  </si>
  <si>
    <t>ENSG00000115598</t>
  </si>
  <si>
    <t>ENSP00000264257</t>
  </si>
  <si>
    <t>41;59;109;127;184;234;250;266;299;464</t>
  </si>
  <si>
    <t>41;109;250;266;299</t>
  </si>
  <si>
    <t>LLVSN[115]VSAEDR</t>
  </si>
  <si>
    <t>Q9HB29</t>
  </si>
  <si>
    <t>Alternative splicing;Complete proteome;Disulfide bond;Glycoprotein;Immunity;Immunoglobulin domain;Inflammatory response;Innate immunity;Membrane;Polymorphism;Receptor;Reference proteome;Repeat;Signal;Transmembrane;Transmembrane helix</t>
  </si>
  <si>
    <t>UniRef100_Q9HB29;UniRef90_Q9HB29;UniRef50_Q9HB29</t>
  </si>
  <si>
    <t>NMUR1_HUMAN</t>
  </si>
  <si>
    <t>Neuromedin-U receptor 1</t>
  </si>
  <si>
    <t>NMUR1</t>
  </si>
  <si>
    <t>NC:1-59;TM:60-86;CY:87-96;TM:97-116;NC:117-135;TM:136-157;CY:158-177;TM:178-198;NC:199-231;TM:232-256;CY:257-294;TM:295-313;NC:314-332;TM:333-356;CY:357-426</t>
  </si>
  <si>
    <t>ENSG00000171596</t>
  </si>
  <si>
    <t>ENSP00000305877</t>
  </si>
  <si>
    <t>7;27;41;151;196</t>
  </si>
  <si>
    <t>41;151</t>
  </si>
  <si>
    <t>NPMACN[115]GSAAR;GHFDPEDLN[115]LTDEALR;FDPEDLN[115]LTDEALR</t>
  </si>
  <si>
    <t>27;41</t>
  </si>
  <si>
    <t>Q9HB89</t>
  </si>
  <si>
    <t>UniRef100_Q9HB89;UniRef90_Q9HB89;UniRef50_Q9HB89</t>
  </si>
  <si>
    <t>TRPV4_HUMAN</t>
  </si>
  <si>
    <t>Transient receptor potential cation channel subfamily V member 4</t>
  </si>
  <si>
    <t>TRPV4</t>
  </si>
  <si>
    <t>CY:1-465;TM:466-486;NC:487-508;TM:509-529;CY:530-550;TM:551-571;NC:572-572;TM:573-593;CY:594-616;TM:617-637;NC:638-647;IM:648-678;NC:679-690;TM:691-711;CY:712-871</t>
  </si>
  <si>
    <t>ENSG00000111199</t>
  </si>
  <si>
    <t>ENSP00000261740;ENSP00000406191</t>
  </si>
  <si>
    <t>201;207;651;784;802</t>
  </si>
  <si>
    <t>Cell junction, adherens junction;Cell membrane (Multi-pass membrane protein);Cell membrane;Cell membrane</t>
  </si>
  <si>
    <t>3D-structure;Alternative splicing;ANK repeat;ATP-binding;Calcium;Calcium channel;Calcium transport;Calmodulin-binding;Cell junction;Cell membrane;Charcot-Marie-Tooth disease;Complete proteome;Disease mutation;Dwarfism;Ion channel;Ion transport;Membrane;Neurodegeneration;Neuropathy;Nucleotide-binding;Phosphoprotein;Polymorphism;Reference proteome;Repeat;Transmembrane;Transmembrane helix;Transport</t>
  </si>
  <si>
    <t>UniRef100_Q9HBA0;UniRef90_Q9HBA0;UniRef50_Q9HBA0</t>
  </si>
  <si>
    <t>CDHR5_HUMAN</t>
  </si>
  <si>
    <t>Cadherin-related family member 5</t>
  </si>
  <si>
    <t>CDHR5</t>
  </si>
  <si>
    <t>SP:1-27;NC:28-667;TM:668-690;CY:691-845</t>
  </si>
  <si>
    <t>44;81;140;198;297;308;405;526</t>
  </si>
  <si>
    <t>Alternative splicing;Calcium;Cell adhesion;Cell membrane;Complete proteome;Glycoprotein;Membrane;Phosphoprotein;Polymorphism;Reference proteome;Repeat;Signal;Transmembrane;Transmembrane helix</t>
  </si>
  <si>
    <t>UniRef100_Q9HBB8;UniRef90_Q9HBB8;UniRef50_Q9HBB8</t>
  </si>
  <si>
    <t>IL21R_HUMAN</t>
  </si>
  <si>
    <t>Interleukin-21 receptor</t>
  </si>
  <si>
    <t>IL21R</t>
  </si>
  <si>
    <t>SP:1-19;NC:20-236;TM:237-255;CY:256-538</t>
  </si>
  <si>
    <t>ENSG00000103522</t>
  </si>
  <si>
    <t>ENSP00000338010;ENSP00000379103;ENSP00000456707</t>
  </si>
  <si>
    <t>CD360</t>
  </si>
  <si>
    <t>73;97;104;125;135</t>
  </si>
  <si>
    <t>214;261</t>
  </si>
  <si>
    <t>3D-structure;Chromosomal rearrangement;Complete proteome;Direct protein sequencing;Disease mutation;Disulfide bond;Glycoprotein;Membrane;Polymorphism;Receptor;Reference proteome;Repeat;Signal;Transmembrane;Transmembrane helix</t>
  </si>
  <si>
    <t>UniRef100_Q9HBE5;UniRef90_Q9HBE5;UniRef50_Q9HBE5</t>
  </si>
  <si>
    <t>LY9_HUMAN</t>
  </si>
  <si>
    <t>T-lymphocyte surface antigen Ly-9</t>
  </si>
  <si>
    <t>LY9</t>
  </si>
  <si>
    <t>SP:1-47;NC:48-454;TM:455-476;CY:477-655</t>
  </si>
  <si>
    <t>ENSG00000122224</t>
  </si>
  <si>
    <t>ENSP00000263285;ENSP00000357018</t>
  </si>
  <si>
    <t>CD229</t>
  </si>
  <si>
    <t>68;95;120;169;173;285;413;424;540;653</t>
  </si>
  <si>
    <t>532;533</t>
  </si>
  <si>
    <t>ARPKEN[115]VTIMVK;PKEN[115]VTIMVK;LCISN[115]LTLNDAGSYK;ISN[115]LTLNDAGSYK;VSENFSCN[115]ITLMCSVK;VSEN[115]FSCN[115]ITLMCSVK;VVWLFN[115]TSIISK;LFN[115]TSIISK;SSENHPN[115]LTCTASNPVSR</t>
  </si>
  <si>
    <t>95;120;169;173;285;424</t>
  </si>
  <si>
    <t>Q9HBG7</t>
  </si>
  <si>
    <t>UniRef100_Q9HBG7;UniRef90_Q9HBG7;UniRef50_Q9HBG7</t>
  </si>
  <si>
    <t>TMM27_HUMAN</t>
  </si>
  <si>
    <t>Collectrin</t>
  </si>
  <si>
    <t>TMEM27</t>
  </si>
  <si>
    <t>SP:1-17;NC:18-141;TM:142-165;CY:166-222</t>
  </si>
  <si>
    <t>ENSG00000147003</t>
  </si>
  <si>
    <t>ENSP00000369699</t>
  </si>
  <si>
    <t>76;93</t>
  </si>
  <si>
    <t>UniRef100_Q9HBJ8;UniRef90_Q9HBJ8;UniRef50_Q9HBJ8</t>
  </si>
  <si>
    <t>LRTM1_HUMAN</t>
  </si>
  <si>
    <t>Leucine-rich repeat and transmembrane domain-containing protein 1</t>
  </si>
  <si>
    <t>LRTM1</t>
  </si>
  <si>
    <t>SP:1-20;NC:21-284;TM:285-310;CY:311-345</t>
  </si>
  <si>
    <t>ENSG00000144771</t>
  </si>
  <si>
    <t>ENSP00000273286</t>
  </si>
  <si>
    <t>80;83;104;133;147</t>
  </si>
  <si>
    <t>UniRef100_Q9HBL6;UniRef90_Q9HBL6;UniRef50_Q9HBL6</t>
  </si>
  <si>
    <t>CAD20_HUMAN</t>
  </si>
  <si>
    <t>Cadherin-20</t>
  </si>
  <si>
    <t>CDH20</t>
  </si>
  <si>
    <t>SP:1-34;NC:35-619;TM:620-640;CY:641-801</t>
  </si>
  <si>
    <t>ENSG00000101542</t>
  </si>
  <si>
    <t>ENSP00000262717;ENSP00000444767;ENSP00000442226</t>
  </si>
  <si>
    <t>261;420;461;542;719</t>
  </si>
  <si>
    <t>Calcium;Cell adhesion;Cell membrane;Cleavage on pair of basic residues;Complete proteome;Glycoprotein;Membrane;Metal-binding;Polymorphism;Reference proteome;Repeat;Signal;Transmembrane;Transmembrane helix</t>
  </si>
  <si>
    <t>UniRef100_Q9HBT6;UniRef90_Q9HBT6;UniRef50_Q9HBT6</t>
  </si>
  <si>
    <t>SACA1_HUMAN</t>
  </si>
  <si>
    <t>Sperm acrosome membrane-associated protein 1</t>
  </si>
  <si>
    <t>SPACA1</t>
  </si>
  <si>
    <t>SP:1-29;NC:30-216;TM:217-245;CY:246-294</t>
  </si>
  <si>
    <t>ENSG00000118434</t>
  </si>
  <si>
    <t>ENSP00000237201</t>
  </si>
  <si>
    <t>31;54;165</t>
  </si>
  <si>
    <t>UniRef100_Q9HBV2;UniRef90_Q9HBV2;UniRef50_Q9HBV2</t>
  </si>
  <si>
    <t>LPAR2_HUMAN</t>
  </si>
  <si>
    <t>Lysophosphatidic acid receptor 2</t>
  </si>
  <si>
    <t>LPAR2</t>
  </si>
  <si>
    <t>NC:1-32;TM:33-57;CY:58-66;TM:67-90;NC:91-107;TM:108-127;CY:128-146;TM:147-168;NC:169-189;TM:190-213;CY:214-238;TM:239-259;NC:260-278;TM:279-297;CY:298-351</t>
  </si>
  <si>
    <t>ENSG00000064547</t>
  </si>
  <si>
    <t>ENSP00000384665;ENSP00000443256;ENSP00000465280</t>
  </si>
  <si>
    <t>10;18</t>
  </si>
  <si>
    <t>319;326;327;328</t>
  </si>
  <si>
    <t>UniRef100_Q9HBW0;UniRef90_Q9HBW0;UniRef50_Q9HBW0</t>
  </si>
  <si>
    <t>LRRC4_HUMAN</t>
  </si>
  <si>
    <t>Leucine-rich repeat-containing protein 4</t>
  </si>
  <si>
    <t>LRRC4</t>
  </si>
  <si>
    <t>SP:1-41;NC:42-527;TM:528-548;CY:549-653</t>
  </si>
  <si>
    <t>ENSG00000128594</t>
  </si>
  <si>
    <t>ENSP00000249363</t>
  </si>
  <si>
    <t>213;277;322;363;388;410;434;440;447;450</t>
  </si>
  <si>
    <t>Cell junction, synapse, postsynaptic cell membrane;Membrane (Single-pass type I membrane protein)</t>
  </si>
  <si>
    <t>3D-structure;Cell junction;Cell membrane;Complete proteome;Disulfide bond;Glycoprotein;Immunoglobulin domain;Leucine-rich repeat;Membrane;Polymorphism;Postsynaptic cell membrane;Reference proteome;Repeat;Signal;Synapse;Transmembrane;Transmembrane helix</t>
  </si>
  <si>
    <t>UniRef100_Q9HBW1;UniRef90_Q99PH1;UniRef50_Q99PH1</t>
  </si>
  <si>
    <t>ELTD1_HUMAN</t>
  </si>
  <si>
    <t>EGF, latrophilin and seven transmembrane domain-containing protein 1</t>
  </si>
  <si>
    <t>ELTD1</t>
  </si>
  <si>
    <t>SP:1-19;NC:20-431;TM:432-453;CY:454-464;TM:465-483;NC:484-496;TM:497-524;CY:525-532;TM:533-555;NC:556-570;TM:571-595;CY:596-618;TM:619-639;NC:640-645;TM:646-667;CY:668-690</t>
  </si>
  <si>
    <t>ENSG00000162618</t>
  </si>
  <si>
    <t>ENSP00000359778</t>
  </si>
  <si>
    <t>15;21;64;74;127;177;188;249;374;381;395</t>
  </si>
  <si>
    <t>DTLSN[115]STLTEFVK;TTEFDTN[115]STDIALK</t>
  </si>
  <si>
    <t>188;249</t>
  </si>
  <si>
    <t>Q9HBW9</t>
  </si>
  <si>
    <t>Calcium;Cell membrane;Complete proteome;Disulfide bond;EGF-like domain;G-protein coupled receptor;Glycoprotein;Membrane;Polymorphism;Receptor;Reference proteome;Repeat;Signal;Transducer;Transmembrane;Transmembrane helix</t>
  </si>
  <si>
    <t>UniRef100_Q9HBW9;UniRef90_Q9HBW9;UniRef50_Q9ESC1</t>
  </si>
  <si>
    <t>LGR6_HUMAN</t>
  </si>
  <si>
    <t>Leucine-rich repeat-containing G-protein coupled receptor 6</t>
  </si>
  <si>
    <t>LGR6</t>
  </si>
  <si>
    <t>SP:1-24;NC:25-565;TM:566-587;CY:588-598;TM:599-621;NC:622-644;TM:645-665;CY:666-685;TM:686-708;NC:709-727;TM:728-754;CY:755-774;TM:775-799;NC:800-809;TM:810-830;CY:831-967</t>
  </si>
  <si>
    <t>ENSG00000133067</t>
  </si>
  <si>
    <t>ENSP00000387869</t>
  </si>
  <si>
    <t>77;208</t>
  </si>
  <si>
    <t>Alternative splicing;Cell membrane;Complete proteome;Disulfide bond;G-protein coupled receptor;Glycoprotein;Leucine-rich repeat;Membrane;Polymorphism;Receptor;Reference proteome;Repeat;Signal;Transducer;Transmembrane;Transmembrane helix;Tumor suppressor;Wnt signaling pathway</t>
  </si>
  <si>
    <t>UniRef100_Q9HBX8;UniRef90_Q9HBX8;UniRef50_Q9HBX8</t>
  </si>
  <si>
    <t>RXFP1_HUMAN</t>
  </si>
  <si>
    <t>Relaxin receptor 1</t>
  </si>
  <si>
    <t>RXFP1</t>
  </si>
  <si>
    <t>NC:1-408;TM:409-428;CY:429-438;TM:439-462;NC:463-486;TM:487-508;CY:509-528;TM:529-547;NC:548-576;TM:577-599;CY:600-628;TM:629-647;NC:648-655;TM:656-676;CY:677-757</t>
  </si>
  <si>
    <t>ENSG00000171509</t>
  </si>
  <si>
    <t>ENSP00000303248</t>
  </si>
  <si>
    <t>36;127;264;272;325;368</t>
  </si>
  <si>
    <t>68;135;202;251;413;479;536;641;664;696;719;723</t>
  </si>
  <si>
    <t>3D-structure;Alternative splicing;Calcium;Cell membrane;Complete proteome;Disulfide bond;G-protein coupled receptor;Glycoprotein;Leucine-rich repeat;Membrane;Metal-binding;Receptor;Reference proteome;Repeat;Transducer;Transmembrane;Transmembrane helix</t>
  </si>
  <si>
    <t>UniRef100_Q9HBX9;UniRef90_Q9HBX9;UniRef50_Q9HBX9</t>
  </si>
  <si>
    <t>PCDH9_HUMAN</t>
  </si>
  <si>
    <t>Protocadherin-9</t>
  </si>
  <si>
    <t>PCDH9</t>
  </si>
  <si>
    <t>SP:1-23;NC:24-811;TM:812-836;CY:837-1237</t>
  </si>
  <si>
    <t>ENSG00000184226</t>
  </si>
  <si>
    <t>ENSP00000367096</t>
  </si>
  <si>
    <t>48;148;306;307;347;368;450;511;547;630;681;734;754;775;780;901;1207</t>
  </si>
  <si>
    <t>DLN[115]ISHINAATGTSASLVYR;LFALN[115]NTTGLITVQR;LFALN[115]N[115]TTGLITVQR;YIISPIN[115]GTVYLSEK;YIISPIN[115]GTVYLSEKDPVNTK;IVASDSGKPSLN[115]QTALV;IVASDSGKPSLN[115]QTALVR;PSLN[115]QTALVR;SN[115]VSFDR;VTINVMDVNDNSPVVISPPSN[115]TSFK;IDPVTGN[115]ITLEEK;IDPVTGN[115]ITLEEKPAPTDVGLHR;PVTGN[115]ITLEEKPAPTDVGLHR;LVVN[115]ISDLGYPK</t>
  </si>
  <si>
    <t>48;306;307;368;450;630;681;734;754</t>
  </si>
  <si>
    <t>Q9HC56</t>
  </si>
  <si>
    <t>3D-structure;Alternative splicing;Calcium;Cell adhesion;Cell membrane;Complete proteome;Glycoprotein;Membrane;Reference proteome;Repeat;Signal;Transmembrane;Transmembrane helix</t>
  </si>
  <si>
    <t>UniRef100_Q9HC56;UniRef90_Q9HC56;UniRef50_Q9HC56</t>
  </si>
  <si>
    <t>NCKX3_HUMAN</t>
  </si>
  <si>
    <t>Sodium/potassium/calcium exchanger 3</t>
  </si>
  <si>
    <t>SLC24A3</t>
  </si>
  <si>
    <t>SP:1-43;NC:44-109;TM:110-129;CY:130-149;TM:150-173;NC:174-179;TM:180-202;CY:203-212;TM:213-232;NC:233-237;TM:238-258;CY:259-482;TM:483-505;NC:506-510;TM:511-533;CY:534-545;TM:546-568;NC:569-579;TM:580-601;CY:602-612;TM:613-635;NC:636-644</t>
  </si>
  <si>
    <t>ENSG00000185052</t>
  </si>
  <si>
    <t>ENSP00000333519;ENSP00000482967</t>
  </si>
  <si>
    <t>71;86;383;396;409</t>
  </si>
  <si>
    <t>Antiport;Calcium;Calcium transport;Complete proteome;Glycoprotein;Ion transport;Membrane;Polymorphism;Potassium;Potassium transport;Reference proteome;Repeat;Signal;Sodium;Sodium transport;Symport;Transmembrane;Transmembrane helix;Transport</t>
  </si>
  <si>
    <t>UniRef100_Q9HC58;UniRef90_Q9HC58;UniRef50_Q9HC58</t>
  </si>
  <si>
    <t>CRLF2_HUMAN</t>
  </si>
  <si>
    <t>Cytokine receptor-like factor 2</t>
  </si>
  <si>
    <t>CRLF2</t>
  </si>
  <si>
    <t>SP:1-27;NC:28-231;TM:232-252;CY:253-371</t>
  </si>
  <si>
    <t>ENSG00000205755</t>
  </si>
  <si>
    <t>ENSP00000370978;ENSP00000383641;ENSP00000485269</t>
  </si>
  <si>
    <t>47;55;101;169</t>
  </si>
  <si>
    <t>TN[115]LTFHY;TN[115]LTFHYR;N[115]GTHPVFTASR;QENTCN[115]VTIEGLDAEK</t>
  </si>
  <si>
    <t>55;101;169</t>
  </si>
  <si>
    <t>Q9HC73</t>
  </si>
  <si>
    <t>Alternative splicing;Cell membrane;Complete proteome;Disulfide bond;Glycoprotein;Membrane;Receptor;Reference proteome;Secreted;Signal;Transmembrane;Transmembrane helix</t>
  </si>
  <si>
    <t>UniRef100_Q9HC73;UniRef90_Q9HC73;UniRef50_Q9HC73</t>
  </si>
  <si>
    <t>GPR35_HUMAN</t>
  </si>
  <si>
    <t>G-protein coupled receptor 35</t>
  </si>
  <si>
    <t>GPR35</t>
  </si>
  <si>
    <t>NC:1-22;TM:23-45;CY:46-56;TM:57-78;NC:79-95;TM:96-114;CY:115-132;TM:133-154;NC:155-173;TM:174-198;CY:199-218;TM:219-239;NC:240-256;TM:257-279;CY:280-309</t>
  </si>
  <si>
    <t>ENSG00000178623</t>
  </si>
  <si>
    <t>ENSP00000322731;ENSP00000385140;ENSP00000384263;ENSP00000415890</t>
  </si>
  <si>
    <t>UniRef100_Q9HC97;UniRef90_Q9HC97;UniRef50_Q9HC97</t>
  </si>
  <si>
    <t>GDPD2_HUMAN</t>
  </si>
  <si>
    <t>Glycerophosphoinositol inositolphosphodiesterase GDPD2</t>
  </si>
  <si>
    <t>GDPD2</t>
  </si>
  <si>
    <t>CY:1-37;TM:38-62;NC:63-81;TM:82-107;CY:108-120;TM:121-140;NC:141-157;TM:158-177;CY:178-188;TM:189-211;NC:212-489;TM:490-511;CY:512-539</t>
  </si>
  <si>
    <t>ENSG00000130055</t>
  </si>
  <si>
    <t>ENSP00000363503</t>
  </si>
  <si>
    <t>349;362;415;442</t>
  </si>
  <si>
    <t>76;79</t>
  </si>
  <si>
    <t>Cell membrane (Multi-pass membrane protein);Cytoplasm;Cytoplasm, cytoskeleton</t>
  </si>
  <si>
    <t>Alternative splicing;Cell membrane;Complete proteome;Cytoplasm;Cytoskeleton;Glycoprotein;Hydrolase;Membrane;Metal-binding;Reference proteome;Transmembrane;Transmembrane helix</t>
  </si>
  <si>
    <t>UniRef100_Q9HCC8;UniRef90_Q9HCC8;UniRef50_Q9ESM6</t>
  </si>
  <si>
    <t>ANKH_HUMAN</t>
  </si>
  <si>
    <t>Progressive ankylosis protein homolog</t>
  </si>
  <si>
    <t>ANKH</t>
  </si>
  <si>
    <t>CY:1-85;TM:86-107;NC:108-130;TM:131-152;CY:153-158;TM:159-180;NC:181-190;TM:191-213;CY:214-326;TM:327-346;NC:347-351;TM:352-377;CY:378-397;TM:398-421;NC:422-432;TM:433-452;CY:453-492</t>
  </si>
  <si>
    <t>ENSG00000154122</t>
  </si>
  <si>
    <t>ENSP00000284268</t>
  </si>
  <si>
    <t>347;461</t>
  </si>
  <si>
    <t>Alternative splicing;Complete proteome;Deafness;Disease mutation;Membrane;Phosphate transport;Reference proteome;Transmembrane;Transmembrane helix;Transport</t>
  </si>
  <si>
    <t>UniRef100_Q9HCJ1;UniRef90_Q9HCJ1;UniRef50_Q9HCJ1</t>
  </si>
  <si>
    <t>LRC4C_HUMAN</t>
  </si>
  <si>
    <t>Leucine-rich repeat-containing protein 4C</t>
  </si>
  <si>
    <t>LRRC4C</t>
  </si>
  <si>
    <t>SP:1-44;NC:45-527;TM:528-548;CY:549-640</t>
  </si>
  <si>
    <t>ENSG00000148948</t>
  </si>
  <si>
    <t>ENSP00000278198;ENSP00000436976;ENSP00000437132;ENSP00000434761;ENSP00000480903</t>
  </si>
  <si>
    <t>214;278;364;390;412;415;434;442;488;606</t>
  </si>
  <si>
    <t>3D-structure;Cell junction;Cell membrane;Complete proteome;Disulfide bond;Immunoglobulin domain;Leucine-rich repeat;Membrane;Postsynaptic cell membrane;Reference proteome;Repeat;Signal;Synapse;Transmembrane;Transmembrane helix</t>
  </si>
  <si>
    <t>UniRef100_Q9HCJ2;UniRef90_Q9HCJ2;UniRef50_Q99PH1</t>
  </si>
  <si>
    <t>ROBO2_HUMAN</t>
  </si>
  <si>
    <t>Roundabout homolog 2</t>
  </si>
  <si>
    <t>ROBO2</t>
  </si>
  <si>
    <t>SP:1-21;NC:22-859;TM:860-882;CY:883-1378</t>
  </si>
  <si>
    <t>ENSG00000185008</t>
  </si>
  <si>
    <t>ENSP00000417164</t>
  </si>
  <si>
    <t>123;426;752;782;789;845;907;936;986;1057;1065;1274;1356</t>
  </si>
  <si>
    <t>123;138;426;752;782;789;845;907;936;986;1057;1065;1274;1356</t>
  </si>
  <si>
    <t>3D-structure;Alternative splicing;Chemotaxis;Chromosomal rearrangement;Complete proteome;Developmental protein;Differentiation;Disease mutation;Disulfide bond;Glycoprotein;Immunoglobulin domain;Membrane;Neurogenesis;Reference proteome;Repeat;Signal;Transmembrane;Transmembrane helix</t>
  </si>
  <si>
    <t>UniRef100_Q9HCK4;UniRef90_Q9HCK4;UniRef50_Q9HCK4</t>
  </si>
  <si>
    <t>PCD18_HUMAN</t>
  </si>
  <si>
    <t>Protocadherin-18</t>
  </si>
  <si>
    <t>PCDH18</t>
  </si>
  <si>
    <t>SP:1-27;NC:28-697;TM:698-722;CY:723-1135</t>
  </si>
  <si>
    <t>ENSG00000189184</t>
  </si>
  <si>
    <t>ENSP00000355082</t>
  </si>
  <si>
    <t>103;269;420;477;559;583;641;766;816</t>
  </si>
  <si>
    <t>TYENNYLILTN[115]ATLDR;N[115]NTAEITIPK</t>
  </si>
  <si>
    <t>420;583</t>
  </si>
  <si>
    <t>Q9HCL0</t>
  </si>
  <si>
    <t>UniRef100_Q9HCL0;UniRef90_Q8VHR0;UniRef50_Q8VHR0</t>
  </si>
  <si>
    <t>PLXA4_HUMAN</t>
  </si>
  <si>
    <t>Plexin-A4</t>
  </si>
  <si>
    <t>PLXNA4</t>
  </si>
  <si>
    <t>SP:1-28;NC:29-1235;TM:1236-1260;CY:1261-1894</t>
  </si>
  <si>
    <t>ENSG00000221866</t>
  </si>
  <si>
    <t>ENSP00000323194;ENSP00000352882</t>
  </si>
  <si>
    <t>7;164;442;567;592;655;756;764;1007;1090;1132;1135;1180;1609;1610</t>
  </si>
  <si>
    <t>N[115]HSLAFVGTK;TN[115]FTYYPNPVFEAFGP</t>
  </si>
  <si>
    <t>442;1135</t>
  </si>
  <si>
    <t>Q9HCM2</t>
  </si>
  <si>
    <t>3D-structure;Acetylation;Alternative splicing;Cell membrane;Complete proteome;Disulfide bond;Glycoprotein;Membrane;Receptor;Reference proteome;Repeat;Signal;Transmembrane;Transmembrane helix</t>
  </si>
  <si>
    <t>UniRef100_Q9HCM2;UniRef90_Q80UG2;UniRef50_Q80UG2</t>
  </si>
  <si>
    <t>TMM8A_HUMAN</t>
  </si>
  <si>
    <t>Transmembrane protein 8A</t>
  </si>
  <si>
    <t>TMEM8A</t>
  </si>
  <si>
    <t>SP:1-34;NC:35-545;TM:546-564;CY:565-569;TM:570-589;NC:590-604;TM:605-624;CY:625-630;TM:631-649;NC:650-655;TM:656-675;CY:676-690;TM:691-712;NC:713-717;TM:718-737;CY:738-771</t>
  </si>
  <si>
    <t>ENSG00000129925</t>
  </si>
  <si>
    <t>ENSP00000401338</t>
  </si>
  <si>
    <t>140;144;232;319;323;407;413;431;435;535</t>
  </si>
  <si>
    <t>407;413;435;535</t>
  </si>
  <si>
    <t>274;527;688</t>
  </si>
  <si>
    <t>DCVSN[115]GSLGCPVR;GWSCTDN[115]STAQTVAQQR</t>
  </si>
  <si>
    <t>232;535</t>
  </si>
  <si>
    <t>Q9HCN3</t>
  </si>
  <si>
    <t>Cell adhesion;Complete proteome;Disulfide bond;EGF-like domain;Glycoprotein;Membrane;Polymorphism;Reference proteome;Signal;Transmembrane;Transmembrane helix</t>
  </si>
  <si>
    <t>UniRef100_Q9HCN3;UniRef90_Q9HCN3;UniRef50_Q9HCN3</t>
  </si>
  <si>
    <t>GPVI_HUMAN</t>
  </si>
  <si>
    <t>Platelet glycoprotein VI</t>
  </si>
  <si>
    <t>GP6</t>
  </si>
  <si>
    <t>SP:1-20;NC:21-269;TM:270-289;CY:290-339</t>
  </si>
  <si>
    <t>ENSG00000088053;ENSG00000275633;ENSG00000276211;ENSG00000275931;ENSG00000276065;ENSG00000277439;ENSG00000274050;ENSG00000274566;ENSG00000278670;ENSG00000278316</t>
  </si>
  <si>
    <t>ENSP00000394922;ENSP00000483314</t>
  </si>
  <si>
    <t>210;218;248;250;254;256</t>
  </si>
  <si>
    <t>Cell membrane (Single-pass membrane protein);Cell membrane (Single-pass membrane protein)</t>
  </si>
  <si>
    <t>3D-structure;Alternative splicing;Blood coagulation;Cell membrane;Complete proteome;Direct protein sequencing;Disease mutation;Disulfide bond;Glycoprotein;Hemostasis;Immunoglobulin domain;Membrane;Polymorphism;Receptor;Reference proteome;Repeat;Signal;Transmembrane;Transmembrane helix</t>
  </si>
  <si>
    <t>UniRef100_Q9HCN6;UniRef90_Q9HCN6;UniRef50_Q9HCN6</t>
  </si>
  <si>
    <t>CD248_HUMAN</t>
  </si>
  <si>
    <t>Endosialin</t>
  </si>
  <si>
    <t>CD248</t>
  </si>
  <si>
    <t>SP:1-17;NC:18-685;TM:686-711;CY:712-757</t>
  </si>
  <si>
    <t>ENSG00000174807</t>
  </si>
  <si>
    <t>ENSP00000308117</t>
  </si>
  <si>
    <t>459;619</t>
  </si>
  <si>
    <t>Alternative splicing;Calcium;Complete proteome;Disulfide bond;EGF-like domain;Glycoprotein;Lectin;Membrane;Polymorphism;Reference proteome;Signal;Transmembrane;Transmembrane helix</t>
  </si>
  <si>
    <t>UniRef100_Q9HCU0;UniRef90_Q9HCU0;UniRef50_Q9HCU0</t>
  </si>
  <si>
    <t>CELR2_HUMAN</t>
  </si>
  <si>
    <t>Cadherin EGF LAG seven-pass G-type receptor 2</t>
  </si>
  <si>
    <t>CELSR2</t>
  </si>
  <si>
    <t>SP:1-31;NC:32-2379;TM:2380-2403;CY:2404-2414;TM:2415-2433;NC:2434-2440;TM:2441-2460;CY:2461-2480;TM:2481-2500;NC:2501-2519;TM:2520-2541;CY:2542-2561;TM:2562-2583;NC:2584-2588;TM:2589-2612;CY:2613-2923</t>
  </si>
  <si>
    <t>ENSG00000143126</t>
  </si>
  <si>
    <t>ENSP00000271332</t>
  </si>
  <si>
    <t>486;557;701;1036;1076;1182;1212;1501;1565;1741;1827;1900;2024;2043;2061;2323;2345;2414</t>
  </si>
  <si>
    <t>GNELSLVLLN[115]ASTGELK;FGSVLGN[115]YSCAAQGTQGGSK</t>
  </si>
  <si>
    <t>1076;1501</t>
  </si>
  <si>
    <t>Q9HCU4</t>
  </si>
  <si>
    <t>Calcium;Cell membrane;Complete proteome;Developmental protein;Disulfide bond;EGF-like domain;G-protein coupled receptor;Glycoprotein;Hydroxylation;Laminin EGF-like domain;Membrane;Polymorphism;Receptor;Reference proteome;Repeat;Signal;Transducer;Transmembrane;Transmembrane helix</t>
  </si>
  <si>
    <t>UniRef100_Q9HCU4;UniRef90_Q9R0M0;UniRef50_Q9NYQ6</t>
  </si>
  <si>
    <t>AT131_HUMAN</t>
  </si>
  <si>
    <t>Manganese-transporting ATPase 13A1</t>
  </si>
  <si>
    <t>ATP13A1</t>
  </si>
  <si>
    <t>CY:1-65;TM:66-90;NC:91-95;TM:96-116;CY:117-244;TM:245-265;NC:266-444;TM:445-464;CY:465-987;TM:988-1007;NC:1008-1012;TM:1013-1031;CY:1032-1051;TM:1052-1073;NC:1074-1100;TM:1101-1121;CY:1122-1132;TM:1133-1151;NC:1152-1170;TM:1171-1191;CY:1192-1204</t>
  </si>
  <si>
    <t>ENSG00000105726</t>
  </si>
  <si>
    <t>ENSP00000349877</t>
  </si>
  <si>
    <t>150;287;420;502;738;1100</t>
  </si>
  <si>
    <t>Acetylation;Alternative splicing;ATP-binding;Complete proteome;Endoplasmic reticulum;Glycoprotein;Hydrolase;Magnesium;Manganese;Membrane;Metal-binding;Nucleotide-binding;Phosphoprotein;Reference proteome;Transmembrane;Transmembrane helix;Transport</t>
  </si>
  <si>
    <t>UniRef100_Q9HD20;UniRef90_Q9HD20;UniRef50_Q9HD20</t>
  </si>
  <si>
    <t>PTPRH_HUMAN</t>
  </si>
  <si>
    <t>Receptor-type tyrosine-protein phosphatase H</t>
  </si>
  <si>
    <t>PTPRH</t>
  </si>
  <si>
    <t>SP:1-26;NC:27-752;TM:753-776;CY:777-1115</t>
  </si>
  <si>
    <t>ENSG00000080031</t>
  </si>
  <si>
    <t>ENSP00000263434;ENSP00000365528</t>
  </si>
  <si>
    <t>35;78;83;107;132;149;172;196;203;238;256;285;302;310;327;350;374;381;399;434;437;468;488;556;573;620;626;642;876;957</t>
  </si>
  <si>
    <t>35;78;83;149;172;203;238;256;302;327;350;381;434;488;556;573;620;626;642;957</t>
  </si>
  <si>
    <t>509;599</t>
  </si>
  <si>
    <t>Alternative splicing;Apoptosis;Complete proteome;Cytoplasm;Disulfide bond;Glycoprotein;Hydrolase;Membrane;Polymorphism;Protein phosphatase;Reference proteome;Repeat;Signal;Transmembrane;Transmembrane helix</t>
  </si>
  <si>
    <t>UniRef100_Q9HD43;UniRef90_Q9HD43;UniRef50_Q9HD43</t>
  </si>
  <si>
    <t>TM9S3_HUMAN</t>
  </si>
  <si>
    <t>Transmembrane 9 superfamily member 3</t>
  </si>
  <si>
    <t>TM9SF3</t>
  </si>
  <si>
    <t>SP:1-28;NC:29-220;TM:221-245;CY:246-288;TM:289-314;NC:315-358;TM:359-384;CY:385-393;TM:394-416;NC:417-445;TM:446-469;CY:470-478;TM:479-507;NC:508-518;TM:519-539;CY:540-550;TM:551-573;NC:574-589</t>
  </si>
  <si>
    <t>ENSG00000077147</t>
  </si>
  <si>
    <t>ENSP00000360184</t>
  </si>
  <si>
    <t>174;419</t>
  </si>
  <si>
    <t>IVDVN[115]LTSEGK;IVDVN[115]LTSEGKVK;VDVN[115]LTSEGK;N[115]LSGQPNFPCR</t>
  </si>
  <si>
    <t>Q9HD45</t>
  </si>
  <si>
    <t>UniRef100_Q9HD45;UniRef90_Q9HD45;UniRef50_Q9HD45</t>
  </si>
  <si>
    <t>NRX3B_HUMAN</t>
  </si>
  <si>
    <t>Neurexin-3-beta</t>
  </si>
  <si>
    <t>NRXN3</t>
  </si>
  <si>
    <t>SP:1-35;NC:36-562;TM:563-584;CY:585-637</t>
  </si>
  <si>
    <t>ENSG00000021645</t>
  </si>
  <si>
    <t>ENSP00000451393;ENSP00000451672</t>
  </si>
  <si>
    <t>184;252;296;610</t>
  </si>
  <si>
    <t>Alternative promoter usage;Alternative splicing;Angiogenesis;Cell adhesion;Complete proteome;Glycoprotein;Membrane;Reference proteome;Signal;Transmembrane;Transmembrane helix</t>
  </si>
  <si>
    <t>UniRef100_Q9HDB5;UniRef90_Q9HDB5;UniRef50_Q9HDB5</t>
  </si>
  <si>
    <t>ENH3_HUMAN</t>
  </si>
  <si>
    <t>HERV-H_2q24.1 provirus ancestral Env polyprotein</t>
  </si>
  <si>
    <t>SP:1-37;NC:38-513;TM:514-539;CY:540-555</t>
  </si>
  <si>
    <t>10;47;138;144;179;222;265;283;352;370;475;552</t>
  </si>
  <si>
    <t>UniRef100_Q9N2J8;UniRef90_Q9N2K0;UniRef50_Q9N2K0</t>
  </si>
  <si>
    <t>ENH1_HUMAN</t>
  </si>
  <si>
    <t>HERV-H_2q24.3 provirus ancestral Env polyprotein</t>
  </si>
  <si>
    <t>SP:1-35;NC:36-521;TM:522-546;CY:547-584</t>
  </si>
  <si>
    <t>10;47;138;144;179;199;222;265;283;352;370;483;560</t>
  </si>
  <si>
    <t>Cell membrane;Cleavage on pair of basic residues;Complete proteome;Disulfide bond;ERV;Glycoprotein;Membrane;Polymorphism;Reference proteome;Signal;Transmembrane;Transmembrane helix;Transposable element;Viral envelope protein;Virion</t>
  </si>
  <si>
    <t>UniRef100_Q9N2K0;UniRef90_Q9N2K0;UniRef50_Q9N2K0</t>
  </si>
  <si>
    <t>S40A1_HUMAN</t>
  </si>
  <si>
    <t>Solute carrier family 40 member 1</t>
  </si>
  <si>
    <t>SLC40A1</t>
  </si>
  <si>
    <t>NC:1-57;TM:58-83;CY:84-94;TM:95-115;NC:116-126;TM:127-146;CY:147-306;TM:307-333;NC:334-339;TM:340-362;CY:363-373;TM:374-393;NC:394-450;TM:451-470;CY:471-493;TM:494-514;NC:515-519;TM:520-539;CY:540-571</t>
  </si>
  <si>
    <t>ENSG00000138449</t>
  </si>
  <si>
    <t>ENSP00000261024</t>
  </si>
  <si>
    <t>SLC;Other;SLC40</t>
  </si>
  <si>
    <t>100;174;434;567</t>
  </si>
  <si>
    <t>Cell membrane;Complete proteome;Disease mutation;Glycoprotein;Ion transport;Iron;Iron transport;Membrane;Polymorphism;Reference proteome;Transmembrane;Transmembrane helix;Transport</t>
  </si>
  <si>
    <t>UniRef100_Q9NP59;UniRef90_Q9NP59;UniRef50_Q9NP59</t>
  </si>
  <si>
    <t>IRPL2_HUMAN</t>
  </si>
  <si>
    <t>X-linked interleukin-1 receptor accessory protein-like 2</t>
  </si>
  <si>
    <t>IL1RAPL2</t>
  </si>
  <si>
    <t>SP:1-16;NC:17-354;TM:355-378;CY:379-686</t>
  </si>
  <si>
    <t>ENSG00000189108</t>
  </si>
  <si>
    <t>ENSP00000361663</t>
  </si>
  <si>
    <t>63;120;136;211;328;656;668</t>
  </si>
  <si>
    <t>Complete proteome;Disulfide bond;Glycoprotein;Immunoglobulin domain;Membrane;Polymorphism;Receptor;Reference proteome;Repeat;Signal;Transmembrane;Transmembrane helix</t>
  </si>
  <si>
    <t>UniRef100_Q9NP60;UniRef90_Q9NP60;UniRef50_Q9NZN1</t>
  </si>
  <si>
    <t>ABCB9_HUMAN</t>
  </si>
  <si>
    <t>ATP-binding cassette sub-family B member 9</t>
  </si>
  <si>
    <t>ABCB9</t>
  </si>
  <si>
    <t>NC:1-5;TM:6-27;CY:28-47;TM:48-69;NC:70-80;TM:81-103;CY:104-114;TM:115-137;NC:138-184;TM:185-208;CY:209-227;TM:228-254;NC:255-323;TM:324-346;CY:347-408;TM:409-431;NC:432-766</t>
  </si>
  <si>
    <t>ENSG00000150967</t>
  </si>
  <si>
    <t>ENSP00000280560;ENSP00000376234;ENSP00000440288</t>
  </si>
  <si>
    <t>280;508;524;599;761</t>
  </si>
  <si>
    <t>Alternative splicing;ATP-binding;Complete proteome;Lysosome;Membrane;Nucleotide-binding;Peptide transport;Polymorphism;Protein transport;Reference proteome;Transmembrane;Transmembrane helix;Transport</t>
  </si>
  <si>
    <t>UniRef100_Q9NP78;UniRef90_Q9NP78;UniRef50_Q9NP78</t>
  </si>
  <si>
    <t>S6A20_HUMAN</t>
  </si>
  <si>
    <t>Sodium- and chloride-dependent transporter XTRP3</t>
  </si>
  <si>
    <t>SLC6A20</t>
  </si>
  <si>
    <t>CY:1-6;TM:7-29;NC:30-42;TM:43-62;CY:63-81;TM:82-103;NC:104-166;TM:167-186;CY:187-194;TM:195-218;NC:219-240;TM:241-265;CY:266-276;TM:277-298;NC:299-392;TM:393-415;CY:416-435;TM:436-457;NC:458-462;TM:463-486;CY:487-506;TM:507-526;NC:527-552;TM:553-576;CY:577-592</t>
  </si>
  <si>
    <t>ENSG00000163817</t>
  </si>
  <si>
    <t>ENSP00000346298</t>
  </si>
  <si>
    <t>131;155;357</t>
  </si>
  <si>
    <t>Alternative splicing;Amino-acid transport;Cell membrane;Complete proteome;Glycoprotein;Membrane;Polymorphism;Reference proteome;Symport;Transmembrane;Transmembrane helix;Transport</t>
  </si>
  <si>
    <t>UniRef100_Q9NP91;UniRef90_Q9NP91;UniRef50_Q9NP91</t>
  </si>
  <si>
    <t>S39A2_HUMAN</t>
  </si>
  <si>
    <t>Zinc transporter ZIP2</t>
  </si>
  <si>
    <t>SLC39A2</t>
  </si>
  <si>
    <t>NC:1-11;TM:12-32;CY:33-43;TM:44-64;NC:65-103;TM:104-124;CY:125-164;TM:165-185;NC:186-190;TM:191-211;CY:212-222;TM:223-245;NC:246-256;TM:257-277;CY:278-288;TM:289-308;NC:309-309</t>
  </si>
  <si>
    <t>ENSG00000165794</t>
  </si>
  <si>
    <t>ENSP00000298681</t>
  </si>
  <si>
    <t>83;90</t>
  </si>
  <si>
    <t>Alternative splicing;Cell membrane;Complete proteome;Ion transport;Membrane;Polymorphism;Reference proteome;Transmembrane;Transmembrane helix;Transport;Zinc;Zinc transport</t>
  </si>
  <si>
    <t>UniRef100_Q9NP94;UniRef90_Q9NP94;UniRef50_Q9NP94</t>
  </si>
  <si>
    <t>TREM1_HUMAN</t>
  </si>
  <si>
    <t>Triggering receptor expressed on myeloid cells 1</t>
  </si>
  <si>
    <t>TREM1</t>
  </si>
  <si>
    <t>SP:1-20;NC:21-202;TM:203-228;CY:229-234</t>
  </si>
  <si>
    <t>ENSG00000124731</t>
  </si>
  <si>
    <t>ENSP00000244709</t>
  </si>
  <si>
    <t>CD354</t>
  </si>
  <si>
    <t>146;191;194</t>
  </si>
  <si>
    <t>148;157;158;159;167;168;171;173;179;180;184;185</t>
  </si>
  <si>
    <t>3D-structure;Alternative splicing;Cell membrane;Complete proteome;Disulfide bond;Glycoprotein;Immunoglobulin domain;Membrane;Polymorphism;Receptor;Reference proteome;Secreted;Signal;Transmembrane;Transmembrane helix</t>
  </si>
  <si>
    <t>UniRef100_Q9NP99;UniRef90_Q9NP99;UniRef50_Q9NP99</t>
  </si>
  <si>
    <t>KCMB3_HUMAN</t>
  </si>
  <si>
    <t>Calcium-activated potassium channel subunit beta-3</t>
  </si>
  <si>
    <t>KCNMB3</t>
  </si>
  <si>
    <t>CY:1-57;TM:58-80;NC:81-208;TM:209-231;CY:232-279</t>
  </si>
  <si>
    <t>ENSG00000171121</t>
  </si>
  <si>
    <t>ENSP00000319370</t>
  </si>
  <si>
    <t>131;182</t>
  </si>
  <si>
    <t>Alternative splicing;Complete proteome;Disulfide bond;Glycoprotein;Ion channel;Ion transport;Membrane;Polymorphism;Reference proteome;Transmembrane;Transmembrane helix;Transport</t>
  </si>
  <si>
    <t>UniRef100_Q9NPA1;UniRef90_Q9NPA1;UniRef50_Q9NPA1</t>
  </si>
  <si>
    <t>MMP25_HUMAN</t>
  </si>
  <si>
    <t>Matrix metalloproteinase-25</t>
  </si>
  <si>
    <t>MMP25</t>
  </si>
  <si>
    <t>SP:1-26;NC:27-562</t>
  </si>
  <si>
    <t>ENSG00000008516</t>
  </si>
  <si>
    <t>ENSP00000337816</t>
  </si>
  <si>
    <t>Calcium;Cell membrane;Cleavage on pair of basic residues;Complete proteome;Disulfide bond;Extracellular matrix;Glycoprotein;GPI-anchor;Hydrolase;Lipoprotein;Membrane;Metal-binding;Metalloprotease;Protease;Reference proteome;Repeat;Secreted;Signal;Zinc;Zymogen</t>
  </si>
  <si>
    <t>UniRef100_Q9NPA2;UniRef90_Q9NPA2;UniRef50_Q9NPA2</t>
  </si>
  <si>
    <t>ACKR4_HUMAN</t>
  </si>
  <si>
    <t>Atypical chemokine receptor 4</t>
  </si>
  <si>
    <t>ACKR4</t>
  </si>
  <si>
    <t>NC:1-42;TM:43-68;CY:69-87;TM:88-107;NC:108-113;TM:114-135;CY:136-153;TM:154-178;NC:179-197;TM:198-222;CY:223-238;TM:239-258;NC:259-290;TM:291-310;CY:311-350</t>
  </si>
  <si>
    <t>ENSG00000129048</t>
  </si>
  <si>
    <t>ENSP00000249887</t>
  </si>
  <si>
    <t>6;19;276</t>
  </si>
  <si>
    <t>Cell membrane;Complete proteome;Disulfide bond;Endosome;G-protein coupled receptor;Glycoprotein;Membrane;Phosphoprotein;Receptor;Reference proteome;Transducer;Transmembrane;Transmembrane helix</t>
  </si>
  <si>
    <t>UniRef100_Q9NPB9;UniRef90_Q9NPB9;UniRef50_Q9NPB9</t>
  </si>
  <si>
    <t>LT4R2_HUMAN</t>
  </si>
  <si>
    <t>Leukotriene B4 receptor 2</t>
  </si>
  <si>
    <t>LTB4R2</t>
  </si>
  <si>
    <t>NC:1-54;TM:55-78;CY:79-88;TM:89-113;NC:114-126;TM:127-148;CY:149-168;TM:169-190;NC:191-217;TM:218-238;CY:239-252;TM:253-273;NC:274-305;TM:306-327;CY:328-389</t>
  </si>
  <si>
    <t>ENSG00000213906</t>
  </si>
  <si>
    <t>ENSP00000432146</t>
  </si>
  <si>
    <t>Alternative splicing;Cell membrane;Complete proteome;G-protein coupled receptor;Glycoprotein;Membrane;Receptor;Reference proteome;Transducer;Transmembrane;Transmembrane helix</t>
  </si>
  <si>
    <t>UniRef100_Q9NPC1;UniRef90_Q9NPC1;UniRef50_Q9NPC1</t>
  </si>
  <si>
    <t>SO1B3_HUMAN</t>
  </si>
  <si>
    <t>Solute carrier organic anion transporter family member 1B3</t>
  </si>
  <si>
    <t>SLCO1B3</t>
  </si>
  <si>
    <t>CY:1-28;TM:29-51;NC:52-64;TM:65-87;CY:88-95;TM:96-118;NC:119-169;TM:170-193;CY:194-213;TM:214-235;NC:236-255;TM:256-279;CY:280-336;TM:337-356;NC:357-375;TM:376-397;CY:398-403;TM:404-426;NC:427-534;TM:535-558;CY:559-569;TM:570-593;NC:594-623;TM:624-647;CY:648-702</t>
  </si>
  <si>
    <t>ENSG00000111700</t>
  </si>
  <si>
    <t>ENSP00000261196;ENSP00000370956</t>
  </si>
  <si>
    <t>8;134;145;151;306;310;317;321;445;503;516</t>
  </si>
  <si>
    <t>8;134;145;151;306;310;317;321</t>
  </si>
  <si>
    <t>UniRef100_Q9NPD5;UniRef90_Q9NPD5;UniRef50_Q9Y6L6</t>
  </si>
  <si>
    <t>NRN1_HUMAN</t>
  </si>
  <si>
    <t>Neuritin</t>
  </si>
  <si>
    <t>NRN1</t>
  </si>
  <si>
    <t>SP:1-27;NC:28-142</t>
  </si>
  <si>
    <t>ENSG00000124785</t>
  </si>
  <si>
    <t>ENSP00000244766;ENSP00000484055</t>
  </si>
  <si>
    <t>Cell junction, synapse;Cell membrane (Lipid-anchor, GPI-anchor)</t>
  </si>
  <si>
    <t>Cell junction;Cell membrane;Complete proteome;Glycoprotein;GPI-anchor;Lipoprotein;Membrane;Reference proteome;Signal;Synapse</t>
  </si>
  <si>
    <t>UniRef100_Q9NPD7;UniRef90_O08957;UniRef50_O08957</t>
  </si>
  <si>
    <t>CD320_HUMAN</t>
  </si>
  <si>
    <t>CD320 antigen</t>
  </si>
  <si>
    <t>CD320</t>
  </si>
  <si>
    <t>SP:1-35;NC:36-227;TM:228-252;CY:253-282</t>
  </si>
  <si>
    <t>ENSG00000167775</t>
  </si>
  <si>
    <t>ENSP00000301458</t>
  </si>
  <si>
    <t>126;195;213</t>
  </si>
  <si>
    <t>5;12;72;150;252</t>
  </si>
  <si>
    <t>Alternative splicing;Complete proteome;Direct protein sequencing;Disease mutation;Disulfide bond;Glycoprotein;Growth factor;Membrane;Polymorphism;Reference proteome;Repeat;Signal;Transmembrane;Transmembrane helix</t>
  </si>
  <si>
    <t>UniRef100_Q9NPF0;UniRef90_Q9NPF0;UniRef50_Q9NPF0</t>
  </si>
  <si>
    <t>FZD3_HUMAN</t>
  </si>
  <si>
    <t>Frizzled-3</t>
  </si>
  <si>
    <t>FZD3</t>
  </si>
  <si>
    <t>SP:1-27;NC:28-201;TM:202-226;CY:227-237;TM:238-258;NC:259-289;TM:290-314;CY:315-327;TM:328-349;NC:350-372;TM:373-397;CY:398-416;TM:417-441;NC:442-476;TM:477-498;CY:499-666</t>
  </si>
  <si>
    <t>ENSG00000104290</t>
  </si>
  <si>
    <t>ENSP00000240093;ENSP00000437489</t>
  </si>
  <si>
    <t>42;265;356;521</t>
  </si>
  <si>
    <t>Apical cell membrane (Multi-pass membrane protein);Cell membrane (Multi-pass membrane protein);Cell surface;Membrane (Multi-pass membrane protein)</t>
  </si>
  <si>
    <t>Alternative splicing;Cell membrane;Complete proteome;Developmental protein;Direct protein sequencing;Disulfide bond;G-protein coupled receptor;Glycoprotein;Membrane;Neurogenesis;Polymorphism;Receptor;Reference proteome;Signal;Transducer;Transmembrane;Transmembrane helix;Ubl conjugation;Wnt signaling pathway</t>
  </si>
  <si>
    <t>UniRef100_Q9NPG1;UniRef90_Q61086;UniRef50_Q61086</t>
  </si>
  <si>
    <t>PCD12_HUMAN</t>
  </si>
  <si>
    <t>Protocadherin-12</t>
  </si>
  <si>
    <t>PCDH12</t>
  </si>
  <si>
    <t>SP:1-24;NC:25-714;TM:715-738;CY:739-1184</t>
  </si>
  <si>
    <t>ENSG00000113555</t>
  </si>
  <si>
    <t>ENSP00000231484</t>
  </si>
  <si>
    <t>415;582;659;662;857</t>
  </si>
  <si>
    <t>415;659</t>
  </si>
  <si>
    <t>UniRef100_Q9NPG4;UniRef90_Q9NPG4;UniRef50_O55134</t>
  </si>
  <si>
    <t>IL1AP_HUMAN</t>
  </si>
  <si>
    <t>Interleukin-1 receptor accessory protein</t>
  </si>
  <si>
    <t>IL1RAP</t>
  </si>
  <si>
    <t>SP:1-20;NC:21-363;TM:364-383;CY:384-570</t>
  </si>
  <si>
    <t>ENSG00000196083</t>
  </si>
  <si>
    <t>ENSP00000072516;ENSP00000412053;ENSP00000401132;ENSP00000390541</t>
  </si>
  <si>
    <t>57;107;111;118;196;209;299</t>
  </si>
  <si>
    <t>555;556</t>
  </si>
  <si>
    <t>FN[115]YSTAH;FN[115]YSTAHSA;PTLLN[115]DTGN[115]YTCMLR;LLN[115]DTGN[115]YTCMLR;KPDDITIDVTIN[115]ESISHSR;TIN[115]ESISHSR</t>
  </si>
  <si>
    <t>57;107;111;299</t>
  </si>
  <si>
    <t>Q9NPH3</t>
  </si>
  <si>
    <t>3D-structure;Alternative splicing;Cell membrane;Complete proteome;Disulfide bond;Glycoprotein;Immunity;Immunoglobulin domain;Inflammatory response;Innate immunity;Membrane;Phosphoprotein;Polymorphism;Receptor;Reference proteome;Repeat;Secreted;Signal;Transmembrane;Transmembrane helix</t>
  </si>
  <si>
    <t>UniRef100_Q9NPH3;UniRef90_Q9NPH3;UniRef50_Q9NPH3</t>
  </si>
  <si>
    <t>NOX4_HUMAN</t>
  </si>
  <si>
    <t>NADPH oxidase 4</t>
  </si>
  <si>
    <t>NOX4</t>
  </si>
  <si>
    <t>CY:1-15;TM:16-37;NC:38-59;TM:60-83;CY:84-103;TM:104-125;NC:126-154;TM:155-177;CY:178-188;TM:189-210;NC:211-422;TM:423-446;CY:447-578</t>
  </si>
  <si>
    <t>ENSG00000086991</t>
  </si>
  <si>
    <t>ENSP00000263317</t>
  </si>
  <si>
    <t>1.6.3</t>
  </si>
  <si>
    <t>67;129;133;230;236;563</t>
  </si>
  <si>
    <t>Cell junction, focal adhesion;Cell membrane (Multi-pass membrane protein);Endoplasmic reticulum membrane (Multi-pass membrane protein);Nucleus;Nucleus, nucleolus</t>
  </si>
  <si>
    <t>Alternative splicing;Cell junction;Cell membrane;Complete proteome;Disulfide bond;Endoplasmic reticulum;Glycoprotein;Membrane;NADP;Nucleus;Oxidoreductase;Polymorphism;Reference proteome;Transmembrane;Transmembrane helix</t>
  </si>
  <si>
    <t>UniRef100_Q9NPH5;UniRef90_Q9NPH5;UniRef50_Q9NPH5</t>
  </si>
  <si>
    <t>SEM4B_HUMAN</t>
  </si>
  <si>
    <t>Semaphorin-4B</t>
  </si>
  <si>
    <t>SEMA4B</t>
  </si>
  <si>
    <t>SP:1-38;NC:39-712;TM:713-733;CY:734-832</t>
  </si>
  <si>
    <t>ENSG00000185033</t>
  </si>
  <si>
    <t>ENSP00000368417</t>
  </si>
  <si>
    <t>64;91;160;405;520;625</t>
  </si>
  <si>
    <t>FEAEHISN[115]YTAL;FEAEHISN[115]YTALL;FEAEHISN[115]YTALLLSR;YINMEN[115]FTLAR;KIN[115]SSLQLPDR;IN[115]SSLQLPDR</t>
  </si>
  <si>
    <t>64;160;405</t>
  </si>
  <si>
    <t>Q9NPR2</t>
  </si>
  <si>
    <t>Alternative splicing;Complete proteome;Developmental protein;Differentiation;Direct protein sequencing;Disulfide bond;Glycoprotein;Immunoglobulin domain;Membrane;Neurogenesis;Phosphoprotein;Polymorphism;Reference proteome;Signal;Transmembrane;Transmembrane helix</t>
  </si>
  <si>
    <t>UniRef100_Q9NPR2;UniRef90_Q9NPR2;UniRef50_Q9NPR2</t>
  </si>
  <si>
    <t>GP108_HUMAN</t>
  </si>
  <si>
    <t>Protein GPR108</t>
  </si>
  <si>
    <t>GPR108</t>
  </si>
  <si>
    <t>NC:1-261;TM:262-282;CY:283-293;TM:294-317;NC:318-328;TM:329-355;CY:356-366;TM:367-385;NC:386-396;TM:397-419;CY:420-446;TM:447-469;NC:470-474;TM:475-494;CY:495-543</t>
  </si>
  <si>
    <t>ENSG00000125734</t>
  </si>
  <si>
    <t>ENSP00000264080</t>
  </si>
  <si>
    <t>57;109;200;204;228;534</t>
  </si>
  <si>
    <t>UniRef100_Q9NPR9;UniRef90_Q9NPR9;UniRef50_Q9NPR9</t>
  </si>
  <si>
    <t>CN132_HUMAN</t>
  </si>
  <si>
    <t>Putative uncharacterized protein C14orf132</t>
  </si>
  <si>
    <t>C14orf132</t>
  </si>
  <si>
    <t>SP:1-19;NC:20-127;TM:128-158;CY:159-173</t>
  </si>
  <si>
    <t>ENSG00000227051</t>
  </si>
  <si>
    <t>ENSP00000451731</t>
  </si>
  <si>
    <t>38;115</t>
  </si>
  <si>
    <t>UniRef100_Q9NPU4;UniRef90_Q9NPU4;UniRef50_Q9NPU4</t>
  </si>
  <si>
    <t>C1QR1_HUMAN</t>
  </si>
  <si>
    <t>Complement component C1q receptor</t>
  </si>
  <si>
    <t>CD93</t>
  </si>
  <si>
    <t>SP:1-23;NC:24-581;TM:582-606;CY:607-652</t>
  </si>
  <si>
    <t>ENSG00000125810</t>
  </si>
  <si>
    <t>ENSP00000246006</t>
  </si>
  <si>
    <t>501;503;513;515;517;520;548;556;567;645</t>
  </si>
  <si>
    <t>Cell adhesion;Complete proteome;Direct protein sequencing;Disulfide bond;EGF-like domain;Glycoprotein;Host-virus interaction;Lectin;Membrane;Phosphoprotein;Polymorphism;Receptor;Reference proteome;Repeat;Signal;Transmembrane;Transmembrane helix</t>
  </si>
  <si>
    <t>UniRef100_Q9NPY3;UniRef90_Q9NPY3;UniRef50_Q9NPY3</t>
  </si>
  <si>
    <t>AT132_HUMAN</t>
  </si>
  <si>
    <t>Probable cation-transporting ATPase 13A2</t>
  </si>
  <si>
    <t>ATP13A2</t>
  </si>
  <si>
    <t>CY:1-6;TM:7-27;NC:28-46;TM:47-67;CY:68-231;TM:232-251;NC:252-256;TM:257-276;CY:277-427;TM:428-448;NC:449-460;TM:461-484;CY:485-933;TM:934-955;NC:956-960;TM:961-980;CY:981-997;TM:998-1022;NC:1023-1048;TM:1049-1067;CY:1068-1077;TM:1078-1099;NC:1100-1117;TM:1118-1138;CY:1139-1180</t>
  </si>
  <si>
    <t>ENSG00000159363</t>
  </si>
  <si>
    <t>ENSP00000327214</t>
  </si>
  <si>
    <t>341;1033;1110</t>
  </si>
  <si>
    <t>Lysosome;Membrane (Multi-pass membrane protein)</t>
  </si>
  <si>
    <t>Alternative splicing;ATP-binding;Complete proteome;Disease mutation;Hydrolase;Lysosome;Magnesium;Membrane;Metal-binding;Neurodegeneration;Neuronal ceroid lipofuscinosis;Nucleotide-binding;Parkinsonism;Polymorphism;Reference proteome;Transmembrane;Transmembrane helix</t>
  </si>
  <si>
    <t>UniRef100_Q9NQ11;UniRef90_Q9NQ11;UniRef50_Q9NQ11</t>
  </si>
  <si>
    <t>SLAF7_HUMAN</t>
  </si>
  <si>
    <t>SLAM family member 7</t>
  </si>
  <si>
    <t>SLAMF7</t>
  </si>
  <si>
    <t>SP:1-22;NC:23-225;TM:226-250;CY:251-335</t>
  </si>
  <si>
    <t>ENSG00000026751</t>
  </si>
  <si>
    <t>ENSP00000357022</t>
  </si>
  <si>
    <t>CD319</t>
  </si>
  <si>
    <t>56;98;142;148;172;176;204;291</t>
  </si>
  <si>
    <t>ALGQAAN[115]ESHN[115]GSILPISWR</t>
  </si>
  <si>
    <t>172;176</t>
  </si>
  <si>
    <t>Q9NQ25</t>
  </si>
  <si>
    <t>Alternative splicing;Complete proteome;Direct protein sequencing;Disulfide bond;Glycoprotein;Immunoglobulin domain;Membrane;Polymorphism;Receptor;Reference proteome;Signal;Transmembrane;Transmembrane helix</t>
  </si>
  <si>
    <t>UniRef100_Q9NQ25;UniRef90_Q9NQ25;UniRef50_Q9NQ25</t>
  </si>
  <si>
    <t>TMM9B_HUMAN</t>
  </si>
  <si>
    <t>Transmembrane protein 9B</t>
  </si>
  <si>
    <t>TMEM9B</t>
  </si>
  <si>
    <t>SP:1-33;NC:34-104;TM:105-124;CY:125-198</t>
  </si>
  <si>
    <t>ENSG00000175348</t>
  </si>
  <si>
    <t>ENSP00000433361</t>
  </si>
  <si>
    <t>Alternative splicing;Complete proteome;Direct protein sequencing;Membrane;Phosphoprotein;Reference proteome;Signal;Transmembrane;Transmembrane helix</t>
  </si>
  <si>
    <t>UniRef100_Q9NQ34;UniRef90_Q9NQ34;UniRef50_Q9P0T7</t>
  </si>
  <si>
    <t>S52A3_HUMAN</t>
  </si>
  <si>
    <t>Solute carrier family 52, riboflavin transporter, member 3</t>
  </si>
  <si>
    <t>SLC52A3</t>
  </si>
  <si>
    <t>CY:1-6;TM:7-25;NC:26-39;TM:40-61;CY:62-72;TM:73-93;NC:94-104;TM:105-124;CY:125-135;TM:136-157;NC:158-219;TM:220-241;CY:242-294;TM:295-313;NC:314-332;TM:333-354;CY:355-359;TM:360-380;NC:381-397;TM:398-421;CY:422-427;TM:428-450;NC:451-469</t>
  </si>
  <si>
    <t>ENSG00000101276</t>
  </si>
  <si>
    <t>ENSP00000217254</t>
  </si>
  <si>
    <t>94;168;357</t>
  </si>
  <si>
    <t>94;168</t>
  </si>
  <si>
    <t>Alternative splicing;Cell membrane;Complete proteome;Deafness;Disease mutation;Disulfide bond;Glycoprotein;Membrane;Polymorphism;Reference proteome;Transmembrane;Transmembrane helix;Transport</t>
  </si>
  <si>
    <t>UniRef100_Q9NQ40;UniRef90_Q9NQ40;UniRef50_Q9NQ40</t>
  </si>
  <si>
    <t>EQTN_HUMAN</t>
  </si>
  <si>
    <t>Equatorin</t>
  </si>
  <si>
    <t>EQTN</t>
  </si>
  <si>
    <t>SP:1-19;NC:20-181;TM:182-205;CY:206-294</t>
  </si>
  <si>
    <t>ENSG00000120160</t>
  </si>
  <si>
    <t>ENSP00000369371</t>
  </si>
  <si>
    <t>76;101;143;165</t>
  </si>
  <si>
    <t>Cytoplasmic vesicle, secretory vesicle, acrosome inner membrane (Single-pass type I membrane protein);Cytoplasmic vesicle, secretory vesicle, acrosome membrane (Single-pass type I membrane protein);Cytoplasmic vesicle, secretory vesicle, acrosome outer membrane (Single-pass type I membrane protein)</t>
  </si>
  <si>
    <t>Alternative splicing;Complete proteome;Cytoplasmic vesicle;Glycoprotein;Membrane;Polymorphism;Reference proteome;Signal;Transmembrane;Transmembrane helix</t>
  </si>
  <si>
    <t>UniRef100_Q9NQ60;UniRef90_Q9NQ60;UniRef50_Q9NQ60</t>
  </si>
  <si>
    <t>GPC5C_HUMAN</t>
  </si>
  <si>
    <t>G-protein coupled receptor family C group 5 member C</t>
  </si>
  <si>
    <t>GPRC5C</t>
  </si>
  <si>
    <t>SP:1-23;NC:24-46;TM:47-74;CY:75-85;TM:86-109;NC:110-120;TM:121-144;CY:145-153;TM:154-177;NC:178-208;TM:209-231;CY:232-242;TM:243-265;NC:266-277;TM:278-297;CY:298-441</t>
  </si>
  <si>
    <t>ENSG00000170412</t>
  </si>
  <si>
    <t>ENSP00000376403</t>
  </si>
  <si>
    <t>191;405</t>
  </si>
  <si>
    <t>Alternative splicing;Cell membrane;Complete proteome;Cytoplasmic vesicle;G-protein coupled receptor;Glycoprotein;Membrane;Receptor;Reference proteome;Signal;Transducer;Transmembrane;Transmembrane helix</t>
  </si>
  <si>
    <t>UniRef100_Q9NQ84;UniRef90_Q9NQ84;UniRef50_Q9NQ84</t>
  </si>
  <si>
    <t>ANO2_HUMAN</t>
  </si>
  <si>
    <t>Anoctamin-2</t>
  </si>
  <si>
    <t>ANO2</t>
  </si>
  <si>
    <t>CY:1-361;TM:362-387;NC:388-439;TM:440-457;CY:458-534;TM:535-560;NC:561-579;TM:580-603;CY:604-622;TM:623-644;NC:645-749;TM:750-773;CY:774-799;TM:800-824;NC:825-904;TM:905-927;CY:928-1003</t>
  </si>
  <si>
    <t>ENSG00000047617</t>
  </si>
  <si>
    <t>179;251;275;295;422;503;513;841;849;856</t>
  </si>
  <si>
    <t>Alternative splicing;Calcium;Cell membrane;Chloride;Chloride channel;Complete proteome;Glycoprotein;Ion channel;Ion transport;Membrane;Polymorphism;Reference proteome;Transmembrane;Transmembrane helix;Transport</t>
  </si>
  <si>
    <t>UniRef100_Q9NQ90;UniRef90_Q8CFW1;UniRef50_Q8CFW1</t>
  </si>
  <si>
    <t>TRPV5_HUMAN</t>
  </si>
  <si>
    <t>Transient receptor potential cation channel subfamily V member 5</t>
  </si>
  <si>
    <t>TRPV5</t>
  </si>
  <si>
    <t>CY:1-327;TM:328-348;NC:349-387;TM:388-408;CY:409-419;TM:420-440;NC:441-448;TM:449-469;CY:470-492;TM:493-513;NC:514-523;IM:524-544;NC:545-556;TM:557-577;CY:578-729</t>
  </si>
  <si>
    <t>ENSG00000127412</t>
  </si>
  <si>
    <t>ENSP00000406572</t>
  </si>
  <si>
    <t>208;358;717</t>
  </si>
  <si>
    <t>Alternative splicing;ANK repeat;Calcium;Calcium channel;Calcium transport;Calmodulin-binding;Cell membrane;Complete proteome;Glycoprotein;Ion channel;Ion transport;Membrane;Polymorphism;Reference proteome;Repeat;Transmembrane;Transmembrane helix;Transport</t>
  </si>
  <si>
    <t>UniRef100_Q9NQA5;UniRef90_Q9NQA5;UniRef50_Q9NQA5</t>
  </si>
  <si>
    <t>OR2S1_HUMAN</t>
  </si>
  <si>
    <t>Olfactory receptor 2S2</t>
  </si>
  <si>
    <t>OR2S2</t>
  </si>
  <si>
    <t>NC:1-27;TM:28-50;CY:51-60;TM:61-82;NC:83-101;TM:102-121;CY:122-140;TM:141-162;NC:163-204;TM:205-226;CY:227-237;TM:238-260;NC:261-279;TM:280-299;CY:300-319</t>
  </si>
  <si>
    <t>ENSG00000278889;ENSG00000122718</t>
  </si>
  <si>
    <t>ENSP00000344040;ENSP00000485516;ENSP00000485066</t>
  </si>
  <si>
    <t>UniRef100_Q9NQN1;UniRef90_Q9NQN1;UniRef50_Q9NQN1</t>
  </si>
  <si>
    <t>PVRL3_HUMAN</t>
  </si>
  <si>
    <t>Nectin-3</t>
  </si>
  <si>
    <t>PVRL3</t>
  </si>
  <si>
    <t>SP:1-57;NC:58-401;TM:402-427;CY:428-549</t>
  </si>
  <si>
    <t>ENSG00000177707</t>
  </si>
  <si>
    <t>ENSP00000418070</t>
  </si>
  <si>
    <t>CD113</t>
  </si>
  <si>
    <t>73;83;125;186;222;331</t>
  </si>
  <si>
    <t>CLIEVN[115]ETITQISWEK;VLFKN[115]YSLNDATITLH;VLFKN[115]YSLNDATITLHNIGFSDSGK;N[115]YSLNDATITLH;N[115]YSLNDATITLHNIGFSDSGK;GPDSLIDGGN[115]ETVAAICIAATGK;GPDSLIDGGN[115]ETVAAICIAATGKPVAH;TFN[115]YSGVYICK</t>
  </si>
  <si>
    <t>83;125;186;331</t>
  </si>
  <si>
    <t>Q9NQS3</t>
  </si>
  <si>
    <t>Cell junction, synapse, postsynaptic cell membrane;Cell membrane (Single-pass membrane protein)</t>
  </si>
  <si>
    <t>3D-structure;Alternative splicing;Cell adhesion;Cell junction;Cell membrane;Complete proteome;Disulfide bond;Glycoprotein;Immunoglobulin domain;Membrane;Polymorphism;Postsynaptic cell membrane;Reference proteome;Repeat;Signal;Synapse;Transmembrane;Transmembrane helix</t>
  </si>
  <si>
    <t>UniRef100_Q9NQS3;UniRef90_Q9JLB9;UniRef50_Q9JLB9</t>
  </si>
  <si>
    <t>GPR84_HUMAN</t>
  </si>
  <si>
    <t>G-protein coupled receptor 84</t>
  </si>
  <si>
    <t>GPR84</t>
  </si>
  <si>
    <t>NC:1-22;TM:23-46;CY:47-56;TM:57-76;NC:77-95;TM:96-120;CY:121-139;TM:140-161;NC:162-179;TM:180-201;CY:202-319;TM:320-340;NC:341-351;TM:352-372;CY:373-396</t>
  </si>
  <si>
    <t>ENSG00000139572</t>
  </si>
  <si>
    <t>ENSP00000267015;ENSP00000450310</t>
  </si>
  <si>
    <t>3;8;61;357</t>
  </si>
  <si>
    <t>UniRef100_Q9NQS5;UniRef90_Q9NQS5;UniRef50_Q9NQS5</t>
  </si>
  <si>
    <t>ITM2C_HUMAN</t>
  </si>
  <si>
    <t>Integral membrane protein 2C</t>
  </si>
  <si>
    <t>ITM2C</t>
  </si>
  <si>
    <t>CY:1-57;TM:58-80;NC:81-267</t>
  </si>
  <si>
    <t>ENSG00000135916</t>
  </si>
  <si>
    <t>ENSP00000322730</t>
  </si>
  <si>
    <t>Unknown_function;ITM2</t>
  </si>
  <si>
    <t>Cell membrane (Single-pass type II membrane protein);Lysosome membrane (Single-pass type II membrane protein)</t>
  </si>
  <si>
    <t>Alternative splicing;Cell membrane;Cleavage on pair of basic residues;Complete proteome;Disulfide bond;Glycoprotein;Lysosome;Membrane;Polymorphism;Reference proteome;Signal-anchor;Transmembrane;Transmembrane helix</t>
  </si>
  <si>
    <t>UniRef100_Q9NQX7;UniRef90_Q9NQX7;UniRef50_Q9NQX7</t>
  </si>
  <si>
    <t>Cytoskeleton;Cytosol;Endoplasmic Reticulum;Endosome;Extracellular space;Mitochondrion;Nucleus;Peroxisome</t>
  </si>
  <si>
    <t>C163B_HUMAN</t>
  </si>
  <si>
    <t>Scavenger receptor cysteine-rich type 1 protein M160</t>
  </si>
  <si>
    <t>CD163L1</t>
  </si>
  <si>
    <t>SP:1-37;NC:38-1359;TM:1360-1382;CY:1383-1453</t>
  </si>
  <si>
    <t>ENSG00000177675</t>
  </si>
  <si>
    <t>ENSP00000315945</t>
  </si>
  <si>
    <t>CD163b</t>
  </si>
  <si>
    <t>42;78;120;161;334;377;441;548;637;972;1013;1084;1104;1161;1171;1318;1354</t>
  </si>
  <si>
    <t>Alternative splicing;Cell membrane;Complete proteome;Direct protein sequencing;Disulfide bond;Glycoprotein;Membrane;Polymorphism;Reference proteome;Repeat;Secreted;Signal;Transmembrane;Transmembrane helix</t>
  </si>
  <si>
    <t>UniRef100_Q9NR16;UniRef90_Q9NR16;UniRef50_Q9NR16</t>
  </si>
  <si>
    <t>DLL4_HUMAN</t>
  </si>
  <si>
    <t>Delta-like protein 4</t>
  </si>
  <si>
    <t>DLL4</t>
  </si>
  <si>
    <t>SP:1-26;NC:27-528;TM:529-552;CY:553-685</t>
  </si>
  <si>
    <t>ENSG00000128917</t>
  </si>
  <si>
    <t>ENSP00000249749</t>
  </si>
  <si>
    <t>108;183;205;393;570;610</t>
  </si>
  <si>
    <t>Angiogenesis;Complete proteome;Developmental protein;Differentiation;Direct protein sequencing;Disulfide bond;EGF-like domain;Glycoprotein;Membrane;Neurogenesis;Notch signaling pathway;Reference proteome;Repeat;Sensory transduction;Signal;Transmembrane;Transmembrane helix;Ubl conjugation;Vision</t>
  </si>
  <si>
    <t>UniRef100_Q9NR61;UniRef90_Q9JI71;UniRef50_Q9JI71</t>
  </si>
  <si>
    <t>TLR9_HUMAN</t>
  </si>
  <si>
    <t>Toll-like receptor 9</t>
  </si>
  <si>
    <t>TLR9</t>
  </si>
  <si>
    <t>SP:1-27;NC:28-813;TM:814-835;CY:836-1032</t>
  </si>
  <si>
    <t>ENSG00000239732</t>
  </si>
  <si>
    <t>ENSP00000353874</t>
  </si>
  <si>
    <t>CD289</t>
  </si>
  <si>
    <t>64;129;200;210;242;300;340;469;474;513;567;694;731</t>
  </si>
  <si>
    <t>64;200;210;242;474</t>
  </si>
  <si>
    <t>841;853</t>
  </si>
  <si>
    <t>GN[115]VTSLSLSSNR;YNN[115]LTVVPR;YN[115]N[115]LTVVPR;LAPEDLAN[115]LTALR;DSSLSWLN[115]ASWFR</t>
  </si>
  <si>
    <t>64;210;242;300</t>
  </si>
  <si>
    <t>Q9NR96</t>
  </si>
  <si>
    <t>Cytoplasmic vesicle, phagosome;Endoplasmic reticulum membrane (Single-pass type I membrane protein);Endosome;Lysosome</t>
  </si>
  <si>
    <t>Alternative splicing;Complete proteome;Cytoplasmic vesicle;Endoplasmic reticulum;Endosome;Glycoprotein;Immunity;Inflammatory response;Innate immunity;Leucine-rich repeat;Lysosome;Membrane;Polymorphism;Receptor;Reference proteome;Repeat;Signal;Transmembrane;Transmembrane helix</t>
  </si>
  <si>
    <t>UniRef100_Q9NR96;UniRef90_Q9NR96;UniRef50_Q9NR96</t>
  </si>
  <si>
    <t>Endoplasmic Reticulum;Extracellular space</t>
  </si>
  <si>
    <t>DB00608;DB01611</t>
  </si>
  <si>
    <t>TLR8_HUMAN</t>
  </si>
  <si>
    <t>Toll-like receptor 8</t>
  </si>
  <si>
    <t>TLR8</t>
  </si>
  <si>
    <t>SP:1-26;NC:27-826;TM:827-848;CY:849-1041</t>
  </si>
  <si>
    <t>ENSG00000101916</t>
  </si>
  <si>
    <t>ENSP00000218032</t>
  </si>
  <si>
    <t>CD288</t>
  </si>
  <si>
    <t>29;42;80;88;115;160;247;285;293;358;362;395;416;443;511;546;582;590;640;680;752;937;1026</t>
  </si>
  <si>
    <t>3D-structure;Alternative splicing;Complete proteome;Disulfide bond;Glycoprotein;Immunity;Inflammatory response;Innate immunity;Leucine-rich repeat;Membrane;Polymorphism;Receptor;Reference proteome;Repeat;Signal;Transmembrane;Transmembrane helix</t>
  </si>
  <si>
    <t>UniRef100_Q9NR97;UniRef90_Q9NR97;UniRef50_Q9NR97</t>
  </si>
  <si>
    <t>DB00724</t>
  </si>
  <si>
    <t>S17A5_HUMAN</t>
  </si>
  <si>
    <t>Sialin</t>
  </si>
  <si>
    <t>SLC17A5</t>
  </si>
  <si>
    <t>CY:1-40;TM:41-61;NC:62-108;TM:109-130;CY:131-136;TM:137-156;NC:157-161;TM:162-182;CY:183-200;TM:201-222;NC:223-227;TM:228-248;CY:249-280;TM:281-303;NC:304-328;TM:329-346;CY:347-365;TM:366-385;NC:386-390;TM:391-412;CY:413-421;TM:422-444;NC:445-458;TM:459-478;CY:479-495</t>
  </si>
  <si>
    <t>ENSG00000119899</t>
  </si>
  <si>
    <t>ENSP00000348019</t>
  </si>
  <si>
    <t>59;71;77;95;225;302;357</t>
  </si>
  <si>
    <t>Cell membrane (Multi-pass membrane protein);Cytoplasmic vesicle, secretory vesicle, synaptic vesicle membrane;Lysosome membrane (Multi-pass membrane protein)</t>
  </si>
  <si>
    <t>Alternative splicing;Amino-acid transport;Cell junction;Cell membrane;Complete proteome;Cytoplasmic vesicle;Disease mutation;Glycoprotein;Lysosome;Membrane;Reference proteome;Symport;Synapse;Transmembrane;Transmembrane helix;Transport</t>
  </si>
  <si>
    <t>UniRef100_Q9NRA2;UniRef90_Q9NRA2;UniRef50_Q9NRA2</t>
  </si>
  <si>
    <t>DUOX2_HUMAN</t>
  </si>
  <si>
    <t>Dual oxidase 2</t>
  </si>
  <si>
    <t>DUOX2</t>
  </si>
  <si>
    <t>SP:1-28;NC:29-597;TM:598-622;CY:623-1040;TM:1041-1061;NC:1062-1076;TM:1077-1099;CY:1100-1147;TM:1148-1168;NC:1169-1179;TM:1180-1206;CY:1207-1217;TM:1218-1240;NC:1241-1245;TM:1246-1263;CY:1264-1548</t>
  </si>
  <si>
    <t>ENSG00000140279</t>
  </si>
  <si>
    <t>ENSP00000475084</t>
  </si>
  <si>
    <t>100;348;382;455;537;959;1477</t>
  </si>
  <si>
    <t>Calcium;Cell membrane;Complete proteome;Congenital hypothyroidism;Disease mutation;FAD;Flavoprotein;Glycoprotein;Hydrogen peroxide;Membrane;Metal-binding;NADP;Oxidoreductase;Peroxidase;Polymorphism;Reference proteome;Repeat;Signal;Thyroid hormones biosynthesis;Transmembrane;Transmembrane helix</t>
  </si>
  <si>
    <t>UniRef100_Q9NRD8;UniRef90_Q9NRD8;UniRef50_Q9NRD8</t>
  </si>
  <si>
    <t>DUOX1_HUMAN</t>
  </si>
  <si>
    <t>Dual oxidase 1</t>
  </si>
  <si>
    <t>DUOX1</t>
  </si>
  <si>
    <t>SP:1-21;NC:22-592;TM:593-617;CY:618-1044;TM:1045-1065;NC:1066-1081;TM:1082-1103;CY:1104-1150;TM:1151-1171;NC:1172-1182;TM:1183-1209;CY:1210-1220;TM:1221-1243;NC:1244-1248;TM:1249-1267;CY:1268-1551</t>
  </si>
  <si>
    <t>ENSG00000137857</t>
  </si>
  <si>
    <t>ENSP00000317997;ENSP00000373689</t>
  </si>
  <si>
    <t>94;342;354;461;534;1480</t>
  </si>
  <si>
    <t>Alternative splicing;Calcium;Cell membrane;Complete proteome;FAD;Flavoprotein;Glycoprotein;Hydrogen peroxide;Membrane;Metal-binding;NADP;Oxidoreductase;Peroxidase;Polymorphism;Reference proteome;Repeat;Signal;Thyroid hormones biosynthesis;Transmembrane;Transmembrane helix</t>
  </si>
  <si>
    <t>UniRef100_Q9NRD9;UniRef90_Q9NRD9;UniRef50_Q9NRD9</t>
  </si>
  <si>
    <t>PCDBG_HUMAN</t>
  </si>
  <si>
    <t>Protocadherin beta-16</t>
  </si>
  <si>
    <t>PCDHB16</t>
  </si>
  <si>
    <t>SP:1-28;NC:29-687;TM:688-711;CY:712-776</t>
  </si>
  <si>
    <t>ENSG00000272674</t>
  </si>
  <si>
    <t>ENSP00000477314</t>
  </si>
  <si>
    <t>418;436;463;567;773</t>
  </si>
  <si>
    <t>Calcium;Cell adhesion;Complete proteome;Direct protein sequencing;Glycoprotein;Membrane;Polymorphism;Reference proteome;Repeat;Signal;Transmembrane;Transmembrane helix</t>
  </si>
  <si>
    <t>UniRef100_Q9NRJ7;UniRef90_Q9NRJ7;UniRef50_Q9Y5E3</t>
  </si>
  <si>
    <t>GTR9_HUMAN</t>
  </si>
  <si>
    <t>Solute carrier family 2, facilitated glucose transporter member 9</t>
  </si>
  <si>
    <t>SLC2A9</t>
  </si>
  <si>
    <t>CY:1-53;TM:54-73;NC:74-107;TM:108-129;CY:130-140;TM:141-162;NC:163-167;TM:168-189;CY:190-200;TM:201-220;NC:221-230;TM:231-252;CY:253-316;TM:317-338;NC:339-352;TM:353-375;CY:376-382;TM:383-404;NC:405-409;TM:410-437;CY:438-448;TM:449-472;NC:473-477;TM:478-499;CY:500-540</t>
  </si>
  <si>
    <t>ENSG00000109667</t>
  </si>
  <si>
    <t>ENSP00000264784</t>
  </si>
  <si>
    <t>74;90;504</t>
  </si>
  <si>
    <t>AFYN[115]ESWER</t>
  </si>
  <si>
    <t>Q9NRM0</t>
  </si>
  <si>
    <t>Basolateral cell membrane (Multi- pass membrane protein);Apical cell membrane (Multi-pass membrane protein);Basolateral cell membrane (Multi-pass membrane protein)</t>
  </si>
  <si>
    <t>Alternative splicing;Cell membrane;Complete proteome;Disease mutation;Glycoprotein;Membrane;Polymorphism;Reference proteome;Sugar transport;Transmembrane;Transmembrane helix;Transport</t>
  </si>
  <si>
    <t>UniRef100_Q9NRM0;UniRef90_Q9NRM0;UniRef50_Q9NRM0</t>
  </si>
  <si>
    <t>I17RB_HUMAN</t>
  </si>
  <si>
    <t>Interleukin-17 receptor B</t>
  </si>
  <si>
    <t>IL17RB</t>
  </si>
  <si>
    <t>SP:1-17;NC:18-289;TM:290-313;CY:314-502</t>
  </si>
  <si>
    <t>ENSG00000056736</t>
  </si>
  <si>
    <t>ENSP00000288167</t>
  </si>
  <si>
    <t>67;103;156;183;197;283</t>
  </si>
  <si>
    <t>AGSLWDPN[115]ITACK</t>
  </si>
  <si>
    <t>Q9NRM6</t>
  </si>
  <si>
    <t>Alternative splicing;Cell membrane;Complete proteome;Direct protein sequencing;Glycoprotein;Membrane;Polymorphism;Receptor;Reference proteome;Secreted;Signal;Transmembrane;Transmembrane helix</t>
  </si>
  <si>
    <t>UniRef100_Q9NRM6;UniRef90_Q9NRM6;UniRef50_Q9NRM6</t>
  </si>
  <si>
    <t>TRYG1_HUMAN</t>
  </si>
  <si>
    <t>Tryptase gamma</t>
  </si>
  <si>
    <t>TPSG1</t>
  </si>
  <si>
    <t>SP:1-19;NC:20-283;TM:284-304;CY:305-321</t>
  </si>
  <si>
    <t>ENSG00000116176</t>
  </si>
  <si>
    <t>ENSP00000234798</t>
  </si>
  <si>
    <t>Complete proteome;Disulfide bond;Glycoprotein;Hydrolase;Membrane;Polymorphism;Protease;Reference proteome;Serine protease;Signal;Transmembrane;Transmembrane helix;Zymogen</t>
  </si>
  <si>
    <t>UniRef100_Q9NRR2;UniRef90_Q9NRR2;UniRef50_Q9NRR2</t>
  </si>
  <si>
    <t>SERC1_HUMAN</t>
  </si>
  <si>
    <t>Serine incorporator 1</t>
  </si>
  <si>
    <t>SERINC1</t>
  </si>
  <si>
    <t>CY:1-39;TM:40-60;NC:61-88;TM:89-109;CY:110-122;TM:123-144;NC:145-149;TM:150-172;CY:173-192;TM:193-219;NC:220-230;TM:231-249;CY:250-260;TM:261-279;NC:280-311;TM:312-333;CY:334-386;TM:387-408;NC:409-427;TM:428-447;CY:448-453</t>
  </si>
  <si>
    <t>ENSG00000111897</t>
  </si>
  <si>
    <t>ENSP00000342962</t>
  </si>
  <si>
    <t>33;34;179;298;337</t>
  </si>
  <si>
    <t>LLSIIGYN[115]TTSTVPK;LSIIGYN[115]TTSTVPK;SIIGYN[115]TTSTVPK;IIGYN[115]TTSTVPK;YN[115]TTSTVPK</t>
  </si>
  <si>
    <t>Q9NRX5</t>
  </si>
  <si>
    <t>Complete proteome;Endoplasmic reticulum;Glycoprotein;Lipid biosynthesis;Lipid metabolism;Lipoprotein;Membrane;Myristate;Phospholipid biosynthesis;Phospholipid metabolism;Phosphoprotein;Polymorphism;Reference proteome;Transmembrane;Transmembrane helix</t>
  </si>
  <si>
    <t>UniRef100_Q9NRX5;UniRef90_Q9NRX5;UniRef50_Q9NRX5</t>
  </si>
  <si>
    <t>THSD1_HUMAN</t>
  </si>
  <si>
    <t>Thrombospondin type-1 domain-containing protein 1</t>
  </si>
  <si>
    <t>THSD1</t>
  </si>
  <si>
    <t>SP:1-22;NC:23-413;TM:414-436;CY:437-852</t>
  </si>
  <si>
    <t>ENSG00000136114</t>
  </si>
  <si>
    <t>ENSP00000258613</t>
  </si>
  <si>
    <t>39;53;58;69;80;110;135;304;610;814</t>
  </si>
  <si>
    <t>100;116;117;127;201;343;346;349;436</t>
  </si>
  <si>
    <t>YLLTN[115]QSQGTLK;TIFN[115]CTLFDMGK</t>
  </si>
  <si>
    <t>80;304</t>
  </si>
  <si>
    <t>Q9NS62</t>
  </si>
  <si>
    <t>Membrane (Single- pass type I membrane protein);Membrane (Single- pass type I membrane protein);Secreted</t>
  </si>
  <si>
    <t>UniRef100_Q9NS62;UniRef90_Q9NS62;UniRef50_Q9NS62</t>
  </si>
  <si>
    <t>RPRM_HUMAN</t>
  </si>
  <si>
    <t>Protein reprimo</t>
  </si>
  <si>
    <t>RPRM</t>
  </si>
  <si>
    <t>NC:1-55;TM:56-81;CY:82-109</t>
  </si>
  <si>
    <t>ENSG00000177519</t>
  </si>
  <si>
    <t>ENSP00000314946</t>
  </si>
  <si>
    <t>7;18</t>
  </si>
  <si>
    <t>Cytoplasm;Membrane (Single-pass membrane protein)</t>
  </si>
  <si>
    <t>Complete proteome;Cytoplasm;Glycoprotein;Membrane;Reference proteome;Transmembrane;Transmembrane helix</t>
  </si>
  <si>
    <t>UniRef100_Q9NS64;UniRef90_Q9JJ72;UniRef50_Q9JJ72</t>
  </si>
  <si>
    <t>GP173_HUMAN</t>
  </si>
  <si>
    <t>Probable G-protein coupled receptor 173</t>
  </si>
  <si>
    <t>GPR173</t>
  </si>
  <si>
    <t>NC:1-23;TM:24-48;CY:49-59;TM:60-80;NC:81-98;TM:99-123;CY:124-135;TM:136-157;NC:158-186;TM:187-209;CY:210-287;TM:288-310;NC:311-321;TM:322-343;CY:344-373</t>
  </si>
  <si>
    <t>ENSG00000184194</t>
  </si>
  <si>
    <t>ENSP00000331600</t>
  </si>
  <si>
    <t>3;184;229</t>
  </si>
  <si>
    <t>UniRef100_Q9NS66;UniRef90_Q9NS66;UniRef50_Q9NS66</t>
  </si>
  <si>
    <t>GPR27_HUMAN</t>
  </si>
  <si>
    <t>Probable G-protein coupled receptor 27</t>
  </si>
  <si>
    <t>GPR27</t>
  </si>
  <si>
    <t>NC:1-21;TM:22-44;CY:45-55;TM:56-78;NC:79-97;TM:98-122;CY:123-133;TM:134-156;NC:157-182;TM:183-207;CY:208-284;TM:285-306;NC:307-317;TM:318-341;CY:342-375</t>
  </si>
  <si>
    <t>ENSG00000170837</t>
  </si>
  <si>
    <t>ENSP00000303149</t>
  </si>
  <si>
    <t>3;241</t>
  </si>
  <si>
    <t>UniRef100_Q9NS67;UniRef90_Q9NS67;UniRef50_Q9NS67</t>
  </si>
  <si>
    <t>TNR19_HUMAN</t>
  </si>
  <si>
    <t>Tumor necrosis factor receptor superfamily member 19</t>
  </si>
  <si>
    <t>TNFRSF19</t>
  </si>
  <si>
    <t>SP:1-29;NC:30-168;TM:169-193;CY:194-423</t>
  </si>
  <si>
    <t>ENSG00000127863</t>
  </si>
  <si>
    <t>ENSP00000371693</t>
  </si>
  <si>
    <t>105;214;319;350;368;379</t>
  </si>
  <si>
    <t>Alternative splicing;Apoptosis;Complete proteome;Direct protein sequencing;Disulfide bond;Glycoprotein;Membrane;Polymorphism;Receptor;Reference proteome;Repeat;Signal;Transmembrane;Transmembrane helix</t>
  </si>
  <si>
    <t>UniRef100_Q9NS68;UniRef90_Q9NS68;UniRef50_Q9NS68</t>
  </si>
  <si>
    <t>CLTR2_HUMAN</t>
  </si>
  <si>
    <t>Cysteinyl leukotriene receptor 2</t>
  </si>
  <si>
    <t>CYSLTR2</t>
  </si>
  <si>
    <t>NC:1-42;TM:43-64;CY:65-74;TM:75-94;NC:95-122;TM:123-143;CY:144-153;TM:154-174;NC:175-202;TM:203-224;CY:225-244;TM:245-266;NC:267-285;TM:286-308;CY:309-346</t>
  </si>
  <si>
    <t>ENSG00000152207</t>
  </si>
  <si>
    <t>ENSP00000282018;ENSP00000477930</t>
  </si>
  <si>
    <t>20;26;30;181</t>
  </si>
  <si>
    <t>UniRef100_Q9NS75;UniRef90_Q9NS75;UniRef50_Q9NS75</t>
  </si>
  <si>
    <t>AAA1_HUMAN</t>
  </si>
  <si>
    <t>Asc-type amino acid transporter 1</t>
  </si>
  <si>
    <t>SLC7A10</t>
  </si>
  <si>
    <t>CY:1-39;TM:40-60;NC:61-71;TM:72-94;CY:95-113;TM:114-141;NC:142-161;TM:162-183;CY:184-194;TM:195-214;NC:215-233;TM:234-254;CY:255-266;TM:267-290;NC:291-312;TM:313-336;CY:337-361;TM:362-381;NC:382-386;TM:387-410;CY:411-421;TM:422-444;NC:445-449;TM:450-469;CY:470-523</t>
  </si>
  <si>
    <t>9;19;21;511</t>
  </si>
  <si>
    <t>Amino-acid transport;Complete proteome;Disulfide bond;Membrane;Polymorphism;Reference proteome;Transmembrane;Transmembrane helix;Transport</t>
  </si>
  <si>
    <t>UniRef100_Q9NS82;UniRef90_Q9NS82;UniRef50_Q9UHI5</t>
  </si>
  <si>
    <t>TM7S3_HUMAN</t>
  </si>
  <si>
    <t>Transmembrane 7 superfamily member 3</t>
  </si>
  <si>
    <t>TM7SF3</t>
  </si>
  <si>
    <t>SP:1-21;NC:22-294;TM:295-313;CY:314-319;TM:320-336;NC:337-347;TM:348-367;CY:368-373;TM:374-394;NC:395-405;TM:406-424;CY:425-429;TM:430-451;NC:452-484;TM:485-503;CY:504-570</t>
  </si>
  <si>
    <t>ENSG00000064115</t>
  </si>
  <si>
    <t>ENSP00000342322</t>
  </si>
  <si>
    <t>27;61;75;87;264</t>
  </si>
  <si>
    <t>Cell membrane;Complete proteome;Glycoprotein;Membrane;Polymorphism;Reference proteome;Signal;Transmembrane;Transmembrane helix</t>
  </si>
  <si>
    <t>UniRef100_Q9NS93;UniRef90_Q9NS93;UniRef50_Q9NS93</t>
  </si>
  <si>
    <t>S22AB_HUMAN</t>
  </si>
  <si>
    <t>Solute carrier family 22 member 11</t>
  </si>
  <si>
    <t>SLC22A11</t>
  </si>
  <si>
    <t>CY:1-11;TM:12-32;NC:33-146;TM:147-165;CY:166-172;TM:173-195;NC:196-200;TM:201-221;CY:222-228;TM:229-252;NC:253-257;TM:258-276;CY:277-345;TM:346-363;NC:364-374;TM:375-398;CY:399-405;TM:406-422;NC:423-428;TM:429-451;CY:452-462;TM:463-483;NC:484-494;TM:495-512;CY:513-550</t>
  </si>
  <si>
    <t>ENSG00000168065</t>
  </si>
  <si>
    <t>ENSP00000301891</t>
  </si>
  <si>
    <t>39;56;63;99;310;353</t>
  </si>
  <si>
    <t>Alternative splicing;Cell membrane;Complete proteome;Glycoprotein;Ion transport;Membrane;Polymorphism;Reference proteome;Transmembrane;Transmembrane helix;Transport</t>
  </si>
  <si>
    <t>UniRef100_Q9NSA0;UniRef90_Q9NSA0;UniRef50_Q9NSA0</t>
  </si>
  <si>
    <t>S6A13_HUMAN</t>
  </si>
  <si>
    <t>Sodium- and chloride-dependent GABA transporter 2</t>
  </si>
  <si>
    <t>SLC6A13</t>
  </si>
  <si>
    <t>CY:1-40;TM:41-59;NC:60-69;TM:70-88;CY:89-120;TM:121-141;NC:142-203;TM:204-224;CY:225-232;TM:233-254;NC:255-281;TM:282-303;CY:304-314;TM:315-338;NC:339-364;TM:365-388;CY:389-417;TM:418-441;NC:442-447;TM:448-471;CY:472-491;TM:492-513;NC:514-532;TM:533-553;CY:554-602</t>
  </si>
  <si>
    <t>ENSG00000010379</t>
  </si>
  <si>
    <t>ENSP00000339260</t>
  </si>
  <si>
    <t>169;173;178;269</t>
  </si>
  <si>
    <t>UniRef100_Q9NSD5;UniRef90_Q9NSD5;UniRef50_Q9NSD5</t>
  </si>
  <si>
    <t>RL3R1_HUMAN</t>
  </si>
  <si>
    <t>Relaxin-3 receptor 1</t>
  </si>
  <si>
    <t>RXFP3</t>
  </si>
  <si>
    <t>NC:1-81;TM:82-105;CY:106-116;TM:117-139;NC:140-157;TM:158-179;CY:180-215;TM:216-235;NC:236-271;TM:272-294;CY:295-327;TM:328-350;NC:351-361;TM:362-379;CY:380-469</t>
  </si>
  <si>
    <t>ENSG00000182631;ENSG00000277069</t>
  </si>
  <si>
    <t>ENSP00000328708;ENSP00000480733</t>
  </si>
  <si>
    <t>36;40</t>
  </si>
  <si>
    <t>UniRef100_Q9NSD7;UniRef90_Q9NSD7;UniRef50_Q9NSD7</t>
  </si>
  <si>
    <t>IGSF5_HUMAN</t>
  </si>
  <si>
    <t>Immunoglobulin superfamily member 5</t>
  </si>
  <si>
    <t>IGSF5</t>
  </si>
  <si>
    <t>NC:1-263;TM:264-285;CY:286-407</t>
  </si>
  <si>
    <t>ENSG00000183067</t>
  </si>
  <si>
    <t>ENSP00000369962</t>
  </si>
  <si>
    <t>59;103;210;231;368;403</t>
  </si>
  <si>
    <t>Cell junction, tight junction;Cell membrane (Single-pass membrane protein)</t>
  </si>
  <si>
    <t>Cell junction;Cell membrane;Complete proteome;Disulfide bond;Glycoprotein;Immunoglobulin domain;Membrane;Polymorphism;Reference proteome;Repeat;Tight junction;Transmembrane;Transmembrane helix</t>
  </si>
  <si>
    <t>UniRef100_Q9NSI5;UniRef90_Q9NSI5;UniRef50_Q9NSI5</t>
  </si>
  <si>
    <t>TEN2_HUMAN</t>
  </si>
  <si>
    <t>Teneurin-2</t>
  </si>
  <si>
    <t>TENM2</t>
  </si>
  <si>
    <t>CY:1-374;TM:375-397;NC:398-2774</t>
  </si>
  <si>
    <t>ENSG00000145934</t>
  </si>
  <si>
    <t>ENSP00000429430</t>
  </si>
  <si>
    <t>78;161;204;257;443;482;925;948;1267;1616;1712;1749;1773;1807;1892;1993;2197;2337;2648</t>
  </si>
  <si>
    <t>N[115]SSIDSGEAEVGR;FN[115]ISLGK;DSTHIIPGENPFN[115]SSLVSLIR;GQVVTTDGTPLVGVN[115]VSFVK;N[115]VTSILELR;LTN[115]VTRPTGVVT;LTN[115]VTRPTGVVTSLHR;LGPYAN[115]TTK</t>
  </si>
  <si>
    <t>443;482;925;948;1267;1712;2197</t>
  </si>
  <si>
    <t>Q9NT68</t>
  </si>
  <si>
    <t>Cell junction, synapse;Cell junction, synapse, postsynaptic cell membrane (Single-pass membrane protein);Cell junction, synapse, synaptosome;Cell membrane (Single-pass membrane protein);Cell projection, dendritic spine;Cell projection, filopodium;Cell projection, growth cone;Endoplasmic reticulum;Golgi apparatus;Cell membrane;Nucleus, PML body</t>
  </si>
  <si>
    <t>Alternative splicing;Cell adhesion;Cell junction;Cell membrane;Cell projection;Cleavage on pair of basic residues;Complete proteome;Disulfide bond;EGF-like domain;Endoplasmic reticulum;Glycoprotein;Golgi apparatus;Membrane;Nucleus;Polymorphism;Postsynaptic cell membrane;Reference proteome;Repeat;Repressor;Signal-anchor;Synapse;Synaptosome;Transcription;Transcription regulation;Transmembrane;Transmembrane helix</t>
  </si>
  <si>
    <t>UniRef100_Q9NT68;UniRef90_Q9R1K2-2;UniRef50_Q9DER5</t>
  </si>
  <si>
    <t>LRC4B_HUMAN</t>
  </si>
  <si>
    <t>Leucine-rich repeat-containing protein 4B</t>
  </si>
  <si>
    <t>LRRC4B</t>
  </si>
  <si>
    <t>SP:1-37;NC:38-576;TM:577-597;CY:598-713</t>
  </si>
  <si>
    <t>ENSG00000131409</t>
  </si>
  <si>
    <t>ENSP00000373853;ENSP00000471502</t>
  </si>
  <si>
    <t>224;283;333;374;400;422;425;444;452</t>
  </si>
  <si>
    <t>ETVPSN[115]TTCCAR;PSN[115]TTCCAR</t>
  </si>
  <si>
    <t>Q9NT99</t>
  </si>
  <si>
    <t>Cell junction, synapse, presynaptic cell membrane;Membrane (Single-pass membrane protein)</t>
  </si>
  <si>
    <t>Cell junction;Cell membrane;Complete proteome;Disulfide bond;Glycoprotein;Immunoglobulin domain;Leucine-rich repeat;Membrane;Reference proteome;Repeat;Signal;Synapse;Transmembrane;Transmembrane helix</t>
  </si>
  <si>
    <t>UniRef100_Q9NT99;UniRef90_P0C192;UniRef50_Q99PH1</t>
  </si>
  <si>
    <t>PKDRE_HUMAN</t>
  </si>
  <si>
    <t>Polycystic kidney disease and receptor for egg jelly-related protein</t>
  </si>
  <si>
    <t>PKDREJ</t>
  </si>
  <si>
    <t>SP:1-20;NC:21-1184;TM:1185-1206;CY:1207-1389;TM:1390-1409;NC:1410-1427;TM:1428-1450;CY:1451-1572;TM:1573-1598;NC:1599-1609;TM:1610-1632;CY:1633-1706;TM:1707-1731;NC:1732-1964;TM:1965-1985;CY:1986-1997;TM:1998-2017;NC:2018-2047;TM:2048-2066;CY:2067-2087;TM:2088-2111;NC:2112-2145;TM:2146-2171;CY:2172-2253</t>
  </si>
  <si>
    <t>ENSG00000130943</t>
  </si>
  <si>
    <t>ENSP00000253255</t>
  </si>
  <si>
    <t>197;242;295;306;345;349;481;674;849;890;923;939;958;965;1646;1836;1893;1944;2117</t>
  </si>
  <si>
    <t>Complete proteome;Glycoprotein;Ion channel;Ion transport;Membrane;Polymorphism;Reference proteome;Signal;Transmembrane;Transmembrane helix;Transport</t>
  </si>
  <si>
    <t>UniRef100_Q9NTG1;UniRef90_Q9NTG1;UniRef50_Q9NTG1</t>
  </si>
  <si>
    <t>SEM4G_HUMAN</t>
  </si>
  <si>
    <t>Semaphorin-4G</t>
  </si>
  <si>
    <t>SEMA4G</t>
  </si>
  <si>
    <t>SP:1-17;NC:18-674;TM:675-701;CY:702-838</t>
  </si>
  <si>
    <t>ENSG00000095539</t>
  </si>
  <si>
    <t>ENSP00000359270;ENSP00000430881</t>
  </si>
  <si>
    <t>55;111;126;388;542;598</t>
  </si>
  <si>
    <t>SQGYN[115]SSQDLPSLVLDFVK</t>
  </si>
  <si>
    <t>Q9NTN9</t>
  </si>
  <si>
    <t>Alternative splicing;Cell membrane;Complete proteome;Developmental protein;Differentiation;Disulfide bond;Glycoprotein;Immunoglobulin domain;Membrane;Neurogenesis;Phosphoprotein;Reference proteome;Signal;Transmembrane;Transmembrane helix</t>
  </si>
  <si>
    <t>UniRef100_Q9NTN9;UniRef90_Q9NTN9;UniRef50_Q9NTN9</t>
  </si>
  <si>
    <t>CXB4_HUMAN</t>
  </si>
  <si>
    <t>Gap junction beta-4 protein</t>
  </si>
  <si>
    <t>GJB4</t>
  </si>
  <si>
    <t>CY:1-19;TM:20-39;NC:40-75;TM:76-97;CY:98-127;TM:128-149;NC:150-185;TM:186-209;CY:210-266</t>
  </si>
  <si>
    <t>ENSG00000189433</t>
  </si>
  <si>
    <t>ENSP00000345868</t>
  </si>
  <si>
    <t>119;201</t>
  </si>
  <si>
    <t>Cell junction;Cell membrane;Complete proteome;Disease mutation;Gap junction;Membrane;Palmoplantar keratoderma;Reference proteome;Transmembrane;Transmembrane helix</t>
  </si>
  <si>
    <t>UniRef100_Q9NTQ9;UniRef90_Q9NTQ9;UniRef50_Q9NTQ9</t>
  </si>
  <si>
    <t>GINM1_HUMAN</t>
  </si>
  <si>
    <t>Glycoprotein integral membrane protein 1</t>
  </si>
  <si>
    <t>GINM1</t>
  </si>
  <si>
    <t>SP:1-28;NC:29-264;TM:265-288;CY:289-330</t>
  </si>
  <si>
    <t>ENSG00000055211</t>
  </si>
  <si>
    <t>ENSP00000356389</t>
  </si>
  <si>
    <t>46;64;166;191</t>
  </si>
  <si>
    <t>UniRef100_Q9NU53;UniRef90_Q9NU53;UniRef50_Q9NU53</t>
  </si>
  <si>
    <t>S39A9_HUMAN</t>
  </si>
  <si>
    <t>Zinc transporter ZIP9</t>
  </si>
  <si>
    <t>SLC39A9</t>
  </si>
  <si>
    <t>NC:1-5;TM:6-28;CY:29-36;TM:37-55;NC:56-103;TM:104-122;CY:123-147;TM:148-168;NC:169-174;TM:175-198;CY:199-209;TM:210-229;NC:230-241;TM:242-263;CY:264-283;TM:284-304;NC:305-307</t>
  </si>
  <si>
    <t>ENSG00000029364</t>
  </si>
  <si>
    <t>ENSP00000336887;ENSP00000450639</t>
  </si>
  <si>
    <t>29;241</t>
  </si>
  <si>
    <t>UniRef100_Q9NUM3;UniRef90_Q9NUM3;UniRef50_Q9NUM3</t>
  </si>
  <si>
    <t>T106B_HUMAN</t>
  </si>
  <si>
    <t>Transmembrane protein 106B</t>
  </si>
  <si>
    <t>TMEM106B</t>
  </si>
  <si>
    <t>CY:1-95;TM:96-117;NC:118-274</t>
  </si>
  <si>
    <t>ENSG00000106460</t>
  </si>
  <si>
    <t>ENSP00000379901;ENSP00000379902</t>
  </si>
  <si>
    <t>145;151;164;183;256</t>
  </si>
  <si>
    <t>LNN[115]ITIIGPLDMK;LN[115]N[115]ITIIGPLDMK;YQYVDCGRN[115]TT</t>
  </si>
  <si>
    <t>183;256</t>
  </si>
  <si>
    <t>Q9NUM4</t>
  </si>
  <si>
    <t>Late endosome membrane (Single-pass type II membrane protein);Lysosome membrane (Single-pass type II membrane protein)</t>
  </si>
  <si>
    <t>Amyotrophic lateral sclerosis;Complete proteome;Endosome;Glycoprotein;Lysosome;Membrane;Neurodegeneration;Phosphoprotein;Polymorphism;Reference proteome;Signal-anchor;Transmembrane;Transmembrane helix;Transport</t>
  </si>
  <si>
    <t>UniRef100_Q9NUM4;UniRef90_Q9NUM4;UniRef50_Q9NUM4</t>
  </si>
  <si>
    <t>LMBD1_HUMAN</t>
  </si>
  <si>
    <t>Probable lysosomal cobalamin transporter</t>
  </si>
  <si>
    <t>LMBRD1</t>
  </si>
  <si>
    <t>NC:1-11;TM:12-33;CY:34-44;TM:45-70;NC:71-100;TM:101-123;CY:124-142;TM:143-163;NC:164-189;TM:190-213;CY:214-305;TM:306-325;NC:326-366;TM:367-388;CY:389-408;TM:409-429;NC:430-487;TM:488-511;CY:512-540</t>
  </si>
  <si>
    <t>ENSG00000168216</t>
  </si>
  <si>
    <t>ENSP00000359609</t>
  </si>
  <si>
    <t>78;88;170;347;448;457</t>
  </si>
  <si>
    <t>NQN[115]GTFKDWANAN[115]VSRQIED;DWANAN[115]VSR;HKGN[115]STLSVPK;GN[115]STLSVPK</t>
  </si>
  <si>
    <t>78;88;457</t>
  </si>
  <si>
    <t>Q9NUN5</t>
  </si>
  <si>
    <t>Alternative splicing;Cobalamin;Cobalt;Complete proteome;Glycoprotein;Host-virus interaction;Lysosome;Membrane;Phosphoprotein;Polymorphism;Reference proteome;Transmembrane;Transmembrane helix;Transport</t>
  </si>
  <si>
    <t>UniRef100_Q9NUN5;UniRef90_Q9NUN5;UniRef50_Q9NUN5</t>
  </si>
  <si>
    <t>TM140_HUMAN</t>
  </si>
  <si>
    <t>Transmembrane protein 140</t>
  </si>
  <si>
    <t>TMEM140</t>
  </si>
  <si>
    <t>CY:1-11;TM:12-33;NC:34-82;TM:83-103;CY:104-114;TM:115-139;NC:140-150;TM:151-172;CY:173-185</t>
  </si>
  <si>
    <t>ENSG00000146859</t>
  </si>
  <si>
    <t>ENSP00000275767</t>
  </si>
  <si>
    <t>UniRef100_Q9NV12;UniRef90_Q9NV12;UniRef50_Q9NV12</t>
  </si>
  <si>
    <t>CC50A_HUMAN</t>
  </si>
  <si>
    <t>Cell cycle control protein 50A</t>
  </si>
  <si>
    <t>TMEM30A</t>
  </si>
  <si>
    <t>CY:1-43;TM:44-69;NC:70-324;TM:325-346;CY:347-361</t>
  </si>
  <si>
    <t>ENSG00000112697</t>
  </si>
  <si>
    <t>ENSP00000230461</t>
  </si>
  <si>
    <t>107;180;190;294;352</t>
  </si>
  <si>
    <t>CLSPDVTPCFCTIN[115]FTLEK;FCTIN[115]FTLEK;FLIGN[115]DSYPIPIALK;LIGN[115]DSYPIPIALK;YSLN[115]VTYNYPVHY;YSLN[115]VTYNYPVHYFDGR;YSLN[115]VTYN[115]YPVHYF</t>
  </si>
  <si>
    <t>107;190;294</t>
  </si>
  <si>
    <t>Q9NV96</t>
  </si>
  <si>
    <t>Apical cell membrane;Cell membrane;Cytoplasmic vesicle, secretory vesicle membrane;Golgi apparatus;Membrane (Multi-pass membrane protein)</t>
  </si>
  <si>
    <t>Acetylation;Alternative splicing;Cell membrane;Complete proteome;Cytoplasmic vesicle;Glycoprotein;Golgi apparatus;Lipid transport;Membrane;Reference proteome;Transmembrane;Transmembrane helix;Transport</t>
  </si>
  <si>
    <t>UniRef100_Q9NV96;UniRef90_Q9NV96;UniRef50_Q9NV96</t>
  </si>
  <si>
    <t>S52A1_HUMAN</t>
  </si>
  <si>
    <t>Solute carrier family 52, riboflavin transporter, member 1</t>
  </si>
  <si>
    <t>SLC52A1</t>
  </si>
  <si>
    <t>SP:1-25;NC:26-48;TM:49-68;CY:69-79;TM:80-100;NC:101-111;TM:112-136;CY:137-146;TM:147-167;NC:168-194;TM:195-217;CY:218-278;TM:279-299;NC:300-311;TM:312-334;CY:335-340;TM:341-362;NC:363-369;TM:370-394;CY:395-406;TM:407-427;NC:428-448</t>
  </si>
  <si>
    <t>ENSG00000132517</t>
  </si>
  <si>
    <t>ENSP00000254853;ENSP00000399979</t>
  </si>
  <si>
    <t>Alternative splicing;Cell membrane;Complete proteome;Glycoprotein;Host cell receptor for virus entry;Membrane;Polymorphism;Receptor;Reference proteome;Transmembrane;Transmembrane helix;Transport</t>
  </si>
  <si>
    <t>UniRef100_Q9NWF4;UniRef90_Q9NWF4;UniRef50_Q9NWF4</t>
  </si>
  <si>
    <t>RHBL2_HUMAN</t>
  </si>
  <si>
    <t>Rhomboid-related protein 2</t>
  </si>
  <si>
    <t>RHBDL2</t>
  </si>
  <si>
    <t>CY:1-71;TM:72-91;NC:92-122;TM:123-147;CY:148-157;TM:158-177;NC:178-182;TM:183-203;CY:204-213;TM:214-233;NC:234-244;TM:245-266;CY:267-277;TM:278-299;NC:300-303</t>
  </si>
  <si>
    <t>ENSG00000158315</t>
  </si>
  <si>
    <t>ENSP00000289248;ENSP00000362081</t>
  </si>
  <si>
    <t>Alternative splicing;Cell membrane;Complete proteome;Hydrolase;Membrane;Polymorphism;Protease;Reference proteome;Serine protease;Transmembrane;Transmembrane helix</t>
  </si>
  <si>
    <t>UniRef100_Q9NX52;UniRef90_Q9NX52;UniRef50_Q9NX52</t>
  </si>
  <si>
    <t>T161A_HUMAN</t>
  </si>
  <si>
    <t>Transmembrane protein 161A</t>
  </si>
  <si>
    <t>TMEM161A</t>
  </si>
  <si>
    <t>SP:1-28;NC:29-103;TM:104-124;CY:125-135;TM:136-159;NC:160-164;TM:165-187;CY:188-224;TM:225-245;NC:246-264;TM:265-284;CY:285-305;TM:306-328;NC:329-369;TM:370-392;CY:393-449;TM:450-472;NC:473-479</t>
  </si>
  <si>
    <t>ENSG00000064545</t>
  </si>
  <si>
    <t>ENSP00000162044</t>
  </si>
  <si>
    <t>34;387</t>
  </si>
  <si>
    <t>413;414</t>
  </si>
  <si>
    <t>UniRef100_Q9NX61;UniRef90_Q9NX61;UniRef50_Q9NX61</t>
  </si>
  <si>
    <t>ENK13_HUMAN</t>
  </si>
  <si>
    <t>Endogenous retrovirus group K member 13-1 Env polyprotein</t>
  </si>
  <si>
    <t>ERVK13-1</t>
  </si>
  <si>
    <t>CY:1-289;TM:290-315;NC:316-458;TM:459-479;CY:480-482</t>
  </si>
  <si>
    <t>9;45;176;192;331;378;398;409</t>
  </si>
  <si>
    <t>UniRef100_Q9NX77;UniRef90_Q9NX77;UniRef50_Q9NX77</t>
  </si>
  <si>
    <t>SIDT1_HUMAN</t>
  </si>
  <si>
    <t>SID1 transmembrane family member 1</t>
  </si>
  <si>
    <t>SIDT1</t>
  </si>
  <si>
    <t>SP:1-23;NC:24-310;TM:311-333;CY:334-442;TM:443-464;NC:465-497;TM:498-516;CY:517-542;TM:543-565;NC:566-570;TM:571-590;CY:591-601;TM:602-621;NC:622-626;TM:627-649;CY:650-683;TM:684-704;NC:705-709;TM:710-730;CY:731-741;TM:742-762;NC:763-792;TM:793-812;CY:813-827</t>
  </si>
  <si>
    <t>ENSG00000072858</t>
  </si>
  <si>
    <t>ENSP00000264852</t>
  </si>
  <si>
    <t>57;67;83;136;282;471;567;598;694;764</t>
  </si>
  <si>
    <t>UniRef100_Q9NXL6;UniRef90_Q9NXL6;UniRef50_Q9NXL6</t>
  </si>
  <si>
    <t>STAB1_HUMAN</t>
  </si>
  <si>
    <t>Stabilin-1</t>
  </si>
  <si>
    <t>STAB1</t>
  </si>
  <si>
    <t>SP:1-25;NC:26-2475;TM:2476-2499;CY:2500-2570</t>
  </si>
  <si>
    <t>133;286;312;413;606;673;712;745;816;1087;1096;1170;1178;1222;1274;1378;1471;1626;1727;2107;2222;2261;2290;2334;2347;2379;2393;2400;2424</t>
  </si>
  <si>
    <t>133;286;712;1078;1274;1378;1471;1727;2347;2379;2393;2531</t>
  </si>
  <si>
    <t>SLEAQGN[115]SSHLDADTVR</t>
  </si>
  <si>
    <t>Q9NY15</t>
  </si>
  <si>
    <t>Alternative splicing;Complete proteome;Disulfide bond;EGF-like domain;Glycoprotein;Inflammatory response;Laminin EGF-like domain;Membrane;Polymorphism;Receptor;Reference proteome;Repeat;Signal;Transmembrane;Transmembrane helix</t>
  </si>
  <si>
    <t>UniRef100_Q9NY15;UniRef90_Q9NY15;UniRef50_Q9NY15</t>
  </si>
  <si>
    <t>CLC5A_HUMAN</t>
  </si>
  <si>
    <t>C-type lectin domain family 5 member A</t>
  </si>
  <si>
    <t>CLEC5A</t>
  </si>
  <si>
    <t>CY:1-6;TM:7-27;NC:28-188</t>
  </si>
  <si>
    <t>ENSG00000258227</t>
  </si>
  <si>
    <t>ENSP00000449999</t>
  </si>
  <si>
    <t>32;93;144;151</t>
  </si>
  <si>
    <t>41;48;54;55;57</t>
  </si>
  <si>
    <t>SESSWN[115]ESR</t>
  </si>
  <si>
    <t>Q9NY25</t>
  </si>
  <si>
    <t>3D-structure;Alternative splicing;Cell membrane;Complete proteome;Disulfide bond;Glycoprotein;Host-virus interaction;Immunity;Innate immunity;Lectin;Membrane;Polymorphism;Reference proteome;Signal-anchor;Transmembrane;Transmembrane helix</t>
  </si>
  <si>
    <t>UniRef100_Q9NY25;UniRef90_Q9NY25;UniRef50_Q9R007</t>
  </si>
  <si>
    <t>CLDN1_HUMAN</t>
  </si>
  <si>
    <t>Claudin domain-containing protein 1</t>
  </si>
  <si>
    <t>CLDND1</t>
  </si>
  <si>
    <t>SP:1-26;NC:27-140;TM:141-164;CY:165-174;TM:175-197;NC:198-211;TM:212-237;CY:238-253</t>
  </si>
  <si>
    <t>ENSG00000080822</t>
  </si>
  <si>
    <t>ENSP00000340247;ENSP00000377734;ENSP00000377735;ENSP00000377739;ENSP00000421226;ENSP00000423590;ENSP00000426869</t>
  </si>
  <si>
    <t>42;47;72;207</t>
  </si>
  <si>
    <t>SPVQEN[115]SSDLN;SPVQEN[115]SSDLNK;SPVQEN[115]SSDLN[115]K;PVQEN[115]SSDLNK;PVQEN[115]SSDLN[115]K;VQEN[115]SSDLNK;VQEN[115]SSDLN[115]K;YN[115]GTVGLWR</t>
  </si>
  <si>
    <t>42;47;72</t>
  </si>
  <si>
    <t>Q9NY35</t>
  </si>
  <si>
    <t>UniRef100_Q9NY35;UniRef90_Q9NY35;UniRef50_Q9NY35</t>
  </si>
  <si>
    <t>ASIC5_HUMAN</t>
  </si>
  <si>
    <t>Acid-sensing ion channel 5</t>
  </si>
  <si>
    <t>ASIC5</t>
  </si>
  <si>
    <t>CY:1-62;TM:63-82;NC:83-455;TM:456-480;CY:481-505</t>
  </si>
  <si>
    <t>ENSG00000256394</t>
  </si>
  <si>
    <t>ENSP00000442477</t>
  </si>
  <si>
    <t>56;147;163;178;179;306;370;405;421</t>
  </si>
  <si>
    <t>Cell membrane;Complete proteome;Disulfide bond;Glycoprotein;Ion channel;Ion transport;Membrane;Reference proteome;Sodium;Sodium channel;Sodium transport;Transmembrane;Transmembrane helix;Transport</t>
  </si>
  <si>
    <t>UniRef100_Q9NY37;UniRef90_Q9NY37;UniRef50_Q9NY37</t>
  </si>
  <si>
    <t>SCN3A_HUMAN</t>
  </si>
  <si>
    <t>Sodium channel protein type 3 subunit alpha</t>
  </si>
  <si>
    <t>SCN3A</t>
  </si>
  <si>
    <t>CY:1-123;TM:124-147;NC:148-158;TM:159-179;CY:180-190;TM:191-208;NC:209-219;TM:220-238;CY:239-249;TM:250-270;NC:271-399;TM:400-425;CY:426-755;TM:756-779;NC:780-790;TM:791-812;CY:813-823;TM:824-842;NC:843-853;TM:854-872;CY:873-880;TM:881-902;NC:903-958;TM:959-983;CY:984-1205;TM:1206-1226;NC:1227-1245;TM:1246-1264;CY:1265-1270;TM:1271-1292;NC:1293-1297;TM:1298-1315;CY:1316-1335;TM:1336-1358;NC:1359-1443;TM:1444-1468;CY:1469-1525;TM:1526-1545;NC:1546-1556;TM:1557-1575;CY:1576-1586;TM:1587-1607;NC:1608-1617;TM:1618-1635;CY:1636-1654;TM:1655-1677;NC:1678-1746;TM:1747-1769;CY:1770-2000</t>
  </si>
  <si>
    <t>ENSG00000153253</t>
  </si>
  <si>
    <t>ENSP00000353206</t>
  </si>
  <si>
    <t>211;290;296;302;307;339;624;884;1051;1068;1134;1366;1380;1773;1922;1952</t>
  </si>
  <si>
    <t>Alternative splicing;Complete proteome;Glycoprotein;Ion channel;Ion transport;Membrane;Phosphoprotein;Polymorphism;Reference proteome;Repeat;Sodium;Sodium channel;Sodium transport;Transmembrane;Transmembrane helix;Transport;Ubl conjugation;Voltage-gated channel</t>
  </si>
  <si>
    <t>UniRef100_Q9NY46;UniRef90_Q9NY46;UniRef50_P35498</t>
  </si>
  <si>
    <t>DB00909;DB06218;DB00313</t>
  </si>
  <si>
    <t>GTR8_HUMAN</t>
  </si>
  <si>
    <t>Solute carrier family 2, facilitated glucose transporter member 8</t>
  </si>
  <si>
    <t>SLC2A8</t>
  </si>
  <si>
    <t>CY:1-25;TM:26-47;NC:48-67;TM:68-91;CY:92-97;TM:98-117;NC:118-123;TM:124-145;CY:146-155;TM:156-176;NC:177-181;TM:182-202;CY:203-256;TM:257-279;NC:280-290;TM:291-313;CY:314-319;TM:320-340;NC:341-368;TM:369-391;CY:392-402;TM:403-424;NC:425-438;TM:439-459;CY:460-477</t>
  </si>
  <si>
    <t>ENSG00000136856</t>
  </si>
  <si>
    <t>ENSP00000362469</t>
  </si>
  <si>
    <t>Cell membrane;Complete proteome;Cytoplasmic vesicle;Glycoprotein;Membrane;Polymorphism;Reference proteome;Sugar transport;Transmembrane;Transmembrane helix;Transport</t>
  </si>
  <si>
    <t>UniRef100_Q9NY64;UniRef90_Q9NY64;UniRef50_Q9NY64</t>
  </si>
  <si>
    <t>SCN3B_HUMAN</t>
  </si>
  <si>
    <t>Sodium channel subunit beta-3</t>
  </si>
  <si>
    <t>SCN3B</t>
  </si>
  <si>
    <t>SP:1-22;NC:23-159;TM:160-180;CY:181-215</t>
  </si>
  <si>
    <t>ENSG00000166257</t>
  </si>
  <si>
    <t>ENSP00000299333;ENSP00000376523;ENSP00000432785</t>
  </si>
  <si>
    <t>95;109;113;121;194</t>
  </si>
  <si>
    <t>3D-structure;Atrial fibrillation;Brugada syndrome;Complete proteome;Disease mutation;Disulfide bond;Glycoprotein;Immunoglobulin domain;Ion channel;Ion transport;Membrane;Polymorphism;Reference proteome;Signal;Sodium;Sodium channel;Sodium transport;Transmembrane;Transmembrane helix;Transport;Voltage-gated channel</t>
  </si>
  <si>
    <t>UniRef100_Q9NY72;UniRef90_Q9NY72;UniRef50_Q9NY72</t>
  </si>
  <si>
    <t>VNN3_HUMAN</t>
  </si>
  <si>
    <t>Vascular non-inflammatory molecule 3</t>
  </si>
  <si>
    <t>VNN3</t>
  </si>
  <si>
    <t>SP:1-22;NC:23-501</t>
  </si>
  <si>
    <t>ENSG00000093134</t>
  </si>
  <si>
    <t>39;147;270;358</t>
  </si>
  <si>
    <t>UniRef100_Q9NY84;UniRef90_Q9NY84;UniRef50_Q9Z0K8</t>
  </si>
  <si>
    <t>SC5A4_HUMAN</t>
  </si>
  <si>
    <t>Low affinity sodium-glucose cotransporter</t>
  </si>
  <si>
    <t>SLC5A4</t>
  </si>
  <si>
    <t>CY:1-26;TM:27-47;NC:48-66;TM:67-88;CY:89-100;TM:101-121;NC:122-170;TM:171-193;CY:194-204;TM:205-223;NC:224-273;TM:274-292;CY:293-311;TM:312-334;NC:335-421;TM:422-443;CY:444-458;TM:459-477;NC:478-525;TM:526-548;CY:549-637;TM:638-658;NC:659-659</t>
  </si>
  <si>
    <t>ENSG00000100191</t>
  </si>
  <si>
    <t>ENSP00000266086</t>
  </si>
  <si>
    <t>238;248;565</t>
  </si>
  <si>
    <t>Complete proteome;Glycoprotein;Ion transport;Membrane;Polymorphism;Reference proteome;Sodium;Sodium transport;Sugar transport;Symport;Transmembrane;Transmembrane helix;Transport</t>
  </si>
  <si>
    <t>UniRef100_Q9NY91;UniRef90_Q9NY91;UniRef50_P13866</t>
  </si>
  <si>
    <t>SO1C1_HUMAN</t>
  </si>
  <si>
    <t>Solute carrier organic anion transporter family member 1C1</t>
  </si>
  <si>
    <t>SLCO1C1</t>
  </si>
  <si>
    <t>CY:1-41;TM:42-59;NC:60-78;TM:79-104;CY:105-110;TM:111-132;NC:133-185;TM:186-209;CY:210-230;TM:231-251;NC:252-272;TM:273-295;CY:296-353;TM:354-373;NC:374-392;TM:393-414;CY:415-425;TM:426-445;NC:446-550;TM:551-576;CY:577-587;TM:588-610;NC:611-640;TM:641-664;CY:665-712</t>
  </si>
  <si>
    <t>ENSG00000139155</t>
  </si>
  <si>
    <t>ENSP00000266509</t>
  </si>
  <si>
    <t>146;309;510;520;533;692</t>
  </si>
  <si>
    <t>Alternative splicing;Cell membrane;Complete proteome;Disulfide bond;Glycoprotein;Ion transport;Membrane;Reference proteome;Transmembrane;Transmembrane helix;Transport</t>
  </si>
  <si>
    <t>UniRef100_Q9NYB5;UniRef90_Q9NYB5;UniRef50_Q9NYB5</t>
  </si>
  <si>
    <t>DLL3_HUMAN</t>
  </si>
  <si>
    <t>Delta-like protein 3</t>
  </si>
  <si>
    <t>DLL3</t>
  </si>
  <si>
    <t>SP:1-26;NC:27-491;TM:492-513;CY:514-618</t>
  </si>
  <si>
    <t>ENSG00000090932</t>
  </si>
  <si>
    <t>ENSP00000205143</t>
  </si>
  <si>
    <t>Alternative splicing;Complete proteome;Developmental protein;Differentiation;Disease mutation;Disulfide bond;Dwarfism;EGF-like domain;Membrane;Notch signaling pathway;Polymorphism;Reference proteome;Repeat;Signal;Transmembrane;Transmembrane helix;Ubl conjugation</t>
  </si>
  <si>
    <t>UniRef100_Q9NYJ7;UniRef90_Q9NYJ7;UniRef50_O88516</t>
  </si>
  <si>
    <t>TLR7_HUMAN</t>
  </si>
  <si>
    <t>Toll-like receptor 7</t>
  </si>
  <si>
    <t>TLR7</t>
  </si>
  <si>
    <t>SP:1-26;NC:27-839;TM:840-864;CY:865-1049</t>
  </si>
  <si>
    <t>ENSG00000196664</t>
  </si>
  <si>
    <t>ENSP00000370034</t>
  </si>
  <si>
    <t>66;69;167;202;215;275;361;389;413;488;523;534;590;679;720;799;942</t>
  </si>
  <si>
    <t>793;865</t>
  </si>
  <si>
    <t>Complete proteome;Cytoplasmic vesicle;Endoplasmic reticulum;Endosome;Glycoprotein;Immunity;Inflammatory response;Innate immunity;Leucine-rich repeat;Lysosome;Membrane;Polymorphism;Receptor;Reference proteome;Repeat;Signal;Transmembrane;Transmembrane helix</t>
  </si>
  <si>
    <t>UniRef100_Q9NYK1;UniRef90_Q9NYK1;UniRef50_Q9NYK1</t>
  </si>
  <si>
    <t>DB00724;DB01611</t>
  </si>
  <si>
    <t>GPR83_HUMAN</t>
  </si>
  <si>
    <t>Probable G-protein coupled receptor 83</t>
  </si>
  <si>
    <t>GPR83</t>
  </si>
  <si>
    <t>SP:1-16;NC:17-72;TM:73-97;CY:98-108;TM:109-129;NC:130-148;TM:149-167;CY:168-186;TM:187-206;NC:207-238;TM:239-261;CY:262-292;TM:293-314;NC:315-325;TM:326-348;CY:349-423</t>
  </si>
  <si>
    <t>ENSG00000123901</t>
  </si>
  <si>
    <t>ENSP00000243673</t>
  </si>
  <si>
    <t>37;46;134</t>
  </si>
  <si>
    <t>UniRef100_Q9NYM4;UniRef90_Q9NYM4;UniRef50_Q9NYM4</t>
  </si>
  <si>
    <t>CELR1_HUMAN</t>
  </si>
  <si>
    <t>Cadherin EGF LAG seven-pass G-type receptor 1</t>
  </si>
  <si>
    <t>CELSR1</t>
  </si>
  <si>
    <t>SP:1-25;NC:26-2469;TM:2470-2493;CY:2494-2504;TM:2505-2523;NC:2524-2528;TM:2529-2551;CY:2552-2571;TM:2572-2592;NC:2593-2611;TM:2612-2632;CY:2633-2652;TM:2653-2675;NC:2676-2681;TM:2682-2704;CY:2705-3014</t>
  </si>
  <si>
    <t>ENSG00000075275</t>
  </si>
  <si>
    <t>ENSP00000262738</t>
  </si>
  <si>
    <t>403;546;634;778;1114;1139;1213;1249;1259;1287;1576;1623;1640;1979;2103;2122;2257;2415;2437;2523;2741</t>
  </si>
  <si>
    <t>IPAHDPDVSDSLN[115]YTFVQGNELR;PAHDPDVSDSLN[115]YTFVQGNELR;DIGN[115]YSCAAQGTQTGSK;NVDMAGFIANN[115]GTR;GFDPDCN[115]KTNGQCQCK;LSRN[115]ETQVDGAR</t>
  </si>
  <si>
    <t>1139;1576;1640;1979;2122</t>
  </si>
  <si>
    <t>Q9NYQ6</t>
  </si>
  <si>
    <t>Alternative splicing;Calcium;Cell membrane;Complete proteome;Developmental protein;Disease mutation;Disulfide bond;EGF-like domain;G-protein coupled receptor;Glycoprotein;Hydroxylation;Laminin EGF-like domain;Membrane;Phosphoprotein;Polymorphism;Receptor;Reference proteome;Repeat;Signal;Transducer;Transmembrane;Transmembrane helix</t>
  </si>
  <si>
    <t>UniRef100_Q9NYQ6;UniRef90_Q9NYQ6;UniRef50_Q9NYQ6</t>
  </si>
  <si>
    <t>CELR3_HUMAN</t>
  </si>
  <si>
    <t>Cadherin EGF LAG seven-pass G-type receptor 3</t>
  </si>
  <si>
    <t>CELSR3</t>
  </si>
  <si>
    <t>SP:1-31;NC:32-2538;TM:2539-2562;CY:2563-2573;TM:2574-2593;NC:2594-2599;TM:2600-2622;CY:2623-2642;TM:2643-2663;NC:2664-2682;TM:2683-2705;CY:2706-2725;TM:2726-2745;NC:2746-2750;TM:2751-2774;CY:2775-3312</t>
  </si>
  <si>
    <t>ENSG00000008300</t>
  </si>
  <si>
    <t>ENSP00000164024</t>
  </si>
  <si>
    <t>167;632;847;1182;1222;1317;1327;1649;1713;1770;2053;2177;2196;2386;2474;2506;2697;2746;2808;3254</t>
  </si>
  <si>
    <t>2389;2390;2391</t>
  </si>
  <si>
    <t>GNELQLLVVN[115]QTSGELR;ELSLLLDGLELN[115]K</t>
  </si>
  <si>
    <t>1222;2196</t>
  </si>
  <si>
    <t>Q9NYQ7</t>
  </si>
  <si>
    <t>Alternative splicing;Calcium;Cell membrane;Complete proteome;Developmental protein;Disulfide bond;EGF-like domain;G-protein coupled receptor;Glycoprotein;Hydroxylation;Laminin EGF-like domain;Membrane;Phosphoprotein;Polymorphism;Receptor;Reference proteome;Repeat;Signal;Transducer;Transmembrane;Transmembrane helix</t>
  </si>
  <si>
    <t>UniRef100_Q9NYQ7;UniRef90_Q9NYQ7;UniRef50_Q9NYQ7</t>
  </si>
  <si>
    <t>FAT2_HUMAN</t>
  </si>
  <si>
    <t>Protocadherin Fat 2</t>
  </si>
  <si>
    <t>FAT2</t>
  </si>
  <si>
    <t>SP:1-18;NC:19-4048;TM:4049-4069;CY:4070-4349</t>
  </si>
  <si>
    <t>ENSG00000086570</t>
  </si>
  <si>
    <t>ENSP00000261800</t>
  </si>
  <si>
    <t>39;45;210;280;330;459;568;627;655;789;996;1175;1383;1417;1866;1904;1998;2007;2045;2165;2183;2325;2368;2387;2430;2470;2547;2597;2654;3125;3276;3310;3430;3471;3601;3772;3813;3840;3873;3904;3989</t>
  </si>
  <si>
    <t>Cell junction;Cell membrane (Single-pass type I membrane protein);Nucleus</t>
  </si>
  <si>
    <t>Calcium;Cell adhesion;Cell junction;Cell membrane;Complete proteome;Disulfide bond;EGF-like domain;Glycoprotein;Membrane;Nucleus;Polymorphism;Reference proteome;Repeat;Signal;Transmembrane;Transmembrane helix</t>
  </si>
  <si>
    <t>UniRef100_Q9NYQ8;UniRef90_Q9NYQ8;UniRef50_Q9NYQ8</t>
  </si>
  <si>
    <t>T2R16_HUMAN</t>
  </si>
  <si>
    <t>Taste receptor type 2 member 16</t>
  </si>
  <si>
    <t>TAS2R16</t>
  </si>
  <si>
    <t>NC:1-5;TM:6-25;CY:26-43;TM:44-63;NC:64-82;TM:83-105;CY:106-124;TM:125-150;NC:151-179;TM:180-203;CY:204-227;TM:228-252;NC:253-257;TM:258-278;CY:279-291</t>
  </si>
  <si>
    <t>ENSG00000128519</t>
  </si>
  <si>
    <t>ENSP00000249284</t>
  </si>
  <si>
    <t>80;163</t>
  </si>
  <si>
    <t>UniRef100_Q9NYV7;UniRef90_Q9NYV7;UniRef50_Q9NYV7</t>
  </si>
  <si>
    <t>T2R14_HUMAN</t>
  </si>
  <si>
    <t>Taste receptor type 2 member 14</t>
  </si>
  <si>
    <t>TAS2R14</t>
  </si>
  <si>
    <t>NC:1-6;TM:7-32;CY:33-52;TM:53-76;NC:77-87;TM:88-109;CY:110-128;TM:129-152;NC:153-178;TM:179-203;CY:204-232;TM:233-252;NC:253-260;TM:261-283;CY:284-317</t>
  </si>
  <si>
    <t>ENSG00000212127;ENSG00000261984;ENSG00000276541</t>
  </si>
  <si>
    <t>ENSP00000441949;ENSP00000458544;ENSP00000484251</t>
  </si>
  <si>
    <t>113;153;162;171</t>
  </si>
  <si>
    <t>UniRef100_Q9NYV8;UniRef90_Q9NYV8;UniRef50_Q9NYV8</t>
  </si>
  <si>
    <t>T2R10_HUMAN</t>
  </si>
  <si>
    <t>Taste receptor type 2 member 10</t>
  </si>
  <si>
    <t>TAS2R10</t>
  </si>
  <si>
    <t>NC:1-5;TM:6-30;CY:31-41;TM:42-62;NC:63-95;TM:96-120;CY:121-127;TM:128-148;NC:149-175;TM:176-200;CY:201-225;TM:226-245;NC:246-256;TM:257-280;CY:281-307</t>
  </si>
  <si>
    <t>ENSG00000121318;ENSG00000272805;ENSG00000277238</t>
  </si>
  <si>
    <t>ENSP00000240619;ENSP00000461683;ENSP00000482990</t>
  </si>
  <si>
    <t>92;112;158;210</t>
  </si>
  <si>
    <t>UniRef100_Q9NYW0;UniRef90_Q9NYW0;UniRef50_Q9JKT4</t>
  </si>
  <si>
    <t>TA2R9_HUMAN</t>
  </si>
  <si>
    <t>Taste receptor type 2 member 9</t>
  </si>
  <si>
    <t>TAS2R9</t>
  </si>
  <si>
    <t>NC:1-5;TM:6-33;CY:34-47;TM:48-72;NC:73-86;TM:87-109;CY:110-128;TM:129-147;NC:148-184;TM:185-206;CY:207-232;TM:233-256;NC:257-262;TM:263-285;CY:286-312</t>
  </si>
  <si>
    <t>ENSG00000121381;ENSG00000273086;ENSG00000273713</t>
  </si>
  <si>
    <t>ENSP00000240691;ENSP00000460247;ENSP00000480069</t>
  </si>
  <si>
    <t>93;94;113;164</t>
  </si>
  <si>
    <t>UniRef100_Q9NYW1;UniRef90_Q9NYW1;UniRef50_Q9NYW1</t>
  </si>
  <si>
    <t>TA2R8_HUMAN</t>
  </si>
  <si>
    <t>Taste receptor type 2 member 8</t>
  </si>
  <si>
    <t>TAS2R8</t>
  </si>
  <si>
    <t>NC:1-5;TM:6-31;CY:32-47;TM:48-71;NC:72-82;TM:83-109;CY:110-128;TM:129-152;NC:153-184;TM:185-206;CY:207-239;TM:240-260;NC:261-271;TM:272-289;CY:290-309</t>
  </si>
  <si>
    <t>ENSG00000121314;ENSG00000272712;ENSG00000277316</t>
  </si>
  <si>
    <t>ENSP00000240615;ENSP00000461158;ENSP00000484163</t>
  </si>
  <si>
    <t>32;121</t>
  </si>
  <si>
    <t>UniRef100_Q9NYW2;UniRef90_Q9NYW2;UniRef50_Q9NYW2</t>
  </si>
  <si>
    <t>TA2R7_HUMAN</t>
  </si>
  <si>
    <t>Taste receptor type 2 member 7</t>
  </si>
  <si>
    <t>TAS2R7</t>
  </si>
  <si>
    <t>NC:1-6;TM:7-31;CY:32-51;TM:52-72;NC:73-91;TM:92-109;CY:110-128;TM:129-148;NC:149-183;TM:184-207;CY:208-235;TM:236-259;NC:260-264;TM:265-288;CY:289-318</t>
  </si>
  <si>
    <t>ENSG00000121377;ENSG00000273326;ENSG00000274327</t>
  </si>
  <si>
    <t>ENSP00000240687;ENSP00000458498;ENSP00000484743</t>
  </si>
  <si>
    <t>167;175</t>
  </si>
  <si>
    <t>UniRef100_Q9NYW3;UniRef90_Q9NYW3;UniRef50_Q9NYW3</t>
  </si>
  <si>
    <t>TA2R4_HUMAN</t>
  </si>
  <si>
    <t>Taste receptor type 2 member 4</t>
  </si>
  <si>
    <t>TAS2R4</t>
  </si>
  <si>
    <t>NC:1-5;TM:6-27;CY:28-46;TM:47-70;NC:71-81;TM:82-108;CY:109-128;TM:129-150;NC:151-173;TM:174-199;CY:200-230;TM:231-253;NC:254-261;TM:262-283;CY:284-299</t>
  </si>
  <si>
    <t>ENSG00000127364</t>
  </si>
  <si>
    <t>ENSP00000247881</t>
  </si>
  <si>
    <t>124;164;165;169;192;213</t>
  </si>
  <si>
    <t>UniRef100_Q9NYW5;UniRef90_Q9NYW5;UniRef50_Q9NYW5</t>
  </si>
  <si>
    <t>TA2R3_HUMAN</t>
  </si>
  <si>
    <t>Taste receptor type 2 member 3</t>
  </si>
  <si>
    <t>TAS2R3</t>
  </si>
  <si>
    <t>NC:1-5;TM:6-29;CY:30-45;TM:46-69;NC:70-90;TM:91-109;CY:110-128;TM:129-149;NC:150-186;TM:187-207;CY:208-233;TM:234-255;NC:256-266;TM:267-287;CY:288-316</t>
  </si>
  <si>
    <t>ENSG00000127362</t>
  </si>
  <si>
    <t>ENSP00000247879</t>
  </si>
  <si>
    <t>31;166;217</t>
  </si>
  <si>
    <t>Complete proteome;G-protein coupled receptor;Glycoprotein;Membrane;Receptor;Reference proteome;Sensory transduction;Taste;Transducer;Transmembrane;Transmembrane helix</t>
  </si>
  <si>
    <t>UniRef100_Q9NYW6;UniRef90_Q9NYW6;UniRef50_Q9NYW6</t>
  </si>
  <si>
    <t>TA2R1_HUMAN</t>
  </si>
  <si>
    <t>Taste receptor type 2 member 1</t>
  </si>
  <si>
    <t>TAS2R1</t>
  </si>
  <si>
    <t>NC:1-5;TM:6-33;CY:34-55;TM:56-77;NC:78-82;TM:83-105;CY:106-124;TM:125-147;NC:148-175;TM:176-201;CY:202-221;TM:222-245;NC:246-257;TM:258-280;CY:281-299</t>
  </si>
  <si>
    <t>ENSG00000169777</t>
  </si>
  <si>
    <t>ENSP00000371932</t>
  </si>
  <si>
    <t>UniRef100_Q9NYW7;UniRef90_Q9NYW7;UniRef50_Q9NYW7</t>
  </si>
  <si>
    <t>CALY_HUMAN</t>
  </si>
  <si>
    <t>Neuron-specific vesicular protein calcyon</t>
  </si>
  <si>
    <t>CALY</t>
  </si>
  <si>
    <t>NC:1-85;TM:86-106;CY:107-217</t>
  </si>
  <si>
    <t>ENSG00000130643</t>
  </si>
  <si>
    <t>ENSP00000252939</t>
  </si>
  <si>
    <t>Cell membrane (Single-pass membrane protein);Cytoplasmic vesicle membrane (Single-pass membrane protein)</t>
  </si>
  <si>
    <t>Alternative splicing;Cell membrane;Complete proteome;Cytoplasmic vesicle;Endocytosis;Glycoprotein;Membrane;Reference proteome;Transmembrane;Transmembrane helix</t>
  </si>
  <si>
    <t>UniRef100_Q9NYX4;UniRef90_Q9NYX4;UniRef50_Q9NYX4</t>
  </si>
  <si>
    <t>DB00363;DB00714;DB00831</t>
  </si>
  <si>
    <t>SIGL8_HUMAN</t>
  </si>
  <si>
    <t>Sialic acid-binding Ig-like lectin 8</t>
  </si>
  <si>
    <t>SIGLEC8</t>
  </si>
  <si>
    <t>SP:1-16;NC:17-360;TM:361-384;CY:385-499</t>
  </si>
  <si>
    <t>ENSG00000105366</t>
  </si>
  <si>
    <t>ENSP00000321077</t>
  </si>
  <si>
    <t>CD329</t>
  </si>
  <si>
    <t>172;249;267</t>
  </si>
  <si>
    <t>Alternative splicing;Cell adhesion;Complete proteome;Disulfide bond;Glycoprotein;Immunoglobulin domain;Lectin;Membrane;Polymorphism;Reference proteome;Repeat;Signal;Transmembrane;Transmembrane helix</t>
  </si>
  <si>
    <t>UniRef100_Q9NYZ4;UniRef90_Q9NYZ4;UniRef50_Q9Y286</t>
  </si>
  <si>
    <t>PDXL2_HUMAN</t>
  </si>
  <si>
    <t>Podocalyxin-like protein 2</t>
  </si>
  <si>
    <t>PODXL2</t>
  </si>
  <si>
    <t>SP:1-33;NC:34-499;TM:500-523;CY:524-605</t>
  </si>
  <si>
    <t>ENSG00000114631</t>
  </si>
  <si>
    <t>ENSP00000345359</t>
  </si>
  <si>
    <t>106;193;395;480</t>
  </si>
  <si>
    <t>395;551</t>
  </si>
  <si>
    <t>SLEEIGIQN[115]YSTTSSCQAR</t>
  </si>
  <si>
    <t>Q9NZ53</t>
  </si>
  <si>
    <t>Alternative splicing;Cell adhesion;Complete proteome;Disulfide bond;Glycoprotein;Membrane;Phosphoprotein;Polymorphism;Reference proteome;Sialic acid;Signal;Sulfation;Transmembrane;Transmembrane helix</t>
  </si>
  <si>
    <t>UniRef100_Q9NZ53;UniRef90_Q9NZ53;UniRef50_Q9NZ53</t>
  </si>
  <si>
    <t>NLGN3_HUMAN</t>
  </si>
  <si>
    <t>Neuroligin-3</t>
  </si>
  <si>
    <t>NLGN3</t>
  </si>
  <si>
    <t>SP:1-38;NC:39-708;TM:709-731;CY:732-848</t>
  </si>
  <si>
    <t>ENSG00000196338</t>
  </si>
  <si>
    <t>ENSP00000351591</t>
  </si>
  <si>
    <t>98;545;835</t>
  </si>
  <si>
    <t>Alternative splicing;Cell adhesion;Cell junction;Cell membrane;Complete proteome;Disease mutation;Disulfide bond;Glycoprotein;Membrane;Phosphoprotein;Reference proteome;Signal;Synapse;Transmembrane;Transmembrane helix</t>
  </si>
  <si>
    <t>UniRef100_Q9NZ94;UniRef90_Q62889;UniRef50_Q62765</t>
  </si>
  <si>
    <t>TREM2_HUMAN</t>
  </si>
  <si>
    <t>Triggering receptor expressed on myeloid cells 2</t>
  </si>
  <si>
    <t>TREM2</t>
  </si>
  <si>
    <t>SP:1-18;NC:19-173;TM:174-197;CY:198-230</t>
  </si>
  <si>
    <t>ENSG00000095970</t>
  </si>
  <si>
    <t>ENSP00000362205</t>
  </si>
  <si>
    <t>20;79</t>
  </si>
  <si>
    <t>160;162</t>
  </si>
  <si>
    <t>Alternative splicing;Cell membrane;Complete proteome;Disease mutation;Disulfide bond;Glycoprotein;Immunoglobulin domain;Membrane;Polymorphism;Receptor;Reference proteome;Secreted;Signal;Transmembrane;Transmembrane helix</t>
  </si>
  <si>
    <t>UniRef100_Q9NZC2;UniRef90_Q9NZC2;UniRef50_Q9NZC2</t>
  </si>
  <si>
    <t>GPC5D_HUMAN</t>
  </si>
  <si>
    <t>G-protein coupled receptor family C group 5 member D</t>
  </si>
  <si>
    <t>GPRC5D</t>
  </si>
  <si>
    <t>NC:1-23;TM:24-47;CY:48-58;TM:59-82;NC:83-92;TM:93-113;CY:114-123;TM:124-149;NC:150-169;TM:170-192;CY:193-204;TM:205-225;NC:226-240;TM:241-260;CY:261-345</t>
  </si>
  <si>
    <t>ENSG00000111291</t>
  </si>
  <si>
    <t>ENSP00000228887</t>
  </si>
  <si>
    <t>Alternative splicing;Cell membrane;Complete proteome;G-protein coupled receptor;Membrane;Polymorphism;Receptor;Reference proteome;Transducer;Transmembrane;Transmembrane helix</t>
  </si>
  <si>
    <t>UniRef100_Q9NZD1;UniRef90_Q9NZD1;UniRef50_Q9JIL6</t>
  </si>
  <si>
    <t>GPC5B_HUMAN</t>
  </si>
  <si>
    <t>G-protein coupled receptor family C group 5 member B</t>
  </si>
  <si>
    <t>GPRC5B</t>
  </si>
  <si>
    <t>SP:1-30;NC:31-53;TM:54-81;CY:82-92;TM:93-115;NC:116-126;TM:127-147;CY:148-158;TM:159-183;NC:184-201;TM:202-222;CY:223-233;TM:234-256;NC:257-270;TM:271-289;CY:290-403</t>
  </si>
  <si>
    <t>ENSG00000167191</t>
  </si>
  <si>
    <t>ENSP00000300571;ENSP00000454727;ENSP00000457283</t>
  </si>
  <si>
    <t>30;352</t>
  </si>
  <si>
    <t>Cell membrane (Multi-pass membrane protein);Cytoplasmic vesicle membrane (Multi- pass membrane protein)</t>
  </si>
  <si>
    <t>UniRef100_Q9NZH0;UniRef90_Q9NZH0;UniRef50_Q9NZH0</t>
  </si>
  <si>
    <t>MYOF_HUMAN</t>
  </si>
  <si>
    <t>Myoferlin</t>
  </si>
  <si>
    <t>MYOF</t>
  </si>
  <si>
    <t>CY:1-345;TM:346-365;NC:366-1843;TM:1844-1864;CY:1865-2025;TM:2026-2048;NC:2049-2061</t>
  </si>
  <si>
    <t>ENSG00000138119</t>
  </si>
  <si>
    <t>ENSP00000352208</t>
  </si>
  <si>
    <t>Other;Ferlin</t>
  </si>
  <si>
    <t>250;338;714;804;937;1754;1779</t>
  </si>
  <si>
    <t>TLHSTFQPN[115]ISQGK</t>
  </si>
  <si>
    <t>Q9NZM1</t>
  </si>
  <si>
    <t>Cell membrane (Single-pass type II membrane protein);Cytoplasmic vesicle membrane (Single-pass type II membrane protein);Nucleus membrane (Single-pass type II membrane protein)</t>
  </si>
  <si>
    <t>3D-structure;Acetylation;Alternative splicing;Cell membrane;Complete proteome;Cytoplasmic vesicle;Membrane;Nucleus;Phosphoprotein;Polymorphism;Reference proteome;Repeat;Signal-anchor;Transmembrane;Transmembrane helix</t>
  </si>
  <si>
    <t>UniRef100_Q9NZM1;UniRef90_Q9NZM1;UniRef50_Q9NZM1</t>
  </si>
  <si>
    <t>IRPL1_HUMAN</t>
  </si>
  <si>
    <t>Interleukin-1 receptor accessory protein-like 1</t>
  </si>
  <si>
    <t>IL1RAPL1</t>
  </si>
  <si>
    <t>SP:1-20;NC:21-357;TM:358-380;CY:381-696</t>
  </si>
  <si>
    <t>ENSG00000169306</t>
  </si>
  <si>
    <t>ENSP00000368278</t>
  </si>
  <si>
    <t>63;122;138;213;264;331</t>
  </si>
  <si>
    <t>Cell membrane (Single-pass type I membrane protein);Cell projection, axon;Cell projection, dendrite;Cytoplasm</t>
  </si>
  <si>
    <t>3D-structure;Alternative splicing;Cell membrane;Cell projection;Complete proteome;Cytoplasm;Disulfide bond;Glycoprotein;Immunoglobulin domain;Membrane;Mental retardation;Polymorphism;Receptor;Reference proteome;Repeat;Signal;Transmembrane;Transmembrane helix</t>
  </si>
  <si>
    <t>UniRef100_Q9NZN1;UniRef90_Q9NZN1;UniRef50_Q9NZN1</t>
  </si>
  <si>
    <t>OR6C3_HUMAN</t>
  </si>
  <si>
    <t>Olfactory receptor 6C3</t>
  </si>
  <si>
    <t>OR6C3</t>
  </si>
  <si>
    <t>NC:1-19;TM:20-45;CY:46-57;TM:58-78;NC:79-97;TM:98-117;CY:118-136;TM:137-159;NC:160-194;TM:195-218;CY:219-237;TM:238-258;NC:259-269;TM:270-289;CY:290-311</t>
  </si>
  <si>
    <t>ENSG00000205329</t>
  </si>
  <si>
    <t>ENSP00000368989</t>
  </si>
  <si>
    <t>2;39;62;86;275</t>
  </si>
  <si>
    <t>UniRef100_Q9NZP0;UniRef90_Q9NZP0;UniRef50_Q9NZP0</t>
  </si>
  <si>
    <t>OR6C2_HUMAN</t>
  </si>
  <si>
    <t>Olfactory receptor 6C2</t>
  </si>
  <si>
    <t>OR6C2</t>
  </si>
  <si>
    <t>NC:1-21;TM:22-46;CY:47-58;TM:59-79;NC:80-98;TM:99-118;CY:119-137;TM:138-158;NC:159-196;TM:197-219;CY:220-239;TM:240-258;NC:259-269;TM:270-290;CY:291-312</t>
  </si>
  <si>
    <t>ENSG00000179695</t>
  </si>
  <si>
    <t>ENSP00000323606</t>
  </si>
  <si>
    <t>3;40;63;82</t>
  </si>
  <si>
    <t>UniRef100_Q9NZP2;UniRef90_Q9NZP2;UniRef50_Q9NZP2</t>
  </si>
  <si>
    <t>O5AC2_HUMAN</t>
  </si>
  <si>
    <t>Olfactory receptor 5AC2</t>
  </si>
  <si>
    <t>OR5AC2</t>
  </si>
  <si>
    <t>NC:1-24;TM:25-50;CY:51-61;TM:62-81;NC:82-102;TM:103-122;CY:123-141;TM:142-160;NC:161-196;TM:197-220;CY:221-239;TM:240-262;NC:263-274;TM:275-294;CY:295-309</t>
  </si>
  <si>
    <t>ENSG00000196578</t>
  </si>
  <si>
    <t>ENSP00000351466</t>
  </si>
  <si>
    <t>UniRef100_Q9NZP5;UniRef90_Q9NZP5;UniRef50_Q8NGV6</t>
  </si>
  <si>
    <t>PD1L1_HUMAN</t>
  </si>
  <si>
    <t>Programmed cell death 1 ligand 1</t>
  </si>
  <si>
    <t>CD274</t>
  </si>
  <si>
    <t>SP:1-18;NC:19-239;TM:240-261;CY:262-290</t>
  </si>
  <si>
    <t>ENSG00000120217</t>
  </si>
  <si>
    <t>ENSP00000370989</t>
  </si>
  <si>
    <t>35;192;200;219</t>
  </si>
  <si>
    <t>180;181;182</t>
  </si>
  <si>
    <t>GSN[115]MTIECK;LFN[115]VTSTLR;IN[115]TTTNEIFYCTFR;IN[115]TTTN[115]EIFYCTFR;RLDPEEN[115]HTAE;RLDPEEN[115]HTAELVIPELP;RLDPEEN[115]HTAELVIPELPLAHPPNER;LDPEEN[115]HTAE;LDPEEN[115]HTAELVIPELPLAHPPNER</t>
  </si>
  <si>
    <t>Q9NZQ7</t>
  </si>
  <si>
    <t>3D-structure;Alternative splicing;Cell membrane;Complete proteome;Disulfide bond;Glycoprotein;Immunoglobulin domain;Membrane;Receptor;Reference proteome;Repeat;Signal;Transmembrane;Transmembrane helix</t>
  </si>
  <si>
    <t>UniRef100_Q9NZQ7;UniRef90_Q9NZQ7;UniRef50_Q9NZQ7</t>
  </si>
  <si>
    <t>LRP1B_HUMAN</t>
  </si>
  <si>
    <t>Low-density lipoprotein receptor-related protein 1B</t>
  </si>
  <si>
    <t>LRP1B</t>
  </si>
  <si>
    <t>SP:1-22;NC:23-4443;TM:4444-4467;CY:4468-4599</t>
  </si>
  <si>
    <t>ENSG00000168702</t>
  </si>
  <si>
    <t>ENSP00000374135</t>
  </si>
  <si>
    <t>134;190;220;313;360;443;725;758;829;883;919;1041;1089;1145;1209;1298;1502;1549;1636;1754;1816;1921;1983;2105;2458;2488;2507;2549;2626;2647;2802;2892;3034;3066;3076;3164;3310;3316;3682;3877;3894;3906;4017;4204;4381;4420;4556</t>
  </si>
  <si>
    <t>50;249;274;292;386;457;608;615;658;661;664;680;696;711;753;862;903;944;985;1023;1071;1104;1114;1243;1304;1344;1351;1394;1397;1426;1441;1484;1487;1498;1622;1658;1665;1709;1749;1791;1792;1926;1943;1962;1969;2012;2015;2041;2056;2098;2258;2280;2285;2334;2337;2420;2423;2657;2699;2722;2737;2779;2863;2954;3059;3096;3103;3146;3190;3229;3255;3333;3334;3454;3493;3533;3570;3650;3691;3937;3978;3985;3993;4001;4043;4087;4240;4421</t>
  </si>
  <si>
    <t>ISTDGSN[115]YTLLK</t>
  </si>
  <si>
    <t>Q9NZR2</t>
  </si>
  <si>
    <t>Calcium;Complete proteome;Disulfide bond;EGF-like domain;Endocytosis;Glycoprotein;Membrane;Polymorphism;Receptor;Reference proteome;Repeat;Signal;Transmembrane;Transmembrane helix</t>
  </si>
  <si>
    <t>UniRef100_Q9NZR2;UniRef90_Q9NZR2;UniRef50_Q07954</t>
  </si>
  <si>
    <t>KLRF1_HUMAN</t>
  </si>
  <si>
    <t>Killer cell lectin-like receptor subfamily F member 1</t>
  </si>
  <si>
    <t>KLRF1</t>
  </si>
  <si>
    <t>CY:1-38;TM:39-62;NC:63-232</t>
  </si>
  <si>
    <t>ENSG00000150045</t>
  </si>
  <si>
    <t>ENSP00000279545;ENSP00000483713</t>
  </si>
  <si>
    <t>77;91;96;177</t>
  </si>
  <si>
    <t>77;91;177</t>
  </si>
  <si>
    <t>GSCSN[115]ATQYEDTGDLK;SCSN[115]ATQYEDTGDLK</t>
  </si>
  <si>
    <t>Q9NZS2</t>
  </si>
  <si>
    <t>UniRef100_Q9NZS2;UniRef90_Q9NZS2;UniRef50_Q9NZS2</t>
  </si>
  <si>
    <t>FLRT3_HUMAN</t>
  </si>
  <si>
    <t>Leucine-rich repeat transmembrane protein FLRT3</t>
  </si>
  <si>
    <t>FLRT3</t>
  </si>
  <si>
    <t>SP:1-28;NC:29-528;TM:529-552;CY:553-649</t>
  </si>
  <si>
    <t>ENSG00000125848</t>
  </si>
  <si>
    <t>ENSP00000339912;ENSP00000367292</t>
  </si>
  <si>
    <t>226;282;296;555;626;633</t>
  </si>
  <si>
    <t>226;296;508</t>
  </si>
  <si>
    <t>Cell adhesion;Complete proteome;Disease mutation;Glycoprotein;Hypogonadotropic hypogonadism;Kallmann syndrome;Leucine-rich repeat;Membrane;Polymorphism;Reference proteome;Repeat;Signal;Transmembrane;Transmembrane helix</t>
  </si>
  <si>
    <t>UniRef100_Q9NZU0;UniRef90_Q9NZU0;UniRef50_Q9NZU0</t>
  </si>
  <si>
    <t>FLRT1_HUMAN</t>
  </si>
  <si>
    <t>Leucine-rich repeat transmembrane protein FLRT1</t>
  </si>
  <si>
    <t>FLRT1</t>
  </si>
  <si>
    <t>SP:1-22;NC:23-524;TM:525-549;CY:550-646</t>
  </si>
  <si>
    <t>ENSG00000126500</t>
  </si>
  <si>
    <t>ENSP00000246841</t>
  </si>
  <si>
    <t>221;277;614</t>
  </si>
  <si>
    <t>221;277</t>
  </si>
  <si>
    <t>LQN[115]LTELSLVR;LDLSNNN[115]LTTLPR</t>
  </si>
  <si>
    <t>Q9NZU1</t>
  </si>
  <si>
    <t>Cell adhesion;Complete proteome;Glycoprotein;Leucine-rich repeat;Membrane;Reference proteome;Repeat;Signal;Transmembrane;Transmembrane helix</t>
  </si>
  <si>
    <t>UniRef100_Q9NZU1;UniRef90_Q9NZU1;UniRef50_Q9NZU1</t>
  </si>
  <si>
    <t>CRIM1_HUMAN</t>
  </si>
  <si>
    <t>Cysteine-rich motor neuron 1 protein</t>
  </si>
  <si>
    <t>CRIM1</t>
  </si>
  <si>
    <t>SP:1-34;NC:35-938;TM:939-960;CY:961-1036</t>
  </si>
  <si>
    <t>ENSG00000150938</t>
  </si>
  <si>
    <t>ENSP00000280527</t>
  </si>
  <si>
    <t>71;113;330;474;746</t>
  </si>
  <si>
    <t>71;113;330;474;650;722;746</t>
  </si>
  <si>
    <t>114;416;622;693;767;832;902;966;972</t>
  </si>
  <si>
    <t>N[115]ESCGGTFGIYGTCDR</t>
  </si>
  <si>
    <t>Q9NZV1</t>
  </si>
  <si>
    <t>Cell membrane;Complete proteome;Direct protein sequencing;Glycoprotein;Membrane;Phosphoprotein;Polymorphism;Reference proteome;Repeat;Secreted;Signal;Transmembrane;Transmembrane helix</t>
  </si>
  <si>
    <t>UniRef100_Q9NZV1;UniRef90_Q9NZV1;UniRef50_Q9NZV1</t>
  </si>
  <si>
    <t>ADA22_HUMAN</t>
  </si>
  <si>
    <t>Disintegrin and metalloproteinase domain-containing protein 22</t>
  </si>
  <si>
    <t>ADAM22</t>
  </si>
  <si>
    <t>SP:1-25;NC:26-736;TM:737-760;CY:761-906</t>
  </si>
  <si>
    <t>ENSG00000008277</t>
  </si>
  <si>
    <t>ENSP00000265727</t>
  </si>
  <si>
    <t>165;175;208;519;634;675;856</t>
  </si>
  <si>
    <t>EAVNDCDIRETCSGN[115]SSQCAPNIHK;ETCSGN[115]SSQCAPNIHK;TLN[115]CSGGHVK</t>
  </si>
  <si>
    <t>519;634</t>
  </si>
  <si>
    <t>Q9P0K1</t>
  </si>
  <si>
    <t>Cell projection, axon;Membrane (Single-pass type I membrane protein)</t>
  </si>
  <si>
    <t>3D-structure;Alternative splicing;Cell adhesion;Cell projection;Cleavage on pair of basic residues;Complete proteome;Disulfide bond;EGF-like domain;Glycoprotein;Membrane;Phosphoprotein;Polymorphism;Receptor;Reference proteome;Signal;Transmembrane;Transmembrane helix</t>
  </si>
  <si>
    <t>UniRef100_Q9P0K1;UniRef90_Q9R1V6-1;UniRef50_Q9R1V6</t>
  </si>
  <si>
    <t>PK2L1_HUMAN</t>
  </si>
  <si>
    <t>Polycystic kidney disease 2-like 1 protein</t>
  </si>
  <si>
    <t>PKD2L1</t>
  </si>
  <si>
    <t>CY:1-103;TM:104-128;NC:129-311;TM:312-333;CY:334-347;TM:348-368;NC:369-386;TM:387-406;CY:407-476;TM:477-499;NC:500-538;TM:539-560;CY:561-805</t>
  </si>
  <si>
    <t>ENSG00000107593</t>
  </si>
  <si>
    <t>ENSP00000325296</t>
  </si>
  <si>
    <t>177;207;241;460;505;561;589</t>
  </si>
  <si>
    <t>Cell membrane (Multi-pass membrane protein);Cell projection, cilium membrane (Multi-pass membrane protein);Endoplasmic reticulum</t>
  </si>
  <si>
    <t>3D-structure;Alternative splicing;Calcium;Calcium channel;Calcium transport;Cell membrane;Cell projection;Cilium;Coiled coil;Complete proteome;Endoplasmic reticulum;Glycoprotein;Ion channel;Ion transport;Membrane;Polymorphism;Reference proteome;Transmembrane;Transmembrane helix;Transport</t>
  </si>
  <si>
    <t>UniRef100_Q9P0L9;UniRef90_Q9P0L9;UniRef50_Q9P0L9</t>
  </si>
  <si>
    <t>TMEM9_HUMAN</t>
  </si>
  <si>
    <t>Transmembrane protein 9</t>
  </si>
  <si>
    <t>TMEM9</t>
  </si>
  <si>
    <t>SP:1-20;NC:21-89;TM:90-112;CY:113-183</t>
  </si>
  <si>
    <t>ENSG00000116857</t>
  </si>
  <si>
    <t>ENSP00000356299;ENSP00000356302;ENSP00000356303;ENSP00000476893</t>
  </si>
  <si>
    <t>21;38;47</t>
  </si>
  <si>
    <t>IYNQN[115]VSQK</t>
  </si>
  <si>
    <t>Q9P0T7</t>
  </si>
  <si>
    <t>Complete proteome;Endosome;Glycoprotein;Lysosome;Membrane;Phosphoprotein;Reference proteome;Signal;Transmembrane;Transmembrane helix;Transport</t>
  </si>
  <si>
    <t>UniRef100_Q9P0T7;UniRef90_Q9P0T7;UniRef50_Q9P0T7</t>
  </si>
  <si>
    <t>SLAF8_HUMAN</t>
  </si>
  <si>
    <t>SLAM family member 8</t>
  </si>
  <si>
    <t>SLAMF8</t>
  </si>
  <si>
    <t>SP:1-23;NC:24-233;TM:234-256;CY:257-285</t>
  </si>
  <si>
    <t>ENSG00000158714</t>
  </si>
  <si>
    <t>ENSP00000289707</t>
  </si>
  <si>
    <t>CD353</t>
  </si>
  <si>
    <t>85;100;156</t>
  </si>
  <si>
    <t>Alternative splicing;Complete proteome;Direct protein sequencing;Disulfide bond;Glycoprotein;Immunoglobulin domain;Membrane;Polymorphism;Reference proteome;Signal;Transmembrane;Transmembrane helix</t>
  </si>
  <si>
    <t>UniRef100_Q9P0V8;UniRef90_Q9P0V8;UniRef50_Q9P0V8</t>
  </si>
  <si>
    <t>CAC1I_HUMAN</t>
  </si>
  <si>
    <t>Voltage-dependent T-type calcium channel subunit alpha-1I</t>
  </si>
  <si>
    <t>CACNA1I</t>
  </si>
  <si>
    <t>CY:1-78;TM:79-101;NC:102-120;TM:121-140;CY:141-149;TM:150-167;NC:168-172;TM:173-190;CY:191-209;TM:210-232;NC:233-374;TM:375-399;CY:400-640;TM:641-659;NC:660-670;TM:671-695;CY:696-703;TM:704-720;NC:721-727;TM:728-746;CY:747-761;TM:762-784;NC:785-838;TM:839-862;CY:863-1170;TM:1171-1189;NC:1190-1208;TM:1209-1230;CY:1231-1241;TM:1242-1264;NC:1265-1278;TM:1279-1296;CY:1297-1307;TM:1308-1328;NC:1329-1407;TM:1408-1431;CY:1432-1486;TM:1487-1506;NC:1507-1523;TM:1524-1543;CY:1544-1554;TM:1555-1576;NC:1577-1582;TM:1583-1599;CY:1600-1619;TM:1620-1640;NC:1641-1707;TM:1708-1729;CY:1730-2223</t>
  </si>
  <si>
    <t>ENSG00000100346</t>
  </si>
  <si>
    <t>ENSP00000385019</t>
  </si>
  <si>
    <t>173;244;311;872;1342;1345;1823;2003</t>
  </si>
  <si>
    <t>Alternative splicing;Calcium;Calcium channel;Calcium transport;Complete proteome;Glycoprotein;Ion channel;Ion transport;Membrane;Polymorphism;Reference proteome;Repeat;Transmembrane;Transmembrane helix;Transport;Voltage-gated channel</t>
  </si>
  <si>
    <t>UniRef100_Q9P0X4;UniRef90_Q9P0X4;UniRef50_Q9P0X4</t>
  </si>
  <si>
    <t>DB00568;DB00617;DB00661;DB00909;DB04841;DB00421</t>
  </si>
  <si>
    <t>NTRI_HUMAN</t>
  </si>
  <si>
    <t>Neurotrimin</t>
  </si>
  <si>
    <t>NTM</t>
  </si>
  <si>
    <t>SP:1-33;NC:34-344</t>
  </si>
  <si>
    <t>ENSG00000182667</t>
  </si>
  <si>
    <t>ENSP00000363918</t>
  </si>
  <si>
    <t>44;70;152;284;292;305;321</t>
  </si>
  <si>
    <t>Alternative splicing;Cell adhesion;Cell membrane;Complete proteome;Direct protein sequencing;Disulfide bond;Glycoprotein;GPI-anchor;Immunoglobulin domain;Lipoprotein;Membrane;Reference proteome;Repeat;Signal</t>
  </si>
  <si>
    <t>UniRef100_Q9P121;UniRef90_Q62718;UniRef50_Q62718</t>
  </si>
  <si>
    <t>CLC1B_HUMAN</t>
  </si>
  <si>
    <t>C-type lectin domain family 1 member B</t>
  </si>
  <si>
    <t>CLEC1B</t>
  </si>
  <si>
    <t>CY:1-32;TM:33-56;NC:57-229</t>
  </si>
  <si>
    <t>ENSG00000165682</t>
  </si>
  <si>
    <t>ENSP00000298527</t>
  </si>
  <si>
    <t>68;120;134</t>
  </si>
  <si>
    <t>HN[115]LTWEESK</t>
  </si>
  <si>
    <t>Q9P126</t>
  </si>
  <si>
    <t>3D-structure;Alternative splicing;Complete proteome;Disulfide bond;Glycoprotein;Lectin;Membrane;Phosphoprotein;Polymorphism;Receptor;Reference proteome;Signal-anchor;Transmembrane;Transmembrane helix</t>
  </si>
  <si>
    <t>UniRef100_Q9P126;UniRef90_Q9P126;UniRef50_Q9P126</t>
  </si>
  <si>
    <t>TAAR2_HUMAN</t>
  </si>
  <si>
    <t>Trace amine-associated receptor 2</t>
  </si>
  <si>
    <t>TAAR2</t>
  </si>
  <si>
    <t>NC:1-44;TM:45-68;CY:69-79;TM:80-99;NC:100-118;TM:119-142;CY:143-162;TM:163-183;NC:184-207;TM:208-230;CY:231-262;TM:263-284;NC:285-301;TM:302-322;CY:323-351</t>
  </si>
  <si>
    <t>ENSG00000146378</t>
  </si>
  <si>
    <t>ENSP00000356908</t>
  </si>
  <si>
    <t>24;30;289;307</t>
  </si>
  <si>
    <t>UniRef100_Q9P1P5;UniRef90_Q9P1P5;UniRef50_Q9P1P5</t>
  </si>
  <si>
    <t>OR1A1_HUMAN</t>
  </si>
  <si>
    <t>Olfactory receptor 1A1</t>
  </si>
  <si>
    <t>OR1A1</t>
  </si>
  <si>
    <t>NC:1-25;TM:26-49;CY:50-59;TM:60-81;NC:82-100;TM:101-120;CY:121-140;TM:141-158;NC:159-198;TM:199-220;CY:221-232;TM:233-251;NC:252-270;TM:271-290;CY:291-309</t>
  </si>
  <si>
    <t>ENSG00000172146</t>
  </si>
  <si>
    <t>ENSP00000305207</t>
  </si>
  <si>
    <t>5;65;264</t>
  </si>
  <si>
    <t>UniRef100_Q9P1Q5;UniRef90_Q9P1Q5;UniRef50_Q9Y585</t>
  </si>
  <si>
    <t>CSC1_HUMAN</t>
  </si>
  <si>
    <t>Calcium permeable stress-gated cation channel 1</t>
  </si>
  <si>
    <t>TMEM63C</t>
  </si>
  <si>
    <t>NC:1-36;TM:37-59;CY:60-136;TM:137-158;NC:159-184;TM:185-208;CY:209-405;TM:406-431;NC:432-453;TM:454-475;CY:476-494;TM:495-519;NC:520-542;TM:543-564;CY:565-603;TM:604-628;NC:629-652;TM:653-676;CY:677-684;TM:685-706;NC:707-806</t>
  </si>
  <si>
    <t>ENSG00000165548</t>
  </si>
  <si>
    <t>ENSP00000298351</t>
  </si>
  <si>
    <t>16;75;158;177;438;753</t>
  </si>
  <si>
    <t>LQN[115]MTVDECFQSR</t>
  </si>
  <si>
    <t>Q9P1W3</t>
  </si>
  <si>
    <t>Calcium;Complete proteome;Ion channel;Ion transport;Membrane;Polymorphism;Reference proteome;Transmembrane;Transmembrane helix;Transport</t>
  </si>
  <si>
    <t>UniRef100_Q9P1W3;UniRef90_Q9P1W3;UniRef50_Q9P1W3</t>
  </si>
  <si>
    <t>SIRPG_HUMAN</t>
  </si>
  <si>
    <t>Signal-regulatory protein gamma</t>
  </si>
  <si>
    <t>SIRPG</t>
  </si>
  <si>
    <t>SP:1-28;NC:29-362;TM:363-383;CY:384-387</t>
  </si>
  <si>
    <t>ENSG00000089012</t>
  </si>
  <si>
    <t>ENSP00000305529</t>
  </si>
  <si>
    <t>CD172g</t>
  </si>
  <si>
    <t>243;268;309;317</t>
  </si>
  <si>
    <t>90;147;299;355</t>
  </si>
  <si>
    <t>VGNQVN[115]VTCQVR;LVN[115]ISDQR</t>
  </si>
  <si>
    <t>268;317</t>
  </si>
  <si>
    <t>Q9P1W8</t>
  </si>
  <si>
    <t>3D-structure;Alternative splicing;Cell adhesion;Complete proteome;Disulfide bond;Glycoprotein;Immunoglobulin domain;Membrane;Polymorphism;Reference proteome;Repeat;Signal;Transmembrane;Transmembrane helix</t>
  </si>
  <si>
    <t>UniRef100_Q9P1W8;UniRef90_Q9P1W8;UniRef50_Q9P1W8</t>
  </si>
  <si>
    <t>CNTN3_HUMAN</t>
  </si>
  <si>
    <t>Contactin-3</t>
  </si>
  <si>
    <t>CNTN3</t>
  </si>
  <si>
    <t>SP:1-23;NC:24-1028</t>
  </si>
  <si>
    <t>ENSG00000113805</t>
  </si>
  <si>
    <t>ENSP00000263665</t>
  </si>
  <si>
    <t>65;193;375;468;489;624;765;860;895;913;931;956</t>
  </si>
  <si>
    <t>55;65;193;375;468;489;624;765;860;895;913;931;956</t>
  </si>
  <si>
    <t>AN[115]GTTHLVVTEPTR;TPPSQPPGNVVWN[115]ATDTK;TSSQNNVQVLNTN[115]K</t>
  </si>
  <si>
    <t>489;913;956</t>
  </si>
  <si>
    <t>Q9P232</t>
  </si>
  <si>
    <t>3D-structure;Cell adhesion;Cell membrane;Complete proteome;Disulfide bond;Glycoprotein;GPI-anchor;Immunoglobulin domain;Lipoprotein;Membrane;Polymorphism;Reference proteome;Repeat;Signal</t>
  </si>
  <si>
    <t>UniRef100_Q9P232;UniRef90_Q9P232;UniRef50_O94779</t>
  </si>
  <si>
    <t>LRFN1_HUMAN</t>
  </si>
  <si>
    <t>Leucine-rich repeat and fibronectin type III domain-containing protein 1</t>
  </si>
  <si>
    <t>LRFN1</t>
  </si>
  <si>
    <t>SP:1-31;NC:32-534;TM:535-559;CY:560-771</t>
  </si>
  <si>
    <t>ENSG00000128011</t>
  </si>
  <si>
    <t>ENSP00000248668</t>
  </si>
  <si>
    <t>87;343;420;459</t>
  </si>
  <si>
    <t>MAPPPAAPPPLTEPGSSDIATPGRPGAN[115]DSAAER;MYQVQYN[115]SSVDDSLVYR</t>
  </si>
  <si>
    <t>420;459</t>
  </si>
  <si>
    <t>Q9P244</t>
  </si>
  <si>
    <t>Cell junction, synapse;Cell junction, synapse, postsynaptic cell membrane, postsynaptic density;Membrane (Single-pass type I membrane protein)</t>
  </si>
  <si>
    <t>Cell junction;Cell membrane;Complete proteome;Disulfide bond;Glycoprotein;Immunoglobulin domain;Leucine-rich repeat;Membrane;Phosphoprotein;Postsynaptic cell membrane;Reference proteome;Repeat;Signal;Synapse;Transmembrane;Transmembrane helix</t>
  </si>
  <si>
    <t>UniRef100_Q9P244;UniRef90_Q9P244;UniRef50_Q2WF71</t>
  </si>
  <si>
    <t>TEN3_HUMAN</t>
  </si>
  <si>
    <t>Teneurin-3</t>
  </si>
  <si>
    <t>TENM3</t>
  </si>
  <si>
    <t>CY:1-308;TM:309-330;NC:331-2699</t>
  </si>
  <si>
    <t>ENSG00000218336</t>
  </si>
  <si>
    <t>ENSP00000424226</t>
  </si>
  <si>
    <t>25;80;164;213;345;380;419;670;860;883;1202;1527;1544;1640;1677;1735;1820;1921;2035;2124;2264;2576</t>
  </si>
  <si>
    <t>LGGFTQEN[115]NTIDSGELDIGR;LGGFTQEN[115]NTIDSGELDIGRR;FN[115]ISLQK;ISFLIGSDSTHVIPGESPFN[115]K;STHVIPGESPFN[115]K;GQVLTADGTPLIGVN[115]VSFFHYPEYGYTITR;IFPSGN[115]VTSVLE;IFPSGN[115]VTSVLELSSNPAHR;LTN[115]VTFPTGVVTNLHGDMDK;N[115]MTLPGENGQNLVEWR;N[115]MTLPGEN[115]GQNLVEWR;LMAVN[115]VTYSSTGQIASIQR;IGPFAN[115]TTK;PFAN[115]TTK</t>
  </si>
  <si>
    <t>380;419;860;883;1202;1640;1735;1820;2124</t>
  </si>
  <si>
    <t>Q9P273</t>
  </si>
  <si>
    <t>Cell projection, axon;Membrane (Single-pass membrane protein)</t>
  </si>
  <si>
    <t>Cell adhesion;Cell projection;Complete proteome;Differentiation;Disulfide bond;EGF-like domain;Glycoprotein;Membrane;Microphthalmia;Polymorphism;Reference proteome;Repeat;Transmembrane;Transmembrane helix</t>
  </si>
  <si>
    <t>UniRef100_Q9P273;UniRef90_Q9WTS6;UniRef50_Q9DER5</t>
  </si>
  <si>
    <t>SEM5B_HUMAN</t>
  </si>
  <si>
    <t>Semaphorin-5B</t>
  </si>
  <si>
    <t>SEMA5B</t>
  </si>
  <si>
    <t>NC:1-1033;TM:1034-1057;CY:1058-1151</t>
  </si>
  <si>
    <t>ENSG00000082684</t>
  </si>
  <si>
    <t>ENSP00000350215;ENSP00000479602</t>
  </si>
  <si>
    <t>117;153;215;236;345;391;436;590;597;605;660;786;1002</t>
  </si>
  <si>
    <t>30;35;114;162;281;336;413;575;594;615;618;667;670;673;725;728;731;779;782;856;859;862;913;916;919;968;971;974</t>
  </si>
  <si>
    <t>Alternative splicing;Complete proteome;Developmental protein;Differentiation;Disulfide bond;Glycoprotein;Membrane;Neurogenesis;Polymorphism;Reference proteome;Repeat;Signal-anchor;Transmembrane;Transmembrane helix</t>
  </si>
  <si>
    <t>UniRef100_Q9P283;UniRef90_Q9P283;UniRef50_Q9P283</t>
  </si>
  <si>
    <t>C5AR2_HUMAN</t>
  </si>
  <si>
    <t>C5a anaphylatoxin chemotactic receptor 2</t>
  </si>
  <si>
    <t>C5AR2</t>
  </si>
  <si>
    <t>NC:1-39;TM:40-60;CY:61-71;TM:72-94;NC:95-112;TM:113-137;CY:138-148;TM:149-171;NC:172-202;TM:203-227;CY:228-234;TM:235-259;NC:260-274;TM:275-294;CY:295-337</t>
  </si>
  <si>
    <t>ENSG00000134830</t>
  </si>
  <si>
    <t>ENSP00000472620;ENSP00000471184</t>
  </si>
  <si>
    <t>UniRef100_Q9P296;UniRef90_Q9P296;UniRef50_Q9P296</t>
  </si>
  <si>
    <t>FPRP_HUMAN</t>
  </si>
  <si>
    <t>Prostaglandin F2 receptor negative regulator</t>
  </si>
  <si>
    <t>PTGFRN</t>
  </si>
  <si>
    <t>SP:1-25;NC:26-830;TM:831-853;CY:854-879</t>
  </si>
  <si>
    <t>ENSG00000134247</t>
  </si>
  <si>
    <t>ENSP00000376899</t>
  </si>
  <si>
    <t>CD315</t>
  </si>
  <si>
    <t>44;286;300;383;413;525;600;618;691</t>
  </si>
  <si>
    <t>AAVPKN[115]VSVAEGK;ELDLTCN[115]ITTDR;LDLTCN[115]ITTDR;LTCN[115]ITTDR;ENSGYYYCHVSLWAPGHN[115]R;VSLWAPGHN[115]R;VAEAVSSPAGVGVTWLEPDYQVYLN[115]ASK;VSSPAGVGVTWLEPDYQVYLN[115]ASK;EPDYQVYLN[115]ASK;QRN[115]NSWVK;YSVLIMAEKPVGDLSSPN[115]ETK;SVLIMAEKPVGDLSSPN[115]ETK;LIMAEKPVGDLSSPN[115]ETK;IMAEKPVGDLSSPN[115]ETK;MAEKPVGDLSSPN[115]ETK;AEKPVGDLSSPN[115]ETK;EKPVGDLSSPN[115]ETK;KPVGDLSSPN[115]ETK;PVGDLSSPN[115]ETK;LEN[115]WTDASR;EN[115]WTDASR;EAATSLSNPIEIDFQTSGPIFN[115]ASVHSDTPSVIR;QTSGPIFN[115]ASVHSDTPSVIR</t>
  </si>
  <si>
    <t>286;300;383;413;525;600;618;691</t>
  </si>
  <si>
    <t>Q9P2B2</t>
  </si>
  <si>
    <t>Endoplasmic reticulum membrane (Single-pass type I membrane protein);Golgi apparatus, trans-Golgi network membrane (Single-pass type I membrane protein)</t>
  </si>
  <si>
    <t>Complete proteome;Direct protein sequencing;Disulfide bond;Endoplasmic reticulum;Glycoprotein;Golgi apparatus;Immunoglobulin domain;Membrane;Phosphoprotein;Polymorphism;Reference proteome;Repeat;Signal;Transmembrane;Transmembrane helix</t>
  </si>
  <si>
    <t>UniRef100_Q9P2B2;UniRef90_Q9P2B2;UniRef50_Q9P2B2</t>
  </si>
  <si>
    <t>PCD10_HUMAN</t>
  </si>
  <si>
    <t>Protocadherin-10</t>
  </si>
  <si>
    <t>PCDH10</t>
  </si>
  <si>
    <t>SP:1-18;NC:19-713;TM:714-738;CY:739-1040</t>
  </si>
  <si>
    <t>ENSG00000138650</t>
  </si>
  <si>
    <t>ENSP00000264360</t>
  </si>
  <si>
    <t>273;557;582;870;876;896;939</t>
  </si>
  <si>
    <t>UniRef100_Q9P2E7;UniRef90_Q9P2E7;UniRef50_Q9P2E7</t>
  </si>
  <si>
    <t>TUTLA_HUMAN</t>
  </si>
  <si>
    <t>Protein turtle homolog A</t>
  </si>
  <si>
    <t>IGSF9</t>
  </si>
  <si>
    <t>SP:1-17;NC:18-734;TM:735-760;CY:761-1179</t>
  </si>
  <si>
    <t>ENSG00000085552</t>
  </si>
  <si>
    <t>ENSP00000357073</t>
  </si>
  <si>
    <t>124;188;235;239;256;468;513;524;712;1079</t>
  </si>
  <si>
    <t>3D-structure;Alternative splicing;Cell junction;Cell membrane;Complete proteome;Developmental protein;Differentiation;Disulfide bond;Glycoprotein;Immunoglobulin domain;Membrane;Neurogenesis;Polymorphism;Reference proteome;Repeat;Signal;Synapse;Transmembrane;Transmembrane helix</t>
  </si>
  <si>
    <t>UniRef100_Q9P2J2;UniRef90_Q9P2J2;UniRef50_Q05BQ1</t>
  </si>
  <si>
    <t>PTHD2_HUMAN</t>
  </si>
  <si>
    <t>Patched domain-containing protein 2</t>
  </si>
  <si>
    <t>PTCHD2</t>
  </si>
  <si>
    <t>CY:1-73;TM:74-96;NC:97-462;TM:463-480;CY:481-485;TM:486-506;NC:507-511;TM:512-532;CY:533-569;TM:570-590;NC:591-595;TM:596-619;CY:620-729;TM:730-750;NC:751-1178;TM:1179-1200;CY:1201-1206;TM:1207-1228;NC:1229-1288;TM:1289-1313;CY:1314-1321;TM:1322-1344;NC:1345-1355;TM:1356-1378;CY:1379-1392</t>
  </si>
  <si>
    <t>ENSG00000204624</t>
  </si>
  <si>
    <t>ENSP00000294484</t>
  </si>
  <si>
    <t>163;198;216;245;634;775;850;879;1021</t>
  </si>
  <si>
    <t>46;720;1228</t>
  </si>
  <si>
    <t>UniRef100_Q9P2K9;UniRef90_Q9P2K9;UniRef50_Q9P2K9</t>
  </si>
  <si>
    <t>NRX2A_HUMAN</t>
  </si>
  <si>
    <t>Neurexin-2</t>
  </si>
  <si>
    <t>SP:1-28;NC:29-1636;TM:1637-1658;CY:1659-1712</t>
  </si>
  <si>
    <t>ENSP00000265459;ENSP00000366774</t>
  </si>
  <si>
    <t>60;338;841;1236</t>
  </si>
  <si>
    <t>Alternative promoter usage;Alternative splicing;Calcium;Cell adhesion;Complete proteome;Disulfide bond;EGF-like domain;Glycoprotein;Membrane;Metal-binding;Polymorphism;Reference proteome;Repeat;Signal;Transmembrane;Transmembrane helix</t>
  </si>
  <si>
    <t>UniRef100_Q9P2S2;UniRef90_Q63374;UniRef50_Q63374</t>
  </si>
  <si>
    <t>VGLU1_HUMAN</t>
  </si>
  <si>
    <t>Vesicular glutamate transporter 1</t>
  </si>
  <si>
    <t>SLC17A7</t>
  </si>
  <si>
    <t>CY:1-63;TM:64-88;NC:89-116;TM:117-137;CY:138-142;TM:143-161;NC:162-166;TM:167-190;CY:191-205;TM:206-231;NC:232-236;TM:237-255;CY:256-302;TM:303-323;NC:324-340;TM:341-359;CY:360-378;TM:379-397;NC:398-402;TM:403-424;CY:425-435;TM:436-456;NC:457-467;TM:468-489;CY:490-560</t>
  </si>
  <si>
    <t>ENSG00000104888</t>
  </si>
  <si>
    <t>ENSP00000221485</t>
  </si>
  <si>
    <t>92;93</t>
  </si>
  <si>
    <t>Alternative splicing;Cell junction;Complete proteome;Cytoplasmic vesicle;Ion transport;Membrane;Neurotransmitter transport;Polymorphism;Reference proteome;Sodium;Sodium transport;Symport;Synapse;Synaptosome;Transmembrane;Transmembrane helix;Transport</t>
  </si>
  <si>
    <t>UniRef100_Q9P2U7;UniRef90_Q9P2U7;UniRef50_Q9P2U7</t>
  </si>
  <si>
    <t>VGLU2_HUMAN</t>
  </si>
  <si>
    <t>Vesicular glutamate transporter 2</t>
  </si>
  <si>
    <t>SLC17A6</t>
  </si>
  <si>
    <t>CY:1-71;TM:72-96;NC:97-124;TM:125-145;CY:146-150;TM:151-169;NC:170-174;TM:175-198;CY:199-214;TM:215-239;NC:240-244;TM:245-263;CY:264-307;TM:308-330;NC:331-348;TM:349-367;CY:368-386;TM:387-405;NC:406-410;TM:411-432;CY:433-443;TM:444-464;NC:465-475;TM:476-497;CY:498-582</t>
  </si>
  <si>
    <t>ENSG00000091664</t>
  </si>
  <si>
    <t>ENSP00000263160</t>
  </si>
  <si>
    <t>100;101;470</t>
  </si>
  <si>
    <t>Cell junction;Complete proteome;Cytoplasmic vesicle;Glycoprotein;Ion transport;Membrane;Neurotransmitter transport;Polymorphism;Reference proteome;Sodium;Sodium transport;Symport;Synapse;Synaptosome;Transmembrane;Transmembrane helix;Transport</t>
  </si>
  <si>
    <t>UniRef100_Q9P2U8;UniRef90_Q8BLE7;UniRef50_Q9P2U7</t>
  </si>
  <si>
    <t>LRIT1_HUMAN</t>
  </si>
  <si>
    <t>Leucine-rich repeat, immunoglobulin-like domain and transmembrane domain-containing protein 1</t>
  </si>
  <si>
    <t>LRIT1</t>
  </si>
  <si>
    <t>SP:1-21;NC:22-526;TM:527-552;CY:553-623</t>
  </si>
  <si>
    <t>156;296;455</t>
  </si>
  <si>
    <t>Complete proteome;Disulfide bond;Endoplasmic reticulum;Glycoprotein;Immunoglobulin domain;Leucine-rich repeat;Membrane;Polymorphism;Reference proteome;Repeat;Signal;Transmembrane;Transmembrane helix</t>
  </si>
  <si>
    <t>UniRef100_Q9P2V4;UniRef90_Q9P2V4;UniRef50_Q9JMH2</t>
  </si>
  <si>
    <t>1C05_HUMAN</t>
  </si>
  <si>
    <t>HLA class I histocompatibility antigen, Cw-5 alpha chain</t>
  </si>
  <si>
    <t>UniRef100_Q9TNN7;UniRef90_P30499;UniRef50_P01892</t>
  </si>
  <si>
    <t>2B19_HUMAN</t>
  </si>
  <si>
    <t>HLA class II histocompatibility antigen, DRB1-9 beta chain</t>
  </si>
  <si>
    <t>ENSP00000405960;ENSP00000409322</t>
  </si>
  <si>
    <t>UniRef100_Q9TQE0;UniRef90_P04229;UniRef50_P04229</t>
  </si>
  <si>
    <t>RHCG_HUMAN</t>
  </si>
  <si>
    <t>Ammonium transporter Rh type C</t>
  </si>
  <si>
    <t>RHCG</t>
  </si>
  <si>
    <t>CY:1-11;TM:12-32;NC:33-60;TM:61-81;CY:82-87;TM:88-110;NC:111-124;TM:125-144;CY:145-150;TM:151-170;NC:171-181;TM:182-200;CY:201-218;TM:219-239;NC:240-250;TM:251-271;CY:272-281;TM:282-301;NC:302-306;TM:307-326;CY:327-344;TM:345-364;NC:365-394;TM:395-416;CY:417-479</t>
  </si>
  <si>
    <t>ENSG00000140519</t>
  </si>
  <si>
    <t>ENSP00000268122</t>
  </si>
  <si>
    <t>48;284;442</t>
  </si>
  <si>
    <t>284;442</t>
  </si>
  <si>
    <t>3D-structure;Ammonia transport;Cell membrane;Complete proteome;Glycoprotein;Membrane;Polymorphism;Reference proteome;Transmembrane;Transmembrane helix;Transport</t>
  </si>
  <si>
    <t>UniRef100_Q9UBD6;UniRef90_Q9UBD6;UniRef50_Q9UBD6</t>
  </si>
  <si>
    <t>MRC2_HUMAN</t>
  </si>
  <si>
    <t>C-type mannose receptor 2</t>
  </si>
  <si>
    <t>MRC2</t>
  </si>
  <si>
    <t>SP:1-33;NC:34-1412;TM:1413-1436;CY:1437-1479</t>
  </si>
  <si>
    <t>ENSG00000011028</t>
  </si>
  <si>
    <t>ENSP00000307513</t>
  </si>
  <si>
    <t>CD280</t>
  </si>
  <si>
    <t>69;102;140;364;492;497;588;634;954;1029;1134;1157;1350;1386</t>
  </si>
  <si>
    <t>VTPACN[115]TSLPAQR;TPACN[115]TSLPAQR;PACN[115]TSLPAQR;TSN[115]ISKPGTLE;TSN[115]ISKPGTLER;TSN[115]ISKPGTLERGDQTR;SN[115]ISKPGTLER;N[115]ISKPGTLER;KKPN[115]ATAEPTPPDR;KPN[115]ATAEPTPPDR;PN[115]ATAEPTPPDR;WNDSPCN[115]QSLPSICK;WN[115]DSPCN[115]QSLPSICK;GTDPSLSPSPAALPPAPGTELSYLN[115]GTFR;PPAPGTELSYLN[115]GTFR;N[115]ASLAYVPDPYTQAFLTQAAR;SGLWRPGACTN[115]ITMGVVCK;PGACTN[115]ITMGVVCK</t>
  </si>
  <si>
    <t>69;140;364;492;497;1134;1157;1386</t>
  </si>
  <si>
    <t>Q9UBG0</t>
  </si>
  <si>
    <t>Calcium;Complete proteome;Direct protein sequencing;Disulfide bond;Endocytosis;Glycoprotein;Isopeptide bond;Lectin;Membrane;Phosphoprotein;Polymorphism;Receptor;Reference proteome;Repeat;Signal;Transmembrane;Transmembrane helix;Ubl conjugation</t>
  </si>
  <si>
    <t>UniRef100_Q9UBG0;UniRef90_Q9UBG0;UniRef50_Q9UBG0</t>
  </si>
  <si>
    <t>P2RX2_HUMAN</t>
  </si>
  <si>
    <t>P2X purinoceptor 2</t>
  </si>
  <si>
    <t>P2RX2</t>
  </si>
  <si>
    <t>CY:1-42;TM:43-62;NC:63-341;TM:342-364;CY:365-471</t>
  </si>
  <si>
    <t>ENSG00000187848</t>
  </si>
  <si>
    <t>ENSP00000373762</t>
  </si>
  <si>
    <t>133;194;310</t>
  </si>
  <si>
    <t>Alternative splicing;Cell membrane;Complete proteome;Deafness;Disease mutation;Disulfide bond;Glycoprotein;Hearing;Ion channel;Ion transport;Ligand-gated ion channel;Membrane;Non-syndromic deafness;Receptor;Reference proteome;Transmembrane;Transmembrane helix;Transport</t>
  </si>
  <si>
    <t>UniRef100_Q9UBL9;UniRef90_Q9UBL9;UniRef50_P49653</t>
  </si>
  <si>
    <t>CCG4_HUMAN</t>
  </si>
  <si>
    <t>Voltage-dependent calcium channel gamma-4 subunit</t>
  </si>
  <si>
    <t>CACNG4</t>
  </si>
  <si>
    <t>CY:1-8;TM:9-29;NC:30-107;TM:108-128;CY:129-136;TM:137-161;NC:162-182;TM:183-207;CY:208-327</t>
  </si>
  <si>
    <t>ENSG00000075461</t>
  </si>
  <si>
    <t>ENSP00000262138</t>
  </si>
  <si>
    <t>42;45</t>
  </si>
  <si>
    <t>33;67;183</t>
  </si>
  <si>
    <t>Calcium;Calcium channel;Calcium transport;Cell membrane;Complete proteome;Glycoprotein;Ion channel;Ion transport;Membrane;Reference proteome;Transmembrane;Transmembrane helix;Transport;Voltage-gated channel</t>
  </si>
  <si>
    <t>UniRef100_Q9UBN1;UniRef90_Q9UBN1;UniRef50_Q9UBN1</t>
  </si>
  <si>
    <t>TR10D_HUMAN</t>
  </si>
  <si>
    <t>Tumor necrosis factor receptor superfamily member 10D</t>
  </si>
  <si>
    <t>TNFRSF10D</t>
  </si>
  <si>
    <t>SP:1-16;NC:17-209;TM:210-231;CY:232-386</t>
  </si>
  <si>
    <t>ENSG00000173530</t>
  </si>
  <si>
    <t>ENSP00000310263</t>
  </si>
  <si>
    <t>CD264</t>
  </si>
  <si>
    <t>127;171;182;277</t>
  </si>
  <si>
    <t>13;26;187;188;189;263;266</t>
  </si>
  <si>
    <t>Apoptosis;Complete proteome;Direct protein sequencing;Disulfide bond;Glycoprotein;Membrane;Polymorphism;Receptor;Reference proteome;Repeat;Signal;Transmembrane;Transmembrane helix</t>
  </si>
  <si>
    <t>UniRef100_Q9UBN6;UniRef90_Q9UBN6;UniRef50_Q9UBN6</t>
  </si>
  <si>
    <t>GABR1_HUMAN</t>
  </si>
  <si>
    <t>Gamma-aminobutyric acid type B receptor subunit 1</t>
  </si>
  <si>
    <t>GABBR1</t>
  </si>
  <si>
    <t>SP:1-19;NC:20-590;TM:591-615;CY:616-627;TM:628-648;NC:649-666;TM:667-688;CY:689-707;TM:708-731;NC:732-768;TM:769-789;CY:790-807;TM:808-826;NC:827-831;TM:832-854;CY:855-961</t>
  </si>
  <si>
    <t>ENSG00000204681;ENSG00000206466;ENSG00000206511;ENSG00000232632;ENSG00000237112;ENSG00000232569;ENSG00000237051</t>
  </si>
  <si>
    <t>ENSP00000366233;ENSP00000373034;ENSP00000373134;ENSP00000388035;ENSP00000411286;ENSP00000406066;ENSP00000448999</t>
  </si>
  <si>
    <t>24;84;160;409;440;482;502;514;631</t>
  </si>
  <si>
    <t>24;84;160;294;409;440;482;502;514;631</t>
  </si>
  <si>
    <t>Cell junction, synapse, postsynaptic cell membrane (Multi-pass membrane protein);Cell membrane (Multi-pass membrane protein);Cell projection, dendrite;Secreted</t>
  </si>
  <si>
    <t>3D-structure;Alternative splicing;Cell junction;Cell membrane;Cell projection;Coiled coil;Complete proteome;Direct protein sequencing;Disulfide bond;G-protein coupled receptor;Glycoprotein;Membrane;Polymorphism;Postsynaptic cell membrane;Receptor;Reference proteome;Repeat;Secreted;Signal;Sushi;Synapse;Transducer;Transmembrane;Transmembrane helix</t>
  </si>
  <si>
    <t>UniRef100_Q9UBS5;UniRef90_Q9UBS5;UniRef50_Q9Z0U4</t>
  </si>
  <si>
    <t>Cytoskeleton;Cytoskeleton;Cytoskeleton;Cytoskeleton;Cytosol;Cytosol;Cytosol;Cytosol;Endosome;Endosome;Endosome;Endosome;Golgi apparatus;Golgi apparatus;Golgi apparatus;Golgi apparatus;Lysosome;Lysosome;Lysosome;Lysosome;Nucleus;Nucleus;Nucleus;Nucleus;Peroxisome;Peroxisome;Peroxisome;Peroxisome</t>
  </si>
  <si>
    <t>DB00181;DB00837;DB01080</t>
  </si>
  <si>
    <t>SUCO_HUMAN</t>
  </si>
  <si>
    <t>SUN domain-containing ossification factor</t>
  </si>
  <si>
    <t>SUCO</t>
  </si>
  <si>
    <t>SP:1-29;NC:30-1011;TM:1012-1030;CY:1031-1254</t>
  </si>
  <si>
    <t>ENSG00000094975</t>
  </si>
  <si>
    <t>ENSP00000263688</t>
  </si>
  <si>
    <t>132;202;236;243;524;530;713;775;893;928;955;963;988;995;1035</t>
  </si>
  <si>
    <t>SISEN[115]ATATAAPK;ALEVN[115]MSLSGR</t>
  </si>
  <si>
    <t>530;928</t>
  </si>
  <si>
    <t>Q9UBS9</t>
  </si>
  <si>
    <t>Rough endoplasmic reticulum membrane (Single-pass type I membrane protein)</t>
  </si>
  <si>
    <t>Alternative splicing;Coiled coil;Complete proteome;Developmental protein;Endoplasmic reticulum;Glycoprotein;Membrane;Osteogenesis;Reference proteome;Signal;Transmembrane;Transmembrane helix</t>
  </si>
  <si>
    <t>UniRef100_Q9UBS9;UniRef90_Q9UBS9;UniRef50_Q8C341</t>
  </si>
  <si>
    <t>SL9A2_HUMAN</t>
  </si>
  <si>
    <t>Sodium/hydrogen exchanger 2</t>
  </si>
  <si>
    <t>SLC9A2</t>
  </si>
  <si>
    <t>CY:1-13;IM:14-33;CY:34-79;IM:80-100;CY:101-106;TM:107-127;NC:128-138;TM:139-159;CY:160-168;TM:169-189;NC:190-208;TM:209-229;CY:230-236;TM:237-257;NC:258-277;TM:278-298;CY:299-307;TM:308-328;NC:329-360;TM:361-381;CY:382-391;TM:392-412;NC:413-429;IM:430-450;NC:451-458;TM:459-479;CY:480-812</t>
  </si>
  <si>
    <t>ENSG00000115616</t>
  </si>
  <si>
    <t>ENSP00000233969</t>
  </si>
  <si>
    <t>350;692</t>
  </si>
  <si>
    <t>Antiport;Complete proteome;Glycoprotein;Ion transport;Membrane;Phosphoprotein;Polymorphism;Reference proteome;Sodium;Sodium transport;Transmembrane;Transmembrane helix;Transport</t>
  </si>
  <si>
    <t>UniRef100_Q9UBY0;UniRef90_P48763;UniRef50_P48763</t>
  </si>
  <si>
    <t>LPAR3_HUMAN</t>
  </si>
  <si>
    <t>Lysophosphatidic acid receptor 3</t>
  </si>
  <si>
    <t>LPAR3</t>
  </si>
  <si>
    <t>NC:1-29;TM:30-55;CY:56-64;TM:65-88;NC:89-106;TM:107-125;CY:126-144;TM:145-167;NC:168-186;TM:187-209;CY:210-239;TM:240-261;NC:262-276;TM:277-295;CY:296-353</t>
  </si>
  <si>
    <t>ENSG00000171517</t>
  </si>
  <si>
    <t>ENSP00000359643;ENSP00000395389</t>
  </si>
  <si>
    <t>15;139;172;349</t>
  </si>
  <si>
    <t>UniRef100_Q9UBY5;UniRef90_Q9UBY5;UniRef50_Q9UBY5</t>
  </si>
  <si>
    <t>KLOT_HUMAN</t>
  </si>
  <si>
    <t>Klotho</t>
  </si>
  <si>
    <t>KL</t>
  </si>
  <si>
    <t>SP:1-33;NC:34-981;TM:982-1003;CY:1004-1012</t>
  </si>
  <si>
    <t>ENSG00000133116</t>
  </si>
  <si>
    <t>ENSP00000369442</t>
  </si>
  <si>
    <t>106;159;283;344;607;612;630;694</t>
  </si>
  <si>
    <t>Alternative splicing;Cell membrane;Complete proteome;Disease mutation;Glycoprotein;Glycosidase;Hormone;Hydrolase;Membrane;Polymorphism;Reference proteome;Repeat;Secreted;Signal;Transmembrane;Transmembrane helix;Vitamin D</t>
  </si>
  <si>
    <t>UniRef100_Q9UEF7;UniRef90_Q9UEF7;UniRef50_Q9UEF7</t>
  </si>
  <si>
    <t>CCG5_HUMAN</t>
  </si>
  <si>
    <t>Voltage-dependent calcium channel gamma-5 subunit</t>
  </si>
  <si>
    <t>CACNG5</t>
  </si>
  <si>
    <t>SP:1-29;NC:30-99;TM:100-117;CY:118-128;TM:129-154;NC:155-175;TM:176-201;CY:202-275</t>
  </si>
  <si>
    <t>ENSG00000075429</t>
  </si>
  <si>
    <t>ENSP00000303092;ENSP00000436836</t>
  </si>
  <si>
    <t>45;162;223</t>
  </si>
  <si>
    <t>33;59;177;237</t>
  </si>
  <si>
    <t>UniRef100_Q9UF02;UniRef90_Q8VHW8;UniRef50_Q8VHW8</t>
  </si>
  <si>
    <t>EPHA6_HUMAN</t>
  </si>
  <si>
    <t>Ephrin type-A receptor 6</t>
  </si>
  <si>
    <t>EPHA6</t>
  </si>
  <si>
    <t>SP:1-24;NC:25-547;TM:548-572;CY:573-1036</t>
  </si>
  <si>
    <t>ENSG00000080224</t>
  </si>
  <si>
    <t>343;397;410;756</t>
  </si>
  <si>
    <t>Alternative splicing;ATP-binding;Complete proteome;Glycoprotein;Kinase;Membrane;Nucleotide-binding;Phosphoprotein;Polymorphism;Receptor;Reference proteome;Repeat;Signal;Transferase;Transmembrane;Transmembrane helix;Tyrosine-protein kinase</t>
  </si>
  <si>
    <t>UniRef100_Q9UF33;UniRef90_Q9UF33;UniRef50_Q9UF33</t>
  </si>
  <si>
    <t>O14J1_HUMAN</t>
  </si>
  <si>
    <t>Olfactory receptor 14J1</t>
  </si>
  <si>
    <t>OR14J1</t>
  </si>
  <si>
    <t>NC:1-22;TM:23-47;CY:48-58;TM:59-76;NC:77-95;TM:96-118;CY:119-138;TM:139-160;NC:161-194;TM:195-217;CY:218-237;TM:238-258;NC:259-269;TM:270-290;CY:291-321</t>
  </si>
  <si>
    <t>ENSG00000112459;ENSG00000204695;ENSG00000236927;ENSG00000234195;ENSG00000225291;ENSG00000234100;ENSG00000237777</t>
  </si>
  <si>
    <t>ENSP00000230221;ENSP00000366365;ENSP00000389802;ENSP00000403553;ENSP00000398851;ENSP00000400501;ENSP00000408647</t>
  </si>
  <si>
    <t>3;161;292</t>
  </si>
  <si>
    <t>UniRef100_Q9UGF5;UniRef90_Q9UGF5;UniRef50_Q9UGF5</t>
  </si>
  <si>
    <t>OR5V1_HUMAN</t>
  </si>
  <si>
    <t>Olfactory receptor 5V1</t>
  </si>
  <si>
    <t>OR5V1</t>
  </si>
  <si>
    <t>NC:1-24;TM:25-47;CY:48-58;TM:59-78;NC:79-97;TM:98-120;CY:121-138;TM:139-158;NC:159-197;TM:198-221;CY:222-240;TM:241-260;NC:261-272;TM:273-292;CY:293-321</t>
  </si>
  <si>
    <t>ENSG00000112461;ENSG00000243729;ENSG00000227137;ENSG00000233046;ENSG00000243441</t>
  </si>
  <si>
    <t>ENSP00000230223;ENSP00000366359;ENSP00000383534;ENSP00000415545;ENSP00000412591;ENSP00000404163;ENSP00000407363;ENSP00000404109;ENSP00000404990;ENSP00000443309;ENSP00000449041;ENSP00000450230;ENSP00000446579</t>
  </si>
  <si>
    <t>5;191</t>
  </si>
  <si>
    <t>UniRef100_Q9UGF6;UniRef90_Q9UGF6;UniRef50_Q9UGF6</t>
  </si>
  <si>
    <t>O12D3_HUMAN</t>
  </si>
  <si>
    <t>Olfactory receptor 12D3</t>
  </si>
  <si>
    <t>OR12D3</t>
  </si>
  <si>
    <t>NC:1-23;TM:24-46;CY:47-56;TM:57-76;NC:77-98;TM:99-118;CY:119-137;TM:138-156;NC:157-194;TM:195-220;CY:221-231;TM:232-254;NC:255-271;TM:272-291;CY:292-316</t>
  </si>
  <si>
    <t>ENSG00000204692;ENSG00000112462;ENSG00000224487;ENSG00000242022</t>
  </si>
  <si>
    <t>ENSP00000373048;ENSP00000380023;ENSP00000393734;ENSP00000421215;ENSP00000449350;ENSP00000447580;ENSP00000447204</t>
  </si>
  <si>
    <t>3;40;63;227</t>
  </si>
  <si>
    <t>UniRef100_Q9UGF7;UniRef90_Q9UGF7;UniRef50_Q9UGF7</t>
  </si>
  <si>
    <t>S23A2_HUMAN</t>
  </si>
  <si>
    <t>Solute carrier family 23 member 2</t>
  </si>
  <si>
    <t>SLC23A2</t>
  </si>
  <si>
    <t>CY:1-110;TM:111-131;NC:132-139;TM:140-160;CY:161-161;TM:162-182;NC:183-218;TM:219-239;CY:240-266;TM:267-284;NC:285-288;IM:289-302;NC:303-309;TM:310-330;CY:331-371;TM:372-392;NC:393-417;TM:418-438;CY:439-461;TM:462-482;NC:483-485;TM:486-506;CY:507-516;TM:517-537;NC:538-547;TM:548-568;CY:569-650</t>
  </si>
  <si>
    <t>ENSG00000089057</t>
  </si>
  <si>
    <t>ENSP00000344322;ENSP00000368637</t>
  </si>
  <si>
    <t>SLC;APC;SLC23</t>
  </si>
  <si>
    <t>7;188;196;436;512;592</t>
  </si>
  <si>
    <t>7;188;196</t>
  </si>
  <si>
    <t>CN[115]TTDVSVAN[115]GTAELLHTEHIWYPR</t>
  </si>
  <si>
    <t>188;196</t>
  </si>
  <si>
    <t>Q9UGH3</t>
  </si>
  <si>
    <t>Alternative splicing;Cell membrane;Complete proteome;Glycoprotein;Ion transport;Membrane;Phosphoprotein;Reference proteome;Sodium;Sodium transport;Symport;Transmembrane;Transmembrane helix;Transport</t>
  </si>
  <si>
    <t>UniRef100_Q9UGH3;UniRef90_Q9UGH3;UniRef50_Q9UHI7</t>
  </si>
  <si>
    <t>ACHA9_HUMAN</t>
  </si>
  <si>
    <t>Neuronal acetylcholine receptor subunit alpha-9</t>
  </si>
  <si>
    <t>CHRNA9</t>
  </si>
  <si>
    <t>SP:1-22;NC:23-238;TM:239-261;CY:262-268;TM:269-290;NC:291-301;TM:302-323;CY:324-457;TM:458-476;NC:477-479</t>
  </si>
  <si>
    <t>ENSG00000174343</t>
  </si>
  <si>
    <t>ENSP00000312663</t>
  </si>
  <si>
    <t>2;57;170</t>
  </si>
  <si>
    <t>3D-structure;Calcium;Calcium channel;Calcium transport;Cell junction;Cell membrane;Complete proteome;Disulfide bond;Glycoprotein;Ion channel;Ion transport;Ligand-gated ion channel;Membrane;Polymorphism;Postsynaptic cell membrane;Receptor;Reference proteome;Signal;Synapse;Transmembrane;Transmembrane helix;Transport</t>
  </si>
  <si>
    <t>UniRef100_Q9UGM1;UniRef90_Q9UGM1;UniRef50_Q9UGM1</t>
  </si>
  <si>
    <t>CLM8_HUMAN</t>
  </si>
  <si>
    <t>CMRF35-like molecule 8</t>
  </si>
  <si>
    <t>CD300A</t>
  </si>
  <si>
    <t>SP:1-17;NC:18-180;TM:181-201;CY:202-299</t>
  </si>
  <si>
    <t>ENSG00000167851</t>
  </si>
  <si>
    <t>ENSP00000353259</t>
  </si>
  <si>
    <t>CD300a</t>
  </si>
  <si>
    <t>83;92</t>
  </si>
  <si>
    <t>3D-structure;Alternative splicing;Cell adhesion;Cell membrane;Complete proteome;Disulfide bond;Glycoprotein;Immunity;Immunoglobulin domain;Membrane;Phosphoprotein;Polymorphism;Receptor;Reference proteome;Signal;Transmembrane;Transmembrane helix</t>
  </si>
  <si>
    <t>UniRef100_Q9UGN4;UniRef90_Q9UGN4;UniRef50_Q9UGN4</t>
  </si>
  <si>
    <t>GTR6_HUMAN</t>
  </si>
  <si>
    <t>Solute carrier family 2, facilitated glucose transporter member 6</t>
  </si>
  <si>
    <t>SLC2A6</t>
  </si>
  <si>
    <t>CY:1-37;TM:38-60;NC:61-80;TM:81-102;CY:103-111;TM:112-134;NC:135-139;TM:140-157;CY:158-168;TM:169-188;NC:189-193;TM:194-214;CY:215-287;TM:288-309;NC:310-314;TM:315-333;CY:334-339;TM:340-362;NC:363-393;TM:394-420;CY:421-431;TM:432-453;NC:454-464;TM:465-483;CY:484-507</t>
  </si>
  <si>
    <t>ENSG00000160326</t>
  </si>
  <si>
    <t>ENSP00000360966</t>
  </si>
  <si>
    <t>49;353;370</t>
  </si>
  <si>
    <t>Alternative splicing;Cell membrane;Complete proteome;Glycoprotein;Membrane;Phosphoprotein;Polymorphism;Reference proteome;Sugar transport;Transmembrane;Transmembrane helix;Transport</t>
  </si>
  <si>
    <t>UniRef100_Q9UGQ3;UniRef90_Q9UGQ3;UniRef50_Q9UGQ3</t>
  </si>
  <si>
    <t>SUSD2_HUMAN</t>
  </si>
  <si>
    <t>Sushi domain-containing protein 2</t>
  </si>
  <si>
    <t>SUSD2</t>
  </si>
  <si>
    <t>SP:1-27;NC:28-783;TM:784-808;CY:809-822</t>
  </si>
  <si>
    <t>ENSG00000099994</t>
  </si>
  <si>
    <t>ENSP00000351075</t>
  </si>
  <si>
    <t>162;173;177;462;494;522;630;635</t>
  </si>
  <si>
    <t>8;144;166;182;197;210;214;244;267;275;288;296;392;409;422;543;631;645;727;771;818</t>
  </si>
  <si>
    <t>SELVN[115]ETR;PHFVTFDGTN[115]FTFNGR;DGTN[115]FTFNGR;DGTN[115]FTFN[115]GR;AQPGTMSN[115]GTETR;AQPGTMSN[115]GTETRGTGLTAVAVQEGNSDVVEVR;PGTMSN[115]GTETR</t>
  </si>
  <si>
    <t>162;462;494</t>
  </si>
  <si>
    <t>Q9UGT4</t>
  </si>
  <si>
    <t>Cell membrane;Complete proteome;Disulfide bond;Glycoprotein;Membrane;Polymorphism;Reference proteome;Signal;Sushi;Transmembrane;Transmembrane helix</t>
  </si>
  <si>
    <t>UniRef100_Q9UGT4;UniRef90_Q9UGT4;UniRef50_Q9UGT4</t>
  </si>
  <si>
    <t>CNTP2_HUMAN</t>
  </si>
  <si>
    <t>Contactin-associated protein-like 2</t>
  </si>
  <si>
    <t>CNTNAP2</t>
  </si>
  <si>
    <t>SP:1-25;NC:26-1261;TM:1262-1283;CY:1284-1331</t>
  </si>
  <si>
    <t>ENSG00000174469</t>
  </si>
  <si>
    <t>ENSP00000354778</t>
  </si>
  <si>
    <t>289;346;363;379;436;506;507;546;630;735;1116;1198;1317</t>
  </si>
  <si>
    <t>289;346;363;379;436;506;507;546;630;735;805;1116;1198;1317</t>
  </si>
  <si>
    <t>SIN[115]LTLDR</t>
  </si>
  <si>
    <t>Q9UHC6</t>
  </si>
  <si>
    <t>Alternative splicing;Cell adhesion;Cell projection;Chromosomal rearrangement;Complete proteome;Disulfide bond;EGF-like domain;Epilepsy;Glycoprotein;Membrane;Phosphoprotein;Polymorphism;Reference proteome;Repeat;Signal;Transmembrane;Transmembrane helix</t>
  </si>
  <si>
    <t>UniRef100_Q9UHC6;UniRef90_Q9UHC6;UniRef50_Q9UHC6</t>
  </si>
  <si>
    <t>NPCL1_HUMAN</t>
  </si>
  <si>
    <t>Niemann-Pick C1-like protein 1</t>
  </si>
  <si>
    <t>NPC1L1</t>
  </si>
  <si>
    <t>SP:1-21;NC:22-283;TM:284-306;CY:307-349;TM:350-372;NC:373-634;TM:635-654;CY:655-665;TM:666-690;NC:691-695;TM:696-719;CY:720-739;TM:740-763;NC:764-773;TM:774-797;CY:798-846;TM:847-869;NC:870-885;TM:886-907;CY:908-1139;TM:1140-1160;NC:1161-1165;TM:1166-1187;CY:1188-1194;TM:1195-1213;NC:1214-1232;TM:1233-1257;CY:1258-1359</t>
  </si>
  <si>
    <t>ENSG00000015520</t>
  </si>
  <si>
    <t>ENSP00000289547;ENSP00000370552;ENSP00000438033</t>
  </si>
  <si>
    <t>54;132;138;244;416;431;464;479;497;506;626;909;927;1037;1102;1335</t>
  </si>
  <si>
    <t>9;344</t>
  </si>
  <si>
    <t>Apical cell membrane (Multi-pass membrane protein);Cell membrane (Multi- pass membrane protein);Cytoplasmic vesicle membrane (Multi-pass membrane protein)</t>
  </si>
  <si>
    <t>3D-structure;Alternative splicing;Cell membrane;Cholesterol metabolism;Complete proteome;Cytoplasmic vesicle;Glycoprotein;Lipid metabolism;Membrane;Polymorphism;Reference proteome;Signal;Steroid metabolism;Sterol metabolism;Transmembrane;Transmembrane helix</t>
  </si>
  <si>
    <t>UniRef100_Q9UHC9;UniRef90_Q9UHC9;UniRef50_Q9UHC9</t>
  </si>
  <si>
    <t>DB00973</t>
  </si>
  <si>
    <t>I20RA_HUMAN</t>
  </si>
  <si>
    <t>Interleukin-20 receptor subunit alpha</t>
  </si>
  <si>
    <t>IL20RA</t>
  </si>
  <si>
    <t>SP:1-29;NC:30-251;TM:252-274;CY:275-553</t>
  </si>
  <si>
    <t>ENSG00000016402</t>
  </si>
  <si>
    <t>ENSP00000314976</t>
  </si>
  <si>
    <t>42;83;91;182;191;200;315;534</t>
  </si>
  <si>
    <t>3D-structure;Alternative splicing;Complete proteome;Direct protein sequencing;Disulfide bond;Glycoprotein;Membrane;Polymorphism;Receptor;Reference proteome;Repeat;Signal;Transmembrane;Transmembrane helix</t>
  </si>
  <si>
    <t>UniRef100_Q9UHF4;UniRef90_Q9UHF4;UniRef50_Q9UHF4</t>
  </si>
  <si>
    <t>S23A1_HUMAN</t>
  </si>
  <si>
    <t>Solute carrier family 23 member 1</t>
  </si>
  <si>
    <t>SLC23A1</t>
  </si>
  <si>
    <t>CY:1-52;TM:53-73;NC:74-81;TM:82-102;CY:103-103;TM:104-124;NC:125-159;TM:160-180;CY:181-207;TM:208-225;NC:226-229;IM:230-243;NC:244-250;TM:251-271;CY:272-312;TM:313-333;NC:334-358;TM:359-379;CY:380-402;TM:403-423;NC:424-426;TM:427-447;CY:448-457;TM:458-478;NC:479-490;TM:491-511;CY:512-598</t>
  </si>
  <si>
    <t>ENSG00000170482</t>
  </si>
  <si>
    <t>ENSP00000302701;ENSP00000302851</t>
  </si>
  <si>
    <t>138;144;230;377;453</t>
  </si>
  <si>
    <t>Alternative splicing;Cell membrane;Complete proteome;Glycoprotein;Ion transport;Membrane;Phosphoprotein;Polymorphism;Reference proteome;Sodium;Sodium transport;Symport;Transmembrane;Transmembrane helix;Transport</t>
  </si>
  <si>
    <t>UniRef100_Q9UHI7;UniRef90_Q9UHI7;UniRef50_Q9UHI7</t>
  </si>
  <si>
    <t>OPN4_HUMAN</t>
  </si>
  <si>
    <t>Melanopsin</t>
  </si>
  <si>
    <t>OPN4</t>
  </si>
  <si>
    <t>NC:1-70;TM:71-96;CY:97-107;TM:108-133;NC:134-144;TM:145-166;CY:167-186;TM:187-208;NC:209-233;TM:234-258;CY:259-296;TM:297-321;NC:322-331;TM:332-352;CY:353-478</t>
  </si>
  <si>
    <t>ENSG00000122375</t>
  </si>
  <si>
    <t>ENSP00000241891</t>
  </si>
  <si>
    <t>88;399</t>
  </si>
  <si>
    <t>Alternative splicing;Biological rhythms;Cell membrane;Chromophore;Complete proteome;Disulfide bond;G-protein coupled receptor;Membrane;Photoreceptor protein;Polymorphism;Receptor;Reference proteome;Retinal protein;Sensory transduction;Transducer;Transmembrane;Transmembrane helix</t>
  </si>
  <si>
    <t>UniRef100_Q9UHM6;UniRef90_Q9UHM6;UniRef50_Q9QXZ9</t>
  </si>
  <si>
    <t>CLC2D_HUMAN</t>
  </si>
  <si>
    <t>C-type lectin domain family 2 member D</t>
  </si>
  <si>
    <t>CLEC2D</t>
  </si>
  <si>
    <t>CY:1-33;TM:34-59;NC:60-191</t>
  </si>
  <si>
    <t>ENSG00000069493</t>
  </si>
  <si>
    <t>ENSP00000290855;ENSP00000413045;ENSP00000437861</t>
  </si>
  <si>
    <t>95;147</t>
  </si>
  <si>
    <t>WIN[115]GTEWTR</t>
  </si>
  <si>
    <t>Q9UHP7</t>
  </si>
  <si>
    <t>Cell membrane (Single-pass type II membrane protein);Cell surface;Endoplasmic reticulum;Endoplasmic reticulum</t>
  </si>
  <si>
    <t>Alternative splicing;Cell membrane;Complete proteome;Disulfide bond;Endoplasmic reticulum;Glycoprotein;Lectin;Membrane;Polymorphism;Receptor;Reference proteome;Signal-anchor;Transmembrane;Transmembrane helix</t>
  </si>
  <si>
    <t>UniRef100_Q9UHP7;UniRef90_Q9UHP7;UniRef50_Q9UHP7</t>
  </si>
  <si>
    <t>S12A6_HUMAN</t>
  </si>
  <si>
    <t>Solute carrier family 12 member 6</t>
  </si>
  <si>
    <t>SLC12A6</t>
  </si>
  <si>
    <t>CY:1-185;TM:186-208;NC:209-219;TM:220-247;CY:248-267;TM:268-296;NC:297-319;TM:320-339;CY:340-345;TM:346-364;NC:365-476;TM:477-501;CY:502-520;TM:521-546;NC:547-565;TM:566-585;CY:586-620;TM:621-642;NC:643-647;TM:648-666;CY:667-677;TM:678-695;NC:696-700;TM:701-717;CY:718-1150</t>
  </si>
  <si>
    <t>ENSG00000140199</t>
  </si>
  <si>
    <t>ENSP00000346112;ENSP00000453473;ENSP00000454168</t>
  </si>
  <si>
    <t>118;155;158;171;379;398;411;417;428;504;895;1096</t>
  </si>
  <si>
    <t>TKEINN[115]MTVPSK;EINN[115]MTVPSK</t>
  </si>
  <si>
    <t>Q9UHW9</t>
  </si>
  <si>
    <t>Alternative promoter usage;Alternative splicing;Cell membrane;Complete proteome;Glycoprotein;Ion transport;Membrane;Phosphoprotein;Polymorphism;Potassium;Potassium transport;Reference proteome;Symport;Transmembrane;Transmembrane helix;Transport</t>
  </si>
  <si>
    <t>UniRef100_Q9UHW9;UniRef90_Q9UHW9;UniRef50_Q9UHW9</t>
  </si>
  <si>
    <t>DB00761</t>
  </si>
  <si>
    <t>EMR2_HUMAN</t>
  </si>
  <si>
    <t>EGF-like module-containing mucin-like hormone receptor-like 2</t>
  </si>
  <si>
    <t>EMR2</t>
  </si>
  <si>
    <t>SP:1-23;NC:24-537;TM:538-561;CY:562-571;TM:572-590;NC:591-604;TM:605-626;CY:627-645;TM:646-664;NC:665-683;TM:684-710;CY:711-729;TM:730-753;NC:754-758;TM:759-781;CY:782-823</t>
  </si>
  <si>
    <t>ENSG00000127507</t>
  </si>
  <si>
    <t>ENSP00000319883</t>
  </si>
  <si>
    <t>CD312</t>
  </si>
  <si>
    <t>41;111;206;298;347;354;456;460;566;630;635</t>
  </si>
  <si>
    <t>374;376;810;811</t>
  </si>
  <si>
    <t>WCPQDSSCVN[115]ATACR;CPQDSSCVN[115]ATACR;DSSCVN[115]ATACR</t>
  </si>
  <si>
    <t>Q9UHX3</t>
  </si>
  <si>
    <t>Cell membrane (Multi-pass membrane protein);Cell projection, ruffle membrane (Multi-pass membrane protein)</t>
  </si>
  <si>
    <t>3D-structure;Alternative splicing;Autocatalytic cleavage;Calcium;Cell adhesion;Cell membrane;Cell projection;Complete proteome;Direct protein sequencing;Disulfide bond;EGF-like domain;G-protein coupled receptor;Glycoprotein;Inflammatory response;Membrane;Polymorphism;Receptor;Reference proteome;Repeat;Signal;Transducer;Transmembrane;Transmembrane helix</t>
  </si>
  <si>
    <t>UniRef100_Q9UHX3;UniRef90_Q9UHX3;UniRef50_Q9UHX3</t>
  </si>
  <si>
    <t>SCNBA_HUMAN</t>
  </si>
  <si>
    <t>Sodium channel protein type 11 subunit alpha</t>
  </si>
  <si>
    <t>SCN11A</t>
  </si>
  <si>
    <t>CY:1-99;TM:100-118;NC:119-128;TM:129-149;CY:150-160;TM:161-183;NC:184-196;TM:197-219;CY:220-227;TM:228-247;NC:248-252;TM:253-275;CY:276-372;TM:373-392;NC:393-577;TM:578-596;CY:597-607;TM:608-630;NC:631-641;TM:642-661;CY:662-697;TM:698-723;NC:724-753;TM:754-774;CY:775-785;TM:786-811;NC:812-1056;TM:1057-1076;CY:1077-1091;TM:1092-1111;NC:1112-1117;TM:1118-1140;CY:1141-1166;TM:1167-1199;NC:1200-1284;TM:1285-1308;CY:1309-1357;TM:1358-1381;NC:1382-1400;TM:1401-1419;CY:1420-1430;TM:1431-1449;NC:1450-1454;TM:1455-1474;CY:1475-1485;TM:1486-1514;NC:1515-1533;TM:1534-1556;CY:1557-1578;TM:1579-1603;NC:1604-1791</t>
  </si>
  <si>
    <t>ENSG00000168356</t>
  </si>
  <si>
    <t>ENSP00000307599</t>
  </si>
  <si>
    <t>157;290;338;393;504;781;1091;1209;1216;1222;1230;1568</t>
  </si>
  <si>
    <t>Alternative splicing;Complete proteome;Disease mutation;Glycoprotein;Ion channel;Ion transport;Membrane;Neurodegeneration;Neuropathy;Phosphoprotein;Polymorphism;Reference proteome;Repeat;Sodium;Sodium channel;Sodium transport;Transmembrane;Transmembrane helix;Transport;Voltage-gated channel</t>
  </si>
  <si>
    <t>UniRef100_Q9UI33;UniRef90_Q9UI33;UniRef50_Q9UI33</t>
  </si>
  <si>
    <t>DB00907;DB00909;DB00313</t>
  </si>
  <si>
    <t>NCKX2_HUMAN</t>
  </si>
  <si>
    <t>Sodium/potassium/calcium exchanger 2</t>
  </si>
  <si>
    <t>SLC24A2</t>
  </si>
  <si>
    <t>CY:1-35;TM:36-58;NC:59-134;TM:135-154;CY:155-173;TM:174-199;NC:200-204;TM:205-226;CY:227-237;TM:238-261;NC:262-266;TM:267-285;CY:286-498;TM:499-522;NC:523-533;TM:534-556;CY:557-567;TM:568-589;NC:590-600;TM:601-624;CY:625-630;TM:631-650;NC:651-661</t>
  </si>
  <si>
    <t>ENSG00000155886</t>
  </si>
  <si>
    <t>ENSP00000344801</t>
  </si>
  <si>
    <t>111;232;416;438</t>
  </si>
  <si>
    <t>Alternative splicing;Antiport;Calcium;Calcium transport;Complete proteome;Glycoprotein;Ion transport;Membrane;Potassium;Potassium transport;Reference proteome;Repeat;Sensory transduction;Sodium;Sodium transport;Symport;Transmembrane;Transmembrane helix;Transport;Vision</t>
  </si>
  <si>
    <t>UniRef100_Q9UI40;UniRef90_Q9UI40;UniRef50_O54701</t>
  </si>
  <si>
    <t>SLAF5_HUMAN</t>
  </si>
  <si>
    <t>SLAM family member 5</t>
  </si>
  <si>
    <t>CD84</t>
  </si>
  <si>
    <t>SP:1-21;NC:22-225;TM:226-248;CY:249-345</t>
  </si>
  <si>
    <t>ENSG00000066294</t>
  </si>
  <si>
    <t>ENSP00000312367</t>
  </si>
  <si>
    <t>146;150;163;167;201</t>
  </si>
  <si>
    <t>146;150;163</t>
  </si>
  <si>
    <t>285;302;307</t>
  </si>
  <si>
    <t>TAQNPVSN[115]NSDSISAR;AQNPVSN[115]NSDSISAR;AQNPVSN[115]N[115]SDSISAR;PVSN[115]NSDSISAR</t>
  </si>
  <si>
    <t>Q9UIB8</t>
  </si>
  <si>
    <t>3D-structure;Alternative splicing;Cell adhesion;Cell membrane;Complete proteome;Direct protein sequencing;Disulfide bond;Glycoprotein;Immunoglobulin domain;Membrane;Phosphoprotein;Receptor;Reference proteome;Repeat;Signal;Transmembrane;Transmembrane helix</t>
  </si>
  <si>
    <t>UniRef100_Q9UIB8;UniRef90_Q9UIB8;UniRef50_Q9UIB8</t>
  </si>
  <si>
    <t>SO3A1_HUMAN</t>
  </si>
  <si>
    <t>Solute carrier organic anion transporter family member 3A1</t>
  </si>
  <si>
    <t>SLCO3A1</t>
  </si>
  <si>
    <t>CY:1-37;TM:38-61;NC:62-79;TM:80-101;CY:102-107;TM:108-126;NC:127-174;TM:175-197;CY:198-216;TM:217-241;NC:242-260;TM:261-284;CY:285-348;TM:349-371;NC:372-389;TM:390-410;CY:411-420;TM:421-441;NC:442-535;TM:536-562;CY:563-571;TM:572-595;NC:596-624;TM:625-647;CY:648-710</t>
  </si>
  <si>
    <t>ENSG00000176463</t>
  </si>
  <si>
    <t>ENSP00000320634</t>
  </si>
  <si>
    <t>153;169;381;457;502;505;519;686</t>
  </si>
  <si>
    <t>DVCAAN[115]GSGGDEGPDPDLICR;LTTVPAEN[115]ATVVPGK</t>
  </si>
  <si>
    <t>153;519</t>
  </si>
  <si>
    <t>Q9UIG8</t>
  </si>
  <si>
    <t>UniRef100_Q9UIG8;UniRef90_Q9UIG8;UniRef50_Q9UIG8</t>
  </si>
  <si>
    <t>TEFF2_HUMAN</t>
  </si>
  <si>
    <t>Tomoregulin-2</t>
  </si>
  <si>
    <t>TMEFF2</t>
  </si>
  <si>
    <t>SP:1-38;NC:39-317;TM:318-341;CY:342-374</t>
  </si>
  <si>
    <t>ENSG00000144339</t>
  </si>
  <si>
    <t>ENSP00000272771</t>
  </si>
  <si>
    <t>55;230;365</t>
  </si>
  <si>
    <t>230;365</t>
  </si>
  <si>
    <t>3D-structure;Alternative splicing;Complete proteome;Direct protein sequencing;Disulfide bond;EGF-like domain;Glycoprotein;Membrane;Reference proteome;Repeat;Secreted;Signal;Transmembrane;Transmembrane helix</t>
  </si>
  <si>
    <t>UniRef100_Q9UIK5;UniRef90_Q9UIK5;UniRef50_Q9UIK5</t>
  </si>
  <si>
    <t>LCAP_HUMAN</t>
  </si>
  <si>
    <t>Leucyl-cystinyl aminopeptidase</t>
  </si>
  <si>
    <t>LNPEP</t>
  </si>
  <si>
    <t>CY:1-110;TM:111-131;NC:132-1025</t>
  </si>
  <si>
    <t>ENSG00000113441</t>
  </si>
  <si>
    <t>ENSP00000231368</t>
  </si>
  <si>
    <t>83;145;184;215;256;266;368;374;448;525;578;598;664;682;760;834;850;989</t>
  </si>
  <si>
    <t>KN[115]QSIGLIQPF;YELSLHPN[115]LTSM;YELSLHPN[115]LTSMTFR;IILHSTGHN[115]ISR;HGQIAIVAPEALLAGHN[115]YTLK;LLAGHN[115]YTLK;LAGHN[115]YTLK;AGHN[115]YTLK;NLSQDVN[115]GTLVSIYAVPEK;N[115]LSQDVN[115]GTLVSIYAVPEK;REETLLYDSN[115]TSSMADR;EETLLYDSN[115]TSSMADR;LLYDSN[115]TSSMADR;YDSN[115]TSSMADR;SN[115]TSSMADR;KDSLN[115]SSHPI;DSLN[115]SSHPISSS;NEVTN[115]QTLDVK;SGVIN[115]LTEEVLWVK;AFDLINYLGNEN[115]HTAPITEA;SALLEFACTHNLGN[115]CSTTAMK;NLGN[115]CSTTAMK;LGN[115]CSTTAMK;LFDDWMASN[115]GTQ;LFDDWMASN[115]GTQSLPTDVMTTVFK</t>
  </si>
  <si>
    <t>145;184;215;256;368;374;448;525;598;682;760;834;850</t>
  </si>
  <si>
    <t>Q9UIQ6</t>
  </si>
  <si>
    <t>Acetylation;Alternative splicing;Aminopeptidase;Cell membrane;Complete proteome;Direct protein sequencing;Glycoprotein;Hydrolase;Membrane;Metal-binding;Metalloprotease;Phosphoprotein;Polymorphism;Protease;Reference proteome;Secreted;Signal-anchor;Transmembrane;Transmembrane helix;Zinc</t>
  </si>
  <si>
    <t>UniRef100_Q9UIQ6;UniRef90_Q9UIQ6;UniRef50_Q9UIQ6</t>
  </si>
  <si>
    <t>Cytoskeleton;Endoplasmic Reticulum;Golgi apparatus;Lysosome;Mitochondrion;Nucleus;Peroxisome</t>
  </si>
  <si>
    <t>PLXA1_HUMAN</t>
  </si>
  <si>
    <t>Plexin-A1</t>
  </si>
  <si>
    <t>PLXNA1</t>
  </si>
  <si>
    <t>SP:1-26;NC:27-1242;TM:1243-1267;CY:1268-1896</t>
  </si>
  <si>
    <t>ENSG00000114554</t>
  </si>
  <si>
    <t>ENSP00000377061</t>
  </si>
  <si>
    <t>77;572;597;660;672;701;761;769;785;1043;1098;1140;1187;1212;1609;1612</t>
  </si>
  <si>
    <t>IYKLSGN[115]LTLLR;LSGN[115]LTLLR;VN[115]VSEDCPQILPSTQIYVPVGVVK;VN[115]VSEDCPQILPSTQIYVPVGVVKPITLAAR;YN[115]YTEDPTILR;ENGCLVYN[115]DTTMVCR;EN[115]GCLVYN[115]DTTMVCR</t>
  </si>
  <si>
    <t>77;701;1043;1098</t>
  </si>
  <si>
    <t>Q9UIW2</t>
  </si>
  <si>
    <t>Cell membrane;Coiled coil;Complete proteome;Disulfide bond;Glycoprotein;Membrane;Reference proteome;Repeat;Signal;Transmembrane;Transmembrane helix</t>
  </si>
  <si>
    <t>UniRef100_Q9UIW2;UniRef90_P70206;UniRef50_Q80UG2</t>
  </si>
  <si>
    <t>GGT7_HUMAN</t>
  </si>
  <si>
    <t>Gamma-glutamyltransferase 7</t>
  </si>
  <si>
    <t>GGT7</t>
  </si>
  <si>
    <t>CY:1-106;TM:107-131;NC:132-662</t>
  </si>
  <si>
    <t>ENSG00000131067</t>
  </si>
  <si>
    <t>ENSP00000338964</t>
  </si>
  <si>
    <t>198;267;283;330;353;394;452;519;523;586</t>
  </si>
  <si>
    <t>AAAVAQDGFN[115]VTHDLAR</t>
  </si>
  <si>
    <t>Q9UJ14</t>
  </si>
  <si>
    <t>Acyltransferase;Alternative splicing;Complete proteome;Glutathione biosynthesis;Glycoprotein;Hydrolase;Membrane;Reference proteome;Signal-anchor;Transferase;Transmembrane;Transmembrane helix;Zymogen</t>
  </si>
  <si>
    <t>UniRef100_Q9UJ14;UniRef90_Q9UJ14;UniRef50_Q9UJ14</t>
  </si>
  <si>
    <t>GP160_HUMAN</t>
  </si>
  <si>
    <t>Probable G-protein coupled receptor 160</t>
  </si>
  <si>
    <t>GPR160</t>
  </si>
  <si>
    <t>NC:1-24;TM:25-45;CY:46-56;TM:57-79;NC:80-90;TM:91-116;CY:117-136;TM:137-156;NC:157-179;TM:180-201;CY:202-243;TM:244-265;NC:266-276;TM:277-294;CY:295-338</t>
  </si>
  <si>
    <t>ENSG00000173890</t>
  </si>
  <si>
    <t>ENSP00000348161</t>
  </si>
  <si>
    <t>8;72;123;218</t>
  </si>
  <si>
    <t>UniRef100_Q9UJ42;UniRef90_Q9UJ42;UniRef50_Q9UJ42</t>
  </si>
  <si>
    <t>CAD22_HUMAN</t>
  </si>
  <si>
    <t>Cadherin-22</t>
  </si>
  <si>
    <t>CDH22</t>
  </si>
  <si>
    <t>SP:1-38;NC:39-625;TM:626-647;CY:648-828</t>
  </si>
  <si>
    <t>ENSG00000149654</t>
  </si>
  <si>
    <t>ENSP00000361336;ENSP00000437790</t>
  </si>
  <si>
    <t>162;466;612</t>
  </si>
  <si>
    <t>Calcium;Cell adhesion;Cell membrane;Complete proteome;Glycoprotein;Membrane;Metal-binding;Reference proteome;Repeat;Signal;Transmembrane;Transmembrane helix</t>
  </si>
  <si>
    <t>UniRef100_Q9UJ99;UniRef90_Q63315;UniRef50_Q63315</t>
  </si>
  <si>
    <t>ENPP5_HUMAN</t>
  </si>
  <si>
    <t>Ectonucleotide pyrophosphatase/phosphodiesterase family member 5</t>
  </si>
  <si>
    <t>ENPP5</t>
  </si>
  <si>
    <t>SP:1-22;NC:23-430;TM:431-452;CY:453-477</t>
  </si>
  <si>
    <t>ENSG00000112796</t>
  </si>
  <si>
    <t>ENSP00000230565;ENSP00000360436</t>
  </si>
  <si>
    <t>3.1.4</t>
  </si>
  <si>
    <t>101;158;292;329;362;369;382;389</t>
  </si>
  <si>
    <t>Membrane (Single-pass membrane protein);Secreted</t>
  </si>
  <si>
    <t>Complete proteome;Glycoprotein;Hydrolase;Membrane;Metal-binding;Polymorphism;Reference proteome;Secreted;Signal;Transmembrane;Transmembrane helix;Zinc</t>
  </si>
  <si>
    <t>UniRef100_Q9UJA9;UniRef90_Q9UJA9;UniRef50_P84039</t>
  </si>
  <si>
    <t>LAMP5_HUMAN</t>
  </si>
  <si>
    <t>Lysosome-associated membrane glycoprotein 5</t>
  </si>
  <si>
    <t>LAMP5</t>
  </si>
  <si>
    <t>SP:1-29;NC:30-236;TM:237-258;CY:259-280</t>
  </si>
  <si>
    <t>ENSG00000125869</t>
  </si>
  <si>
    <t>ENSP00000246070</t>
  </si>
  <si>
    <t>35;53;127</t>
  </si>
  <si>
    <t>Cell membrane (Single-pass type I membrane protein);Cell projection, dendrite;Cell projection, growth cone membrane (Single-pass type I membrane protein);Cytoplasmic vesicle;Early endosome membrane (Single-pass type I membrane protein);Endoplasmic reticulum-Golgi intermediate compartment membrane (Single-pass type I membrane protein);Endosome membrane (Single-pass type I membrane protein);Recycling endosome</t>
  </si>
  <si>
    <t>Alternative splicing;Cell membrane;Cell projection;Complete proteome;Cytoplasmic vesicle;Endosome;Glycoprotein;Membrane;Polymorphism;Reference proteome;Signal;Transmembrane;Transmembrane helix</t>
  </si>
  <si>
    <t>UniRef100_Q9UJQ1;UniRef90_Q9UJQ1;UniRef50_Q9UJQ1</t>
  </si>
  <si>
    <t>NAGPA_HUMAN</t>
  </si>
  <si>
    <t>N-acetylglucosamine-1-phosphodiester alpha-N-acetylglucosaminidase</t>
  </si>
  <si>
    <t>NAGPA</t>
  </si>
  <si>
    <t>SP:1-24;NC:25-448;TM:449-473;CY:474-515</t>
  </si>
  <si>
    <t>ENSG00000103174</t>
  </si>
  <si>
    <t>ENSP00000310998</t>
  </si>
  <si>
    <t>208;214;296;366;388;420;468</t>
  </si>
  <si>
    <t>GPGCDELDCGPSN[115]CSQHGLCTETGCR</t>
  </si>
  <si>
    <t>Q9UK23</t>
  </si>
  <si>
    <t>Golgi apparatus, Golgi stack membrane (Single-pass type I membrane protein);Golgi apparatus, trans-Golgi network</t>
  </si>
  <si>
    <t>Alternative splicing;Complete proteome;Direct protein sequencing;Disulfide bond;EGF-like domain;Glycoprotein;Golgi apparatus;Hydrolase;Membrane;Polymorphism;Reference proteome;Signal;Transmembrane;Transmembrane helix;Zymogen</t>
  </si>
  <si>
    <t>UniRef100_Q9UK23;UniRef90_Q9UK23;UniRef50_Q9UK23</t>
  </si>
  <si>
    <t>Cytoskeleton;Cytosol;Endoplasmic Reticulum;Endosome;Extracellular space;Lysosome;Mitochondrion;Nucleus;Peroxisome;Plasma membrane</t>
  </si>
  <si>
    <t>DB00141</t>
  </si>
  <si>
    <t>AJAP1_HUMAN</t>
  </si>
  <si>
    <t>Adherens junction-associated protein 1</t>
  </si>
  <si>
    <t>AJAP1</t>
  </si>
  <si>
    <t>NC:1-279;TM:280-303;CY:304-411</t>
  </si>
  <si>
    <t>ENSG00000196581</t>
  </si>
  <si>
    <t>ENSP00000367432;ENSP00000367433</t>
  </si>
  <si>
    <t>331;351</t>
  </si>
  <si>
    <t>Apical cell membrane (Single-pass type III membrane protein);Basolateral cell membrane (Single-pass type III membrane protein);Cell junction, adherens junction</t>
  </si>
  <si>
    <t>Cell adhesion;Cell junction;Cell membrane;Complete proteome;Membrane;Phosphoprotein;Polymorphism;Reference proteome;Transmembrane;Transmembrane helix</t>
  </si>
  <si>
    <t>UniRef100_Q9UKB5;UniRef90_Q9UKB5;UniRef50_Q9UKB5</t>
  </si>
  <si>
    <t>ADA30_HUMAN</t>
  </si>
  <si>
    <t>Disintegrin and metalloproteinase domain-containing protein 30</t>
  </si>
  <si>
    <t>ADAM30</t>
  </si>
  <si>
    <t>SP:1-27;NC:28-685;TM:686-708;CY:709-790</t>
  </si>
  <si>
    <t>ENSG00000134249</t>
  </si>
  <si>
    <t>ENSP00000358407</t>
  </si>
  <si>
    <t>222;372;438;473;625</t>
  </si>
  <si>
    <t>Alternative splicing;Complete proteome;Disulfide bond;EGF-like domain;Glycoprotein;Hydrolase;Membrane;Metal-binding;Metalloprotease;Polymorphism;Protease;Reference proteome;Repeat;Signal;Transmembrane;Transmembrane helix;Zinc;Zymogen</t>
  </si>
  <si>
    <t>UniRef100_Q9UKF2;UniRef90_Q9UKF2;UniRef50_Q9UKF2</t>
  </si>
  <si>
    <t>ADA29_HUMAN</t>
  </si>
  <si>
    <t>Disintegrin and metalloproteinase domain-containing protein 29</t>
  </si>
  <si>
    <t>ADAM29</t>
  </si>
  <si>
    <t>SP:1-18;NC:19-675;TM:676-697;CY:698-820</t>
  </si>
  <si>
    <t>ENSG00000168594</t>
  </si>
  <si>
    <t>ENSP00000352177;ENSP00000384229;ENSP00000414544;ENSP00000423517;ENSP00000484862;ENSP00000478469</t>
  </si>
  <si>
    <t>182;217;276;320;368;428;469;538;545;558;564;624</t>
  </si>
  <si>
    <t>182;276;320;428;469;538;558</t>
  </si>
  <si>
    <t>UniRef100_Q9UKF5;UniRef90_Q9UKF5;UniRef50_Q9UKF5</t>
  </si>
  <si>
    <t>S13A4_HUMAN</t>
  </si>
  <si>
    <t>Solute carrier family 13 member 4</t>
  </si>
  <si>
    <t>SLC13A4</t>
  </si>
  <si>
    <t>SP:1-35;NC:36-46;TM:47-69;CY:70-80;TM:81-99;NC:100-119;TM:120-138;CY:139-266;TM:267-293;NC:294-310;TM:311-331;CY:332-371;TM:372-391;NC:392-410;TM:411-429;CY:430-501;TM:502-529;NC:530-543;TM:544-563;CY:564-583;TM:584-605;NC:606-626</t>
  </si>
  <si>
    <t>ENSG00000164707</t>
  </si>
  <si>
    <t>ENSP00000297282</t>
  </si>
  <si>
    <t>84;140;621</t>
  </si>
  <si>
    <t>84;621</t>
  </si>
  <si>
    <t>Complete proteome;Ion transport;Membrane;Polymorphism;Reference proteome;Sodium;Sodium transport;Symport;Transmembrane;Transmembrane helix;Transport</t>
  </si>
  <si>
    <t>UniRef100_Q9UKG4;UniRef90_Q9UKG4;UniRef50_Q9UKG4</t>
  </si>
  <si>
    <t>ENK9_HUMAN</t>
  </si>
  <si>
    <t>Endogenous retrovirus group K member 9 Env polyprotein</t>
  </si>
  <si>
    <t>ERVK-9</t>
  </si>
  <si>
    <t>SP:1-89;NC:90-631;TM:632-654;CY:655-698</t>
  </si>
  <si>
    <t>100;128;153;273;354;371;460;506;553;565;584</t>
  </si>
  <si>
    <t>UniRef100_Q9UKH3;UniRef90_O42043;UniRef50_O42043</t>
  </si>
  <si>
    <t>PILRB_HUMAN</t>
  </si>
  <si>
    <t>Paired immunoglobulin-like type 2 receptor beta</t>
  </si>
  <si>
    <t>PILRB</t>
  </si>
  <si>
    <t>SP:1-19;NC:20-189;TM:190-214;CY:215-227</t>
  </si>
  <si>
    <t>ENSG00000121716</t>
  </si>
  <si>
    <t>ENSP00000391748;ENSP00000477365</t>
  </si>
  <si>
    <t>3D-structure;Alternative splicing;Complete proteome;Glycoprotein;Immunoglobulin domain;Membrane;Polymorphism;Receptor;Reference proteome;Signal;Transmembrane;Transmembrane helix</t>
  </si>
  <si>
    <t>UniRef100_Q9UKJ0;UniRef90_Q9UKJ0;UniRef50_Q9UKJ1-3</t>
  </si>
  <si>
    <t>PILRA_HUMAN</t>
  </si>
  <si>
    <t>Paired immunoglobulin-like type 2 receptor alpha</t>
  </si>
  <si>
    <t>PILRA</t>
  </si>
  <si>
    <t>SP:1-19;NC:20-196;TM:197-220;CY:221-303</t>
  </si>
  <si>
    <t>ENSG00000085514</t>
  </si>
  <si>
    <t>ENSP00000198536</t>
  </si>
  <si>
    <t>100;294</t>
  </si>
  <si>
    <t>LFLN[115]WTEGQK</t>
  </si>
  <si>
    <t>Q9UKJ1</t>
  </si>
  <si>
    <t>Cell membrane (Single-pass type I membrane protein);Cell membrane (Single-pass type I membrane protein);Secreted;Secreted</t>
  </si>
  <si>
    <t>3D-structure;Alternative splicing;Cell membrane;Complete proteome;Glycoprotein;Host-virus interaction;Immunoglobulin domain;Membrane;Phosphoprotein;Polymorphism;Receptor;Reference proteome;Secreted;Signal;Transmembrane;Transmembrane helix</t>
  </si>
  <si>
    <t>UniRef100_Q9UKJ1;UniRef90_Q9UKJ1;UniRef50_Q9UKJ1</t>
  </si>
  <si>
    <t>ADA21_HUMAN</t>
  </si>
  <si>
    <t>Disintegrin and metalloproteinase domain-containing protein 21</t>
  </si>
  <si>
    <t>ADAM21</t>
  </si>
  <si>
    <t>SP:1-31;NC:32-681;TM:682-707;CY:708-722</t>
  </si>
  <si>
    <t>ENSG00000139985</t>
  </si>
  <si>
    <t>ENSP00000474385</t>
  </si>
  <si>
    <t>164;227;377;437;478;546;600</t>
  </si>
  <si>
    <t>UniRef100_Q9UKJ8;UniRef90_Q9UKJ8;UniRef50_Q9UKJ8</t>
  </si>
  <si>
    <t>O52A1_HUMAN</t>
  </si>
  <si>
    <t>Olfactory receptor 52A1</t>
  </si>
  <si>
    <t>OR52A1</t>
  </si>
  <si>
    <t>NC:1-27;TM:28-49;CY:50-60;TM:61-80;NC:81-100;TM:101-122;CY:123-141;TM:142-165;NC:166-199;TM:200-223;CY:224-241;TM:242-263;NC:264-273;TM:274-295;CY:296-312</t>
  </si>
  <si>
    <t>ENSG00000182070</t>
  </si>
  <si>
    <t>ENSP00000333684;ENSP00000369725</t>
  </si>
  <si>
    <t>UniRef100_Q9UKL2;UniRef90_Q9UKL2;UniRef50_Q9UKL2</t>
  </si>
  <si>
    <t>CXD2_HUMAN</t>
  </si>
  <si>
    <t>Gap junction delta-2 protein</t>
  </si>
  <si>
    <t>GJD2</t>
  </si>
  <si>
    <t>CY:1-20;TM:21-42;NC:43-77;TM:78-98;CY:99-197;TM:198-220;NC:221-251;TM:252-271;CY:272-321</t>
  </si>
  <si>
    <t>ENSG00000159248</t>
  </si>
  <si>
    <t>ENSP00000290374</t>
  </si>
  <si>
    <t>UniRef100_Q9UKL4;UniRef90_Q9UKL4;UniRef50_Q9UKL4</t>
  </si>
  <si>
    <t>MUC12_HUMAN</t>
  </si>
  <si>
    <t>Mucin-12</t>
  </si>
  <si>
    <t>MUC12</t>
  </si>
  <si>
    <t>SP:1-16;NC:17-5377;TM:5378-5403;CY:5404-5478</t>
  </si>
  <si>
    <t>ENSG00000205277</t>
  </si>
  <si>
    <t>ENSP00000368755</t>
  </si>
  <si>
    <t>154;170;176;382;738;1793;3350;4433;4571;5169;5182;5197;5228;5264</t>
  </si>
  <si>
    <t>172;179;181;182;185;186;234;255;259;271;272;286;300;305;311;318;349;355;356;370;386;398;405;410;426;427;431;435;451;453;454;455;474;479;486;495;523;542;543;558;571;574;600;609;611;614;627;628;642;649;698;702;705;712;714;742;754;783;792;793;795;801;802;804;810;813;814;817;823;835;851;863;869;870;888;902;904;920;940;941;944;957;958;972;985;987;988;997;1023;1028;1044;1056;1057;1060;1126;1149;1171;1180;1183;1204;1205;1211;1230;1235;1237;1250;1255;1257;1285;1287;1290;1292;1306;1307;1314;1323;1338;1351;1366;1390;1394;1404;1406;1413;1421;1426;1432;1435;1462;1465;1490;1502;1518;1519;1530;1552;1588;1589;1595;1600;1615;1616;1617;1628;1641;1652;1657;1664;1665;1666;1670;1683;1697;1704;1712;1716;1722;1753;1760;1767;1769;1770;1781;1795;1797;1809;1837;1865;1875;1876;1877;1890;1894;1899;1906;1918;1931;1934;1952;1953;1957;1959;1971;1984;1985;1987;1996;2040;2055;2062;2067;2068;2070;2074;2080;2097;2111;2123;2127;2130;2139;2143;2167;2180;2195;2202;2207;2208;2209;2232;2236;2263;2266;2278;2282;2287;2288;2294;2313;2318;2333;2339;2340;2348;2358;2368;2389;2390;2406;2413;2421;2434;2449;2472;2473;2474;2480;2489;2496;2498;2503;2504;2505;2515;2518;2529;2542;2548;2552;2571;2585;2592;2597;2598;2601;2608;2609;2610;2613;2641;2657;2669;2681;2682;2683;2706;2709;2710;2728;2737;2740;2756;2762;2768;2787;2792;2793;2807;2812;2813;2814;2832;2839;2842;2844;2863;2880;2895;2907;2908;2923;2924;2931;2946;2947;2963;2970;2972;2977;2978;2979;2982;2983;2989;3003;3019;3047;3054;3059;3063;3072;3075;3087;3127;3128;3146;3150;3152;3172;3173;3174;3182;3183;3198;3202;3214;3221;3222;3223;3226;3227;3233;3239;3240;3254;3273;3279;3310;3314;3317;3324;3326;3342;3352;3366;3399;3404;3405;3406;3421;3422;3447;3451;3456;3463;3475;3491;3503;3509;3510;3513;3515;3516;3528;3532;3544;3572;3597;3598;3612;3625;3627;3654;3663;3668;3672;3680;3684;3687;3693;3696;3697;3700;3724;3731;3739;3740;3752;3764;3765;3766;3789;3793;3819;3820;3823;3835;3839;3844;3845;3851;3870;3875;3876;3890;3897;3905;3925;3927;3930;3946;3947;3960;3963;3978;3990;3991;3998;4006;4007;4029;4030;4046;4055;4066;4072;4075;4086;4093;4102;4105;4130;4142;4146;4149;4155;4156;4158;4159;4170;4186;4198;4205;4210;4214;4228;4229;4233;4235;4238;4256;4257;4265;4281;4285;4292;4297;4304;4305;4306;4309;4316;4322;4323;4337;4353;4356;4362;4376;4384;4393;4400;4407;4410;4421;4435;4437;4449;4487;4488;4499;4504;4505;4506;4517;4530;4534;4539;4546;4574;4586;4588;4592;4593;4596;4598;4599;4611;4627;4643;4663;4674;4680;4681;4695;4697;4698;4699;4723;4727;4729;4732;4737;4739;4751;4764;4767;4779;4780;4781;4785;4786;4792;4800;4804;4820;4829;4832;4848;4870;4873;4874;4887;4899;4903;4904;4906;4927;4931;4950;4959;4978;4980;4985;4999;5038;5054;5058;5094;5095;5098;5110;5119</t>
  </si>
  <si>
    <t>UniRef100_Q9UKN1;UniRef90_Q9UKN1;UniRef50_Q9UKN1</t>
  </si>
  <si>
    <t>UR2R_HUMAN</t>
  </si>
  <si>
    <t>Urotensin-2 receptor</t>
  </si>
  <si>
    <t>UTS2R</t>
  </si>
  <si>
    <t>NC:1-51;TM:52-74;CY:75-85;TM:86-112;NC:113-124;TM:125-145;CY:146-167;TM:168-190;NC:191-210;TM:211-235;CY:236-255;TM:256-276;NC:277-295;TM:296-318;CY:319-389</t>
  </si>
  <si>
    <t>ENSG00000181408</t>
  </si>
  <si>
    <t>ENSP00000323516</t>
  </si>
  <si>
    <t>29;33</t>
  </si>
  <si>
    <t>UniRef100_Q9UKP6;UniRef90_Q9UKP6;UniRef50_P49684</t>
  </si>
  <si>
    <t>ADA28_HUMAN</t>
  </si>
  <si>
    <t>Disintegrin and metalloproteinase domain-containing protein 28</t>
  </si>
  <si>
    <t>ADAM28</t>
  </si>
  <si>
    <t>SP:1-18;NC:19-661;TM:662-686;CY:687-775</t>
  </si>
  <si>
    <t>ENSG00000042980</t>
  </si>
  <si>
    <t>ENSP00000265769</t>
  </si>
  <si>
    <t>89;268;275;557;602;628</t>
  </si>
  <si>
    <t>Alternative splicing;Cell membrane;Cleavage on pair of basic residues;Complete proteome;Disulfide bond;EGF-like domain;Glycoprotein;Hydrolase;Membrane;Metal-binding;Metalloprotease;Polymorphism;Protease;Reference proteome;Secreted;Signal;Transmembrane;Transmembrane helix;Zinc;Zymogen</t>
  </si>
  <si>
    <t>UniRef100_Q9UKQ2;UniRef90_Q9UKQ2;UniRef50_Q9UKQ2</t>
  </si>
  <si>
    <t>TRHDE_HUMAN</t>
  </si>
  <si>
    <t>Thyrotropin-releasing hormone-degrading ectoenzyme</t>
  </si>
  <si>
    <t>TRHDE</t>
  </si>
  <si>
    <t>CY:1-39;TM:40-63;NC:64-1024</t>
  </si>
  <si>
    <t>ENSG00000072657</t>
  </si>
  <si>
    <t>ENSP00000261180</t>
  </si>
  <si>
    <t>3.4.19</t>
  </si>
  <si>
    <t>89;160;175;222;338;605;634;649;663;684;800;906</t>
  </si>
  <si>
    <t>160;175;222;338;605;684</t>
  </si>
  <si>
    <t>AICN[115]FTYR;NNFN[115]GSLVQASYQHEELR</t>
  </si>
  <si>
    <t>338;800</t>
  </si>
  <si>
    <t>Q9UKU6</t>
  </si>
  <si>
    <t>Aminopeptidase;Complete proteome;Disulfide bond;Glycoprotein;Hydrolase;Membrane;Metal-binding;Metalloprotease;Protease;Reference proteome;Signal-anchor;Transmembrane;Transmembrane helix;Zinc</t>
  </si>
  <si>
    <t>UniRef100_Q9UKU6;UniRef90_Q10836;UniRef50_Q10836</t>
  </si>
  <si>
    <t>ITA11_HUMAN</t>
  </si>
  <si>
    <t>Integrin alpha-11</t>
  </si>
  <si>
    <t>ITGA11</t>
  </si>
  <si>
    <t>SP:1-20;NC:21-1141;TM:1142-1166;CY:1167-1188</t>
  </si>
  <si>
    <t>ENSG00000137809</t>
  </si>
  <si>
    <t>ENSP00000327290</t>
  </si>
  <si>
    <t>82;95;291;331;358;449;462;528;642;694;857;894;973;1031;1039;1059</t>
  </si>
  <si>
    <t>CPVIHGN[115]CTK;VIQQSERDN[115]VTR;YIASDPDDKHFFN[115]VTDEAALK;HFFN[115]VTDEAALK;IFSLEGTNKN[115]ETSFGLEMSQTGFSSH;VILFTMHNN[115]R;FVYN[115]GTLK;YN[115]ATMDER;APQLN[115]HSNSDVVSINCNIR;APQLN[115]HSN[115]SDVVSINCNIR</t>
  </si>
  <si>
    <t>82;291;331;358;462;528;694;1059</t>
  </si>
  <si>
    <t>Q9UKX5</t>
  </si>
  <si>
    <t>UniRef100_Q9UKX5;UniRef90_Q9UKX5;UniRef50_Q9UKX5</t>
  </si>
  <si>
    <t>PRND_HUMAN</t>
  </si>
  <si>
    <t>Prion-like protein doppel</t>
  </si>
  <si>
    <t>PRND</t>
  </si>
  <si>
    <t>SP:1-23;NC:24-176</t>
  </si>
  <si>
    <t>ENSG00000171864</t>
  </si>
  <si>
    <t>ENSP00000306900</t>
  </si>
  <si>
    <t>98;110</t>
  </si>
  <si>
    <t>3D-structure;Amyloid;Cell membrane;Complete proteome;Disulfide bond;Glycoprotein;GPI-anchor;Lipoprotein;Membrane;Polymorphism;Prion;Reference proteome;Signal</t>
  </si>
  <si>
    <t>UniRef100_Q9UKY0;UniRef90_Q9UKY0;UniRef50_Q9QUG3</t>
  </si>
  <si>
    <t>TEN1_HUMAN</t>
  </si>
  <si>
    <t>Teneurin-1</t>
  </si>
  <si>
    <t>TENM1</t>
  </si>
  <si>
    <t>CY:1-319;TM:320-344;NC:345-2725</t>
  </si>
  <si>
    <t>ENSG00000009694</t>
  </si>
  <si>
    <t>ENSP00000360171</t>
  </si>
  <si>
    <t>433;905;1084;1550;1567;1663;1699;1757;1781;1842;2056;2145;2285;2602</t>
  </si>
  <si>
    <t>433;905;1084;1550;1567;1663;1699;1750;1757;1781;1842;2056;2145;2285;2602</t>
  </si>
  <si>
    <t>25;95;138;177;182;183;223;225;228;236;237;270;277;284;289;362;370;374;376;991;995;1347</t>
  </si>
  <si>
    <t>VGVDAN[115]ITR</t>
  </si>
  <si>
    <t>Q9UKZ4</t>
  </si>
  <si>
    <t>Cell membrane (Single-pass membrane protein);Cytoplasm, cytoskeleton;Nucleus;Nucleus matrix;Nucleus speckle;Cell membrane;Cytoplasm;Nucleus</t>
  </si>
  <si>
    <t>Alternative splicing;Cell membrane;Cleavage on pair of basic residues;Complete proteome;Cytoplasm;Cytoskeleton;Disulfide bond;EGF-like domain;Glycoprotein;Membrane;Neuropeptide;Nucleus;Phosphoprotein;Polymorphism;Reference proteome;Repeat;Repressor;Stress response;Transcription;Transcription regulation;Transmembrane;Transmembrane helix</t>
  </si>
  <si>
    <t>UniRef100_Q9UKZ4;UniRef90_Q9WTS4;UniRef50_Q9WTS4</t>
  </si>
  <si>
    <t>TM11E_HUMAN</t>
  </si>
  <si>
    <t>Transmembrane protease serine 11E</t>
  </si>
  <si>
    <t>TMPRSS11E</t>
  </si>
  <si>
    <t>CY:1-19;TM:20-43;NC:44-423</t>
  </si>
  <si>
    <t>ENSG00000087128</t>
  </si>
  <si>
    <t>ENSP00000307519</t>
  </si>
  <si>
    <t>3.4.</t>
  </si>
  <si>
    <t>75;166;223</t>
  </si>
  <si>
    <t>3D-structure;Cell membrane;Complete proteome;Disulfide bond;Glycoprotein;Hydrolase;Membrane;Polymorphism;Protease;Reference proteome;Secreted;Serine protease;Signal-anchor;Transmembrane;Transmembrane helix;Zymogen</t>
  </si>
  <si>
    <t>UniRef100_Q9UL52;UniRef90_Q9UL52;UniRef50_Q5S248</t>
  </si>
  <si>
    <t>NRX1A_HUMAN</t>
  </si>
  <si>
    <t>Neurexin-1</t>
  </si>
  <si>
    <t>SP:1-25;NC:26-1401;TM:1402-1423;CY:1424-1477</t>
  </si>
  <si>
    <t>ENSP00000384311</t>
  </si>
  <si>
    <t>125;190;790;1223</t>
  </si>
  <si>
    <t>125;190;790;1223;1377</t>
  </si>
  <si>
    <t>Alternative promoter usage;Alternative splicing;Calcium;Cell adhesion;Cell junction;Cell membrane;Complete proteome;Disulfide bond;EGF-like domain;Glycoprotein;Membrane;Metal-binding;Polymorphism;Reference proteome;Repeat;Signal;Synapse;Transmembrane;Transmembrane helix</t>
  </si>
  <si>
    <t>UniRef100_Q9ULB1;UniRef90_Q9CS84-5;UniRef50_Q9CS84</t>
  </si>
  <si>
    <t>CADH9_HUMAN</t>
  </si>
  <si>
    <t>Cadherin-9</t>
  </si>
  <si>
    <t>CDH9</t>
  </si>
  <si>
    <t>SP:1-21;NC:22-614;TM:615-636;CY:637-789</t>
  </si>
  <si>
    <t>ENSG00000113100</t>
  </si>
  <si>
    <t>ENSP00000231021</t>
  </si>
  <si>
    <t>255;437;455;536;743</t>
  </si>
  <si>
    <t>ESSPWHN[115]ITVTATEINNPK</t>
  </si>
  <si>
    <t>Q9ULB4</t>
  </si>
  <si>
    <t>UniRef100_Q9ULB4;UniRef90_Q9ULB4;UniRef50_P55285</t>
  </si>
  <si>
    <t>CADH7_HUMAN</t>
  </si>
  <si>
    <t>Cadherin-7</t>
  </si>
  <si>
    <t>CDH7</t>
  </si>
  <si>
    <t>SP:1-27;NC:28-607;TM:608-628;CY:629-785</t>
  </si>
  <si>
    <t>ENSG00000081138</t>
  </si>
  <si>
    <t>ENSP00000319166;ENSP00000381058</t>
  </si>
  <si>
    <t>449;530;738</t>
  </si>
  <si>
    <t>UniRef100_Q9ULB5;UniRef90_Q9ULB5;UniRef50_P55285</t>
  </si>
  <si>
    <t>MUCEN_HUMAN</t>
  </si>
  <si>
    <t>Endomucin</t>
  </si>
  <si>
    <t>EMCN</t>
  </si>
  <si>
    <t>SP:1-18;NC:19-190;TM:191-213;CY:214-261</t>
  </si>
  <si>
    <t>ENSG00000164035</t>
  </si>
  <si>
    <t>ENSP00000296420</t>
  </si>
  <si>
    <t>19;28;98;104;164;178</t>
  </si>
  <si>
    <t>41;42;109;156;160;166</t>
  </si>
  <si>
    <t>Cell membrane (Single-pass type I membrane protein);Membrane (Single-pass type I membrane protein);Secreted</t>
  </si>
  <si>
    <t>Alternative splicing;Cell membrane;Complete proteome;Glycoprotein;Membrane;Reference proteome;Secreted;Signal;Transmembrane;Transmembrane helix</t>
  </si>
  <si>
    <t>UniRef100_Q9ULC0;UniRef90_Q9ULC0;UniRef50_Q9ULC0</t>
  </si>
  <si>
    <t>S39AA_HUMAN</t>
  </si>
  <si>
    <t>Zinc transporter ZIP10</t>
  </si>
  <si>
    <t>SLC39A10</t>
  </si>
  <si>
    <t>SP:1-25;NC:26-404;TM:405-430;CY:431-437;TM:438-460;NC:461-494;TM:495-515;CY:516-684;TM:685-707;NC:708-731;TM:732-752;CY:753-758;TM:759-780;NC:781-800;TM:801-821;CY:822-831</t>
  </si>
  <si>
    <t>ENSG00000196950</t>
  </si>
  <si>
    <t>ENSP00000352655;ENSP00000386766</t>
  </si>
  <si>
    <t>139;191;198;218;339;551;578;632;681;758</t>
  </si>
  <si>
    <t>SHNHLNSEN[115]QTVTSVSTK;SHNHLN[115]SEN[115]QTVTSVSTK;SHN[115]HLNSEN[115]QTVTSVSTK;LNSEN[115]QTVTSVSTK;SEN[115]QTVTSVSTK;LHHHLDHNN[115]THHFHN[115]DSITPSER;LHHHLDHN[115]NTHHFHN[115]DSITPSER;LHHHLDHN[115]N[115]THHFHNDSITPSER;LDHN[115]NTHHFHN[115]DSITPSER;LDHN[115]N[115]THHFHNDSITPSER;THHFHN[115]DSITPSER;GEPSNEPSTETN[115]K;GEPSNEPSTETN[115]KTQEQSDVK;DLNEDDHHHECLN[115]VTQLLK</t>
  </si>
  <si>
    <t>139;191;198;218;339</t>
  </si>
  <si>
    <t>Q9ULF5</t>
  </si>
  <si>
    <t>Alternative splicing;Complete proteome;Glycoprotein;Ion transport;Membrane;Phosphoprotein;Polymorphism;Reference proteome;Signal;Transmembrane;Transmembrane helix;Transport;Zinc;Zinc transport</t>
  </si>
  <si>
    <t>UniRef100_Q9ULF5;UniRef90_Q9ULF5;UniRef50_Q9ULF5</t>
  </si>
  <si>
    <t>LRFN2_HUMAN</t>
  </si>
  <si>
    <t>Leucine-rich repeat and fibronectin type-III domain-containing protein 2</t>
  </si>
  <si>
    <t>LRFN2</t>
  </si>
  <si>
    <t>SP:1-20;NC:21-532;TM:533-555;CY:556-789</t>
  </si>
  <si>
    <t>ENSG00000156564</t>
  </si>
  <si>
    <t>ENSP00000345985</t>
  </si>
  <si>
    <t>29;74;332;341;384;457</t>
  </si>
  <si>
    <t>Cell junction, synapse;Cell junction, synapse, postsynaptic cell membrane;Membrane (Single-pass type I membrane protein)</t>
  </si>
  <si>
    <t>Cell junction;Cell membrane;Complete proteome;Disulfide bond;Glycoprotein;Immunoglobulin domain;Leucine-rich repeat;Membrane;Polymorphism;Postsynaptic cell membrane;Reference proteome;Repeat;Signal;Synapse;Transmembrane;Transmembrane helix</t>
  </si>
  <si>
    <t>UniRef100_Q9ULH4;UniRef90_Q80TG9;UniRef50_Q80TG9</t>
  </si>
  <si>
    <t>HEG1_HUMAN</t>
  </si>
  <si>
    <t>Protein HEG homolog 1</t>
  </si>
  <si>
    <t>HEG1</t>
  </si>
  <si>
    <t>SP:1-29;NC:30-1246;TM:1247-1272;CY:1273-1381</t>
  </si>
  <si>
    <t>ENSG00000173706</t>
  </si>
  <si>
    <t>ENSP00000311502</t>
  </si>
  <si>
    <t>123;159;180;279;313;314;414;432;462;481;520;574;592;610;644;1004;1041;1080;1137;1227;1317</t>
  </si>
  <si>
    <t>123;159;180;279;313;314;414;432;462;481;520;574;592;610;644;1004;1041;1080;1137;1227;1317;1367</t>
  </si>
  <si>
    <t>125;135;137;147;154;176;177;189;194;197;198;200;205;212;213;214;215;232;254;255;256;275;281;296;297;303;304;305;306;309;316;321;324;349;354;367;368;369;370;371;388;418;426;427;428;437;443;464;465;466;470;473;475;492;508;511;512;513;514;515;516;522;534;548;549;559;560;572;576;577;578;584;585;586;591;594;599;612;613;622;623;635;639;646;657;660;661;662;663;664;665;666;667;668;669;670;671;672;680;682;689;690;694;695;698;705;706;709;710;714;715;717;722;725;726;727;728;732;734;737;741;742;756;757;761;762;764;765;768;773;783;791;797;800;803;806;810;811;818;820;823;824;827;832;833;839;841;844;845;850;855;856;861;862;863;865;868;876;882;894;911;912;919;929;934;938;941;947;949;953;956;972;973;974;976;978;979;981;982;983;985;1082</t>
  </si>
  <si>
    <t>LNN[115]STGLQSSSVSQTK;LN[115]N[115]STGLQSSSVSQTK;AVNPCLHNGECVADN[115]TSR;AVNPCLHN[115]GECVADN[115]TSR;LHNGECVADN[115]TSR;LHN[115]GECVADN[115]TSR;RTFLN[115]TTVEK;TFLN[115]TTVEK;SLASN[115]VTLFDLADR</t>
  </si>
  <si>
    <t>313;314;1004;1080;1137</t>
  </si>
  <si>
    <t>Q9ULI3</t>
  </si>
  <si>
    <t>Cell junction;Cell membrane (Single-pass type I membrane protein);Secreted</t>
  </si>
  <si>
    <t>3D-structure;Alternative splicing;Calcium;Cell junction;Cell membrane;Complete proteome;Developmental protein;Disulfide bond;EGF-like domain;Glycoprotein;Membrane;Polymorphism;Reference proteome;Repeat;Secreted;Signal;Transmembrane;Transmembrane helix</t>
  </si>
  <si>
    <t>UniRef100_Q9ULI3;UniRef90_Q9ULI3;UniRef50_Q9ULI3</t>
  </si>
  <si>
    <t>GRID1_HUMAN</t>
  </si>
  <si>
    <t>Glutamate receptor ionotropic, delta-1</t>
  </si>
  <si>
    <t>GRID1</t>
  </si>
  <si>
    <t>SP:1-20;NC:21-562;TM:563-583;CY:584-636;TM:637-658;NC:659-830;TM:831-854;CY:855-1009</t>
  </si>
  <si>
    <t>ENSG00000182771</t>
  </si>
  <si>
    <t>ENSP00000330148</t>
  </si>
  <si>
    <t>200;422;498</t>
  </si>
  <si>
    <t>GLN[115]GSLQER</t>
  </si>
  <si>
    <t>Q9ULK0</t>
  </si>
  <si>
    <t>UniRef100_Q9ULK0;UniRef90_Q9ULK0;UniRef50_Q9ULK0</t>
  </si>
  <si>
    <t>RN150_HUMAN</t>
  </si>
  <si>
    <t>RING finger protein 150</t>
  </si>
  <si>
    <t>RNF150</t>
  </si>
  <si>
    <t>SP:1-28;NC:29-208;TM:209-232;CY:233-438</t>
  </si>
  <si>
    <t>ENSG00000170153</t>
  </si>
  <si>
    <t>ENSP00000425840</t>
  </si>
  <si>
    <t>45;125;139;153;186;363</t>
  </si>
  <si>
    <t>Alternative splicing;Complete proteome;Glycoprotein;Membrane;Metal-binding;Reference proteome;Signal;Transmembrane;Transmembrane helix;Zinc;Zinc-finger</t>
  </si>
  <si>
    <t>UniRef100_Q9ULK6;UniRef90_Q9ULK6;UniRef50_Q9ULK6</t>
  </si>
  <si>
    <t>PLXB3_HUMAN</t>
  </si>
  <si>
    <t>Plexin-B3</t>
  </si>
  <si>
    <t>PLXNB3</t>
  </si>
  <si>
    <t>SP:1-43;NC:44-1254;TM:1255-1276;CY:1277-1909</t>
  </si>
  <si>
    <t>ENSG00000198753</t>
  </si>
  <si>
    <t>ENSP00000355378</t>
  </si>
  <si>
    <t>51;231;615;802;900;957;1101;1218;1502;1851</t>
  </si>
  <si>
    <t>FSAPN[115]TTLNHLALAPGR;IVCVTSPAPN[115]GTTGPVR</t>
  </si>
  <si>
    <t>51;900</t>
  </si>
  <si>
    <t>Q9ULL4</t>
  </si>
  <si>
    <t>Alternative splicing;Cell membrane;Complete proteome;Disulfide bond;Glycoprotein;Membrane;Neurogenesis;Polymorphism;Receptor;Reference proteome;Repeat;Signal;Transmembrane;Transmembrane helix</t>
  </si>
  <si>
    <t>UniRef100_Q9ULL4;UniRef90_Q9ULL4;UniRef50_Q9ULL4</t>
  </si>
  <si>
    <t>TPC1_HUMAN</t>
  </si>
  <si>
    <t>Two pore calcium channel protein 1</t>
  </si>
  <si>
    <t>TPCN1</t>
  </si>
  <si>
    <t>CY:1-112;TM:113-133;NC:134-134;TM:135-155;CY:156-177;TM:178-198;NC:199-200;TM:201-220;CY:221-234;TM:235-255;NC:256-262;IM:263-286;NC:287-294;TM:295-315;CY:316-444;TM:445-465;NC:466-479;TM:480-500;CY:501-503;TM:504-526;NC:527-534;TM:535-549;CY:550-573;TM:574-594;NC:595-629;IM:630-653;NC:654-670;TM:671-691;CY:692-816</t>
  </si>
  <si>
    <t>ENSG00000186815</t>
  </si>
  <si>
    <t>ENSP00000335300</t>
  </si>
  <si>
    <t>Channels;Voltage_gated_ion_channels;catSper-Two-P</t>
  </si>
  <si>
    <t>389;599;611;616;695</t>
  </si>
  <si>
    <t>257;389;599;611;616;695</t>
  </si>
  <si>
    <t>Alternative splicing;Calcium;Calcium channel;Calcium transport;Coiled coil;Complete proteome;Endosome;Glycoprotein;Ion channel;Ion transport;Lysosome;Membrane;Reference proteome;Repeat;Transmembrane;Transmembrane helix;Transport;Voltage-gated channel</t>
  </si>
  <si>
    <t>UniRef100_Q9ULQ1;UniRef90_Q9ULQ1;UniRef50_Q9ULQ1</t>
  </si>
  <si>
    <t>FZD4_HUMAN</t>
  </si>
  <si>
    <t>Frizzled-4</t>
  </si>
  <si>
    <t>FZD4</t>
  </si>
  <si>
    <t>SP:1-38;NC:39-220;TM:221-243;CY:244-254;TM:255-273;NC:274-303;TM:304-328;CY:329-348;TM:349-368;NC:369-387;TM:388-414;CY:415-434;TM:435-458;NC:459-477;TM:478-496;CY:497-537</t>
  </si>
  <si>
    <t>ENSG00000174804</t>
  </si>
  <si>
    <t>ENSP00000434034</t>
  </si>
  <si>
    <t>CD344</t>
  </si>
  <si>
    <t>59;144</t>
  </si>
  <si>
    <t>ISMCQNLGYN[115]VTK</t>
  </si>
  <si>
    <t>Q9ULV1</t>
  </si>
  <si>
    <t>Cell membrane;Complete proteome;Developmental protein;Disease mutation;Disulfide bond;G-protein coupled receptor;Glycoprotein;Membrane;Polymorphism;Receptor;Reference proteome;Signal;Transducer;Transmembrane;Transmembrane helix;Ubl conjugation;Wnt signaling pathway</t>
  </si>
  <si>
    <t>UniRef100_Q9ULV1;UniRef90_Q9ULV1;UniRef50_Q9ULV1</t>
  </si>
  <si>
    <t>FZD10_HUMAN</t>
  </si>
  <si>
    <t>Frizzled-10</t>
  </si>
  <si>
    <t>FZD10</t>
  </si>
  <si>
    <t>SP:1-19;NC:20-226;TM:227-251;CY:252-262;TM:263-283;NC:284-313;TM:314-336;CY:337-352;TM:353-373;NC:374-395;TM:396-420;CY:421-439;TM:440-464;NC:465-502;TM:503-523;CY:524-581</t>
  </si>
  <si>
    <t>ENSG00000111432</t>
  </si>
  <si>
    <t>ENSP00000229030</t>
  </si>
  <si>
    <t>CD350</t>
  </si>
  <si>
    <t>48;153;350;485</t>
  </si>
  <si>
    <t>UniRef100_Q9ULW2;UniRef90_Q9ULW2;UniRef50_Q9ULW2</t>
  </si>
  <si>
    <t>CAH14_HUMAN</t>
  </si>
  <si>
    <t>Carbonic anhydrase 14</t>
  </si>
  <si>
    <t>CA14</t>
  </si>
  <si>
    <t>SP:1-18;NC:19-290;TM:291-312;CY:313-337</t>
  </si>
  <si>
    <t>ENSG00000118298</t>
  </si>
  <si>
    <t>ENSP00000358107</t>
  </si>
  <si>
    <t>3D-structure;Complete proteome;Disulfide bond;Glycoprotein;Lyase;Membrane;Metal-binding;Phosphoprotein;Reference proteome;Signal;Transmembrane;Transmembrane helix;Zinc</t>
  </si>
  <si>
    <t>UniRef100_Q9ULX7;UniRef90_Q9ULX7;UniRef50_Q9ULX7</t>
  </si>
  <si>
    <t>DB00819;DB00909</t>
  </si>
  <si>
    <t>MMP17_HUMAN</t>
  </si>
  <si>
    <t>Matrix metalloproteinase-17</t>
  </si>
  <si>
    <t>MMP17</t>
  </si>
  <si>
    <t>SP:1-38;NC:39-603</t>
  </si>
  <si>
    <t>ENSG00000198598</t>
  </si>
  <si>
    <t>ENSP00000353767</t>
  </si>
  <si>
    <t>137;318</t>
  </si>
  <si>
    <t>Alternative splicing;Calcium;Cell membrane;Cleavage on pair of basic residues;Complete proteome;Disulfide bond;Extracellular matrix;Glycoprotein;GPI-anchor;Hydrolase;Lipoprotein;Membrane;Metal-binding;Metalloprotease;Protease;Reference proteome;Repeat;Secreted;Signal;Zinc;Zymogen</t>
  </si>
  <si>
    <t>UniRef100_Q9ULZ9;UniRef90_Q9ULZ9;UniRef50_Q9ULZ9</t>
  </si>
  <si>
    <t>HHLA2_HUMAN</t>
  </si>
  <si>
    <t>HERV-H LTR-associating protein 2</t>
  </si>
  <si>
    <t>HHLA2</t>
  </si>
  <si>
    <t>SP:1-22;NC:23-346;TM:347-367;CY:368-414</t>
  </si>
  <si>
    <t>ENSG00000114455</t>
  </si>
  <si>
    <t>ENSP00000350402;ENSP00000419207;ENSP00000417856;ENSP00000482187</t>
  </si>
  <si>
    <t>90;103;200;205;284;296;308;318</t>
  </si>
  <si>
    <t>YLSSSQNTIIN[115]ESR;YLSSSQN[115]TIIN[115]ESR;LSSSQNTIIN[115]ESR;SSQNTIIN[115]ESR;SQNTIIN[115]ESR</t>
  </si>
  <si>
    <t>Q9UM44</t>
  </si>
  <si>
    <t>UniRef100_Q9UM44;UniRef90_Q9UM44;UniRef50_Q9UM44</t>
  </si>
  <si>
    <t>NOTC3_HUMAN</t>
  </si>
  <si>
    <t>Neurogenic locus notch homolog protein 3</t>
  </si>
  <si>
    <t>NOTCH3</t>
  </si>
  <si>
    <t>SP:1-39;NC:40-1642;TM:1643-1665;CY:1666-2321</t>
  </si>
  <si>
    <t>ENSG00000074181</t>
  </si>
  <si>
    <t>ENSP00000263388</t>
  </si>
  <si>
    <t>1179;1336;1438;1894</t>
  </si>
  <si>
    <t>16;96;125;126;204;250;320;357;384;437;462;500;513;613;626;650;663;687;696;748;773;893;907;931;932;968;993;1098;1128;1136;1239;1248;1264;1320;1323;1330;1335;1338;1382;1420;1502;2240</t>
  </si>
  <si>
    <t>Activator;ANK repeat;Cell membrane;Complete proteome;Developmental protein;Differentiation;Disease mutation;Disulfide bond;EGF-like domain;Glycoprotein;Membrane;Notch signaling pathway;Nucleus;Phosphoprotein;Polymorphism;Receptor;Reference proteome;Repeat;Signal;Transcription;Transcription regulation;Transmembrane;Transmembrane helix</t>
  </si>
  <si>
    <t>UniRef100_Q9UM47;UniRef90_Q9UM47;UniRef50_Q9UM47</t>
  </si>
  <si>
    <t>ALK_HUMAN</t>
  </si>
  <si>
    <t>ALK tyrosine kinase receptor</t>
  </si>
  <si>
    <t>ALK</t>
  </si>
  <si>
    <t>SP:1-20;NC:21-1034;TM:1035-1059;CY:1060-1620</t>
  </si>
  <si>
    <t>ENSG00000171094</t>
  </si>
  <si>
    <t>ENSP00000373700</t>
  </si>
  <si>
    <t>CD246</t>
  </si>
  <si>
    <t>169;244;285;324;411;424;445;563;571;627;709;808;863;864;886;986;1115</t>
  </si>
  <si>
    <t>244;445;571;1115;1504</t>
  </si>
  <si>
    <t>77;226;231;866;1446;1447;1448;1449;1462;1501</t>
  </si>
  <si>
    <t>8;110;176;177;243;247;288;290;337;386;444;489;501;554;582;593;595;608;614;615;683;726;814;883;891;913;915;1295;1313;1320;1366;1503;1510</t>
  </si>
  <si>
    <t>3D-structure;ATP-binding;Cell membrane;Chromosomal rearrangement;Complete proteome;Disease mutation;Glycoprotein;Kinase;Membrane;Nucleotide-binding;Phosphoprotein;Polymorphism;Proto-oncogene;Receptor;Reference proteome;Repeat;Signal;Transferase;Transmembrane;Transmembrane helix;Tyrosine-protein kinase</t>
  </si>
  <si>
    <t>UniRef100_Q9UM73;UniRef90_Q9UM73;UniRef50_Q9UM73</t>
  </si>
  <si>
    <t>DB00171;DB08865</t>
  </si>
  <si>
    <t>ICAM5_HUMAN</t>
  </si>
  <si>
    <t>Intercellular adhesion molecule 5</t>
  </si>
  <si>
    <t>ICAM5</t>
  </si>
  <si>
    <t>SP:1-30;NC:31-834;TM:835-860;CY:861-924</t>
  </si>
  <si>
    <t>ENSG00000105376</t>
  </si>
  <si>
    <t>ENSP00000221980</t>
  </si>
  <si>
    <t>54;74;137;195;214;270;303;316;371;397;583;646;764;795;796</t>
  </si>
  <si>
    <t>74;137;303;316;371;583;646;764;796</t>
  </si>
  <si>
    <t>GGSLWLN[115]CSTNCPRPER;VELMPLPPWQPVGEN[115]FTLSCR;REDHGAN[115]FSCR;EDHGAN[115]FSCR;AELDLRPHGLGLFEN[115]SSAPR;GLGLFEN[115]SSAPR;QLVCN[115]VTLGGENR;FEEPSCPSN[115]WTWVEGSGR;VLAPGIYVCN[115]ATNR;PGGN[115]FTLTCR</t>
  </si>
  <si>
    <t>54;137;195;214;303;583;646;764</t>
  </si>
  <si>
    <t>Q9UMF0</t>
  </si>
  <si>
    <t>3D-structure;Cell adhesion;Complete proteome;Disulfide bond;Glycoprotein;Immunoglobulin domain;Membrane;Phosphoprotein;Polymorphism;Reference proteome;Repeat;Signal;Transmembrane;Transmembrane helix</t>
  </si>
  <si>
    <t>UniRef100_Q9UMF0;UniRef90_Q9UMF0;UniRef50_Q9UMF0</t>
  </si>
  <si>
    <t>S45A2_HUMAN</t>
  </si>
  <si>
    <t>Membrane-associated transporter protein</t>
  </si>
  <si>
    <t>SLC45A2</t>
  </si>
  <si>
    <t>CY:1-46;TM:47-65;NC:66-70;TM:71-90;CY:91-106;TM:107-132;NC:133-137;TM:138-159;CY:160-179;TM:180-203;NC:204-216;TM:217-237;CY:238-316;TM:317-338;NC:339-366;TM:367-387;CY:388-398;TM:399-418;NC:419-423;TM:424-446;CY:447-476;TM:477-498;NC:499-503;TM:504-526;CY:527-530</t>
  </si>
  <si>
    <t>ENSG00000164175</t>
  </si>
  <si>
    <t>ENSP00000296589</t>
  </si>
  <si>
    <t>GDPYSAHN[115]STEFLIYER;SAHN[115]STEFLIYER</t>
  </si>
  <si>
    <t>Q9UMX9</t>
  </si>
  <si>
    <t>Melanosome membrane (Multi-pass membrane protein)</t>
  </si>
  <si>
    <t>Albinism;Alternative splicing;Complete proteome;Disease mutation;Glycoprotein;Melanin biosynthesis;Membrane;Polymorphism;Reference proteome;Sensory transduction;Transmembrane;Transmembrane helix;Vision</t>
  </si>
  <si>
    <t>UniRef100_Q9UMX9;UniRef90_Q9UMX9;UniRef50_Q9UMX9</t>
  </si>
  <si>
    <t>PTPRQ_HUMAN</t>
  </si>
  <si>
    <t>Phosphatidylinositol phosphatase PTPRQ</t>
  </si>
  <si>
    <t>PTPRQ</t>
  </si>
  <si>
    <t>SP:1-37;NC:38-1947;TM:1948-1970;CY:1971-2332</t>
  </si>
  <si>
    <t>ENSG00000139304</t>
  </si>
  <si>
    <t>ENSP00000266688</t>
  </si>
  <si>
    <t>18;94;202;209;358;394;405;429;621;755;773;807;812;851;936;944;1001;1030;1038;1050;1080;1101;1113;1203;1236;1290;1295;1334;1422;1441;1566;1626;1636;1660;1689;1736;1761;1844;2092;2195;2306</t>
  </si>
  <si>
    <t>LLAN[115]TSYVFK;SVDNDEFN[115]ISFIK;TGN[115]ISAAYVEGK</t>
  </si>
  <si>
    <t>1441;1626;1660</t>
  </si>
  <si>
    <t>Q9UMZ3</t>
  </si>
  <si>
    <t>3D-structure;Complete proteome;Deafness;Disease mutation;Glycoprotein;Hydrolase;Membrane;Non-syndromic deafness;Polymorphism;Protein phosphatase;Receptor;Reference proteome;Repeat;Signal;Transmembrane;Transmembrane helix</t>
  </si>
  <si>
    <t>UniRef100_Q9UMZ3;UniRef90_Q9UMZ3;UniRef50_Q9UMZ3</t>
  </si>
  <si>
    <t>AT1B4_HUMAN</t>
  </si>
  <si>
    <t>Protein ATP1B4</t>
  </si>
  <si>
    <t>ATP1B4</t>
  </si>
  <si>
    <t>CY:1-108;TM:109-135;NC:136-357</t>
  </si>
  <si>
    <t>ENSG00000101892</t>
  </si>
  <si>
    <t>ENSP00000218008</t>
  </si>
  <si>
    <t>168;190;229;306</t>
  </si>
  <si>
    <t>Nucleus inner membrane (Single-pass type II membrane protein)</t>
  </si>
  <si>
    <t>Alternative splicing;Complete proteome;Membrane;Nucleus;Polymorphism;Reference proteome;Signal-anchor;Transcription;Transcription regulation;Transmembrane;Transmembrane helix</t>
  </si>
  <si>
    <t>UniRef100_Q9UN42;UniRef90_Q9UN42;UniRef50_Q9UN42</t>
  </si>
  <si>
    <t>PCDB8_HUMAN</t>
  </si>
  <si>
    <t>Protocadherin beta-8</t>
  </si>
  <si>
    <t>PCDHB8</t>
  </si>
  <si>
    <t>SP:1-28;NC:29-688;TM:689-715;CY:716-801</t>
  </si>
  <si>
    <t>ENSG00000120322</t>
  </si>
  <si>
    <t>ENSP00000239444</t>
  </si>
  <si>
    <t>419;437;464;568</t>
  </si>
  <si>
    <t>UniRef100_Q9UN66;UniRef90_Q9UN66;UniRef50_Q9Y5F2</t>
  </si>
  <si>
    <t>PCDBA_HUMAN</t>
  </si>
  <si>
    <t>Protocadherin beta-10</t>
  </si>
  <si>
    <t>PCDHB10</t>
  </si>
  <si>
    <t>SP:1-31;NC:32-689;TM:690-713;CY:714-800</t>
  </si>
  <si>
    <t>ENSG00000120324</t>
  </si>
  <si>
    <t>ENSP00000239446</t>
  </si>
  <si>
    <t>169;181;418;436;463;567;788</t>
  </si>
  <si>
    <t>Calcium;Cell adhesion;Cell membrane;Complete proteome;Direct protein sequencing;Glycoprotein;Membrane;Reference proteome;Repeat;Signal;Transmembrane;Transmembrane helix</t>
  </si>
  <si>
    <t>UniRef100_Q9UN67;UniRef90_Q9Y5E1;UniRef50_Q9Y5E3</t>
  </si>
  <si>
    <t>PCDGK_HUMAN</t>
  </si>
  <si>
    <t>Protocadherin gamma-C3</t>
  </si>
  <si>
    <t>PCDHGC3</t>
  </si>
  <si>
    <t>SP:1-31;NC:32-691;TM:692-718;CY:719-934</t>
  </si>
  <si>
    <t>ENSG00000240184</t>
  </si>
  <si>
    <t>ENSP00000312070</t>
  </si>
  <si>
    <t>245;424;478;550;615;689;903</t>
  </si>
  <si>
    <t>VLDANDNAPVFN[115]QSLY;VLDANDNAPVFN[115]QSLYR;VLDANDN[115]APVFN[115]QSLYR;VLDAN[115]DNAPVFN[115]QSLYR;TSADLDRETVPEYN[115]LSITAR;ETVPEYN[115]LSITAR</t>
  </si>
  <si>
    <t>245;424</t>
  </si>
  <si>
    <t>Q9UN70</t>
  </si>
  <si>
    <t>UniRef100_Q9UN70;UniRef90_Q9UN70;UniRef50_Q9UN70</t>
  </si>
  <si>
    <t>PCDGG_HUMAN</t>
  </si>
  <si>
    <t>Protocadherin gamma-B4</t>
  </si>
  <si>
    <t>PCDHGB4</t>
  </si>
  <si>
    <t>SP:1-30;NC:31-686;TM:687-711;CY:712-923</t>
  </si>
  <si>
    <t>ENSG00000253953</t>
  </si>
  <si>
    <t>ENSP00000428288</t>
  </si>
  <si>
    <t>417;543;740;791;892</t>
  </si>
  <si>
    <t>EQNPEYN[115]ITVTATDR</t>
  </si>
  <si>
    <t>Q9UN71</t>
  </si>
  <si>
    <t>UniRef100_Q9UN71;UniRef90_Q9UN71;UniRef50_Q9UN71</t>
  </si>
  <si>
    <t>PCDA7_HUMAN</t>
  </si>
  <si>
    <t>Protocadherin alpha-7</t>
  </si>
  <si>
    <t>PCDHA7</t>
  </si>
  <si>
    <t>SP:1-29;NC:30-697;TM:698-719;CY:720-937</t>
  </si>
  <si>
    <t>ENSG00000204963</t>
  </si>
  <si>
    <t>ENSP00000436426</t>
  </si>
  <si>
    <t>254;265;548;919;929</t>
  </si>
  <si>
    <t>548;919;929</t>
  </si>
  <si>
    <t>UniRef100_Q9UN72;UniRef90_Q9UN72;UniRef50_Q9Y5H9</t>
  </si>
  <si>
    <t>PCDA6_HUMAN</t>
  </si>
  <si>
    <t>Protocadherin alpha-6</t>
  </si>
  <si>
    <t>PCDHA6</t>
  </si>
  <si>
    <t>SP:1-28;NC:29-697;TM:698-719;CY:720-950</t>
  </si>
  <si>
    <t>ENSG00000081842</t>
  </si>
  <si>
    <t>ENSP00000433378</t>
  </si>
  <si>
    <t>257;265;386;548;932;942</t>
  </si>
  <si>
    <t>IFENADN[115]GTTVIR</t>
  </si>
  <si>
    <t>Q9UN73</t>
  </si>
  <si>
    <t>Alternative splicing;Calcium;Cell adhesion;Cell membrane;Complete proteome;Glycoprotein;Membrane;Polymorphism;Reference proteome;Repeat;Secreted;Signal;Transmembrane;Transmembrane helix</t>
  </si>
  <si>
    <t>UniRef100_Q9UN73;UniRef90_Q9UN73;UniRef50_Q9Y5H9</t>
  </si>
  <si>
    <t>PCDA4_HUMAN</t>
  </si>
  <si>
    <t>Protocadherin alpha-4</t>
  </si>
  <si>
    <t>PCDHA4</t>
  </si>
  <si>
    <t>SP:1-29;NC:30-697;TM:698-719;CY:720-947</t>
  </si>
  <si>
    <t>ENSG00000204967</t>
  </si>
  <si>
    <t>ENSP00000435300</t>
  </si>
  <si>
    <t>139;257;265;548;929;939</t>
  </si>
  <si>
    <t>257;548;929;939</t>
  </si>
  <si>
    <t>UniRef100_Q9UN74;UniRef90_Q9UN74;UniRef50_Q9Y5H9</t>
  </si>
  <si>
    <t>PCDAC_HUMAN</t>
  </si>
  <si>
    <t>Protocadherin alpha-12</t>
  </si>
  <si>
    <t>PCDHA12</t>
  </si>
  <si>
    <t>SP:1-28;NC:29-697;TM:698-721;CY:722-941</t>
  </si>
  <si>
    <t>ENSG00000251664</t>
  </si>
  <si>
    <t>ENSP00000381628</t>
  </si>
  <si>
    <t>257;265;548;923;933</t>
  </si>
  <si>
    <t>UniRef100_Q9UN75;UniRef90_Q9UN75;UniRef50_Q9Y5H9</t>
  </si>
  <si>
    <t>S6A14_HUMAN</t>
  </si>
  <si>
    <t>Sodium- and chloride-dependent neutral and basic amino acid transporter B(0+)</t>
  </si>
  <si>
    <t>SLC6A14</t>
  </si>
  <si>
    <t>CY:1-44;TM:45-63;NC:64-72;TM:73-92;CY:93-112;TM:113-134;NC:135-234;TM:235-255;CY:256-263;TM:264-284;NC:285-317;TM:318-336;CY:337-347;TM:348-370;NC:371-403;TM:404-421;CY:422-449;TM:450-474;NC:475-481;TM:482-502;CY:503-522;TM:523-544;NC:545-562;TM:563-586;CY:587-642</t>
  </si>
  <si>
    <t>ENSG00000268104</t>
  </si>
  <si>
    <t>ENSP00000470801</t>
  </si>
  <si>
    <t>38;155;163;174;189;197;202;230;302</t>
  </si>
  <si>
    <t>519;522</t>
  </si>
  <si>
    <t>GIQEIIQMN[115]K;IGAQSN[115]FTK</t>
  </si>
  <si>
    <t>189;302</t>
  </si>
  <si>
    <t>Q9UN76</t>
  </si>
  <si>
    <t>Amino-acid transport;Complete proteome;Glycoprotein;Membrane;Obesity;Reference proteome;Symport;Transmembrane;Transmembrane helix;Transport</t>
  </si>
  <si>
    <t>UniRef100_Q9UN76;UniRef90_Q9UN76;UniRef50_Q9UN76</t>
  </si>
  <si>
    <t>GBRT_HUMAN</t>
  </si>
  <si>
    <t>Gamma-aminobutyric acid receptor subunit theta</t>
  </si>
  <si>
    <t>GABRQ</t>
  </si>
  <si>
    <t>SP:1-23;NC:24-271;TM:272-290;CY:291-327;TM:328-349;NC:350-609;TM:610-629;CY:630-632</t>
  </si>
  <si>
    <t>ENSG00000268089</t>
  </si>
  <si>
    <t>ENSP00000469332</t>
  </si>
  <si>
    <t>127;321;501;555</t>
  </si>
  <si>
    <t>127;555</t>
  </si>
  <si>
    <t>UniRef100_Q9UN88;UniRef90_Q9UN88;UniRef50_Q9UN88</t>
  </si>
  <si>
    <t>DB00231;DB00683;DB00690;DB00829;DB00842;DB00897;DB01558;DB01595;DB00186;DB00189;DB00228;DB00231;DB00237;DB00241;DB00273;DB00292;DB00306;DB00312;DB00334;DB00349;DB00371;DB00402;DB00404;DB00475;DB00543;DB00628;DB00659;DB00753;DB00794;DB00801;DB00818;DB00829;DB00842;DB00897;DB01028;DB01049;DB01068;DB01107;DB01159;DB01189;DB01205;DB01215;DB01236;DB01437;DB01588;DB01589</t>
  </si>
  <si>
    <t>EDAR_HUMAN</t>
  </si>
  <si>
    <t>Tumor necrosis factor receptor superfamily member EDAR</t>
  </si>
  <si>
    <t>EDAR</t>
  </si>
  <si>
    <t>SP:1-26;NC:27-184;TM:185-210;CY:211-448</t>
  </si>
  <si>
    <t>ENSG00000135960</t>
  </si>
  <si>
    <t>ENSP00000258443</t>
  </si>
  <si>
    <t>38;317</t>
  </si>
  <si>
    <t>Alternative splicing;Apoptosis;Complete proteome;Developmental protein;Differentiation;Direct protein sequencing;Disease mutation;Disulfide bond;Ectodermal dysplasia;Glycoprotein;Membrane;Polymorphism;Receptor;Reference proteome;Repeat;Signal;Transmembrane;Transmembrane helix</t>
  </si>
  <si>
    <t>UniRef100_Q9UNE0;UniRef90_Q9UNE0;UniRef50_Q9UNE0</t>
  </si>
  <si>
    <t>TNF18_HUMAN</t>
  </si>
  <si>
    <t>Tumor necrosis factor ligand superfamily member 18</t>
  </si>
  <si>
    <t>TNFSF18</t>
  </si>
  <si>
    <t>CY:1-47;TM:48-71;NC:72-199</t>
  </si>
  <si>
    <t>ENSG00000120337</t>
  </si>
  <si>
    <t>ENSP00000385470</t>
  </si>
  <si>
    <t>151;183</t>
  </si>
  <si>
    <t>95;96</t>
  </si>
  <si>
    <t>NKDMIQTLTN[115]K;DMIQTLTN[115]K</t>
  </si>
  <si>
    <t>Q9UNG2</t>
  </si>
  <si>
    <t>3D-structure;Adaptive immunity;Cell membrane;Complete proteome;Cytokine;Disulfide bond;Glycoprotein;Immunity;Membrane;Reference proteome;Signal-anchor;Transmembrane;Transmembrane helix</t>
  </si>
  <si>
    <t>UniRef100_Q9UNG2;UniRef90_Q9UNG2;UniRef50_Q9UNG2</t>
  </si>
  <si>
    <t>EPCR_HUMAN</t>
  </si>
  <si>
    <t>Endothelial protein C receptor</t>
  </si>
  <si>
    <t>PROCR</t>
  </si>
  <si>
    <t>SP:1-17;NC:18-209;TM:210-232;CY:233-238</t>
  </si>
  <si>
    <t>ENSG00000101000</t>
  </si>
  <si>
    <t>ENSP00000216968</t>
  </si>
  <si>
    <t>CD201</t>
  </si>
  <si>
    <t>47;64;136;172</t>
  </si>
  <si>
    <t>64;172</t>
  </si>
  <si>
    <t>DPYHVWYQGN[115]ASLGGH;DPYHVWYQGN[115]ASLGGHLTH;LTHVLEGPDTN[115]TTIIQLQPLQEPESWAR;VLEGPDTN[115]TTIIQLQPLQEPESWAR;ALWQADTQVTSGVVTFTLQQLNAYN[115]R;TLQQLNAYN[115]R;TLQQLN[115]AYN[115]R;LQQLNAYN[115]R</t>
  </si>
  <si>
    <t>47;64;172</t>
  </si>
  <si>
    <t>Q9UNN8</t>
  </si>
  <si>
    <t>3D-structure;Blood coagulation;Complete proteome;Disulfide bond;Glycoprotein;Hemostasis;Membrane;Polymorphism;Receptor;Reference proteome;Signal;Transmembrane;Transmembrane helix</t>
  </si>
  <si>
    <t>UniRef100_Q9UNN8;UniRef90_Q9UNN8;UniRef50_Q9UNN8</t>
  </si>
  <si>
    <t>DB00055</t>
  </si>
  <si>
    <t>ABCG2_HUMAN</t>
  </si>
  <si>
    <t>ATP-binding cassette sub-family G member 2</t>
  </si>
  <si>
    <t>ABCG2</t>
  </si>
  <si>
    <t>CY:1-394;TM:395-416;NC:417-427;TM:428-450;CY:451-479;TM:480-499;NC:500-504;TM:505-527;CY:528-535;TM:536-558;NC:559-629;TM:630-650;CY:651-655</t>
  </si>
  <si>
    <t>ENSG00000118777</t>
  </si>
  <si>
    <t>ENSP00000237612</t>
  </si>
  <si>
    <t>CD338</t>
  </si>
  <si>
    <t>338;418;557;596</t>
  </si>
  <si>
    <t>564;624</t>
  </si>
  <si>
    <t>Cell membrane (Multi-pass membrane protein);Mitochondrion membrane (Multi-pass membrane protein)</t>
  </si>
  <si>
    <t>Alternative splicing;ATP-binding;Cell membrane;Complete proteome;Disulfide bond;Glycoprotein;Membrane;Mitochondrion;Nucleotide-binding;Polymorphism;Reference proteome;Transmembrane;Transmembrane helix;Transport</t>
  </si>
  <si>
    <t>UniRef100_Q9UNQ0;UniRef90_Q9UNQ0;UniRef50_Q9UNQ0</t>
  </si>
  <si>
    <t>GP132_HUMAN</t>
  </si>
  <si>
    <t>Probable G-protein coupled receptor 132</t>
  </si>
  <si>
    <t>GPR132</t>
  </si>
  <si>
    <t>NC:1-43;TM:44-68;CY:69-76;TM:77-100;NC:101-117;TM:118-138;CY:139-158;TM:159-178;NC:179-197;TM:198-222;CY:223-243;TM:244-268;NC:269-286;TM:287-311;CY:312-380</t>
  </si>
  <si>
    <t>ENSG00000183484</t>
  </si>
  <si>
    <t>ENSP00000328818;ENSP00000438094</t>
  </si>
  <si>
    <t>13;35</t>
  </si>
  <si>
    <t>TCNN[115]VSFEESR</t>
  </si>
  <si>
    <t>Q9UNW8</t>
  </si>
  <si>
    <t>Alternative splicing;Cell membrane;Complete proteome;Disulfide bond;G-protein coupled receptor;Glycoprotein;Membrane;Receptor;Reference proteome;Stress response;Transducer;Transmembrane;Transmembrane helix</t>
  </si>
  <si>
    <t>UniRef100_Q9UNW8;UniRef90_Q9UNW8;UniRef50_Q9UNW8</t>
  </si>
  <si>
    <t>FZD1_HUMAN</t>
  </si>
  <si>
    <t>Frizzled-1</t>
  </si>
  <si>
    <t>FZD1</t>
  </si>
  <si>
    <t>SP:1-27;NC:28-321;TM:322-343;CY:344-354;TM:355-375;NC:376-404;TM:405-428;CY:429-448;TM:449-466;NC:467-489;TM:490-514;CY:515-534;TM:535-558;NC:559-601;TM:602-622;CY:623-647</t>
  </si>
  <si>
    <t>ENSG00000157240</t>
  </si>
  <si>
    <t>ENSP00000287934</t>
  </si>
  <si>
    <t>130;231</t>
  </si>
  <si>
    <t>109;233;239;241;249;269</t>
  </si>
  <si>
    <t>UniRef100_Q9UP38;UniRef90_Q9UP38;UniRef50_Q9UP38</t>
  </si>
  <si>
    <t>S12A4_HUMAN</t>
  </si>
  <si>
    <t>Solute carrier family 12 member 4</t>
  </si>
  <si>
    <t>SLC12A4</t>
  </si>
  <si>
    <t>CY:1-118;TM:119-141;NC:142-148;TM:149-169;CY:170-212;TM:213-236;NC:237-251;TM:252-270;CY:271-276;TM:277-298;NC:299-355;TM:356-376;CY:377-408;TM:409-431;NC:432-450;TM:451-474;CY:475-493;TM:494-515;NC:516-566;TM:567-592;CY:593-624;TM:625-649;NC:650-847;TM:848-865;CY:866-1085</t>
  </si>
  <si>
    <t>ENSG00000124067</t>
  </si>
  <si>
    <t>ENSP00000318557</t>
  </si>
  <si>
    <t>91;245;312;331;347;361;439</t>
  </si>
  <si>
    <t>91;245;312;331;347;361</t>
  </si>
  <si>
    <t>Alternative splicing;Complete proteome;Glycoprotein;Ion transport;Membrane;Phosphoprotein;Potassium;Potassium transport;Reference proteome;Symport;Transmembrane;Transmembrane helix;Transport</t>
  </si>
  <si>
    <t>UniRef100_Q9UP95;UniRef90_Q9UP95;UniRef50_Q9UHW9</t>
  </si>
  <si>
    <t>GPR34_HUMAN</t>
  </si>
  <si>
    <t>Probable G-protein coupled receptor 34</t>
  </si>
  <si>
    <t>GPR34</t>
  </si>
  <si>
    <t>NC:1-59;TM:60-80;CY:81-91;TM:92-113;NC:114-131;TM:132-150;CY:151-170;TM:171-193;NC:194-216;TM:217-241;CY:242-268;TM:269-291;NC:292-310;TM:311-330;CY:331-381</t>
  </si>
  <si>
    <t>ENSG00000171659</t>
  </si>
  <si>
    <t>ENSP00000367378;ENSP00000367384</t>
  </si>
  <si>
    <t>28;36;42;157;200;295</t>
  </si>
  <si>
    <t>42;200</t>
  </si>
  <si>
    <t>UniRef100_Q9UPC5;UniRef90_Q9UPC5;UniRef50_Q9UPC5</t>
  </si>
  <si>
    <t>FLVC2_HUMAN</t>
  </si>
  <si>
    <t>Feline leukemia virus subgroup C receptor-related protein 2</t>
  </si>
  <si>
    <t>FLVCR2</t>
  </si>
  <si>
    <t>CY:1-84;TM:85-105;NC:106-124;TM:125-145;CY:146-151;TM:152-169;NC:170-174;TM:175-196;CY:197-210;TM:211-232;NC:233-249;TM:250-272;CY:273-307;TM:308-327;NC:328-346;TM:347-367;CY:368-378;TM:379-395;NC:396-400;TM:401-421;CY:422-439;TM:440-458;NC:459-468;TM:469-488;CY:489-526</t>
  </si>
  <si>
    <t>ENSG00000119686</t>
  </si>
  <si>
    <t>ENSP00000238667</t>
  </si>
  <si>
    <t>443;513</t>
  </si>
  <si>
    <t>28;34;40</t>
  </si>
  <si>
    <t>Alternative splicing;Cell membrane;Complete proteome;Disease mutation;Membrane;Polymorphism;Reference proteome;Repeat;Transmembrane;Transmembrane helix;Transport</t>
  </si>
  <si>
    <t>UniRef100_Q9UPI3;UniRef90_Q9UPI3;UniRef50_Q9UPI3</t>
  </si>
  <si>
    <t>NAC2_HUMAN</t>
  </si>
  <si>
    <t>Sodium/calcium exchanger 2</t>
  </si>
  <si>
    <t>SLC8A2</t>
  </si>
  <si>
    <t>SP:1-20;NC:21-71;TM:72-91;CY:92-130;TM:131-148;NC:149-162;TM:163-185;CY:186-196;TM:197-219;NC:220-224;TM:225-245;CY:246-721;TM:722-741;NC:742-746;TM:747-766;CY:767-776;TM:777-795;NC:796-822;TM:823-843;CY:844-854;TM:855-874;NC:875-893;TM:894-912;CY:913-921</t>
  </si>
  <si>
    <t>ENSG00000118160</t>
  </si>
  <si>
    <t>ENSP00000236877</t>
  </si>
  <si>
    <t>34;125;130;424;817</t>
  </si>
  <si>
    <t>25;27;39;40</t>
  </si>
  <si>
    <t>Antiport;Calcium;Calcium transport;Calmodulin-binding;Complete proteome;Glycoprotein;Ion transport;Membrane;Polymorphism;Reference proteome;Repeat;Signal;Sodium;Sodium transport;Transmembrane;Transmembrane helix;Transport</t>
  </si>
  <si>
    <t>UniRef100_Q9UPR5;UniRef90_P48768;UniRef50_P48768</t>
  </si>
  <si>
    <t>SORC3_HUMAN</t>
  </si>
  <si>
    <t>VPS10 domain-containing receptor SorCS3</t>
  </si>
  <si>
    <t>SORCS3</t>
  </si>
  <si>
    <t>SP:1-33;NC:34-1124;TM:1125-1144;CY:1145-1222</t>
  </si>
  <si>
    <t>ENSG00000156395</t>
  </si>
  <si>
    <t>ENSP00000358713;ENSP00000358715</t>
  </si>
  <si>
    <t>207;456;789;800;840;871;932;953;1065;1218</t>
  </si>
  <si>
    <t>Complete proteome;Glycoprotein;Membrane;Reference proteome;Repeat;Signal;Transmembrane;Transmembrane helix</t>
  </si>
  <si>
    <t>UniRef100_Q9UPU3;UniRef90_Q8VI51;UniRef50_Q8VI51</t>
  </si>
  <si>
    <t>TUTLB_HUMAN</t>
  </si>
  <si>
    <t>Protein turtle homolog B</t>
  </si>
  <si>
    <t>IGSF9B</t>
  </si>
  <si>
    <t>SP:1-19;NC:20-722;TM:723-748;CY:749-1349</t>
  </si>
  <si>
    <t>ENSG00000080854</t>
  </si>
  <si>
    <t>ENSP00000317980</t>
  </si>
  <si>
    <t>127;237;241;258;526;624;639;1019;1022</t>
  </si>
  <si>
    <t>Alternative splicing;Cell membrane;Complete proteome;Disulfide bond;Glycoprotein;Immunoglobulin domain;Membrane;Reference proteome;Repeat;Signal;Transmembrane;Transmembrane helix</t>
  </si>
  <si>
    <t>UniRef100_Q9UPX0;UniRef90_Q9UPX0;UniRef50_Q9UPX0</t>
  </si>
  <si>
    <t>THS7A_HUMAN</t>
  </si>
  <si>
    <t>Thrombospondin type-1 domain-containing protein 7A</t>
  </si>
  <si>
    <t>THSD7A</t>
  </si>
  <si>
    <t>SP:1-49;NC:50-1606;TM:1607-1630;CY:1631-1657</t>
  </si>
  <si>
    <t>ENSG00000005108</t>
  </si>
  <si>
    <t>ENSP00000406482</t>
  </si>
  <si>
    <t>234;332;450;500;679;717;968;1043;1182;1225;1276;1366;1500;1547</t>
  </si>
  <si>
    <t>8;61;66;85;92;117;124;129;203;260;317;366;369;427;432;518;521;576;640;643;699;704;722;780;835;840;848;912;969;1041;1044;1061;1099;1104;1171;1174;1229;1273;1292;1295;1343;1348;1420;1423;1479;1484;1492;1593;1607</t>
  </si>
  <si>
    <t>GN[115]QTALCGGGIQTR</t>
  </si>
  <si>
    <t>Q9UPZ6</t>
  </si>
  <si>
    <t>Angiogenesis;Cell membrane;Coiled coil;Complete proteome;Differentiation;Disulfide bond;Glycoprotein;Membrane;Polymorphism;Reference proteome;Repeat;Secreted;Signal;Transmembrane;Transmembrane helix</t>
  </si>
  <si>
    <t>UniRef100_Q9UPZ6;UniRef90_Q9UPZ6;UniRef50_Q9UPZ6</t>
  </si>
  <si>
    <t>CNTN6_HUMAN</t>
  </si>
  <si>
    <t>Contactin-6</t>
  </si>
  <si>
    <t>CNTN6</t>
  </si>
  <si>
    <t>SP:1-18;NC:19-1028</t>
  </si>
  <si>
    <t>ENSG00000134115</t>
  </si>
  <si>
    <t>ENSP00000341882;ENSP00000407822</t>
  </si>
  <si>
    <t>15;65;193;368;377;468;624;659;765;860;865;895;931;956;957</t>
  </si>
  <si>
    <t>Cell adhesion;Cell membrane;Complete proteome;Disulfide bond;Glycoprotein;GPI-anchor;Immunoglobulin domain;Lipoprotein;Membrane;Notch signaling pathway;Phosphoprotein;Polymorphism;Reference proteome;Repeat;Signal</t>
  </si>
  <si>
    <t>UniRef100_Q9UQ52;UniRef90_Q9UQ52;UniRef50_Q9UQ52</t>
  </si>
  <si>
    <t>CLCA2_HUMAN</t>
  </si>
  <si>
    <t>Calcium-activated chloride channel regulator 2</t>
  </si>
  <si>
    <t>CLCA2</t>
  </si>
  <si>
    <t>SP:1-30;NC:31-900;TM:901-923;CY:924-943</t>
  </si>
  <si>
    <t>ENSG00000137975</t>
  </si>
  <si>
    <t>ENSP00000359596</t>
  </si>
  <si>
    <t>74;97;150;231;235;254;292;522;556;580;637;692;822;938</t>
  </si>
  <si>
    <t>FLLNDN[115]LTAGYGSR;YYTNNFITN[115]LTFR;SLQNIQDDFNNAILVN[115]TSK</t>
  </si>
  <si>
    <t>150;556;822</t>
  </si>
  <si>
    <t>Q9UQC9</t>
  </si>
  <si>
    <t>Basal cell membrane (Single-pass type I membrane protein);Cell junction;Cell membrane (Single-pass type I membrane protein);Secreted</t>
  </si>
  <si>
    <t>Autocatalytic cleavage;Calcium;Cell adhesion;Cell junction;Cell membrane;Chloride;Complete proteome;Glycoprotein;Hydrolase;Ion transport;Membrane;Metal-binding;Metalloprotease;Polymorphism;Protease;Reference proteome;Secreted;Signal;Transmembrane;Transmembrane helix;Transport;Zinc</t>
  </si>
  <si>
    <t>UniRef100_Q9UQC9;UniRef90_Q9UQC9;UniRef50_Q9UQC9</t>
  </si>
  <si>
    <t>SCN8A_HUMAN</t>
  </si>
  <si>
    <t>Sodium channel protein type 8 subunit alpha</t>
  </si>
  <si>
    <t>SCN8A</t>
  </si>
  <si>
    <t>CY:1-127;TM:128-151;NC:152-162;TM:163-183;CY:184-193;TM:194-212;NC:213-223;TM:224-242;CY:243-253;TM:254-274;NC:275-386;TM:387-412;CY:413-747;TM:748-772;NC:773-783;TM:784-805;CY:806-816;TM:817-835;NC:836-846;TM:847-865;CY:866-873;TM:874-895;NC:896-948;TM:949-976;CY:977-1197;TM:1198-1218;NC:1219-1237;TM:1238-1257;CY:1258-1263;TM:1264-1284;NC:1285-1289;TM:1290-1307;CY:1308-1327;TM:1328-1350;NC:1351-1438;TM:1439-1464;CY:1465-1521;TM:1522-1541;NC:1542-1552;TM:1553-1571;CY:1572-1582;TM:1583-1603;NC:1604-1613;TM:1614-1631;CY:1632-1650;TM:1651-1675;NC:1676-1741;TM:1742-1764;CY:1765-1980</t>
  </si>
  <si>
    <t>215;289;295;308;326;544;640;877;1047;1064;1091;1358;1372;1383;1768</t>
  </si>
  <si>
    <t>Membrane (Multi-pass membrane protein);Cytoplasmic vesicle</t>
  </si>
  <si>
    <t>Alternative splicing;ATP-binding;Complete proteome;Cytoplasmic vesicle;Disease mutation;Epilepsy;Glycoprotein;Ion channel;Ion transport;Membrane;Mental retardation;Nucleotide-binding;Phosphoprotein;Reference proteome;Repeat;Sodium;Sodium channel;Sodium transport;Transmembrane;Transmembrane helix;Transport;Ubl conjugation;Voltage-gated channel</t>
  </si>
  <si>
    <t>UniRef100_Q9UQD0;UniRef90_Q9WTU3;UniRef50_P35498</t>
  </si>
  <si>
    <t>DB00313</t>
  </si>
  <si>
    <t>SYCY1_HUMAN</t>
  </si>
  <si>
    <t>Syncytin-1</t>
  </si>
  <si>
    <t>ERVW-1</t>
  </si>
  <si>
    <t>SP:1-20;NC:21-446;TM:447-469;CY:470-538</t>
  </si>
  <si>
    <t>ENSG00000242950</t>
  </si>
  <si>
    <t>ENSP00000419945;ENSP00000474984</t>
  </si>
  <si>
    <t>169;208;214;234;242;281;409</t>
  </si>
  <si>
    <t>Cell membrane (Peripheral membrane protein);Virion;Cell membrane (Single-pass type I membrane protein)</t>
  </si>
  <si>
    <t>UniRef100_Q9UQF0;UniRef90_Q9UQF0;UniRef50_Q9UQF0</t>
  </si>
  <si>
    <t>NALDL_HUMAN</t>
  </si>
  <si>
    <t>N-acetylated-alpha-linked acidic dipeptidase-like protein</t>
  </si>
  <si>
    <t>NAALADL1</t>
  </si>
  <si>
    <t>CY:1-6;TM:7-28;NC:29-740</t>
  </si>
  <si>
    <t>ENSG00000168060</t>
  </si>
  <si>
    <t>ENSP00000351484</t>
  </si>
  <si>
    <t>136;274;299;334;345;451;492</t>
  </si>
  <si>
    <t>Apical cell membrane (Single-pass type II membrane protein)</t>
  </si>
  <si>
    <t>Alternative splicing;Carboxypeptidase;Cell membrane;Complete proteome;Dipeptidase;Glycoprotein;Hydrolase;Membrane;Metal-binding;Metalloprotease;Multifunctional enzyme;Polymorphism;Protease;Reference proteome;Signal-anchor;Transmembrane;Transmembrane helix;Zinc</t>
  </si>
  <si>
    <t>UniRef100_Q9UQQ1;UniRef90_Q9UQQ1;UniRef50_Q9UQQ1</t>
  </si>
  <si>
    <t>LAMP3_HUMAN</t>
  </si>
  <si>
    <t>Lysosome-associated membrane glycoprotein 3</t>
  </si>
  <si>
    <t>LAMP3</t>
  </si>
  <si>
    <t>SP:1-27;NC:28-381;TM:382-402;CY:403-416</t>
  </si>
  <si>
    <t>ENSG00000078081</t>
  </si>
  <si>
    <t>ENSP00000265598</t>
  </si>
  <si>
    <t>CD208</t>
  </si>
  <si>
    <t>112;158;164;200;232;266;291</t>
  </si>
  <si>
    <t>148;181;195;202</t>
  </si>
  <si>
    <t>TGIYQVLN[115]GSR</t>
  </si>
  <si>
    <t>Q9UQV4</t>
  </si>
  <si>
    <t>Cytoplasmic vesicle membrane (Single-pass type I membrane protein);Lysosome membrane (Single-pass type I membrane protein)</t>
  </si>
  <si>
    <t>3D-structure;Adaptive immunity;Complete proteome;Cytoplasmic vesicle;Disulfide bond;Glycoprotein;Immunity;Lysosome;Membrane;Polymorphism;Reference proteome;Signal;Transmembrane;Transmembrane helix</t>
  </si>
  <si>
    <t>UniRef100_Q9UQV4;UniRef90_Q9UQV4;UniRef50_Q9UQV4</t>
  </si>
  <si>
    <t>JAG2_HUMAN</t>
  </si>
  <si>
    <t>Protein jagged-2</t>
  </si>
  <si>
    <t>JAG2</t>
  </si>
  <si>
    <t>SP:1-26;NC:27-1081;TM:1082-1106;CY:1107-1238</t>
  </si>
  <si>
    <t>ENSG00000184916</t>
  </si>
  <si>
    <t>ENSP00000328169</t>
  </si>
  <si>
    <t>153;570;619;752;1058;1153</t>
  </si>
  <si>
    <t>20;138;149;151;178;235;268;291;299;377;415;453;666;704;742;781;810;873;885;905;908;946;1095;1104;1105;1128;1215</t>
  </si>
  <si>
    <t>GN[115]SSLLLAVTEVK</t>
  </si>
  <si>
    <t>Q9Y219</t>
  </si>
  <si>
    <t>Alternative splicing;Calcium;Complete proteome;Developmental protein;Disulfide bond;EGF-like domain;Glycoprotein;Membrane;Notch signaling pathway;Polymorphism;Reference proteome;Repeat;Signal;Transmembrane;Transmembrane helix</t>
  </si>
  <si>
    <t>UniRef100_Q9Y219;UniRef90_Q9Y219;UniRef50_Q9Y219</t>
  </si>
  <si>
    <t>S22AD_HUMAN</t>
  </si>
  <si>
    <t>Solute carrier family 22 member 13</t>
  </si>
  <si>
    <t>SLC22A13</t>
  </si>
  <si>
    <t>CY:1-20;TM:21-42;NC:43-141;TM:142-159;CY:160-166;TM:167-188;NC:189-193;TM:194-213;CY:214-224;TM:225-246;NC:247-251;TM:252-271;CY:272-332;TM:333-351;NC:352-357;TM:358-376;CY:377-394;TM:395-417;NC:418-424;TM:425-445;CY:446-452;TM:453-473;NC:474-478;TM:479-499;CY:500-551</t>
  </si>
  <si>
    <t>ENSG00000172940</t>
  </si>
  <si>
    <t>ENSP00000310241</t>
  </si>
  <si>
    <t>57;61;92;104;209;232</t>
  </si>
  <si>
    <t>57;104;209</t>
  </si>
  <si>
    <t>UniRef100_Q9Y226;UniRef90_Q9Y226;UniRef50_Q9Y226</t>
  </si>
  <si>
    <t>S22AE_HUMAN</t>
  </si>
  <si>
    <t>Solute carrier family 22 member 14</t>
  </si>
  <si>
    <t>SLC22A14</t>
  </si>
  <si>
    <t>CY:1-68;TM:69-90;NC:91-185;TM:186-204;CY:205-210;TM:211-231;NC:232-236;TM:237-259;CY:260-270;TM:271-291;NC:292-297;TM:298-317;CY:318-378;TM:379-398;NC:399-410;TM:411-431;CY:432-437;TM:438-457;NC:458-483;TM:484-503;CY:504-513;TM:514-533;NC:534-538;TM:539-559;CY:560-594</t>
  </si>
  <si>
    <t>ENSG00000144671</t>
  </si>
  <si>
    <t>ENSP00000273173;ENSP00000396283</t>
  </si>
  <si>
    <t>99;117;125;150;572</t>
  </si>
  <si>
    <t>117;150</t>
  </si>
  <si>
    <t>UniRef100_Q9Y267;UniRef90_Q9Y267;UniRef50_Q9Y267</t>
  </si>
  <si>
    <t>CLTR1_HUMAN</t>
  </si>
  <si>
    <t>Cysteinyl leukotriene receptor 1</t>
  </si>
  <si>
    <t>CYSLTR1</t>
  </si>
  <si>
    <t>NC:1-28;TM:29-49;CY:50-60;TM:61-82;NC:83-102;TM:103-128;CY:129-139;TM:140-160;NC:161-190;TM:191-216;CY:217-230;TM:231-251;NC:252-276;TM:277-297;CY:298-337</t>
  </si>
  <si>
    <t>ENSG00000173198</t>
  </si>
  <si>
    <t>ENSP00000362401;ENSP00000478492</t>
  </si>
  <si>
    <t>6;169;180;224;262</t>
  </si>
  <si>
    <t>6;169;180;262</t>
  </si>
  <si>
    <t>MDETGN[115]LTVSSATCHDTIDDFR;DEKN[115]NTKCFEPPQDNQTK;DEKN[115]NTKCFEPPQDN[115]QTK;TIHLHFLHN[115]ETKPCDSVLR</t>
  </si>
  <si>
    <t>Q9Y271</t>
  </si>
  <si>
    <t>UniRef100_Q9Y271;UniRef90_Q9Y271;UniRef50_Q99JA4</t>
  </si>
  <si>
    <t>DB00471;DB00549;DB00587;DB00716;DB01411</t>
  </si>
  <si>
    <t>TN13B_HUMAN</t>
  </si>
  <si>
    <t>Tumor necrosis factor ligand superfamily member 13B</t>
  </si>
  <si>
    <t>TNFSF13B</t>
  </si>
  <si>
    <t>CY:1-46;TM:47-69;NC:70-285</t>
  </si>
  <si>
    <t>ENSG00000102524</t>
  </si>
  <si>
    <t>ENSP00000365048</t>
  </si>
  <si>
    <t>CD257</t>
  </si>
  <si>
    <t>124;242</t>
  </si>
  <si>
    <t>29;141;143</t>
  </si>
  <si>
    <t>3D-structure;Alternative splicing;Cell membrane;Cleavage on pair of basic residues;Complete proteome;Cytokine;Direct protein sequencing;Disulfide bond;Glycoprotein;Immunity;Membrane;Polymorphism;Reference proteome;Secreted;Signal-anchor;Transmembrane;Transmembrane helix</t>
  </si>
  <si>
    <t>UniRef100_Q9Y275;UniRef90_Q9Y275;UniRef50_Q9Y275</t>
  </si>
  <si>
    <t>DB08879</t>
  </si>
  <si>
    <t>SIGL7_HUMAN</t>
  </si>
  <si>
    <t>Sialic acid-binding Ig-like lectin 7</t>
  </si>
  <si>
    <t>SIGLEC7</t>
  </si>
  <si>
    <t>SP:1-18;NC:19-350;TM:351-376;CY:377-467</t>
  </si>
  <si>
    <t>ENSG00000168995</t>
  </si>
  <si>
    <t>ENSP00000323328</t>
  </si>
  <si>
    <t>CD328</t>
  </si>
  <si>
    <t>105;142;165;229;235;242;260;334;409</t>
  </si>
  <si>
    <t>105;142;165;229;242;409</t>
  </si>
  <si>
    <t>YDQLSVN[115]VTALTHRPN;TCQVTLPGAGVTTN[115]R;TLPGAGVTTN[115]R;PGAGVTTN[115]R;STALGN[115]SSSLSVLEGQSLR;TALGN[115]SSSLSVLEGQSLR;VSLN[115]LSLQQEYTGK;SLN[115]LSLQQEYTGK</t>
  </si>
  <si>
    <t>142;229;260;334</t>
  </si>
  <si>
    <t>Q9Y286</t>
  </si>
  <si>
    <t>3D-structure;Alternative splicing;Cell adhesion;Complete proteome;Disulfide bond;Glycoprotein;Immunoglobulin domain;Lectin;Membrane;Phosphoprotein;Polymorphism;Reference proteome;Repeat;Signal;Transmembrane;Transmembrane helix</t>
  </si>
  <si>
    <t>UniRef100_Q9Y286;UniRef90_Q9Y286;UniRef50_Q9Y286</t>
  </si>
  <si>
    <t>ITM2B_HUMAN</t>
  </si>
  <si>
    <t>Integral membrane protein 2B</t>
  </si>
  <si>
    <t>ITM2B</t>
  </si>
  <si>
    <t>CY:1-52;TM:53-76;NC:77-266</t>
  </si>
  <si>
    <t>ENSG00000136156</t>
  </si>
  <si>
    <t>ENSP00000367828</t>
  </si>
  <si>
    <t>CYVIPLN[115]TSIVMPPR</t>
  </si>
  <si>
    <t>Q9Y287</t>
  </si>
  <si>
    <t>Cell membrane (Single- pass type II membrane protein);Endosome membrane (Single-pass type II membrane protein);Secreted;Secreted;Golgi apparatus membrane (Single-pass type II membrane protein)</t>
  </si>
  <si>
    <t>Alternative splicing;Amyloid;Amyloidosis;Cell membrane;Cleavage on pair of basic residues;Complete proteome;Deafness;Disease mutation;Disulfide bond;Endosome;Glycoprotein;Golgi apparatus;Membrane;Neurodegeneration;Reference proteome;Secreted;Signal-anchor;Transmembrane;Transmembrane helix</t>
  </si>
  <si>
    <t>UniRef100_Q9Y287;UniRef90_Q9Y287;UniRef50_Q9Y287</t>
  </si>
  <si>
    <t>Endosome;Extracellular space;Golgi apparatus;Plasma membrane</t>
  </si>
  <si>
    <t>Cytoskeleton;Cytosol;Endoplasmic Reticulum;Lysosome;Mitochondrion;Peroxisome</t>
  </si>
  <si>
    <t>SC5A6_HUMAN</t>
  </si>
  <si>
    <t>Sodium-dependent multivitamin transporter</t>
  </si>
  <si>
    <t>SLC5A6</t>
  </si>
  <si>
    <t>SP:1-16;NC:17-25;TM:26-47;CY:48-67;TM:68-87;NC:88-98;TM:99-122;CY:123-142;TM:143-164;NC:165-175;TM:176-196;CY:197-207;TM:208-229;NC:230-254;TM:255-273;CY:274-293;TM:294-318;NC:319-351;TM:352-375;CY:376-395;TM:396-417;NC:418-422;TM:423-448;CY:449-455;TM:456-478;NC:479-526;TM:527-548;CY:549-635</t>
  </si>
  <si>
    <t>ENSG00000138074</t>
  </si>
  <si>
    <t>ENSP00000310208;ENSP00000384853</t>
  </si>
  <si>
    <t>138;489;498;534</t>
  </si>
  <si>
    <t>138;498;534</t>
  </si>
  <si>
    <t>Biotin;Complete proteome;Glycoprotein;Ion transport;Membrane;Polymorphism;Reference proteome;Sodium;Sodium transport;Symport;Transmembrane;Transmembrane helix;Transport</t>
  </si>
  <si>
    <t>UniRef100_Q9Y289;UniRef90_Q9Y289;UniRef50_Q9Y289</t>
  </si>
  <si>
    <t>DB00121;DB00166</t>
  </si>
  <si>
    <t>TLR6_HUMAN</t>
  </si>
  <si>
    <t>Toll-like receptor 6</t>
  </si>
  <si>
    <t>TLR6</t>
  </si>
  <si>
    <t>SP:1-31;NC:32-583;TM:584-609;CY:610-796</t>
  </si>
  <si>
    <t>ENSG00000174130</t>
  </si>
  <si>
    <t>ENSP00000371376;ENSP00000389600</t>
  </si>
  <si>
    <t>CD286</t>
  </si>
  <si>
    <t>144;186;214;253;285;359;423;434;583</t>
  </si>
  <si>
    <t>186;253;285;359;423;583</t>
  </si>
  <si>
    <t>3D-structure;Alternative splicing;Cell membrane;Complete proteome;Cytoplasmic vesicle;Disulfide bond;Glycoprotein;Immunity;Inflammatory response;Innate immunity;Leucine-rich repeat;Membrane;Polymorphism;Receptor;Reference proteome;Repeat;Signal;Transmembrane;Transmembrane helix</t>
  </si>
  <si>
    <t>UniRef100_Q9Y2C9;UniRef90_Q9Y2C9;UniRef50_Q9Y2C9</t>
  </si>
  <si>
    <t>NTNG1_HUMAN</t>
  </si>
  <si>
    <t>Netrin-G1</t>
  </si>
  <si>
    <t>NTNG1</t>
  </si>
  <si>
    <t>SP:1-18;NC:19-539</t>
  </si>
  <si>
    <t>ENSG00000162631</t>
  </si>
  <si>
    <t>ENSP00000359091</t>
  </si>
  <si>
    <t>133;320;406;433</t>
  </si>
  <si>
    <t>LTCECEHN[115]TTGPDCGK</t>
  </si>
  <si>
    <t>Q9Y2I2</t>
  </si>
  <si>
    <t>3D-structure;Alternative splicing;Cell membrane;Complete proteome;Developmental protein;Differentiation;Direct protein sequencing;Disulfide bond;Glycoprotein;GPI-anchor;Laminin EGF-like domain;Lipoprotein;Membrane;Neurogenesis;Reference proteome;Repeat;Signal</t>
  </si>
  <si>
    <t>UniRef100_Q9Y2I2;UniRef90_Q9Y2I2;UniRef50_Q9Y2I2</t>
  </si>
  <si>
    <t>GPR52_HUMAN</t>
  </si>
  <si>
    <t>Probable G-protein coupled receptor 52</t>
  </si>
  <si>
    <t>GPR52</t>
  </si>
  <si>
    <t>NC:1-44;TM:45-70;CY:71-82;TM:83-104;NC:105-115;TM:116-137;CY:138-157;TM:158-180;NC:181-200;TM:201-226;CY:227-265;TM:266-286;NC:287-298;TM:299-320;CY:321-361</t>
  </si>
  <si>
    <t>ENSG00000203737</t>
  </si>
  <si>
    <t>ENSP00000356658</t>
  </si>
  <si>
    <t>2;13;20;58</t>
  </si>
  <si>
    <t>58;295</t>
  </si>
  <si>
    <t>UniRef100_Q9Y2T5;UniRef90_Q9Y2T5;UniRef50_Q99679</t>
  </si>
  <si>
    <t>GPR55_HUMAN</t>
  </si>
  <si>
    <t>G-protein coupled receptor 55</t>
  </si>
  <si>
    <t>GPR55</t>
  </si>
  <si>
    <t>NC:1-23;TM:24-45;CY:46-56;TM:57-79;NC:80-94;TM:95-117;CY:118-137;TM:138-158;NC:159-180;TM:181-205;CY:206-225;TM:226-248;NC:249-267;TM:268-291;CY:292-319</t>
  </si>
  <si>
    <t>ENSG00000135898</t>
  </si>
  <si>
    <t>ENSP00000375893;ENSP00000375894;ENSP00000410267;ENSP00000482381</t>
  </si>
  <si>
    <t>5;171</t>
  </si>
  <si>
    <t>UniRef100_Q9Y2T6;UniRef90_Q9Y2T6;UniRef50_Q9Y2T6</t>
  </si>
  <si>
    <t>SIGL9_HUMAN</t>
  </si>
  <si>
    <t>Sialic acid-binding Ig-like lectin 9</t>
  </si>
  <si>
    <t>SIGLEC9</t>
  </si>
  <si>
    <t>SP:1-15;NC:16-348;TM:349-370;CY:371-463</t>
  </si>
  <si>
    <t>ENSG00000129450</t>
  </si>
  <si>
    <t>ENSP00000250360</t>
  </si>
  <si>
    <t>101;138;161;225;231;238;256;334</t>
  </si>
  <si>
    <t>101;138;161;225;238</t>
  </si>
  <si>
    <t>UniRef100_Q9Y336;UniRef90_Q9Y336;UniRef50_Q9Y336</t>
  </si>
  <si>
    <t>SC6A5_HUMAN</t>
  </si>
  <si>
    <t>Sodium- and chloride-dependent glycine transporter 2</t>
  </si>
  <si>
    <t>SLC6A5</t>
  </si>
  <si>
    <t>CY:1-197;TM:198-217;NC:218-228;TM:229-249;CY:250-271;TM:272-296;NC:297-391;TM:392-411;CY:412-420;TM:421-441;NC:442-470;TM:471-491;CY:492-502;TM:503-527;NC:528-560;TM:561-582;CY:583-602;TM:603-623;NC:624-635;TM:636-657;CY:658-677;TM:678-699;NC:700-714;TM:715-737;CY:738-797</t>
  </si>
  <si>
    <t>ENSG00000165970</t>
  </si>
  <si>
    <t>ENSP00000434364</t>
  </si>
  <si>
    <t>133;144;153;193;343;353;358;364;712</t>
  </si>
  <si>
    <t>Complete proteome;Disease mutation;Glycoprotein;Membrane;Neurotransmitter transport;Polymorphism;Reference proteome;Symport;Transmembrane;Transmembrane helix;Transport</t>
  </si>
  <si>
    <t>UniRef100_Q9Y345;UniRef90_Q9Y345;UniRef50_Q9Y345</t>
  </si>
  <si>
    <t>TMED7_HUMAN</t>
  </si>
  <si>
    <t>Transmembrane emp24 domain-containing protein 7</t>
  </si>
  <si>
    <t>TMED7</t>
  </si>
  <si>
    <t>SP:1-34;NC:35-185;TM:186-208;CY:209-224</t>
  </si>
  <si>
    <t>ENSG00000134970</t>
  </si>
  <si>
    <t>ENSP00000405926</t>
  </si>
  <si>
    <t>Other;TMED</t>
  </si>
  <si>
    <t>KQYDSFTFTASKN[115]GTYK;QYDSFTFTASKN[115]GTYK</t>
  </si>
  <si>
    <t>Q9Y3B3</t>
  </si>
  <si>
    <t>Cytoplasmic vesicle, COPI-coated vesicle membrane (Single-pass type I membrane protein);Cytoplasmic vesicle, COPII-coated vesicle membrane (Single-pass type I membrane protein);Endoplasmic reticulum membrane (Single-pass type I membrane protein);Endoplasmic reticulum-Golgi intermediate compartment membrane (Single-pass type I membrane protein);Golgi apparatus, cis-Golgi network membrane (Single-pass type I membrane protein)</t>
  </si>
  <si>
    <t>Alternative splicing;Complete proteome;Cytoplasmic vesicle;Endoplasmic reticulum;Glycoprotein;Golgi apparatus;Membrane;Protein transport;Reference proteome;Signal;Transmembrane;Transmembrane helix;Transport</t>
  </si>
  <si>
    <t>UniRef100_Q9Y3B3;UniRef90_Q9Y3B3;UniRef50_Q9Y3B3</t>
  </si>
  <si>
    <t>100302736;51014</t>
  </si>
  <si>
    <t>OR2W1_HUMAN</t>
  </si>
  <si>
    <t>Olfactory receptor 2W1</t>
  </si>
  <si>
    <t>OR2W1</t>
  </si>
  <si>
    <t>NC:1-25;TM:26-50;CY:51-60;TM:61-82;NC:83-100;TM:101-120;CY:121-139;TM:140-164;NC:165-198;TM:199-221;CY:222-240;TM:241-260;NC:261-272;TM:273-292;CY:293-320</t>
  </si>
  <si>
    <t>ENSG00000204704;ENSG00000206525;ENSG00000227639;ENSG00000228977;ENSG00000226463;ENSG00000234101;ENSG00000228652;ENSG00000229328</t>
  </si>
  <si>
    <t>ENSP00000366380;ENSP00000373150;ENSP00000388144;ENSP00000392635;ENSP00000412537;ENSP00000389825;ENSP00000401866;ENSP00000405025</t>
  </si>
  <si>
    <t>UniRef100_Q9Y3N9;UniRef90_Q9Y3N9;UniRef50_O76001</t>
  </si>
  <si>
    <t>SIT1_HUMAN</t>
  </si>
  <si>
    <t>Signaling threshold-regulating transmembrane adapter 1</t>
  </si>
  <si>
    <t>SIT1</t>
  </si>
  <si>
    <t>SP:1-24;NC:25-39;TM:40-63;CY:64-196</t>
  </si>
  <si>
    <t>ENSG00000137078</t>
  </si>
  <si>
    <t>ENSP00000259608</t>
  </si>
  <si>
    <t>Adaptive immunity;Cell membrane;Complete proteome;Direct protein sequencing;Disulfide bond;Glycoprotein;Immunity;Membrane;Phosphoprotein;Reference proteome;Signal;Transmembrane;Transmembrane helix</t>
  </si>
  <si>
    <t>UniRef100_Q9Y3P8;UniRef90_Q9Y3P8;UniRef50_Q9Y3P8</t>
  </si>
  <si>
    <t>ADA18_HUMAN</t>
  </si>
  <si>
    <t>Disintegrin and metalloproteinase domain-containing protein 18</t>
  </si>
  <si>
    <t>ADAM18</t>
  </si>
  <si>
    <t>SP:1-16;NC:17-687;TM:688-708;CY:709-739</t>
  </si>
  <si>
    <t>ENSG00000168619;ENSG00000278548</t>
  </si>
  <si>
    <t>ENSP00000265707;ENSP00000482348</t>
  </si>
  <si>
    <t>36;76;122;149;156;177;294;359;465;561;611;625;727</t>
  </si>
  <si>
    <t>Alternative splicing;Complete proteome;Developmental protein;Differentiation;Disulfide bond;EGF-like domain;Glycoprotein;Membrane;Polymorphism;Reference proteome;Signal;Spermatogenesis;Transmembrane;Transmembrane helix</t>
  </si>
  <si>
    <t>UniRef100_Q9Y3Q7;UniRef90_Q9Y3Q7;UniRef50_Q9Y3Q7</t>
  </si>
  <si>
    <t>VPP2_HUMAN</t>
  </si>
  <si>
    <t>V-type proton ATPase 116 kDa subunit a isoform 2</t>
  </si>
  <si>
    <t>ATP6V0A2</t>
  </si>
  <si>
    <t>CY:1-393;TM:394-410;NC:411-415;TM:416-432;CY:433-450;TM:451-468;NC:469-553;TM:554-572;CY:573-583;TM:584-607;NC:608-650;TM:651-673;CY:674-741;TM:742-764;NC:765-784;TM:785-808;CY:809-856</t>
  </si>
  <si>
    <t>ENSG00000185344</t>
  </si>
  <si>
    <t>ENSP00000332247</t>
  </si>
  <si>
    <t>43;438;484;505;684</t>
  </si>
  <si>
    <t>MVLWN[115]DSVVR</t>
  </si>
  <si>
    <t>Q9Y487</t>
  </si>
  <si>
    <t>Cell membrane (Multi-pass membrane protein);Endosome membrane</t>
  </si>
  <si>
    <t>Cell membrane;Complete proteome;Endosome;Glycoprotein;Hydrogen ion transport;Ion transport;Membrane;Phosphoprotein;Polymorphism;Reference proteome;Transmembrane;Transmembrane helix;Transport</t>
  </si>
  <si>
    <t>UniRef100_Q9Y487;UniRef90_Q9Y487;UniRef50_Q9Y487</t>
  </si>
  <si>
    <t>ZAN_HUMAN</t>
  </si>
  <si>
    <t>Zonadhesin</t>
  </si>
  <si>
    <t>ZAN</t>
  </si>
  <si>
    <t>SP:1-18;NC:19-2757;TM:2758-2778;CY:2779-2812</t>
  </si>
  <si>
    <t>ENSG00000146839</t>
  </si>
  <si>
    <t>ENSP00000423579;ENSP00000422387;ENSP00000425454;ENSP00000425200;ENSP00000421245;ENSP00000422208</t>
  </si>
  <si>
    <t>333;493;1112;1188;1685;1804;1900;1946;2203;2542;2701</t>
  </si>
  <si>
    <t>495;500;520;546;549;550;551;554;557;566;567;571;573;578;580;581;585;599;601;606;609;616;623;634;637;641;644;650;651;655;658;663;679;683;686;690;693;699;706;707;711;713;718;721;728;734;739;740;742;746;749;755;760;788;797;802;803;805;809;811;812;816;832;837;839;853;854;858;861;865;867;895;903;907;909;914;916;917;921;924;928;931;937;959</t>
  </si>
  <si>
    <t>6;53;63;110;128;149;152;159;222;224;233;327;385;395;481;491;1108;1120;1269;1320;1416;1495;1517;1573;1631;1709;1738;1802;1883;1915;2098;2150;2201;2229;2283;2430;2497;2643</t>
  </si>
  <si>
    <t>Alternative splicing;Cell adhesion;Cell membrane;Complete proteome;Disulfide bond;EGF-like domain;Glycoprotein;Membrane;Polymorphism;Reference proteome;Repeat;Signal;Transmembrane;Transmembrane helix</t>
  </si>
  <si>
    <t>UniRef100_Q9Y493;UniRef90_Q9Y493;UniRef50_Q9Y493</t>
  </si>
  <si>
    <t>O10H1_HUMAN</t>
  </si>
  <si>
    <t>Olfactory receptor 10H1</t>
  </si>
  <si>
    <t>OR10H1</t>
  </si>
  <si>
    <t>NC:1-24;TM:25-47;CY:48-58;TM:59-79;NC:80-99;TM:100-120;CY:121-140;TM:141-164;NC:165-198;TM:199-222;CY:223-241;TM:242-261;NC:262-272;TM:273-293;CY:294-318</t>
  </si>
  <si>
    <t>ENSG00000186723</t>
  </si>
  <si>
    <t>ENSP00000335596</t>
  </si>
  <si>
    <t>UniRef100_Q9Y4A9;UniRef90_Q9Y4A9;UniRef50_O60404</t>
  </si>
  <si>
    <t>NRX3A_HUMAN</t>
  </si>
  <si>
    <t>Neurexin-3</t>
  </si>
  <si>
    <t>SP:1-27;NC:28-1568;TM:1569-1590;CY:1591-1643</t>
  </si>
  <si>
    <t>58;105;757;1189;1257;1301;1616</t>
  </si>
  <si>
    <t>1189;1545;1616</t>
  </si>
  <si>
    <t>Alternative promoter usage;Alternative splicing;Calcium;Cell adhesion;Complete proteome;Disulfide bond;EGF-like domain;Glycoprotein;Membrane;Metal-binding;Reference proteome;Repeat;Signal;Transmembrane;Transmembrane helix</t>
  </si>
  <si>
    <t>UniRef100_Q9Y4C0;UniRef90_Q9Y4C0;UniRef50_Q07310</t>
  </si>
  <si>
    <t>DGLA_HUMAN</t>
  </si>
  <si>
    <t>Sn1-specific diacylglycerol lipase alpha</t>
  </si>
  <si>
    <t>DAGLA</t>
  </si>
  <si>
    <t>CY:1-17;TM:18-43;NC:44-60;TM:61-81;CY:82-98;TM:99-122;NC:123-134;TM:135-157;CY:158-1042</t>
  </si>
  <si>
    <t>ENSG00000134780</t>
  </si>
  <si>
    <t>ENSP00000257215</t>
  </si>
  <si>
    <t>133;362;720</t>
  </si>
  <si>
    <t>701;707;715;797;802;987;1021;1022;1023;1025;1030</t>
  </si>
  <si>
    <t>Calcium;Cell membrane;Complete proteome;Glycoprotein;Hydrolase;Lipid degradation;Lipid metabolism;Membrane;Metal-binding;Neurodegeneration;Phosphoprotein;Polymorphism;Reference proteome;Spinocerebellar ataxia;Transmembrane;Transmembrane helix</t>
  </si>
  <si>
    <t>UniRef100_Q9Y4D2;UniRef90_Q9Y4D2;UniRef50_Q9Y4D2</t>
  </si>
  <si>
    <t>PLXD1_HUMAN</t>
  </si>
  <si>
    <t>Plexin-D1</t>
  </si>
  <si>
    <t>PLXND1</t>
  </si>
  <si>
    <t>SP:1-46;NC:47-1270;TM:1271-1294;CY:1295-1925</t>
  </si>
  <si>
    <t>ENSG00000004399</t>
  </si>
  <si>
    <t>ENSP00000317128</t>
  </si>
  <si>
    <t>86;155;188;224;481;500;583;696;736;802;965;1017;1060;1099;1118;1132;1237;1257;1341;1559</t>
  </si>
  <si>
    <t>481;696;745;1017;1060;1118;1257;1895</t>
  </si>
  <si>
    <t>RRGN[115]ISAVAVR;RGN[115]ISAVAVR;GN[115]ISAVAVR;INLN[115]ESMQVVSR;AVWVN[115]ESVVR;SGVVTVN[115]ASK;GCVHGN[115]LTFWYMQNPVITAISPR;VLN[115]STLITCPSPGALSN[115]ASAPVDFFINGR;VLN[115]STLITCPSPGALSN[115]ASAPVDFFIN[115]GR</t>
  </si>
  <si>
    <t>155;500;802;965;1060;1118;1132</t>
  </si>
  <si>
    <t>Q9Y4D7</t>
  </si>
  <si>
    <t>3D-structure;Alternative splicing;Angiogenesis;Cell membrane;Complete proteome;Developmental protein;Disulfide bond;Glycoprotein;Membrane;Polymorphism;Receptor;Reference proteome;Repeat;Signal;Transmembrane;Transmembrane helix</t>
  </si>
  <si>
    <t>UniRef100_Q9Y4D7;UniRef90_Q9Y4D7;UniRef50_Q9Y4D7</t>
  </si>
  <si>
    <t>LRP12_HUMAN</t>
  </si>
  <si>
    <t>Low-density lipoprotein receptor-related protein 12</t>
  </si>
  <si>
    <t>LRP12</t>
  </si>
  <si>
    <t>SP:1-32;NC:33-493;TM:494-519;CY:520-859</t>
  </si>
  <si>
    <t>75;146;284;366;409;441;641;753;811;848</t>
  </si>
  <si>
    <t>284;366;409;641;811;848</t>
  </si>
  <si>
    <t>5;13;66;78;107;138;183;262;287;378;386;399;468;603;739</t>
  </si>
  <si>
    <t>DETN[115]CTMCQK</t>
  </si>
  <si>
    <t>Q9Y561</t>
  </si>
  <si>
    <t>Alternative splicing;Coated pit;Complete proteome;Disulfide bond;Endocytosis;Glycoprotein;Membrane;Polymorphism;Receptor;Reference proteome;Repeat;Signal;Transmembrane;Transmembrane helix</t>
  </si>
  <si>
    <t>UniRef100_Q9Y561;UniRef90_Q9Y561;UniRef50_Q9Y561</t>
  </si>
  <si>
    <t>OR1A2_HUMAN</t>
  </si>
  <si>
    <t>Olfactory receptor 1A2</t>
  </si>
  <si>
    <t>OR1A2</t>
  </si>
  <si>
    <t>NC:1-25;TM:26-49;CY:50-59;TM:60-79;NC:80-99;TM:100-120;CY:121-140;TM:141-159;NC:160-198;TM:199-221;CY:222-232;TM:233-251;NC:252-270;TM:271-290;CY:291-309</t>
  </si>
  <si>
    <t>ENSG00000172150</t>
  </si>
  <si>
    <t>ENSP00000371377</t>
  </si>
  <si>
    <t>5;65;153</t>
  </si>
  <si>
    <t>UniRef100_Q9Y585;UniRef90_Q9Y585;UniRef50_Q9Y585</t>
  </si>
  <si>
    <t>PCDB9_HUMAN</t>
  </si>
  <si>
    <t>Protocadherin beta-9</t>
  </si>
  <si>
    <t>PCDHB9</t>
  </si>
  <si>
    <t>SP:1-31;NC:32-687;TM:688-711;CY:712-797</t>
  </si>
  <si>
    <t>ENSG00000177839</t>
  </si>
  <si>
    <t>ENSP00000478606</t>
  </si>
  <si>
    <t>169;418;463;567;786</t>
  </si>
  <si>
    <t>UniRef100_Q9Y5E1;UniRef90_Q9Y5E1;UniRef50_Q9Y5E3</t>
  </si>
  <si>
    <t>PCDB7_HUMAN</t>
  </si>
  <si>
    <t>Protocadherin beta-7</t>
  </si>
  <si>
    <t>PCDHB7</t>
  </si>
  <si>
    <t>SP:1-28;NC:29-684;TM:685-709;CY:710-793</t>
  </si>
  <si>
    <t>ENSG00000113212</t>
  </si>
  <si>
    <t>ENSP00000231137</t>
  </si>
  <si>
    <t>169;418;436;463;567</t>
  </si>
  <si>
    <t>UniRef100_Q9Y5E2;UniRef90_Q9Y5E2;UniRef50_Q9Y5F2</t>
  </si>
  <si>
    <t>PCDB6_HUMAN</t>
  </si>
  <si>
    <t>Protocadherin beta-6</t>
  </si>
  <si>
    <t>PCDHB6</t>
  </si>
  <si>
    <t>SP:1-27;NC:28-685;TM:686-709;CY:710-794</t>
  </si>
  <si>
    <t>ENSG00000113211</t>
  </si>
  <si>
    <t>ENSP00000231136</t>
  </si>
  <si>
    <t>46;183;416;461;565</t>
  </si>
  <si>
    <t>46;416</t>
  </si>
  <si>
    <t>UniRef100_Q9Y5E3;UniRef90_Q9Y5E3;UniRef50_Q9Y5E3</t>
  </si>
  <si>
    <t>PCDB5_HUMAN</t>
  </si>
  <si>
    <t>Protocadherin beta-5</t>
  </si>
  <si>
    <t>PCDHB5</t>
  </si>
  <si>
    <t>SP:1-30;NC:31-686;TM:687-710;CY:711-795</t>
  </si>
  <si>
    <t>ENSG00000113209</t>
  </si>
  <si>
    <t>ENSP00000231134</t>
  </si>
  <si>
    <t>169;417;435;462;566</t>
  </si>
  <si>
    <t>UniRef100_Q9Y5E4;UniRef90_Q9Y5E4;UniRef50_Q9Y5E4</t>
  </si>
  <si>
    <t>PCDB4_HUMAN</t>
  </si>
  <si>
    <t>Protocadherin beta-4</t>
  </si>
  <si>
    <t>PCDHB4</t>
  </si>
  <si>
    <t>SP:1-27;NC:28-686;TM:687-710;CY:711-795</t>
  </si>
  <si>
    <t>ENSG00000081818</t>
  </si>
  <si>
    <t>ENSP00000194152</t>
  </si>
  <si>
    <t>183;417;435;462;566</t>
  </si>
  <si>
    <t>417;435</t>
  </si>
  <si>
    <t>UniRef100_Q9Y5E5;UniRef90_Q9Y5E5;UniRef50_Q9Y5E5</t>
  </si>
  <si>
    <t>PCDB3_HUMAN</t>
  </si>
  <si>
    <t>Protocadherin beta-3</t>
  </si>
  <si>
    <t>PCDHB3</t>
  </si>
  <si>
    <t>SP:1-26;NC:27-687;TM:688-711;CY:712-796</t>
  </si>
  <si>
    <t>ENSG00000113205</t>
  </si>
  <si>
    <t>ENSP00000231130</t>
  </si>
  <si>
    <t>169;418;436</t>
  </si>
  <si>
    <t>UniRef100_Q9Y5E6;UniRef90_Q9Y5E6;UniRef50_Q9Y5F2</t>
  </si>
  <si>
    <t>PCDB2_HUMAN</t>
  </si>
  <si>
    <t>Protocadherin beta-2</t>
  </si>
  <si>
    <t>PCDHB2</t>
  </si>
  <si>
    <t>SP:1-28;NC:29-689;TM:690-713;CY:714-798</t>
  </si>
  <si>
    <t>ENSG00000112852</t>
  </si>
  <si>
    <t>ENSP00000194155</t>
  </si>
  <si>
    <t>171;420;438;465;569</t>
  </si>
  <si>
    <t>171;420;438</t>
  </si>
  <si>
    <t>Acetylation;Calcium;Cell adhesion;Cell membrane;Complete proteome;Glycoprotein;Membrane;Polymorphism;Reference proteome;Repeat;Signal;Transmembrane;Transmembrane helix</t>
  </si>
  <si>
    <t>UniRef100_Q9Y5E7;UniRef90_Q9Y5E7;UniRef50_Q9Y5E7</t>
  </si>
  <si>
    <t>PCDBF_HUMAN</t>
  </si>
  <si>
    <t>Protocadherin beta-15</t>
  </si>
  <si>
    <t>PCDHB15</t>
  </si>
  <si>
    <t>SP:1-26;NC:27-687;TM:688-711;CY:712-787</t>
  </si>
  <si>
    <t>ENSG00000113248</t>
  </si>
  <si>
    <t>ENSP00000231173</t>
  </si>
  <si>
    <t>171;418;463;567</t>
  </si>
  <si>
    <t>UniRef100_Q9Y5E8;UniRef90_Q9Y5E8;UniRef50_Q9Y5E3</t>
  </si>
  <si>
    <t>PCDBE_HUMAN</t>
  </si>
  <si>
    <t>Protocadherin beta-14</t>
  </si>
  <si>
    <t>PCDHB14</t>
  </si>
  <si>
    <t>SP:1-26;NC:27-687;TM:688-711;CY:712-798</t>
  </si>
  <si>
    <t>ENSG00000120327</t>
  </si>
  <si>
    <t>ENSP00000239449</t>
  </si>
  <si>
    <t>169;359;418;436;463;487;567</t>
  </si>
  <si>
    <t>Alternative splicing;Calcium;Cell adhesion;Cell membrane;Complete proteome;Disulfide bond;Glycoprotein;Membrane;Reference proteome;Repeat;Signal;Transmembrane;Transmembrane helix</t>
  </si>
  <si>
    <t>UniRef100_Q9Y5E9;UniRef90_Q9Y5E9;UniRef50_Q9Y5E3</t>
  </si>
  <si>
    <t>PCDBD_HUMAN</t>
  </si>
  <si>
    <t>Protocadherin beta-13</t>
  </si>
  <si>
    <t>PCDHB13</t>
  </si>
  <si>
    <t>SP:1-28;NC:29-687;TM:688-711;CY:712-798</t>
  </si>
  <si>
    <t>ENSG00000187372</t>
  </si>
  <si>
    <t>ENSP00000345491</t>
  </si>
  <si>
    <t>418;436;463;567;786</t>
  </si>
  <si>
    <t>UniRef100_Q9Y5F0;UniRef90_Q9UN66;UniRef50_Q9Y5F2</t>
  </si>
  <si>
    <t>PCDBC_HUMAN</t>
  </si>
  <si>
    <t>Protocadherin beta-12</t>
  </si>
  <si>
    <t>PCDHB12</t>
  </si>
  <si>
    <t>SP:1-26;NC:27-687;TM:688-711;CY:712-795</t>
  </si>
  <si>
    <t>ENSG00000120328</t>
  </si>
  <si>
    <t>ENSP00000239450</t>
  </si>
  <si>
    <t>418;436;463;487;567</t>
  </si>
  <si>
    <t>112;418;436</t>
  </si>
  <si>
    <t>UniRef100_Q9Y5F1;UniRef90_Q9Y5F1;UniRef50_Q9Y5F1</t>
  </si>
  <si>
    <t>PCDBB_HUMAN</t>
  </si>
  <si>
    <t>Protocadherin beta-11</t>
  </si>
  <si>
    <t>PCDHB11</t>
  </si>
  <si>
    <t>SP:1-26;NC:27-687;TM:688-711;CY:712-797</t>
  </si>
  <si>
    <t>ENSG00000197479</t>
  </si>
  <si>
    <t>ENSP00000346802</t>
  </si>
  <si>
    <t>418;436;463;487;567;786</t>
  </si>
  <si>
    <t>112;418;436;786</t>
  </si>
  <si>
    <t>UniRef100_Q9Y5F2;UniRef90_Q9Y5F2;UniRef50_Q9Y5F2</t>
  </si>
  <si>
    <t>PCDB1_HUMAN</t>
  </si>
  <si>
    <t>Protocadherin beta-1</t>
  </si>
  <si>
    <t>PCDHB1</t>
  </si>
  <si>
    <t>SP:1-28;NC:29-689;TM:690-715;CY:716-818</t>
  </si>
  <si>
    <t>ENSG00000171815</t>
  </si>
  <si>
    <t>ENSP00000307234</t>
  </si>
  <si>
    <t>169;209;257;419;464;568;735;746;802</t>
  </si>
  <si>
    <t>UniRef100_Q9Y5F3;UniRef90_Q9Y5F3;UniRef50_Q9Y5F3</t>
  </si>
  <si>
    <t>PCDGM_HUMAN</t>
  </si>
  <si>
    <t>Protocadherin gamma-C5</t>
  </si>
  <si>
    <t>PCDHGC5</t>
  </si>
  <si>
    <t>SP:1-29;NC:30-689;TM:690-712;CY:713-944</t>
  </si>
  <si>
    <t>ENSG00000240764</t>
  </si>
  <si>
    <t>ENSP00000252087</t>
  </si>
  <si>
    <t>265;443;547;913</t>
  </si>
  <si>
    <t>LN[115]ISDVNDNAPR</t>
  </si>
  <si>
    <t>Q9Y5F6</t>
  </si>
  <si>
    <t>UniRef100_Q9Y5F6;UniRef90_Q9Y5F6;UniRef50_Q9Y5F6</t>
  </si>
  <si>
    <t>PCDGL_HUMAN</t>
  </si>
  <si>
    <t>Protocadherin gamma-C4</t>
  </si>
  <si>
    <t>PCDHGC4</t>
  </si>
  <si>
    <t>SP:1-29;NC:30-689;TM:690-712;CY:713-938</t>
  </si>
  <si>
    <t>ENSG00000242419</t>
  </si>
  <si>
    <t>ENSP00000306918</t>
  </si>
  <si>
    <t>265;276;444;907</t>
  </si>
  <si>
    <t>UniRef100_Q9Y5F7;UniRef90_Q9Y5F7;UniRef50_Q9Y5F7</t>
  </si>
  <si>
    <t>PCDGJ_HUMAN</t>
  </si>
  <si>
    <t>Protocadherin gamma-B7</t>
  </si>
  <si>
    <t>PCDHGB7</t>
  </si>
  <si>
    <t>SP:1-30;NC:31-689;TM:690-713;CY:714-929</t>
  </si>
  <si>
    <t>ENSG00000254122</t>
  </si>
  <si>
    <t>ENSP00000381594</t>
  </si>
  <si>
    <t>419;545;742;898</t>
  </si>
  <si>
    <t>EQTPEYN[115]VTIAATDR</t>
  </si>
  <si>
    <t>Q9Y5F8</t>
  </si>
  <si>
    <t>UniRef100_Q9Y5F8;UniRef90_Q9Y5F8;UniRef50_Q9UN71</t>
  </si>
  <si>
    <t>PCDGI_HUMAN</t>
  </si>
  <si>
    <t>Protocadherin gamma-B6</t>
  </si>
  <si>
    <t>PCDHGB6</t>
  </si>
  <si>
    <t>SP:1-30;NC:31-688;TM:689-713;CY:714-930</t>
  </si>
  <si>
    <t>ENSG00000253305</t>
  </si>
  <si>
    <t>ENSP00000428603</t>
  </si>
  <si>
    <t>304;419;545;742;899</t>
  </si>
  <si>
    <t>UniRef100_Q9Y5F9;UniRef90_Q9Y5F9;UniRef50_Q9UN71</t>
  </si>
  <si>
    <t>PCDGH_HUMAN</t>
  </si>
  <si>
    <t>Protocadherin gamma-B5</t>
  </si>
  <si>
    <t>PCDHGB5</t>
  </si>
  <si>
    <t>SP:1-30;NC:31-684;TM:685-709;CY:710-923</t>
  </si>
  <si>
    <t>ENSG00000276547</t>
  </si>
  <si>
    <t>ENSP00000478258</t>
  </si>
  <si>
    <t>415;541;738;789;892</t>
  </si>
  <si>
    <t>EQTPEYN[115]VTITATDR</t>
  </si>
  <si>
    <t>Q9Y5G0</t>
  </si>
  <si>
    <t>UniRef100_Q9Y5G0;UniRef90_Q9Y5G0;UniRef50_Q9UN71</t>
  </si>
  <si>
    <t>PCDGF_HUMAN</t>
  </si>
  <si>
    <t>Protocadherin gamma-B3</t>
  </si>
  <si>
    <t>PCDHGB3</t>
  </si>
  <si>
    <t>SP:1-30;NC:31-688;TM:689-711;CY:712-929</t>
  </si>
  <si>
    <t>ENSG00000262209</t>
  </si>
  <si>
    <t>ENSP00000461862</t>
  </si>
  <si>
    <t>3;136;419;545;898</t>
  </si>
  <si>
    <t>UniRef100_Q9Y5G1;UniRef90_Q9Y5G1;UniRef50_Q9Y5G1</t>
  </si>
  <si>
    <t>PCDGE_HUMAN</t>
  </si>
  <si>
    <t>Protocadherin gamma-B2</t>
  </si>
  <si>
    <t>PCDHGB2</t>
  </si>
  <si>
    <t>SP:1-30;NC:31-688;TM:689-711;CY:712-931</t>
  </si>
  <si>
    <t>ENSG00000253910</t>
  </si>
  <si>
    <t>ENSP00000429018</t>
  </si>
  <si>
    <t>419;545;742;769;784;900</t>
  </si>
  <si>
    <t>UniRef100_Q9Y5G2;UniRef90_Q9Y5G2;UniRef50_Q9UN71</t>
  </si>
  <si>
    <t>PCDGD_HUMAN</t>
  </si>
  <si>
    <t>Protocadherin gamma-B1</t>
  </si>
  <si>
    <t>PCDHGB1</t>
  </si>
  <si>
    <t>SP:1-28;NC:29-684;TM:685-709;CY:710-927</t>
  </si>
  <si>
    <t>ENSG00000254221</t>
  </si>
  <si>
    <t>ENSP00000429273</t>
  </si>
  <si>
    <t>41;73;300;415;541;738;765;896</t>
  </si>
  <si>
    <t>EQTADYN[115]VTIIATDK</t>
  </si>
  <si>
    <t>Q9Y5G3</t>
  </si>
  <si>
    <t>UniRef100_Q9Y5G3;UniRef90_Q9Y5G3;UniRef50_Q9UN71</t>
  </si>
  <si>
    <t>PCDG9_HUMAN</t>
  </si>
  <si>
    <t>Protocadherin gamma-A9</t>
  </si>
  <si>
    <t>PCDHGA9</t>
  </si>
  <si>
    <t>SP:1-28;NC:29-690;TM:691-714;CY:715-932</t>
  </si>
  <si>
    <t>ENSG00000261934</t>
  </si>
  <si>
    <t>ENSP00000460274</t>
  </si>
  <si>
    <t>47;127;389;419;545;901</t>
  </si>
  <si>
    <t>GYIVGN[115]ISK;ASEYN[115]ITVTATDR</t>
  </si>
  <si>
    <t>47;419</t>
  </si>
  <si>
    <t>Q9Y5G4</t>
  </si>
  <si>
    <t>UniRef100_Q9Y5G4;UniRef90_Q9Y5G4;UniRef50_Q9Y5G4</t>
  </si>
  <si>
    <t>PCDG8_HUMAN</t>
  </si>
  <si>
    <t>Protocadherin gamma-A8</t>
  </si>
  <si>
    <t>PCDHGA8</t>
  </si>
  <si>
    <t>SP:1-29;NC:30-689;TM:690-714;CY:715-932</t>
  </si>
  <si>
    <t>ENSG00000253767</t>
  </si>
  <si>
    <t>ENSP00000381605</t>
  </si>
  <si>
    <t>47;414;419;545;685;788;901</t>
  </si>
  <si>
    <t>UniRef100_Q9Y5G5;UniRef90_Q9Y5G5;UniRef50_Q9Y5G4</t>
  </si>
  <si>
    <t>PCDG7_HUMAN</t>
  </si>
  <si>
    <t>Protocadherin gamma-A7</t>
  </si>
  <si>
    <t>PCDHGA7</t>
  </si>
  <si>
    <t>ENSG00000253537</t>
  </si>
  <si>
    <t>ENSP00000430024</t>
  </si>
  <si>
    <t>419;545;788;901</t>
  </si>
  <si>
    <t>UniRef100_Q9Y5G6;UniRef90_Q9Y5G6;UniRef50_Q9Y5G4</t>
  </si>
  <si>
    <t>PCDG6_HUMAN</t>
  </si>
  <si>
    <t>Protocadherin gamma-A6</t>
  </si>
  <si>
    <t>PCDHGA6</t>
  </si>
  <si>
    <t>ENSG00000253731</t>
  </si>
  <si>
    <t>ENSP00000429601</t>
  </si>
  <si>
    <t>81;419;545;685;901</t>
  </si>
  <si>
    <t>UniRef100_Q9Y5G7;UniRef90_Q9Y5G7;UniRef50_Q9Y5G4</t>
  </si>
  <si>
    <t>PCDG5_HUMAN</t>
  </si>
  <si>
    <t>Protocadherin gamma-A5</t>
  </si>
  <si>
    <t>PCDHGA5</t>
  </si>
  <si>
    <t>SP:1-29;NC:30-689;TM:690-714;CY:715-931</t>
  </si>
  <si>
    <t>ENSG00000253485</t>
  </si>
  <si>
    <t>ENSP00000429834</t>
  </si>
  <si>
    <t>419;545;900</t>
  </si>
  <si>
    <t>UniRef100_Q9Y5G8;UniRef90_Q9Y5G8;UniRef50_O60330</t>
  </si>
  <si>
    <t>PCDG4_HUMAN</t>
  </si>
  <si>
    <t>Protocadherin gamma-A4</t>
  </si>
  <si>
    <t>PCDHGA4</t>
  </si>
  <si>
    <t>SP:1-28;NC:29-689;TM:690-714;CY:715-931</t>
  </si>
  <si>
    <t>UniRef100_Q9Y5G9;UniRef90_Q9Y5G9;UniRef50_O60330</t>
  </si>
  <si>
    <t>PCDG3_HUMAN</t>
  </si>
  <si>
    <t>Protocadherin gamma-A3</t>
  </si>
  <si>
    <t>PCDHGA3</t>
  </si>
  <si>
    <t>ENSG00000254245</t>
  </si>
  <si>
    <t>ENSP00000253812</t>
  </si>
  <si>
    <t>265;419;545;685;901</t>
  </si>
  <si>
    <t>UniRef100_Q9Y5H0;UniRef90_Q9Y5H0;UniRef50_O60330</t>
  </si>
  <si>
    <t>PCDG2_HUMAN</t>
  </si>
  <si>
    <t>Protocadherin gamma-A2</t>
  </si>
  <si>
    <t>PCDHGA2</t>
  </si>
  <si>
    <t>SP:1-28;NC:29-689;TM:690-713;CY:714-932</t>
  </si>
  <si>
    <t>ENSG00000081853</t>
  </si>
  <si>
    <t>ENSP00000378077</t>
  </si>
  <si>
    <t>419;545;685;901</t>
  </si>
  <si>
    <t>UniRef100_Q9Y5H1;UniRef90_Q9Y5H1;UniRef50_Q9Y5G4</t>
  </si>
  <si>
    <t>PCDGB_HUMAN</t>
  </si>
  <si>
    <t>Protocadherin gamma-A11</t>
  </si>
  <si>
    <t>PCDHGA11</t>
  </si>
  <si>
    <t>SP:1-29;NC:30-690;TM:691-715;CY:716-935</t>
  </si>
  <si>
    <t>ENSG00000253873</t>
  </si>
  <si>
    <t>ENSP00000381589</t>
  </si>
  <si>
    <t>48;255;266;420;546;904</t>
  </si>
  <si>
    <t>UniRef100_Q9Y5H2;UniRef90_Q9Y5H2;UniRef50_O60330</t>
  </si>
  <si>
    <t>PCDGA_HUMAN</t>
  </si>
  <si>
    <t>Protocadherin gamma-A10</t>
  </si>
  <si>
    <t>PCDHGA10</t>
  </si>
  <si>
    <t>SP:1-32;NC:33-693;TM:694-717;CY:718-936</t>
  </si>
  <si>
    <t>ENSG00000253846</t>
  </si>
  <si>
    <t>ENSP00000381611</t>
  </si>
  <si>
    <t>6;51;423;549;905</t>
  </si>
  <si>
    <t>UniRef100_Q9Y5H3;UniRef90_Q9Y5H3;UniRef50_O60330</t>
  </si>
  <si>
    <t>PCDG1_HUMAN</t>
  </si>
  <si>
    <t>Protocadherin gamma-A1</t>
  </si>
  <si>
    <t>PCDHGA1</t>
  </si>
  <si>
    <t>SP:1-28;NC:29-689;TM:690-713;CY:714-931</t>
  </si>
  <si>
    <t>ENSG00000204956</t>
  </si>
  <si>
    <t>ENSP00000431083</t>
  </si>
  <si>
    <t>265;419;545;685;900</t>
  </si>
  <si>
    <t>UniRef100_Q9Y5H4;UniRef90_Q9Y5H4;UniRef50_O60330</t>
  </si>
  <si>
    <t>PCDA9_HUMAN</t>
  </si>
  <si>
    <t>Protocadherin alpha-9</t>
  </si>
  <si>
    <t>PCDHA9</t>
  </si>
  <si>
    <t>SP:1-28;NC:29-697;TM:698-720;CY:721-950</t>
  </si>
  <si>
    <t>ENSG00000204961</t>
  </si>
  <si>
    <t>ENSP00000436042</t>
  </si>
  <si>
    <t>254;265;548;932;942</t>
  </si>
  <si>
    <t>UniRef100_Q9Y5H5;UniRef90_Q9Y5H5;UniRef50_Q9Y5I3</t>
  </si>
  <si>
    <t>PCDA8_HUMAN</t>
  </si>
  <si>
    <t>Protocadherin alpha-8</t>
  </si>
  <si>
    <t>PCDHA8</t>
  </si>
  <si>
    <t>ENSG00000204962</t>
  </si>
  <si>
    <t>ENSP00000434655</t>
  </si>
  <si>
    <t>257;265;548;932;942</t>
  </si>
  <si>
    <t>257;548;932;942</t>
  </si>
  <si>
    <t>UniRef100_Q9Y5H6;UniRef90_Q9UN73;UniRef50_Q9Y5H9</t>
  </si>
  <si>
    <t>PCDA5_HUMAN</t>
  </si>
  <si>
    <t>Protocadherin alpha-5</t>
  </si>
  <si>
    <t>PCDHA5</t>
  </si>
  <si>
    <t>SP:1-27;NC:28-696;TM:697-718;CY:719-936</t>
  </si>
  <si>
    <t>ENSG00000204965</t>
  </si>
  <si>
    <t>ENSP00000436557</t>
  </si>
  <si>
    <t>264;547;918;928</t>
  </si>
  <si>
    <t>547;918;928</t>
  </si>
  <si>
    <t>UniRef100_Q9Y5H7;UniRef90_Q9Y5H7;UniRef50_Q9Y5H9</t>
  </si>
  <si>
    <t>PCDA3_HUMAN</t>
  </si>
  <si>
    <t>Protocadherin alpha-3</t>
  </si>
  <si>
    <t>PCDHA3</t>
  </si>
  <si>
    <t>ENSG00000255408</t>
  </si>
  <si>
    <t>ENSP00000429808</t>
  </si>
  <si>
    <t>UniRef100_Q9Y5H8;UniRef90_Q9Y5H8;UniRef50_Q9Y5H9</t>
  </si>
  <si>
    <t>PCDA2_HUMAN</t>
  </si>
  <si>
    <t>Protocadherin alpha-2</t>
  </si>
  <si>
    <t>PCDHA2</t>
  </si>
  <si>
    <t>SP:1-27;NC:28-697;TM:698-719;CY:720-948</t>
  </si>
  <si>
    <t>ENSG00000204969</t>
  </si>
  <si>
    <t>ENSP00000431748</t>
  </si>
  <si>
    <t>257;265;362;548;930;940</t>
  </si>
  <si>
    <t>257;548;930;940</t>
  </si>
  <si>
    <t>Alternative splicing;Calcium;Cell adhesion;Cell membrane;Complete proteome;Direct protein sequencing;Glycoprotein;Membrane;Polymorphism;Reference proteome;Repeat;Signal;Transmembrane;Transmembrane helix</t>
  </si>
  <si>
    <t>UniRef100_Q9Y5H9;UniRef90_Q9Y5H9;UniRef50_Q9Y5H9</t>
  </si>
  <si>
    <t>PCDAD_HUMAN</t>
  </si>
  <si>
    <t>Protocadherin alpha-13</t>
  </si>
  <si>
    <t>PCDHA13</t>
  </si>
  <si>
    <t>SP:1-29;NC:30-697;TM:698-719;CY:720-950</t>
  </si>
  <si>
    <t>ENSG00000239389</t>
  </si>
  <si>
    <t>ENSP00000289272</t>
  </si>
  <si>
    <t>UniRef100_Q9Y5I0;UniRef90_Q9Y5I0;UniRef50_Q9Y5H9</t>
  </si>
  <si>
    <t>PCDAB_HUMAN</t>
  </si>
  <si>
    <t>Protocadherin alpha-11</t>
  </si>
  <si>
    <t>PCDHA11</t>
  </si>
  <si>
    <t>SP:1-28;NC:29-696;TM:697-719;CY:720-949</t>
  </si>
  <si>
    <t>ENSG00000249158</t>
  </si>
  <si>
    <t>ENSP00000381636</t>
  </si>
  <si>
    <t>265;304;547;931;941</t>
  </si>
  <si>
    <t>VN[115]GTLDYEENKFYK</t>
  </si>
  <si>
    <t>Q9Y5I1</t>
  </si>
  <si>
    <t>UniRef100_Q9Y5I1;UniRef90_Q9Y5I1;UniRef50_Q9Y5H9</t>
  </si>
  <si>
    <t>PCDAA_HUMAN</t>
  </si>
  <si>
    <t>Protocadherin alpha-10</t>
  </si>
  <si>
    <t>PCDHA10</t>
  </si>
  <si>
    <t>SP:1-27;NC:28-695;TM:696-717;CY:718-948</t>
  </si>
  <si>
    <t>ENSG00000250120</t>
  </si>
  <si>
    <t>ENSP00000304234</t>
  </si>
  <si>
    <t>256;264;547;930;940</t>
  </si>
  <si>
    <t>LN[115]ASDSDEGINK</t>
  </si>
  <si>
    <t>Q9Y5I2</t>
  </si>
  <si>
    <t>UniRef100_Q9Y5I2;UniRef90_Q9Y5I2;UniRef50_Q9Y5I2</t>
  </si>
  <si>
    <t>PCDA1_HUMAN</t>
  </si>
  <si>
    <t>Protocadherin alpha-1</t>
  </si>
  <si>
    <t>PCDHA1</t>
  </si>
  <si>
    <t>ENSG00000204970</t>
  </si>
  <si>
    <t>ENSP00000420840</t>
  </si>
  <si>
    <t>257;265;548;781;932;942</t>
  </si>
  <si>
    <t>UniRef100_Q9Y5I3;UniRef90_Q9Y5I3;UniRef50_Q9Y5I3</t>
  </si>
  <si>
    <t>PCDC2_HUMAN</t>
  </si>
  <si>
    <t>Protocadherin alpha-C2</t>
  </si>
  <si>
    <t>PCDHAC2</t>
  </si>
  <si>
    <t>SP:1-42;NC:43-704;TM:705-728;CY:729-1007</t>
  </si>
  <si>
    <t>ENSG00000243232</t>
  </si>
  <si>
    <t>ENSP00000289269</t>
  </si>
  <si>
    <t>280;377;436;586;657;784;831;989;999</t>
  </si>
  <si>
    <t>377;436;657;831;989;999</t>
  </si>
  <si>
    <t>UniRef100_Q9Y5I4;UniRef90_Q9Y5I4;UniRef50_Q9Y5I4</t>
  </si>
  <si>
    <t>CLD16_HUMAN</t>
  </si>
  <si>
    <t>Claudin-16</t>
  </si>
  <si>
    <t>CLDN16</t>
  </si>
  <si>
    <t>CY:1-73;TM:74-95;NC:96-149;TM:150-172;CY:173-184;TM:185-209;NC:210-236;TM:237-260;CY:261-305</t>
  </si>
  <si>
    <t>ENSG00000113946</t>
  </si>
  <si>
    <t>ENSP00000264734</t>
  </si>
  <si>
    <t>95;99;117;118;207;234;237</t>
  </si>
  <si>
    <t>Cell junction;Cell membrane;Complete proteome;Disease mutation;Ion transport;Magnesium;Membrane;Primary hypomagnesemia;Reference proteome;Tight junction;Transmembrane;Transmembrane helix;Transport</t>
  </si>
  <si>
    <t>UniRef100_Q9Y5I7;UniRef90_Q9Y5I7;UniRef50_Q9Y5I7</t>
  </si>
  <si>
    <t>HRH3_HUMAN</t>
  </si>
  <si>
    <t>Histamine H3 receptor</t>
  </si>
  <si>
    <t>HRH3</t>
  </si>
  <si>
    <t>NC:1-35;TM:36-60;CY:61-71;TM:72-93;NC:94-109;TM:110-130;CY:131-155;TM:156-176;NC:177-195;TM:196-223;CY:224-356;TM:357-380;NC:381-395;TM:396-415;CY:416-445</t>
  </si>
  <si>
    <t>ENSG00000101180</t>
  </si>
  <si>
    <t>ENSP00000342560</t>
  </si>
  <si>
    <t>11;218</t>
  </si>
  <si>
    <t>259;399</t>
  </si>
  <si>
    <t>UniRef100_Q9Y5N1;UniRef90_Q9Y5N1;UniRef50_Q9QYN8</t>
  </si>
  <si>
    <t>DB00370;DB00667;DB06698</t>
  </si>
  <si>
    <t>O51B4_HUMAN</t>
  </si>
  <si>
    <t>Olfactory receptor 51B4</t>
  </si>
  <si>
    <t>OR51B4</t>
  </si>
  <si>
    <t>NC:1-23;TM:24-46;CY:47-57;TM:58-79;NC:80-98;TM:99-120;CY:121-140;TM:141-161;NC:162-196;TM:197-218;CY:219-237;TM:238-259;NC:260-269;TM:270-291;CY:292-310</t>
  </si>
  <si>
    <t>ENSG00000183251</t>
  </si>
  <si>
    <t>ENSP00000369573</t>
  </si>
  <si>
    <t>UniRef100_Q9Y5P0;UniRef90_Q9Y5P0;UniRef50_Q9Y5P0</t>
  </si>
  <si>
    <t>O51B2_HUMAN</t>
  </si>
  <si>
    <t>Olfactory receptor 51B2</t>
  </si>
  <si>
    <t>OR51B2</t>
  </si>
  <si>
    <t>NC:1-23;TM:24-46;CY:47-57;TM:58-77;NC:78-97;TM:98-118;CY:119-138;TM:139-159;NC:160-196;TM:197-219;CY:220-238;TM:239-260;NC:261-271;TM:272-291;CY:292-312</t>
  </si>
  <si>
    <t>ENSG00000184881;ENSG00000279012</t>
  </si>
  <si>
    <t>ENSP00000327540;ENSP00000485415;ENSP00000485407</t>
  </si>
  <si>
    <t>UniRef100_Q9Y5P1;UniRef90_Q9Y5P1;UniRef50_Q9H339</t>
  </si>
  <si>
    <t>CORIN_HUMAN</t>
  </si>
  <si>
    <t>Atrial natriuretic peptide-converting enzyme</t>
  </si>
  <si>
    <t>CORIN</t>
  </si>
  <si>
    <t>CY:1-45;TM:46-69;NC:70-1042</t>
  </si>
  <si>
    <t>ENSG00000145244</t>
  </si>
  <si>
    <t>ENSP00000273857</t>
  </si>
  <si>
    <t>80;104;135;141;231;245;251;305;320;376;413;446;451;469;567;651;697;761;1022</t>
  </si>
  <si>
    <t>80;104;135;141;231;245;251;305;320;343;376;413;446;451;469;567;651;697;761;1022</t>
  </si>
  <si>
    <t>110;111;233;258;322;472;808</t>
  </si>
  <si>
    <t>121;234;298;360;489;551;622;673;687;718;750;757;813;815;837;854;919;931;998;1006;1029</t>
  </si>
  <si>
    <t>Cell membrane (Single- pass type II membrane protein);Secreted;Secreted;Secreted;Cell membrane (Single-pass type II membrane protein)</t>
  </si>
  <si>
    <t>Alternative splicing;Autocatalytic cleavage;Cell membrane;Complete proteome;Disulfide bond;Glycoprotein;Hydrolase;Membrane;Polymorphism;Protease;Reference proteome;Repeat;Secreted;Serine protease;Signal-anchor;Transmembrane;Transmembrane helix;Zymogen</t>
  </si>
  <si>
    <t>UniRef100_Q9Y5Q5;UniRef90_Q9Y5Q5;UniRef50_Q9Y5Q5</t>
  </si>
  <si>
    <t>TRPV2_HUMAN</t>
  </si>
  <si>
    <t>Transient receptor potential cation channel subfamily V member 2</t>
  </si>
  <si>
    <t>TRPV2</t>
  </si>
  <si>
    <t>CY:1-390;TM:391-411;NC:412-434;TM:435-455;CY:456-471;TM:472-492;NC:493-493;TM:494-514;CY:515-537;TM:538-558;NC:559-571;IM:572-609;NC:610-621;TM:622-642;CY:643-764</t>
  </si>
  <si>
    <t>ENSG00000187688</t>
  </si>
  <si>
    <t>ENSP00000342222</t>
  </si>
  <si>
    <t>452;657;711</t>
  </si>
  <si>
    <t>APTGPN[115]ATESVQPMEGQEDEGNGAQYR;APTGPN[115]ATESVQPMEGQEDEGN[115]GAQYR</t>
  </si>
  <si>
    <t>Q9Y5S1</t>
  </si>
  <si>
    <t>Cell membrane (Multi-pass membrane protein);Cytoplasm;Melanosome</t>
  </si>
  <si>
    <t>3D-structure;ANK repeat;Calcium;Calcium channel;Calcium transport;Cell membrane;Complete proteome;Cytoplasm;Glycoprotein;Ion channel;Ion transport;Membrane;Phosphoprotein;Polymorphism;Reference proteome;Repeat;Transmembrane;Transmembrane helix;Transport</t>
  </si>
  <si>
    <t>UniRef100_Q9Y5S1;UniRef90_Q9Y5S1;UniRef50_Q9WTR1</t>
  </si>
  <si>
    <t>TNR18_HUMAN</t>
  </si>
  <si>
    <t>Tumor necrosis factor receptor superfamily member 18</t>
  </si>
  <si>
    <t>TNFRSF18</t>
  </si>
  <si>
    <t>SP:1-25;NC:26-163;TM:164-187;CY:188-241</t>
  </si>
  <si>
    <t>ENSG00000186891</t>
  </si>
  <si>
    <t>ENSP00000368570</t>
  </si>
  <si>
    <t>CD357</t>
  </si>
  <si>
    <t>211;212;217</t>
  </si>
  <si>
    <t>Alternative splicing;Apoptosis;Cell membrane;Complete proteome;Direct protein sequencing;Disulfide bond;Glycoprotein;Membrane;Polymorphism;Receptor;Reference proteome;Repeat;Secreted;Signal;Transmembrane;Transmembrane helix</t>
  </si>
  <si>
    <t>UniRef100_Q9Y5U5;UniRef90_Q9Y5U5;UniRef50_Q9Y5U5</t>
  </si>
  <si>
    <t>NPFF2_HUMAN</t>
  </si>
  <si>
    <t>Neuropeptide FF receptor 2</t>
  </si>
  <si>
    <t>NPFFR2</t>
  </si>
  <si>
    <t>NC:1-146;TM:147-172;CY:173-183;TM:184-205;NC:206-224;TM:225-243;CY:244-262;TM:263-284;NC:285-319;TM:320-341;CY:342-376;TM:377-396;NC:397-414;TM:415-438;CY:439-522</t>
  </si>
  <si>
    <t>ENSG00000056291</t>
  </si>
  <si>
    <t>ENSP00000307822</t>
  </si>
  <si>
    <t>110;122;133;300;427;476;518</t>
  </si>
  <si>
    <t>122;133;300</t>
  </si>
  <si>
    <t>UniRef100_Q9Y5X5;UniRef90_Q9Y5X5;UniRef50_Q9Y5X5</t>
  </si>
  <si>
    <t>FLVC1_HUMAN</t>
  </si>
  <si>
    <t>Feline leukemia virus subgroup C receptor-related protein 1</t>
  </si>
  <si>
    <t>FLVCR1</t>
  </si>
  <si>
    <t>CY:1-107;TM:108-128;NC:129-147;TM:148-168;CY:169-174;TM:175-192;NC:193-198;TM:199-220;CY:221-236;TM:237-257;NC:258-275;TM:276-296;CY:297-331;TM:332-351;NC:352-370;TM:371-392;CY:393-401;TM:402-419;NC:420-424;TM:425-445;CY:446-462;TM:463-480;NC:481-491;TM:492-511;CY:512-555</t>
  </si>
  <si>
    <t>ENSG00000162769</t>
  </si>
  <si>
    <t>ENSP00000355938</t>
  </si>
  <si>
    <t>265;273;467</t>
  </si>
  <si>
    <t>Alternative splicing;Cell membrane;Complete proteome;Disease mutation;Erythrocyte maturation;Glycoprotein;Membrane;Mitochondrion;Neurodegeneration;Phosphoprotein;Polymorphism;Receptor;Reference proteome;Retinitis pigmentosa;Transmembrane;Transmembrane helix;Transport</t>
  </si>
  <si>
    <t>UniRef100_Q9Y5Y0;UniRef90_Q9Y5Y0;UniRef50_Q9Y5Y0</t>
  </si>
  <si>
    <t>GPR45_HUMAN</t>
  </si>
  <si>
    <t>Probable G-protein coupled receptor 45</t>
  </si>
  <si>
    <t>GPR45</t>
  </si>
  <si>
    <t>NC:1-34;TM:35-60;CY:61-71;TM:72-98;NC:99-111;TM:112-130;CY:131-149;TM:150-171;NC:172-193;TM:194-218;CY:219-265;TM:266-289;NC:290-300;TM:301-324;CY:325-372</t>
  </si>
  <si>
    <t>ENSG00000135973</t>
  </si>
  <si>
    <t>ENSP00000258456</t>
  </si>
  <si>
    <t>4;17;20;231;368</t>
  </si>
  <si>
    <t>UniRef100_Q9Y5Y3;UniRef90_Q9Y5Y3;UniRef50_Q9Y5Y3</t>
  </si>
  <si>
    <t>PD2R2_HUMAN</t>
  </si>
  <si>
    <t>Prostaglandin D2 receptor 2</t>
  </si>
  <si>
    <t>PTGDR2</t>
  </si>
  <si>
    <t>NC:1-34;TM:35-57;CY:58-68;TM:69-91;NC:92-108;TM:109-127;CY:128-147;TM:148-169;NC:170-210;TM:211-232;CY:233-243;TM:244-265;NC:266-284;TM:285-307;CY:308-395</t>
  </si>
  <si>
    <t>ENSG00000183134</t>
  </si>
  <si>
    <t>ENSP00000332812</t>
  </si>
  <si>
    <t>CD294</t>
  </si>
  <si>
    <t>4;25</t>
  </si>
  <si>
    <t>LQSHSN[115]TSIR</t>
  </si>
  <si>
    <t>Q9Y5Y4</t>
  </si>
  <si>
    <t>UniRef100_Q9Y5Y4;UniRef90_Q9Y5Y4;UniRef50_Q9Y5Y4</t>
  </si>
  <si>
    <t>DB00328;DB00605</t>
  </si>
  <si>
    <t>LYVE1_HUMAN</t>
  </si>
  <si>
    <t>Lymphatic vessel endothelial hyaluronic acid receptor 1</t>
  </si>
  <si>
    <t>LYVE1</t>
  </si>
  <si>
    <t>SP:1-19;NC:20-237;TM:238-259;CY:260-322</t>
  </si>
  <si>
    <t>ENSG00000133800</t>
  </si>
  <si>
    <t>ENSP00000256178</t>
  </si>
  <si>
    <t>53;130;289</t>
  </si>
  <si>
    <t>170;176;177;182;183;184;190;191;192;210;211;214</t>
  </si>
  <si>
    <t>Complete proteome;Disulfide bond;Glycoprotein;Membrane;Polymorphism;Receptor;Reference proteome;Signal;Transmembrane;Transmembrane helix;Transport</t>
  </si>
  <si>
    <t>UniRef100_Q9Y5Y7;UniRef90_Q9Y5Y7;UniRef50_Q9Y5Y7</t>
  </si>
  <si>
    <t>SCNAA_HUMAN</t>
  </si>
  <si>
    <t>Sodium channel protein type 10 subunit alpha</t>
  </si>
  <si>
    <t>SCN10A</t>
  </si>
  <si>
    <t>NC:1-127;TM:128-146;CY:147-157;TM:158-177;NC:178-188;TM:189-210;CY:211-221;TM:222-243;NC:244-248;TM:249-268;CY:269-371;TM:372-398;NC:399-664;TM:665-683;CY:684-694;TM:695-717;NC:718-728;TM:729-747;CY:748-783;TM:784-805;NC:806-834;TM:835-854;CY:855-864;TM:865-890;NC:891-1152;TM:1153-1172;CY:1173-1190;TM:1191-1208;NC:1209-1218;TM:1219-1238;CY:1239-1268;TM:1269-1295;NC:1296-1393;TM:1394-1418;CY:1419-1471;TM:1472-1494;NC:1495-1510;TM:1511-1529;CY:1530-1540;TM:1541-1560;NC:1561-1565;TM:1566-1584;CY:1585-1595;TM:1596-1624;NC:1625-1695;TM:1696-1720;CY:1721-1956</t>
  </si>
  <si>
    <t>ENSG00000185313</t>
  </si>
  <si>
    <t>ENSP00000390600</t>
  </si>
  <si>
    <t>284;288;312;335;446;454;474;789;819;897;1227;1312;1328;1336;1686;1833</t>
  </si>
  <si>
    <t>Complete proteome;Disease mutation;Glycoprotein;Ion channel;Ion transport;Membrane;Phosphoprotein;Polymorphism;Reference proteome;Repeat;Sodium;Sodium channel;Sodium transport;Transmembrane;Transmembrane helix;Transport;Ubl conjugation;Voltage-gated channel</t>
  </si>
  <si>
    <t>UniRef100_Q9Y5Y9;UniRef90_Q9Y5Y9;UniRef50_Q9Y5Y9</t>
  </si>
  <si>
    <t>DB00281;DB00296;DB00297;DB00473;DB00527;DB00645;DB00721;DB00807;DB00892;DB00907;DB00961;DB01002;DB01086;DB01161;DB01173;DB06218;DB00313</t>
  </si>
  <si>
    <t>BACE2_HUMAN</t>
  </si>
  <si>
    <t>Beta-secretase 2</t>
  </si>
  <si>
    <t>BACE2</t>
  </si>
  <si>
    <t>SP:1-20;NC:21-469;TM:470-492;CY:493-518</t>
  </si>
  <si>
    <t>ENSG00000182240</t>
  </si>
  <si>
    <t>ENSP00000332979</t>
  </si>
  <si>
    <t>170;366</t>
  </si>
  <si>
    <t>Cell surface;Endoplasmic reticulum;Endosome;Golgi apparatus;Membrane (Single-pass type I membrane protein)</t>
  </si>
  <si>
    <t>3D-structure;Alternative splicing;Aspartyl protease;Autocatalytic cleavage;Complete proteome;Direct protein sequencing;Disulfide bond;Endoplasmic reticulum;Endosome;Glycoprotein;Golgi apparatus;Hydrolase;Membrane;Protease;Reference proteome;Signal;Transmembrane;Transmembrane helix;Zymogen</t>
  </si>
  <si>
    <t>UniRef100_Q9Y5Z0;UniRef90_Q9Y5Z0;UniRef50_Q9Y5Z0</t>
  </si>
  <si>
    <t>Endoplasmic Reticulum;Endosome;Golgi apparatus</t>
  </si>
  <si>
    <t>JAM1_HUMAN</t>
  </si>
  <si>
    <t>Junctional adhesion molecule A</t>
  </si>
  <si>
    <t>F11R</t>
  </si>
  <si>
    <t>SP:1-27;NC:28-236;TM:237-261;CY:262-299</t>
  </si>
  <si>
    <t>ENSG00000158769</t>
  </si>
  <si>
    <t>ENSP00000357005</t>
  </si>
  <si>
    <t>CD321</t>
  </si>
  <si>
    <t>136;141;175;180;274;281</t>
  </si>
  <si>
    <t>AFSN[115]SSYVLNPTTGELVFDPL;AFSN[115]SSYVLNPTTGELVFDPLSASDTGEYSCEAR;AFSN[115]SSYVLN[115]PTTGELVFDPL;AFSN[115]SSYVLN[115]PTTGELVFDPLSASDTGEYSCEAR</t>
  </si>
  <si>
    <t>Q9Y624</t>
  </si>
  <si>
    <t>3D-structure;Alternative splicing;Cell junction;Cell membrane;Complete proteome;Direct protein sequencing;Disulfide bond;Glycoprotein;Host-virus interaction;Immunoglobulin domain;Membrane;Phosphoprotein;Reference proteome;Repeat;Signal;Tight junction;Transmembrane;Transmembrane helix</t>
  </si>
  <si>
    <t>UniRef100_Q9Y624;UniRef90_Q9Y624;UniRef50_Q9Y624</t>
  </si>
  <si>
    <t>GPC6_HUMAN</t>
  </si>
  <si>
    <t>Glypican-6</t>
  </si>
  <si>
    <t>GPC6</t>
  </si>
  <si>
    <t>SP:1-23;NC:24-555</t>
  </si>
  <si>
    <t>ENSG00000183098</t>
  </si>
  <si>
    <t>ENSP00000366246</t>
  </si>
  <si>
    <t>Cell membrane;Complete proteome;Dwarfism;Glycoprotein;GPI-anchor;Heparan sulfate;Lipoprotein;Membrane;Polymorphism;Proteoglycan;Reference proteome;Secreted;Signal</t>
  </si>
  <si>
    <t>UniRef100_Q9Y625;UniRef90_Q9Y625;UniRef50_Q9Y625</t>
  </si>
  <si>
    <t>NPTN_HUMAN</t>
  </si>
  <si>
    <t>Neuroplastin</t>
  </si>
  <si>
    <t>NPTN</t>
  </si>
  <si>
    <t>SP:1-28;NC:29-339;TM:340-360;CY:361-398</t>
  </si>
  <si>
    <t>ENSG00000156642</t>
  </si>
  <si>
    <t>ENSP00000342958</t>
  </si>
  <si>
    <t>171;197;229;284;296;317;382</t>
  </si>
  <si>
    <t>DSPVLPVTLQCN[115]LTSSSH;DSPVLPVTLQCN[115]LTSSSHTLTY;DSPVLPVTLQCN[115]LTSSSHTLTYSYWTK;NGVELSATRKN[115]ASNMEYR;NGVELSATRKN[115]ASN[115]MEYR;N[115]GVELSATRKN[115]ASNMEYR;ATRKN[115]ASNMEYR;KN[115]ASNMEYR;KN[115]ASNMEYRINKPR;KN[115]ASN[115]MEYR;N[115]ASNMEYR;N[115]ASNMEYRINKPR;AEDSGEYHCVYHFVSAPKAN[115]ATIEVK;APKAN[115]ATIEVK;AN[115]ATIEVK;AN[115]ATIEVKAAPDITGHK;KKENGMPMDIVN[115]TSGR;KKEN[115]GMPMDIVN[115]TSGR;KENGMPMDIVN[115]TSGR;KEN[115]GMPMDIVN[115]TSGR;ENGMPMDIVN[115]TSGR;EN[115]GMPMDIVN[115]TSGR;NGMPMDIVN[115]TSGR;GMPMDIVN[115]TSGR;PMDIVN[115]TSGR</t>
  </si>
  <si>
    <t>171;197;229;284</t>
  </si>
  <si>
    <t>Q9Y639</t>
  </si>
  <si>
    <t>Alternative splicing;Cell adhesion;Cell membrane;Complete proteome;Direct protein sequencing;Disulfide bond;Glycoprotein;Immunoglobulin domain;Membrane;Neurogenesis;Reference proteome;Repeat;Signal;Transmembrane;Transmembrane helix</t>
  </si>
  <si>
    <t>UniRef100_Q9Y639;UniRef90_P97546;UniRef50_P97546</t>
  </si>
  <si>
    <t>GPR56_HUMAN</t>
  </si>
  <si>
    <t>G-protein coupled receptor 56</t>
  </si>
  <si>
    <t>GPR56</t>
  </si>
  <si>
    <t>SP:1-25;NC:26-404;TM:405-427;CY:428-446;TM:447-468;NC:469-477;TM:478-495;CY:496-514;TM:515-537;NC:538-574;TM:575-597;CY:598-608;TM:609-631;NC:632-636;TM:637-659;CY:660-693</t>
  </si>
  <si>
    <t>ENSG00000205336</t>
  </si>
  <si>
    <t>ENSP00000456794;ENSP00000455215</t>
  </si>
  <si>
    <t>39;148;171;234;303;324;341</t>
  </si>
  <si>
    <t>39;234;324;341</t>
  </si>
  <si>
    <t>TFSFHSPPHTAAHN[115]ASVDMCELK;SFHSPPHTAAHN[115]ASVDMCELK;HSPPHTAAHN[115]ASVDMCELK;SPPHTAAHN[115]ASVDMCELK;HN[115]ASVDMCELK;FMGDMVSFEEDRIN[115]ATVWK;IN[115]ATVWK;LLLVDFSSQALFQDKN[115]SSQVLGEK;SSQALFQDKN[115]SSQVLGEK;ALFQDKN[115]SSQVLGEK;LFQDKN[115]SSQVLGEK;FQDKN[115]SSQVLGEK;N[115]SSQVLGEK;VAN[115]LTEPVVLTF;VAN[115]LTEPVVLTFQ;VAN[115]LTEPVVLTFQH;VAN[115]LTEPVVLTFQHQ;VAN[115]LTEPVVLTFQHQLQPK</t>
  </si>
  <si>
    <t>171;234;303;324</t>
  </si>
  <si>
    <t>Q9Y653</t>
  </si>
  <si>
    <t>Cell membrane (Multi-pass membrane protein);Secreted</t>
  </si>
  <si>
    <t>Alternative splicing;Cell adhesion;Cell membrane;Complete proteome;Developmental protein;Differentiation;Direct protein sequencing;Disease mutation;G-protein coupled receptor;Glycoprotein;Membrane;Neurogenesis;Polymorphism;Receptor;Reference proteome;Secreted;Signal;Transducer;Transmembrane;Transmembrane helix;Ubl conjugation</t>
  </si>
  <si>
    <t>UniRef100_Q9Y653;UniRef90_Q9Y653;UniRef50_Q9Y653</t>
  </si>
  <si>
    <t>S12A7_HUMAN</t>
  </si>
  <si>
    <t>Solute carrier family 12 member 7</t>
  </si>
  <si>
    <t>SLC12A7</t>
  </si>
  <si>
    <t>CY:1-117;TM:118-138;NC:139-143;TM:144-166;CY:167-213;TM:214-235;NC:236-250;TM:251-270;CY:271-276;TM:277-296;NC:297-415;TM:416-436;CY:437-455;TM:456-481;NC:482-493;TM:494-519;CY:520-555;TM:556-574;NC:575-579;TM:580-601;CY:602-620;TM:621-645;NC:646-847;TM:848-865;CY:866-1083</t>
  </si>
  <si>
    <t>ENSG00000113504</t>
  </si>
  <si>
    <t>ENSP00000264930</t>
  </si>
  <si>
    <t>4;91;94;312;331;344;360;439;1029</t>
  </si>
  <si>
    <t>4;91;312;360</t>
  </si>
  <si>
    <t>SAFDPPDIPVCLLGN[115]R</t>
  </si>
  <si>
    <t>Q9Y666</t>
  </si>
  <si>
    <t>Alternative splicing;Cell membrane;Complete proteome;Glycoprotein;Ion transport;Membrane;Phosphoprotein;Polymorphism;Potassium;Potassium transport;Reference proteome;Symport;Transmembrane;Transmembrane helix;Transport</t>
  </si>
  <si>
    <t>UniRef100_Q9Y666;UniRef90_Q9Y666;UniRef50_Q9Y666</t>
  </si>
  <si>
    <t>KCMB2_HUMAN</t>
  </si>
  <si>
    <t>Calcium-activated potassium channel subunit beta-2</t>
  </si>
  <si>
    <t>KCNMB2</t>
  </si>
  <si>
    <t>CY:1-47;TM:48-70;NC:71-198;TM:199-219;CY:220-235</t>
  </si>
  <si>
    <t>ENSG00000197584;ENSG00000275163</t>
  </si>
  <si>
    <t>ENSP00000351068;ENSP00000408252;ENSP00000407592;ENSP00000397483;ENSP00000483415</t>
  </si>
  <si>
    <t>88;96;119</t>
  </si>
  <si>
    <t>3D-structure;Complete proteome;Glycoprotein;Ion channel;Ion transport;Membrane;Reference proteome;Transmembrane;Transmembrane helix;Transport</t>
  </si>
  <si>
    <t>UniRef100_Q9Y691;UniRef90_Q9Y691;UniRef50_Q9Y691</t>
  </si>
  <si>
    <t>S22A7_HUMAN</t>
  </si>
  <si>
    <t>Solute carrier family 22 member 7</t>
  </si>
  <si>
    <t>SLC22A7</t>
  </si>
  <si>
    <t>NC:1-145;TM:146-165;CY:166-174;TM:175-198;NC:199-203;TM:204-223;CY:224-230;TM:231-253;NC:254-258;TM:259-278;CY:279-344;TM:345-364;NC:365-375;TM:376-397;CY:398-403;TM:404-423;NC:424-428;TM:429-453;CY:454-464;TM:465-484;NC:485-495;TM:496-512;CY:513-548</t>
  </si>
  <si>
    <t>ENSG00000137204</t>
  </si>
  <si>
    <t>ENSP00000361666</t>
  </si>
  <si>
    <t>57;91;358</t>
  </si>
  <si>
    <t>UniRef100_Q9Y694;UniRef90_Q9Y694;UniRef50_Q9Y694</t>
  </si>
  <si>
    <t>CCG2_HUMAN</t>
  </si>
  <si>
    <t>Voltage-dependent calcium channel gamma-2 subunit</t>
  </si>
  <si>
    <t>CACNG2</t>
  </si>
  <si>
    <t>CY:1-11;TM:12-33;NC:34-104;TM:105-125;CY:126-134;TM:135-158;NC:159-177;TM:178-202;CY:203-323</t>
  </si>
  <si>
    <t>ENSG00000166862</t>
  </si>
  <si>
    <t>ENSP00000300105</t>
  </si>
  <si>
    <t>33;64;178</t>
  </si>
  <si>
    <t>Calcium;Calcium channel;Calcium transport;Complete proteome;Disease mutation;Glycoprotein;Ion channel;Ion transport;Membrane;Mental retardation;Phosphoprotein;Reference proteome;Transmembrane;Transmembrane helix;Transport;Voltage-gated channel</t>
  </si>
  <si>
    <t>UniRef100_Q9Y698;UniRef90_O88602;UniRef50_O88602</t>
  </si>
  <si>
    <t>MRVI1_HUMAN</t>
  </si>
  <si>
    <t>Protein MRVI1</t>
  </si>
  <si>
    <t>MRVI1</t>
  </si>
  <si>
    <t>SP:1-28;NC:29-825;TM:826-845;CY:846-885</t>
  </si>
  <si>
    <t>ENSG00000072952</t>
  </si>
  <si>
    <t>187;284;479;519;536;637</t>
  </si>
  <si>
    <t>62;74;78;80;88;89;117;120;123;173;175;176;182;191;195;196;197;199;206;216;217;241;275;283;286;315;320;322;333;356;358;370;459;493;645;686;688;689;690;691;694</t>
  </si>
  <si>
    <t>Cytoplasm, perinuclear region;Membrane (Single-pass membrane protein);Sarcoplasmic reticulum</t>
  </si>
  <si>
    <t>Alternative splicing;Coiled coil;Complete proteome;Cytoplasm;Membrane;Phosphoprotein;Polymorphism;Reference proteome;Sarcoplasmic reticulum;Transmembrane;Transmembrane helix</t>
  </si>
  <si>
    <t>UniRef100_Q9Y6F6;UniRef90_Q9Y6F6;UniRef50_Q9Y6F6</t>
  </si>
  <si>
    <t>CXA3_HUMAN</t>
  </si>
  <si>
    <t>Gap junction alpha-3 protein</t>
  </si>
  <si>
    <t>GJA3</t>
  </si>
  <si>
    <t>CY:1-19;TM:20-41;NC:42-76;TM:77-100;CY:101-148;TM:149-170;NC:171-201;TM:202-223;CY:224-435</t>
  </si>
  <si>
    <t>ENSG00000121743</t>
  </si>
  <si>
    <t>ENSP00000241125</t>
  </si>
  <si>
    <t>Cataract;Cell junction;Cell membrane;Complete proteome;Disease mutation;Gap junction;Membrane;Polymorphism;Reference proteome;Transmembrane;Transmembrane helix</t>
  </si>
  <si>
    <t>UniRef100_Q9Y6H8;UniRef90_Q9Y6H8;UniRef50_Q9Y6H8</t>
  </si>
  <si>
    <t>SO1B1_HUMAN</t>
  </si>
  <si>
    <t>Solute carrier organic anion transporter family member 1B1</t>
  </si>
  <si>
    <t>SLCO1B1</t>
  </si>
  <si>
    <t>CY:1-28;TM:29-48;NC:49-65;TM:66-87;CY:88-95;TM:96-118;NC:119-169;TM:170-192;CY:193-210;TM:211-234;NC:235-256;TM:257-279;CY:280-336;TM:337-356;NC:357-375;TM:376-397;CY:398-406;TM:407-428;NC:429-534;TM:535-560;CY:561-570;TM:571-593;NC:594-623;TM:624-646;CY:647-691</t>
  </si>
  <si>
    <t>ENSG00000134538</t>
  </si>
  <si>
    <t>ENSP00000256958</t>
  </si>
  <si>
    <t>8;130;134;310;317;321;432;503;516;617;657;661</t>
  </si>
  <si>
    <t>8;134;310;317;321;617</t>
  </si>
  <si>
    <t>Cell membrane;Complete proteome;Disulfide bond;Glycoprotein;Ion transport;Membrane;Polymorphism;Reference proteome;Transmembrane;Transmembrane helix;Transport</t>
  </si>
  <si>
    <t>UniRef100_Q9Y6L6;UniRef90_Q9Y6L6;UniRef50_Q9Y6L6</t>
  </si>
  <si>
    <t>TEST_HUMAN</t>
  </si>
  <si>
    <t>Testisin</t>
  </si>
  <si>
    <t>PRSS21</t>
  </si>
  <si>
    <t>SP:1-19;NC:20-314</t>
  </si>
  <si>
    <t>ENSG00000007038</t>
  </si>
  <si>
    <t>ENSP00000005995</t>
  </si>
  <si>
    <t>167;200;273</t>
  </si>
  <si>
    <t>Alternative splicing;Cell membrane;Complete proteome;Disulfide bond;Glycoprotein;GPI-anchor;Hydrolase;Lipoprotein;Membrane;Polymorphism;Protease;Reference proteome;Serine protease;Signal;Zymogen</t>
  </si>
  <si>
    <t>UniRef100_Q9Y6M0;UniRef90_Q9Y6M0;UniRef50_Q9Y6M0</t>
  </si>
  <si>
    <t>ZNT1_HUMAN</t>
  </si>
  <si>
    <t>Zinc transporter 1</t>
  </si>
  <si>
    <t>SLC30A1</t>
  </si>
  <si>
    <t>CY:1-11;TM:12-30;NC:31-40;TM:41-61;CY:62-80;TM:81-101;NC:102-112;TM:113-134;CY:135-247;TM:248-271;NC:272-311;TM:312-333;CY:334-507</t>
  </si>
  <si>
    <t>ENSG00000170385</t>
  </si>
  <si>
    <t>ENSP00000355968</t>
  </si>
  <si>
    <t>SLC;Other;SLC30</t>
  </si>
  <si>
    <t>195;299</t>
  </si>
  <si>
    <t>Cell membrane;Complete proteome;Glycoprotein;Ion transport;Membrane;Phosphoprotein;Reference proteome;Repeat;Transmembrane;Transmembrane helix;Transport;Zinc;Zinc transport</t>
  </si>
  <si>
    <t>UniRef100_Q9Y6M5;UniRef90_Q9Y6M5;UniRef50_Q62720</t>
  </si>
  <si>
    <t>S4A7_HUMAN</t>
  </si>
  <si>
    <t>Sodium bicarbonate cotransporter 3</t>
  </si>
  <si>
    <t>SLC4A7</t>
  </si>
  <si>
    <t>NC:1-603;TM:604-630;CY:631-638;TM:639-659;NC:660-695;TM:696-719;CY:720-725;TM:726-744;NC:745-823;TM:824-842;CY:843-861;TM:862-880;NC:881-909;TM:910-929;CY:930-949;TM:950-974;NC:975-1009;TM:1010-1029;CY:1030-1035;TM:1036-1055;NC:1056-1089;TM:1090-1118;CY:1119-1214</t>
  </si>
  <si>
    <t>ENSG00000033867</t>
  </si>
  <si>
    <t>ENSP00000295736</t>
  </si>
  <si>
    <t>171;269;398;406;554;776;786;791;796</t>
  </si>
  <si>
    <t>LTSYSCVCTEPPNPSN[115]ETLAQWK;LTSYSCVCTEPPN[115]PSN[115]ETLAQWK;SCVCTEPPNPSN[115]ETLAQWK;SCVCTEPPN[115]PSN[115]ETLAQWK;TEPPNPSN[115]ETLAQWK;TEPPN[115]PSN[115]ETLAQWK;PPNPSN[115]ETLAQWK;PPN[115]PSN[115]ETLAQWK;PSN[115]ETLAQWK;KDN[115]ITAH;KDN[115]ITAHNISWR;KDN[115]ITAHN[115]ISWR;DNITAHN[115]ISWR;DN[115]ITAHNISWR;DN[115]ITAHN[115]ISWR;ITAHN[115]ISWR;TAHN[115]ISWR;N[115]LTVSECKK</t>
  </si>
  <si>
    <t>776;786;791;796</t>
  </si>
  <si>
    <t>Q9Y6M7</t>
  </si>
  <si>
    <t>Apical cell membrane (Multi-pass membrane protein);Basolateral cell membrane (Multi-pass membrane protein);Cell projection, stereocilium</t>
  </si>
  <si>
    <t>Alternative splicing;Cell membrane;Cell projection;Complete proteome;Glycoprotein;Ion transport;Membrane;Phosphoprotein;Polymorphism;Reference proteome;Sodium;Sodium transport;Symport;Transmembrane;Transmembrane helix;Transport</t>
  </si>
  <si>
    <t>UniRef100_Q9Y6M7;UniRef90_Q9Y6M7;UniRef50_Q9Y6M7</t>
  </si>
  <si>
    <t>ROBO1_HUMAN</t>
  </si>
  <si>
    <t>Roundabout homolog 1</t>
  </si>
  <si>
    <t>ROBO1</t>
  </si>
  <si>
    <t>SP:1-25;NC:26-897;TM:898-919;CY:920-1651</t>
  </si>
  <si>
    <t>ENSG00000169855</t>
  </si>
  <si>
    <t>ENSP00000420321</t>
  </si>
  <si>
    <t>160;463;790;820;827;966;1005;1082;1089;1129;1139;1151;1203;1382;1449</t>
  </si>
  <si>
    <t>160;175;463;682;790;820;827;966;1005;1065;1082;1089;1129;1139;1151;1203;1382;1449</t>
  </si>
  <si>
    <t>NYLGEAVSHN[115]ASLEVAILR;VWCLGN[115]ETR</t>
  </si>
  <si>
    <t>160;820</t>
  </si>
  <si>
    <t>Q9Y6N7</t>
  </si>
  <si>
    <t>3D-structure;Alternative splicing;Chemotaxis;Complete proteome;Developmental protein;Differentiation;Disulfide bond;Glycoprotein;Immunoglobulin domain;Membrane;Neurogenesis;Phosphoprotein;Polymorphism;Receptor;Reference proteome;Repeat;Signal;Transmembrane;Transmembrane helix;Ubl conjugation</t>
  </si>
  <si>
    <t>UniRef100_Q9Y6N7;UniRef90_Q9Y6N7;UniRef50_Q9Y6N7</t>
  </si>
  <si>
    <t>CAD10_HUMAN</t>
  </si>
  <si>
    <t>Cadherin-10</t>
  </si>
  <si>
    <t>CDH10</t>
  </si>
  <si>
    <t>SP:1-22;NC:23-611;TM:612-634;CY:635-788</t>
  </si>
  <si>
    <t>ENSG00000040731</t>
  </si>
  <si>
    <t>ENSP00000264463</t>
  </si>
  <si>
    <t>256;438;456;534;741</t>
  </si>
  <si>
    <t>IFNIHSGN[115]GSLY;IFNIHSGN[115]GSLYTSK;IFNIHSGN[115]GSLYTSKPLDR;ELSQWHN[115]LTVIAAEINNPK</t>
  </si>
  <si>
    <t>438;456</t>
  </si>
  <si>
    <t>Q9Y6N8</t>
  </si>
  <si>
    <t>Calcium;Cell adhesion;Cell membrane;Cleavage on pair of basic residues;Complete proteome;Glycoprotein;Membrane;Metal-binding;Phosphoprotein;Polymorphism;Reference proteome;Repeat;Signal;Transmembrane;Transmembrane helix</t>
  </si>
  <si>
    <t>UniRef100_Q9Y6N8;UniRef90_Q9Y6N8;UniRef50_P55285</t>
  </si>
  <si>
    <t>TNR11_HUMAN</t>
  </si>
  <si>
    <t>Tumor necrosis factor receptor superfamily member 11A</t>
  </si>
  <si>
    <t>TNFRSF11A</t>
  </si>
  <si>
    <t>SP:1-27;NC:28-208;TM:209-234;CY:235-616</t>
  </si>
  <si>
    <t>ENSG00000141655</t>
  </si>
  <si>
    <t>ENSP00000465500</t>
  </si>
  <si>
    <t>CD265</t>
  </si>
  <si>
    <t>105;174;383;403;524;530</t>
  </si>
  <si>
    <t>105;174;403;524;530</t>
  </si>
  <si>
    <t>ALVAVVAGN[115]STTPR;VAVVAGN[115]STTPR</t>
  </si>
  <si>
    <t>Q9Y6Q6</t>
  </si>
  <si>
    <t>Cell membrane (Single-pass type I membrane protein);Cell membrane (Single-pass type I membrane protein)</t>
  </si>
  <si>
    <t>3D-structure;Alternative splicing;Cell membrane;Complete proteome;Deafness;Disease mutation;Disulfide bond;Glycoprotein;Membrane;Metal-binding;Osteopetrosis;Polymorphism;Receptor;Reference proteome;Repeat;Signal;Sodium;Transmembrane;Transmembrane helix</t>
  </si>
  <si>
    <t>UniRef100_Q9Y6Q6;UniRef90_Q9Y6Q6;UniRef50_Q9Y6Q6</t>
  </si>
  <si>
    <t>S4A4_HUMAN</t>
  </si>
  <si>
    <t>Electrogenic sodium bicarbonate cotransporter 1</t>
  </si>
  <si>
    <t>SLC4A4</t>
  </si>
  <si>
    <t>CY:1-468;TM:469-491;NC:492-503;TM:504-527;CY:528-552;TM:553-579;NC:580-687;TM:688-710;CY:711-726;TM:727-748;NC:749-776;TM:777-797;CY:798-817;TM:818-842;NC:843-877;TM:878-900;CY:901-949;TM:950-967;NC:968-972;TM:973-990;CY:991-1079</t>
  </si>
  <si>
    <t>ENSG00000080493</t>
  </si>
  <si>
    <t>ENSP00000264485</t>
  </si>
  <si>
    <t>63;243;252;541;636;641;661</t>
  </si>
  <si>
    <t>252;641;661</t>
  </si>
  <si>
    <t>Alternative splicing;Cell membrane;Complete proteome;Disease mutation;Glycoprotein;Ion transport;Membrane;Phosphoprotein;Reference proteome;Retinitis pigmentosa;Sodium;Sodium transport;Symport;Transmembrane;Transmembrane helix;Transport</t>
  </si>
  <si>
    <t>UniRef100_Q9Y6R1;UniRef90_Q9Y6R1;UniRef50_Q9Y6R1</t>
  </si>
  <si>
    <t>ICOS_HUMAN</t>
  </si>
  <si>
    <t>Inducible T-cell costimulator</t>
  </si>
  <si>
    <t>ICOS</t>
  </si>
  <si>
    <t>SP:1-20;NC:21-140;TM:141-164;CY:165-199</t>
  </si>
  <si>
    <t>ENSG00000163600</t>
  </si>
  <si>
    <t>ENSP00000319476</t>
  </si>
  <si>
    <t>CD278</t>
  </si>
  <si>
    <t>23;89;110</t>
  </si>
  <si>
    <t>Alternative splicing;Cell membrane;Complete proteome;Direct protein sequencing;Disulfide bond;Glycoprotein;Immunoglobulin domain;Membrane;Reference proteome;Secreted;Signal;Transmembrane;Transmembrane helix</t>
  </si>
  <si>
    <t>UniRef100_Q9Y6W8;UniRef90_Q9Y6W8;UniRef50_Q9Y6W8</t>
  </si>
  <si>
    <t>ENPP4_HUMAN</t>
  </si>
  <si>
    <t>Bis(5'-adenosyl)-triphosphatase ENPP4</t>
  </si>
  <si>
    <t>ENPP4</t>
  </si>
  <si>
    <t>SP:1-18;NC:19-406;TM:407-428;CY:429-453</t>
  </si>
  <si>
    <t>ENSG00000001561</t>
  </si>
  <si>
    <t>ENSP00000318066</t>
  </si>
  <si>
    <t>128;155;166;172;202;276;286;327;386</t>
  </si>
  <si>
    <t>YGPEDKEN[115]MSR;IN[115]RTEVYNK</t>
  </si>
  <si>
    <t>202;276</t>
  </si>
  <si>
    <t>Q9Y6X5</t>
  </si>
  <si>
    <t>3D-structure;Blood coagulation;Cell membrane;Complete proteome;Disulfide bond;Glycoprotein;Hemostasis;Hydrolase;Membrane;Metal-binding;Polymorphism;Reference proteome;Signal;Transmembrane;Transmembrane helix;Zinc</t>
  </si>
  <si>
    <t>UniRef100_Q9Y6X5;UniRef90_Q9Y6X5;UniRef50_Q9Y6X5</t>
  </si>
  <si>
    <t>MembranomeAlmenMainClass</t>
  </si>
  <si>
    <t>UniProt_name</t>
  </si>
  <si>
    <t>MembranomeAlmenSubClass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</si>
</sst>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EC8C-D799-4B95-BE1F-EC072077E916}">
  <dimension ref="A1:AM2887"/>
  <sheetViews>
    <sheetView tabSelected="1" topLeftCell="O1" workbookViewId="0">
      <selection activeCell="T2" sqref="T2"/>
    </sheetView>
  </sheetViews>
  <sheetFormatPr defaultColWidth="10.6640625" defaultRowHeight="15.5" x14ac:dyDescent="0.35"/>
  <cols>
    <col min="1" max="1" width="25.6640625" customWidth="1"/>
    <col min="2" max="9" width="10.6640625" customWidth="1"/>
    <col min="10" max="10" width="12.83203125" customWidth="1"/>
    <col min="11" max="12" width="10.6640625" customWidth="1"/>
    <col min="13" max="13" width="17.83203125" customWidth="1"/>
    <col min="14" max="14" width="10.6640625" customWidth="1"/>
    <col min="15" max="15" width="21.83203125" customWidth="1"/>
    <col min="16" max="18" width="10.6640625" customWidth="1"/>
    <col min="19" max="20" width="15.1640625" customWidth="1"/>
    <col min="21" max="26" width="10.6640625" customWidth="1"/>
    <col min="27" max="27" width="14.1640625" customWidth="1"/>
    <col min="28" max="34" width="10.6640625" customWidth="1"/>
    <col min="35" max="35" width="18" customWidth="1"/>
    <col min="36" max="36" width="19.6640625" customWidth="1"/>
    <col min="37" max="37" width="10.6640625" customWidth="1"/>
    <col min="38" max="38" width="17.1640625" customWidth="1"/>
    <col min="257" max="257" width="25.6640625" customWidth="1"/>
    <col min="266" max="266" width="12.83203125" customWidth="1"/>
    <col min="269" max="269" width="17.83203125" customWidth="1"/>
    <col min="271" max="271" width="21.83203125" customWidth="1"/>
    <col min="275" max="276" width="15.1640625" customWidth="1"/>
    <col min="283" max="283" width="14.1640625" customWidth="1"/>
    <col min="291" max="291" width="18" customWidth="1"/>
    <col min="292" max="292" width="19.6640625" customWidth="1"/>
    <col min="294" max="294" width="17.1640625" customWidth="1"/>
    <col min="513" max="513" width="25.6640625" customWidth="1"/>
    <col min="522" max="522" width="12.83203125" customWidth="1"/>
    <col min="525" max="525" width="17.83203125" customWidth="1"/>
    <col min="527" max="527" width="21.83203125" customWidth="1"/>
    <col min="531" max="532" width="15.1640625" customWidth="1"/>
    <col min="539" max="539" width="14.1640625" customWidth="1"/>
    <col min="547" max="547" width="18" customWidth="1"/>
    <col min="548" max="548" width="19.6640625" customWidth="1"/>
    <col min="550" max="550" width="17.1640625" customWidth="1"/>
    <col min="769" max="769" width="25.6640625" customWidth="1"/>
    <col min="778" max="778" width="12.83203125" customWidth="1"/>
    <col min="781" max="781" width="17.83203125" customWidth="1"/>
    <col min="783" max="783" width="21.83203125" customWidth="1"/>
    <col min="787" max="788" width="15.1640625" customWidth="1"/>
    <col min="795" max="795" width="14.1640625" customWidth="1"/>
    <col min="803" max="803" width="18" customWidth="1"/>
    <col min="804" max="804" width="19.6640625" customWidth="1"/>
    <col min="806" max="806" width="17.1640625" customWidth="1"/>
    <col min="1025" max="1025" width="25.6640625" customWidth="1"/>
    <col min="1034" max="1034" width="12.83203125" customWidth="1"/>
    <col min="1037" max="1037" width="17.83203125" customWidth="1"/>
    <col min="1039" max="1039" width="21.83203125" customWidth="1"/>
    <col min="1043" max="1044" width="15.1640625" customWidth="1"/>
    <col min="1051" max="1051" width="14.1640625" customWidth="1"/>
    <col min="1059" max="1059" width="18" customWidth="1"/>
    <col min="1060" max="1060" width="19.6640625" customWidth="1"/>
    <col min="1062" max="1062" width="17.1640625" customWidth="1"/>
    <col min="1281" max="1281" width="25.6640625" customWidth="1"/>
    <col min="1290" max="1290" width="12.83203125" customWidth="1"/>
    <col min="1293" max="1293" width="17.83203125" customWidth="1"/>
    <col min="1295" max="1295" width="21.83203125" customWidth="1"/>
    <col min="1299" max="1300" width="15.1640625" customWidth="1"/>
    <col min="1307" max="1307" width="14.1640625" customWidth="1"/>
    <col min="1315" max="1315" width="18" customWidth="1"/>
    <col min="1316" max="1316" width="19.6640625" customWidth="1"/>
    <col min="1318" max="1318" width="17.1640625" customWidth="1"/>
    <col min="1537" max="1537" width="25.6640625" customWidth="1"/>
    <col min="1546" max="1546" width="12.83203125" customWidth="1"/>
    <col min="1549" max="1549" width="17.83203125" customWidth="1"/>
    <col min="1551" max="1551" width="21.83203125" customWidth="1"/>
    <col min="1555" max="1556" width="15.1640625" customWidth="1"/>
    <col min="1563" max="1563" width="14.1640625" customWidth="1"/>
    <col min="1571" max="1571" width="18" customWidth="1"/>
    <col min="1572" max="1572" width="19.6640625" customWidth="1"/>
    <col min="1574" max="1574" width="17.1640625" customWidth="1"/>
    <col min="1793" max="1793" width="25.6640625" customWidth="1"/>
    <col min="1802" max="1802" width="12.83203125" customWidth="1"/>
    <col min="1805" max="1805" width="17.83203125" customWidth="1"/>
    <col min="1807" max="1807" width="21.83203125" customWidth="1"/>
    <col min="1811" max="1812" width="15.1640625" customWidth="1"/>
    <col min="1819" max="1819" width="14.1640625" customWidth="1"/>
    <col min="1827" max="1827" width="18" customWidth="1"/>
    <col min="1828" max="1828" width="19.6640625" customWidth="1"/>
    <col min="1830" max="1830" width="17.1640625" customWidth="1"/>
    <col min="2049" max="2049" width="25.6640625" customWidth="1"/>
    <col min="2058" max="2058" width="12.83203125" customWidth="1"/>
    <col min="2061" max="2061" width="17.83203125" customWidth="1"/>
    <col min="2063" max="2063" width="21.83203125" customWidth="1"/>
    <col min="2067" max="2068" width="15.1640625" customWidth="1"/>
    <col min="2075" max="2075" width="14.1640625" customWidth="1"/>
    <col min="2083" max="2083" width="18" customWidth="1"/>
    <col min="2084" max="2084" width="19.6640625" customWidth="1"/>
    <col min="2086" max="2086" width="17.1640625" customWidth="1"/>
    <col min="2305" max="2305" width="25.6640625" customWidth="1"/>
    <col min="2314" max="2314" width="12.83203125" customWidth="1"/>
    <col min="2317" max="2317" width="17.83203125" customWidth="1"/>
    <col min="2319" max="2319" width="21.83203125" customWidth="1"/>
    <col min="2323" max="2324" width="15.1640625" customWidth="1"/>
    <col min="2331" max="2331" width="14.1640625" customWidth="1"/>
    <col min="2339" max="2339" width="18" customWidth="1"/>
    <col min="2340" max="2340" width="19.6640625" customWidth="1"/>
    <col min="2342" max="2342" width="17.1640625" customWidth="1"/>
    <col min="2561" max="2561" width="25.6640625" customWidth="1"/>
    <col min="2570" max="2570" width="12.83203125" customWidth="1"/>
    <col min="2573" max="2573" width="17.83203125" customWidth="1"/>
    <col min="2575" max="2575" width="21.83203125" customWidth="1"/>
    <col min="2579" max="2580" width="15.1640625" customWidth="1"/>
    <col min="2587" max="2587" width="14.1640625" customWidth="1"/>
    <col min="2595" max="2595" width="18" customWidth="1"/>
    <col min="2596" max="2596" width="19.6640625" customWidth="1"/>
    <col min="2598" max="2598" width="17.1640625" customWidth="1"/>
    <col min="2817" max="2817" width="25.6640625" customWidth="1"/>
    <col min="2826" max="2826" width="12.83203125" customWidth="1"/>
    <col min="2829" max="2829" width="17.83203125" customWidth="1"/>
    <col min="2831" max="2831" width="21.83203125" customWidth="1"/>
    <col min="2835" max="2836" width="15.1640625" customWidth="1"/>
    <col min="2843" max="2843" width="14.1640625" customWidth="1"/>
    <col min="2851" max="2851" width="18" customWidth="1"/>
    <col min="2852" max="2852" width="19.6640625" customWidth="1"/>
    <col min="2854" max="2854" width="17.1640625" customWidth="1"/>
    <col min="3073" max="3073" width="25.6640625" customWidth="1"/>
    <col min="3082" max="3082" width="12.83203125" customWidth="1"/>
    <col min="3085" max="3085" width="17.83203125" customWidth="1"/>
    <col min="3087" max="3087" width="21.83203125" customWidth="1"/>
    <col min="3091" max="3092" width="15.1640625" customWidth="1"/>
    <col min="3099" max="3099" width="14.1640625" customWidth="1"/>
    <col min="3107" max="3107" width="18" customWidth="1"/>
    <col min="3108" max="3108" width="19.6640625" customWidth="1"/>
    <col min="3110" max="3110" width="17.1640625" customWidth="1"/>
    <col min="3329" max="3329" width="25.6640625" customWidth="1"/>
    <col min="3338" max="3338" width="12.83203125" customWidth="1"/>
    <col min="3341" max="3341" width="17.83203125" customWidth="1"/>
    <col min="3343" max="3343" width="21.83203125" customWidth="1"/>
    <col min="3347" max="3348" width="15.1640625" customWidth="1"/>
    <col min="3355" max="3355" width="14.1640625" customWidth="1"/>
    <col min="3363" max="3363" width="18" customWidth="1"/>
    <col min="3364" max="3364" width="19.6640625" customWidth="1"/>
    <col min="3366" max="3366" width="17.1640625" customWidth="1"/>
    <col min="3585" max="3585" width="25.6640625" customWidth="1"/>
    <col min="3594" max="3594" width="12.83203125" customWidth="1"/>
    <col min="3597" max="3597" width="17.83203125" customWidth="1"/>
    <col min="3599" max="3599" width="21.83203125" customWidth="1"/>
    <col min="3603" max="3604" width="15.1640625" customWidth="1"/>
    <col min="3611" max="3611" width="14.1640625" customWidth="1"/>
    <col min="3619" max="3619" width="18" customWidth="1"/>
    <col min="3620" max="3620" width="19.6640625" customWidth="1"/>
    <col min="3622" max="3622" width="17.1640625" customWidth="1"/>
    <col min="3841" max="3841" width="25.6640625" customWidth="1"/>
    <col min="3850" max="3850" width="12.83203125" customWidth="1"/>
    <col min="3853" max="3853" width="17.83203125" customWidth="1"/>
    <col min="3855" max="3855" width="21.83203125" customWidth="1"/>
    <col min="3859" max="3860" width="15.1640625" customWidth="1"/>
    <col min="3867" max="3867" width="14.1640625" customWidth="1"/>
    <col min="3875" max="3875" width="18" customWidth="1"/>
    <col min="3876" max="3876" width="19.6640625" customWidth="1"/>
    <col min="3878" max="3878" width="17.1640625" customWidth="1"/>
    <col min="4097" max="4097" width="25.6640625" customWidth="1"/>
    <col min="4106" max="4106" width="12.83203125" customWidth="1"/>
    <col min="4109" max="4109" width="17.83203125" customWidth="1"/>
    <col min="4111" max="4111" width="21.83203125" customWidth="1"/>
    <col min="4115" max="4116" width="15.1640625" customWidth="1"/>
    <col min="4123" max="4123" width="14.1640625" customWidth="1"/>
    <col min="4131" max="4131" width="18" customWidth="1"/>
    <col min="4132" max="4132" width="19.6640625" customWidth="1"/>
    <col min="4134" max="4134" width="17.1640625" customWidth="1"/>
    <col min="4353" max="4353" width="25.6640625" customWidth="1"/>
    <col min="4362" max="4362" width="12.83203125" customWidth="1"/>
    <col min="4365" max="4365" width="17.83203125" customWidth="1"/>
    <col min="4367" max="4367" width="21.83203125" customWidth="1"/>
    <col min="4371" max="4372" width="15.1640625" customWidth="1"/>
    <col min="4379" max="4379" width="14.1640625" customWidth="1"/>
    <col min="4387" max="4387" width="18" customWidth="1"/>
    <col min="4388" max="4388" width="19.6640625" customWidth="1"/>
    <col min="4390" max="4390" width="17.1640625" customWidth="1"/>
    <col min="4609" max="4609" width="25.6640625" customWidth="1"/>
    <col min="4618" max="4618" width="12.83203125" customWidth="1"/>
    <col min="4621" max="4621" width="17.83203125" customWidth="1"/>
    <col min="4623" max="4623" width="21.83203125" customWidth="1"/>
    <col min="4627" max="4628" width="15.1640625" customWidth="1"/>
    <col min="4635" max="4635" width="14.1640625" customWidth="1"/>
    <col min="4643" max="4643" width="18" customWidth="1"/>
    <col min="4644" max="4644" width="19.6640625" customWidth="1"/>
    <col min="4646" max="4646" width="17.1640625" customWidth="1"/>
    <col min="4865" max="4865" width="25.6640625" customWidth="1"/>
    <col min="4874" max="4874" width="12.83203125" customWidth="1"/>
    <col min="4877" max="4877" width="17.83203125" customWidth="1"/>
    <col min="4879" max="4879" width="21.83203125" customWidth="1"/>
    <col min="4883" max="4884" width="15.1640625" customWidth="1"/>
    <col min="4891" max="4891" width="14.1640625" customWidth="1"/>
    <col min="4899" max="4899" width="18" customWidth="1"/>
    <col min="4900" max="4900" width="19.6640625" customWidth="1"/>
    <col min="4902" max="4902" width="17.1640625" customWidth="1"/>
    <col min="5121" max="5121" width="25.6640625" customWidth="1"/>
    <col min="5130" max="5130" width="12.83203125" customWidth="1"/>
    <col min="5133" max="5133" width="17.83203125" customWidth="1"/>
    <col min="5135" max="5135" width="21.83203125" customWidth="1"/>
    <col min="5139" max="5140" width="15.1640625" customWidth="1"/>
    <col min="5147" max="5147" width="14.1640625" customWidth="1"/>
    <col min="5155" max="5155" width="18" customWidth="1"/>
    <col min="5156" max="5156" width="19.6640625" customWidth="1"/>
    <col min="5158" max="5158" width="17.1640625" customWidth="1"/>
    <col min="5377" max="5377" width="25.6640625" customWidth="1"/>
    <col min="5386" max="5386" width="12.83203125" customWidth="1"/>
    <col min="5389" max="5389" width="17.83203125" customWidth="1"/>
    <col min="5391" max="5391" width="21.83203125" customWidth="1"/>
    <col min="5395" max="5396" width="15.1640625" customWidth="1"/>
    <col min="5403" max="5403" width="14.1640625" customWidth="1"/>
    <col min="5411" max="5411" width="18" customWidth="1"/>
    <col min="5412" max="5412" width="19.6640625" customWidth="1"/>
    <col min="5414" max="5414" width="17.1640625" customWidth="1"/>
    <col min="5633" max="5633" width="25.6640625" customWidth="1"/>
    <col min="5642" max="5642" width="12.83203125" customWidth="1"/>
    <col min="5645" max="5645" width="17.83203125" customWidth="1"/>
    <col min="5647" max="5647" width="21.83203125" customWidth="1"/>
    <col min="5651" max="5652" width="15.1640625" customWidth="1"/>
    <col min="5659" max="5659" width="14.1640625" customWidth="1"/>
    <col min="5667" max="5667" width="18" customWidth="1"/>
    <col min="5668" max="5668" width="19.6640625" customWidth="1"/>
    <col min="5670" max="5670" width="17.1640625" customWidth="1"/>
    <col min="5889" max="5889" width="25.6640625" customWidth="1"/>
    <col min="5898" max="5898" width="12.83203125" customWidth="1"/>
    <col min="5901" max="5901" width="17.83203125" customWidth="1"/>
    <col min="5903" max="5903" width="21.83203125" customWidth="1"/>
    <col min="5907" max="5908" width="15.1640625" customWidth="1"/>
    <col min="5915" max="5915" width="14.1640625" customWidth="1"/>
    <col min="5923" max="5923" width="18" customWidth="1"/>
    <col min="5924" max="5924" width="19.6640625" customWidth="1"/>
    <col min="5926" max="5926" width="17.1640625" customWidth="1"/>
    <col min="6145" max="6145" width="25.6640625" customWidth="1"/>
    <col min="6154" max="6154" width="12.83203125" customWidth="1"/>
    <col min="6157" max="6157" width="17.83203125" customWidth="1"/>
    <col min="6159" max="6159" width="21.83203125" customWidth="1"/>
    <col min="6163" max="6164" width="15.1640625" customWidth="1"/>
    <col min="6171" max="6171" width="14.1640625" customWidth="1"/>
    <col min="6179" max="6179" width="18" customWidth="1"/>
    <col min="6180" max="6180" width="19.6640625" customWidth="1"/>
    <col min="6182" max="6182" width="17.1640625" customWidth="1"/>
    <col min="6401" max="6401" width="25.6640625" customWidth="1"/>
    <col min="6410" max="6410" width="12.83203125" customWidth="1"/>
    <col min="6413" max="6413" width="17.83203125" customWidth="1"/>
    <col min="6415" max="6415" width="21.83203125" customWidth="1"/>
    <col min="6419" max="6420" width="15.1640625" customWidth="1"/>
    <col min="6427" max="6427" width="14.1640625" customWidth="1"/>
    <col min="6435" max="6435" width="18" customWidth="1"/>
    <col min="6436" max="6436" width="19.6640625" customWidth="1"/>
    <col min="6438" max="6438" width="17.1640625" customWidth="1"/>
    <col min="6657" max="6657" width="25.6640625" customWidth="1"/>
    <col min="6666" max="6666" width="12.83203125" customWidth="1"/>
    <col min="6669" max="6669" width="17.83203125" customWidth="1"/>
    <col min="6671" max="6671" width="21.83203125" customWidth="1"/>
    <col min="6675" max="6676" width="15.1640625" customWidth="1"/>
    <col min="6683" max="6683" width="14.1640625" customWidth="1"/>
    <col min="6691" max="6691" width="18" customWidth="1"/>
    <col min="6692" max="6692" width="19.6640625" customWidth="1"/>
    <col min="6694" max="6694" width="17.1640625" customWidth="1"/>
    <col min="6913" max="6913" width="25.6640625" customWidth="1"/>
    <col min="6922" max="6922" width="12.83203125" customWidth="1"/>
    <col min="6925" max="6925" width="17.83203125" customWidth="1"/>
    <col min="6927" max="6927" width="21.83203125" customWidth="1"/>
    <col min="6931" max="6932" width="15.1640625" customWidth="1"/>
    <col min="6939" max="6939" width="14.1640625" customWidth="1"/>
    <col min="6947" max="6947" width="18" customWidth="1"/>
    <col min="6948" max="6948" width="19.6640625" customWidth="1"/>
    <col min="6950" max="6950" width="17.1640625" customWidth="1"/>
    <col min="7169" max="7169" width="25.6640625" customWidth="1"/>
    <col min="7178" max="7178" width="12.83203125" customWidth="1"/>
    <col min="7181" max="7181" width="17.83203125" customWidth="1"/>
    <col min="7183" max="7183" width="21.83203125" customWidth="1"/>
    <col min="7187" max="7188" width="15.1640625" customWidth="1"/>
    <col min="7195" max="7195" width="14.1640625" customWidth="1"/>
    <col min="7203" max="7203" width="18" customWidth="1"/>
    <col min="7204" max="7204" width="19.6640625" customWidth="1"/>
    <col min="7206" max="7206" width="17.1640625" customWidth="1"/>
    <col min="7425" max="7425" width="25.6640625" customWidth="1"/>
    <col min="7434" max="7434" width="12.83203125" customWidth="1"/>
    <col min="7437" max="7437" width="17.83203125" customWidth="1"/>
    <col min="7439" max="7439" width="21.83203125" customWidth="1"/>
    <col min="7443" max="7444" width="15.1640625" customWidth="1"/>
    <col min="7451" max="7451" width="14.1640625" customWidth="1"/>
    <col min="7459" max="7459" width="18" customWidth="1"/>
    <col min="7460" max="7460" width="19.6640625" customWidth="1"/>
    <col min="7462" max="7462" width="17.1640625" customWidth="1"/>
    <col min="7681" max="7681" width="25.6640625" customWidth="1"/>
    <col min="7690" max="7690" width="12.83203125" customWidth="1"/>
    <col min="7693" max="7693" width="17.83203125" customWidth="1"/>
    <col min="7695" max="7695" width="21.83203125" customWidth="1"/>
    <col min="7699" max="7700" width="15.1640625" customWidth="1"/>
    <col min="7707" max="7707" width="14.1640625" customWidth="1"/>
    <col min="7715" max="7715" width="18" customWidth="1"/>
    <col min="7716" max="7716" width="19.6640625" customWidth="1"/>
    <col min="7718" max="7718" width="17.1640625" customWidth="1"/>
    <col min="7937" max="7937" width="25.6640625" customWidth="1"/>
    <col min="7946" max="7946" width="12.83203125" customWidth="1"/>
    <col min="7949" max="7949" width="17.83203125" customWidth="1"/>
    <col min="7951" max="7951" width="21.83203125" customWidth="1"/>
    <col min="7955" max="7956" width="15.1640625" customWidth="1"/>
    <col min="7963" max="7963" width="14.1640625" customWidth="1"/>
    <col min="7971" max="7971" width="18" customWidth="1"/>
    <col min="7972" max="7972" width="19.6640625" customWidth="1"/>
    <col min="7974" max="7974" width="17.1640625" customWidth="1"/>
    <col min="8193" max="8193" width="25.6640625" customWidth="1"/>
    <col min="8202" max="8202" width="12.83203125" customWidth="1"/>
    <col min="8205" max="8205" width="17.83203125" customWidth="1"/>
    <col min="8207" max="8207" width="21.83203125" customWidth="1"/>
    <col min="8211" max="8212" width="15.1640625" customWidth="1"/>
    <col min="8219" max="8219" width="14.1640625" customWidth="1"/>
    <col min="8227" max="8227" width="18" customWidth="1"/>
    <col min="8228" max="8228" width="19.6640625" customWidth="1"/>
    <col min="8230" max="8230" width="17.1640625" customWidth="1"/>
    <col min="8449" max="8449" width="25.6640625" customWidth="1"/>
    <col min="8458" max="8458" width="12.83203125" customWidth="1"/>
    <col min="8461" max="8461" width="17.83203125" customWidth="1"/>
    <col min="8463" max="8463" width="21.83203125" customWidth="1"/>
    <col min="8467" max="8468" width="15.1640625" customWidth="1"/>
    <col min="8475" max="8475" width="14.1640625" customWidth="1"/>
    <col min="8483" max="8483" width="18" customWidth="1"/>
    <col min="8484" max="8484" width="19.6640625" customWidth="1"/>
    <col min="8486" max="8486" width="17.1640625" customWidth="1"/>
    <col min="8705" max="8705" width="25.6640625" customWidth="1"/>
    <col min="8714" max="8714" width="12.83203125" customWidth="1"/>
    <col min="8717" max="8717" width="17.83203125" customWidth="1"/>
    <col min="8719" max="8719" width="21.83203125" customWidth="1"/>
    <col min="8723" max="8724" width="15.1640625" customWidth="1"/>
    <col min="8731" max="8731" width="14.1640625" customWidth="1"/>
    <col min="8739" max="8739" width="18" customWidth="1"/>
    <col min="8740" max="8740" width="19.6640625" customWidth="1"/>
    <col min="8742" max="8742" width="17.1640625" customWidth="1"/>
    <col min="8961" max="8961" width="25.6640625" customWidth="1"/>
    <col min="8970" max="8970" width="12.83203125" customWidth="1"/>
    <col min="8973" max="8973" width="17.83203125" customWidth="1"/>
    <col min="8975" max="8975" width="21.83203125" customWidth="1"/>
    <col min="8979" max="8980" width="15.1640625" customWidth="1"/>
    <col min="8987" max="8987" width="14.1640625" customWidth="1"/>
    <col min="8995" max="8995" width="18" customWidth="1"/>
    <col min="8996" max="8996" width="19.6640625" customWidth="1"/>
    <col min="8998" max="8998" width="17.1640625" customWidth="1"/>
    <col min="9217" max="9217" width="25.6640625" customWidth="1"/>
    <col min="9226" max="9226" width="12.83203125" customWidth="1"/>
    <col min="9229" max="9229" width="17.83203125" customWidth="1"/>
    <col min="9231" max="9231" width="21.83203125" customWidth="1"/>
    <col min="9235" max="9236" width="15.1640625" customWidth="1"/>
    <col min="9243" max="9243" width="14.1640625" customWidth="1"/>
    <col min="9251" max="9251" width="18" customWidth="1"/>
    <col min="9252" max="9252" width="19.6640625" customWidth="1"/>
    <col min="9254" max="9254" width="17.1640625" customWidth="1"/>
    <col min="9473" max="9473" width="25.6640625" customWidth="1"/>
    <col min="9482" max="9482" width="12.83203125" customWidth="1"/>
    <col min="9485" max="9485" width="17.83203125" customWidth="1"/>
    <col min="9487" max="9487" width="21.83203125" customWidth="1"/>
    <col min="9491" max="9492" width="15.1640625" customWidth="1"/>
    <col min="9499" max="9499" width="14.1640625" customWidth="1"/>
    <col min="9507" max="9507" width="18" customWidth="1"/>
    <col min="9508" max="9508" width="19.6640625" customWidth="1"/>
    <col min="9510" max="9510" width="17.1640625" customWidth="1"/>
    <col min="9729" max="9729" width="25.6640625" customWidth="1"/>
    <col min="9738" max="9738" width="12.83203125" customWidth="1"/>
    <col min="9741" max="9741" width="17.83203125" customWidth="1"/>
    <col min="9743" max="9743" width="21.83203125" customWidth="1"/>
    <col min="9747" max="9748" width="15.1640625" customWidth="1"/>
    <col min="9755" max="9755" width="14.1640625" customWidth="1"/>
    <col min="9763" max="9763" width="18" customWidth="1"/>
    <col min="9764" max="9764" width="19.6640625" customWidth="1"/>
    <col min="9766" max="9766" width="17.1640625" customWidth="1"/>
    <col min="9985" max="9985" width="25.6640625" customWidth="1"/>
    <col min="9994" max="9994" width="12.83203125" customWidth="1"/>
    <col min="9997" max="9997" width="17.83203125" customWidth="1"/>
    <col min="9999" max="9999" width="21.83203125" customWidth="1"/>
    <col min="10003" max="10004" width="15.1640625" customWidth="1"/>
    <col min="10011" max="10011" width="14.1640625" customWidth="1"/>
    <col min="10019" max="10019" width="18" customWidth="1"/>
    <col min="10020" max="10020" width="19.6640625" customWidth="1"/>
    <col min="10022" max="10022" width="17.1640625" customWidth="1"/>
    <col min="10241" max="10241" width="25.6640625" customWidth="1"/>
    <col min="10250" max="10250" width="12.83203125" customWidth="1"/>
    <col min="10253" max="10253" width="17.83203125" customWidth="1"/>
    <col min="10255" max="10255" width="21.83203125" customWidth="1"/>
    <col min="10259" max="10260" width="15.1640625" customWidth="1"/>
    <col min="10267" max="10267" width="14.1640625" customWidth="1"/>
    <col min="10275" max="10275" width="18" customWidth="1"/>
    <col min="10276" max="10276" width="19.6640625" customWidth="1"/>
    <col min="10278" max="10278" width="17.1640625" customWidth="1"/>
    <col min="10497" max="10497" width="25.6640625" customWidth="1"/>
    <col min="10506" max="10506" width="12.83203125" customWidth="1"/>
    <col min="10509" max="10509" width="17.83203125" customWidth="1"/>
    <col min="10511" max="10511" width="21.83203125" customWidth="1"/>
    <col min="10515" max="10516" width="15.1640625" customWidth="1"/>
    <col min="10523" max="10523" width="14.1640625" customWidth="1"/>
    <col min="10531" max="10531" width="18" customWidth="1"/>
    <col min="10532" max="10532" width="19.6640625" customWidth="1"/>
    <col min="10534" max="10534" width="17.1640625" customWidth="1"/>
    <col min="10753" max="10753" width="25.6640625" customWidth="1"/>
    <col min="10762" max="10762" width="12.83203125" customWidth="1"/>
    <col min="10765" max="10765" width="17.83203125" customWidth="1"/>
    <col min="10767" max="10767" width="21.83203125" customWidth="1"/>
    <col min="10771" max="10772" width="15.1640625" customWidth="1"/>
    <col min="10779" max="10779" width="14.1640625" customWidth="1"/>
    <col min="10787" max="10787" width="18" customWidth="1"/>
    <col min="10788" max="10788" width="19.6640625" customWidth="1"/>
    <col min="10790" max="10790" width="17.1640625" customWidth="1"/>
    <col min="11009" max="11009" width="25.6640625" customWidth="1"/>
    <col min="11018" max="11018" width="12.83203125" customWidth="1"/>
    <col min="11021" max="11021" width="17.83203125" customWidth="1"/>
    <col min="11023" max="11023" width="21.83203125" customWidth="1"/>
    <col min="11027" max="11028" width="15.1640625" customWidth="1"/>
    <col min="11035" max="11035" width="14.1640625" customWidth="1"/>
    <col min="11043" max="11043" width="18" customWidth="1"/>
    <col min="11044" max="11044" width="19.6640625" customWidth="1"/>
    <col min="11046" max="11046" width="17.1640625" customWidth="1"/>
    <col min="11265" max="11265" width="25.6640625" customWidth="1"/>
    <col min="11274" max="11274" width="12.83203125" customWidth="1"/>
    <col min="11277" max="11277" width="17.83203125" customWidth="1"/>
    <col min="11279" max="11279" width="21.83203125" customWidth="1"/>
    <col min="11283" max="11284" width="15.1640625" customWidth="1"/>
    <col min="11291" max="11291" width="14.1640625" customWidth="1"/>
    <col min="11299" max="11299" width="18" customWidth="1"/>
    <col min="11300" max="11300" width="19.6640625" customWidth="1"/>
    <col min="11302" max="11302" width="17.1640625" customWidth="1"/>
    <col min="11521" max="11521" width="25.6640625" customWidth="1"/>
    <col min="11530" max="11530" width="12.83203125" customWidth="1"/>
    <col min="11533" max="11533" width="17.83203125" customWidth="1"/>
    <col min="11535" max="11535" width="21.83203125" customWidth="1"/>
    <col min="11539" max="11540" width="15.1640625" customWidth="1"/>
    <col min="11547" max="11547" width="14.1640625" customWidth="1"/>
    <col min="11555" max="11555" width="18" customWidth="1"/>
    <col min="11556" max="11556" width="19.6640625" customWidth="1"/>
    <col min="11558" max="11558" width="17.1640625" customWidth="1"/>
    <col min="11777" max="11777" width="25.6640625" customWidth="1"/>
    <col min="11786" max="11786" width="12.83203125" customWidth="1"/>
    <col min="11789" max="11789" width="17.83203125" customWidth="1"/>
    <col min="11791" max="11791" width="21.83203125" customWidth="1"/>
    <col min="11795" max="11796" width="15.1640625" customWidth="1"/>
    <col min="11803" max="11803" width="14.1640625" customWidth="1"/>
    <col min="11811" max="11811" width="18" customWidth="1"/>
    <col min="11812" max="11812" width="19.6640625" customWidth="1"/>
    <col min="11814" max="11814" width="17.1640625" customWidth="1"/>
    <col min="12033" max="12033" width="25.6640625" customWidth="1"/>
    <col min="12042" max="12042" width="12.83203125" customWidth="1"/>
    <col min="12045" max="12045" width="17.83203125" customWidth="1"/>
    <col min="12047" max="12047" width="21.83203125" customWidth="1"/>
    <col min="12051" max="12052" width="15.1640625" customWidth="1"/>
    <col min="12059" max="12059" width="14.1640625" customWidth="1"/>
    <col min="12067" max="12067" width="18" customWidth="1"/>
    <col min="12068" max="12068" width="19.6640625" customWidth="1"/>
    <col min="12070" max="12070" width="17.1640625" customWidth="1"/>
    <col min="12289" max="12289" width="25.6640625" customWidth="1"/>
    <col min="12298" max="12298" width="12.83203125" customWidth="1"/>
    <col min="12301" max="12301" width="17.83203125" customWidth="1"/>
    <col min="12303" max="12303" width="21.83203125" customWidth="1"/>
    <col min="12307" max="12308" width="15.1640625" customWidth="1"/>
    <col min="12315" max="12315" width="14.1640625" customWidth="1"/>
    <col min="12323" max="12323" width="18" customWidth="1"/>
    <col min="12324" max="12324" width="19.6640625" customWidth="1"/>
    <col min="12326" max="12326" width="17.1640625" customWidth="1"/>
    <col min="12545" max="12545" width="25.6640625" customWidth="1"/>
    <col min="12554" max="12554" width="12.83203125" customWidth="1"/>
    <col min="12557" max="12557" width="17.83203125" customWidth="1"/>
    <col min="12559" max="12559" width="21.83203125" customWidth="1"/>
    <col min="12563" max="12564" width="15.1640625" customWidth="1"/>
    <col min="12571" max="12571" width="14.1640625" customWidth="1"/>
    <col min="12579" max="12579" width="18" customWidth="1"/>
    <col min="12580" max="12580" width="19.6640625" customWidth="1"/>
    <col min="12582" max="12582" width="17.1640625" customWidth="1"/>
    <col min="12801" max="12801" width="25.6640625" customWidth="1"/>
    <col min="12810" max="12810" width="12.83203125" customWidth="1"/>
    <col min="12813" max="12813" width="17.83203125" customWidth="1"/>
    <col min="12815" max="12815" width="21.83203125" customWidth="1"/>
    <col min="12819" max="12820" width="15.1640625" customWidth="1"/>
    <col min="12827" max="12827" width="14.1640625" customWidth="1"/>
    <col min="12835" max="12835" width="18" customWidth="1"/>
    <col min="12836" max="12836" width="19.6640625" customWidth="1"/>
    <col min="12838" max="12838" width="17.1640625" customWidth="1"/>
    <col min="13057" max="13057" width="25.6640625" customWidth="1"/>
    <col min="13066" max="13066" width="12.83203125" customWidth="1"/>
    <col min="13069" max="13069" width="17.83203125" customWidth="1"/>
    <col min="13071" max="13071" width="21.83203125" customWidth="1"/>
    <col min="13075" max="13076" width="15.1640625" customWidth="1"/>
    <col min="13083" max="13083" width="14.1640625" customWidth="1"/>
    <col min="13091" max="13091" width="18" customWidth="1"/>
    <col min="13092" max="13092" width="19.6640625" customWidth="1"/>
    <col min="13094" max="13094" width="17.1640625" customWidth="1"/>
    <col min="13313" max="13313" width="25.6640625" customWidth="1"/>
    <col min="13322" max="13322" width="12.83203125" customWidth="1"/>
    <col min="13325" max="13325" width="17.83203125" customWidth="1"/>
    <col min="13327" max="13327" width="21.83203125" customWidth="1"/>
    <col min="13331" max="13332" width="15.1640625" customWidth="1"/>
    <col min="13339" max="13339" width="14.1640625" customWidth="1"/>
    <col min="13347" max="13347" width="18" customWidth="1"/>
    <col min="13348" max="13348" width="19.6640625" customWidth="1"/>
    <col min="13350" max="13350" width="17.1640625" customWidth="1"/>
    <col min="13569" max="13569" width="25.6640625" customWidth="1"/>
    <col min="13578" max="13578" width="12.83203125" customWidth="1"/>
    <col min="13581" max="13581" width="17.83203125" customWidth="1"/>
    <col min="13583" max="13583" width="21.83203125" customWidth="1"/>
    <col min="13587" max="13588" width="15.1640625" customWidth="1"/>
    <col min="13595" max="13595" width="14.1640625" customWidth="1"/>
    <col min="13603" max="13603" width="18" customWidth="1"/>
    <col min="13604" max="13604" width="19.6640625" customWidth="1"/>
    <col min="13606" max="13606" width="17.1640625" customWidth="1"/>
    <col min="13825" max="13825" width="25.6640625" customWidth="1"/>
    <col min="13834" max="13834" width="12.83203125" customWidth="1"/>
    <col min="13837" max="13837" width="17.83203125" customWidth="1"/>
    <col min="13839" max="13839" width="21.83203125" customWidth="1"/>
    <col min="13843" max="13844" width="15.1640625" customWidth="1"/>
    <col min="13851" max="13851" width="14.1640625" customWidth="1"/>
    <col min="13859" max="13859" width="18" customWidth="1"/>
    <col min="13860" max="13860" width="19.6640625" customWidth="1"/>
    <col min="13862" max="13862" width="17.1640625" customWidth="1"/>
    <col min="14081" max="14081" width="25.6640625" customWidth="1"/>
    <col min="14090" max="14090" width="12.83203125" customWidth="1"/>
    <col min="14093" max="14093" width="17.83203125" customWidth="1"/>
    <col min="14095" max="14095" width="21.83203125" customWidth="1"/>
    <col min="14099" max="14100" width="15.1640625" customWidth="1"/>
    <col min="14107" max="14107" width="14.1640625" customWidth="1"/>
    <col min="14115" max="14115" width="18" customWidth="1"/>
    <col min="14116" max="14116" width="19.6640625" customWidth="1"/>
    <col min="14118" max="14118" width="17.1640625" customWidth="1"/>
    <col min="14337" max="14337" width="25.6640625" customWidth="1"/>
    <col min="14346" max="14346" width="12.83203125" customWidth="1"/>
    <col min="14349" max="14349" width="17.83203125" customWidth="1"/>
    <col min="14351" max="14351" width="21.83203125" customWidth="1"/>
    <col min="14355" max="14356" width="15.1640625" customWidth="1"/>
    <col min="14363" max="14363" width="14.1640625" customWidth="1"/>
    <col min="14371" max="14371" width="18" customWidth="1"/>
    <col min="14372" max="14372" width="19.6640625" customWidth="1"/>
    <col min="14374" max="14374" width="17.1640625" customWidth="1"/>
    <col min="14593" max="14593" width="25.6640625" customWidth="1"/>
    <col min="14602" max="14602" width="12.83203125" customWidth="1"/>
    <col min="14605" max="14605" width="17.83203125" customWidth="1"/>
    <col min="14607" max="14607" width="21.83203125" customWidth="1"/>
    <col min="14611" max="14612" width="15.1640625" customWidth="1"/>
    <col min="14619" max="14619" width="14.1640625" customWidth="1"/>
    <col min="14627" max="14627" width="18" customWidth="1"/>
    <col min="14628" max="14628" width="19.6640625" customWidth="1"/>
    <col min="14630" max="14630" width="17.1640625" customWidth="1"/>
    <col min="14849" max="14849" width="25.6640625" customWidth="1"/>
    <col min="14858" max="14858" width="12.83203125" customWidth="1"/>
    <col min="14861" max="14861" width="17.83203125" customWidth="1"/>
    <col min="14863" max="14863" width="21.83203125" customWidth="1"/>
    <col min="14867" max="14868" width="15.1640625" customWidth="1"/>
    <col min="14875" max="14875" width="14.1640625" customWidth="1"/>
    <col min="14883" max="14883" width="18" customWidth="1"/>
    <col min="14884" max="14884" width="19.6640625" customWidth="1"/>
    <col min="14886" max="14886" width="17.1640625" customWidth="1"/>
    <col min="15105" max="15105" width="25.6640625" customWidth="1"/>
    <col min="15114" max="15114" width="12.83203125" customWidth="1"/>
    <col min="15117" max="15117" width="17.83203125" customWidth="1"/>
    <col min="15119" max="15119" width="21.83203125" customWidth="1"/>
    <col min="15123" max="15124" width="15.1640625" customWidth="1"/>
    <col min="15131" max="15131" width="14.1640625" customWidth="1"/>
    <col min="15139" max="15139" width="18" customWidth="1"/>
    <col min="15140" max="15140" width="19.6640625" customWidth="1"/>
    <col min="15142" max="15142" width="17.1640625" customWidth="1"/>
    <col min="15361" max="15361" width="25.6640625" customWidth="1"/>
    <col min="15370" max="15370" width="12.83203125" customWidth="1"/>
    <col min="15373" max="15373" width="17.83203125" customWidth="1"/>
    <col min="15375" max="15375" width="21.83203125" customWidth="1"/>
    <col min="15379" max="15380" width="15.1640625" customWidth="1"/>
    <col min="15387" max="15387" width="14.1640625" customWidth="1"/>
    <col min="15395" max="15395" width="18" customWidth="1"/>
    <col min="15396" max="15396" width="19.6640625" customWidth="1"/>
    <col min="15398" max="15398" width="17.1640625" customWidth="1"/>
    <col min="15617" max="15617" width="25.6640625" customWidth="1"/>
    <col min="15626" max="15626" width="12.83203125" customWidth="1"/>
    <col min="15629" max="15629" width="17.83203125" customWidth="1"/>
    <col min="15631" max="15631" width="21.83203125" customWidth="1"/>
    <col min="15635" max="15636" width="15.1640625" customWidth="1"/>
    <col min="15643" max="15643" width="14.1640625" customWidth="1"/>
    <col min="15651" max="15651" width="18" customWidth="1"/>
    <col min="15652" max="15652" width="19.6640625" customWidth="1"/>
    <col min="15654" max="15654" width="17.1640625" customWidth="1"/>
    <col min="15873" max="15873" width="25.6640625" customWidth="1"/>
    <col min="15882" max="15882" width="12.83203125" customWidth="1"/>
    <col min="15885" max="15885" width="17.83203125" customWidth="1"/>
    <col min="15887" max="15887" width="21.83203125" customWidth="1"/>
    <col min="15891" max="15892" width="15.1640625" customWidth="1"/>
    <col min="15899" max="15899" width="14.1640625" customWidth="1"/>
    <col min="15907" max="15907" width="18" customWidth="1"/>
    <col min="15908" max="15908" width="19.6640625" customWidth="1"/>
    <col min="15910" max="15910" width="17.1640625" customWidth="1"/>
    <col min="16129" max="16129" width="25.6640625" customWidth="1"/>
    <col min="16138" max="16138" width="12.83203125" customWidth="1"/>
    <col min="16141" max="16141" width="17.83203125" customWidth="1"/>
    <col min="16143" max="16143" width="21.83203125" customWidth="1"/>
    <col min="16147" max="16148" width="15.1640625" customWidth="1"/>
    <col min="16155" max="16155" width="14.1640625" customWidth="1"/>
    <col min="16163" max="16163" width="18" customWidth="1"/>
    <col min="16164" max="16164" width="19.6640625" customWidth="1"/>
    <col min="16166" max="16166" width="17.1640625" customWidth="1"/>
  </cols>
  <sheetData>
    <row r="1" spans="1:39" ht="29.5" thickBot="1" x14ac:dyDescent="0.4">
      <c r="A1" s="2" t="s">
        <v>28472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28471</v>
      </c>
      <c r="T1" s="2" t="s">
        <v>28473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</row>
    <row r="2" spans="1:39" x14ac:dyDescent="0.35">
      <c r="A2" t="s">
        <v>36</v>
      </c>
      <c r="B2" t="str">
        <f>HYPERLINK("http://www.uniprot.org/uniprot/A0AV02","A0AV02")</f>
        <v>A0AV02</v>
      </c>
      <c r="C2" t="s">
        <v>37</v>
      </c>
      <c r="D2" t="s">
        <v>38</v>
      </c>
      <c r="E2" t="s">
        <v>39</v>
      </c>
      <c r="F2" t="s">
        <v>40</v>
      </c>
      <c r="H2">
        <v>714</v>
      </c>
      <c r="I2">
        <v>13</v>
      </c>
      <c r="J2">
        <v>0</v>
      </c>
      <c r="K2" t="s">
        <v>41</v>
      </c>
      <c r="L2" t="s">
        <v>42</v>
      </c>
      <c r="N2">
        <v>0.83630000000000004</v>
      </c>
      <c r="O2" s="1">
        <v>1</v>
      </c>
      <c r="P2" t="s">
        <v>43</v>
      </c>
      <c r="Q2" t="s">
        <v>44</v>
      </c>
      <c r="S2" t="s">
        <v>45</v>
      </c>
      <c r="T2" t="s">
        <v>46</v>
      </c>
      <c r="U2" t="s">
        <v>47</v>
      </c>
      <c r="V2">
        <v>1</v>
      </c>
      <c r="AE2" t="s">
        <v>48</v>
      </c>
      <c r="AF2" t="s">
        <v>49</v>
      </c>
      <c r="AG2" t="s">
        <v>50</v>
      </c>
      <c r="AH2" t="str">
        <f>HYPERLINK("http://compartments.jensenlab.org/Entity?figures=subcell_cell_%&amp;knowledge=10&amp;textmining=10&amp;experiments=10&amp;predictions=10&amp;type1=9606&amp;type2=-22&amp;id1=ENSP00000377112","link")</f>
        <v>link</v>
      </c>
      <c r="AJ2" t="s">
        <v>51</v>
      </c>
      <c r="AK2" t="str">
        <f>HYPERLINK("http://www.proteinatlas.org/A0AV02","HPA031123")</f>
        <v>HPA031123</v>
      </c>
      <c r="AM2">
        <v>84561</v>
      </c>
    </row>
    <row r="3" spans="1:39" x14ac:dyDescent="0.35">
      <c r="A3" t="s">
        <v>52</v>
      </c>
      <c r="B3" t="str">
        <f>HYPERLINK("http://www.uniprot.org/uniprot/A0FGR9","A0FGR9")</f>
        <v>A0FGR9</v>
      </c>
      <c r="C3" t="s">
        <v>53</v>
      </c>
      <c r="D3" t="s">
        <v>54</v>
      </c>
      <c r="E3" t="s">
        <v>39</v>
      </c>
      <c r="F3" t="s">
        <v>55</v>
      </c>
      <c r="H3">
        <v>886</v>
      </c>
      <c r="I3">
        <v>2</v>
      </c>
      <c r="J3">
        <v>0</v>
      </c>
      <c r="K3" t="s">
        <v>56</v>
      </c>
      <c r="L3" t="s">
        <v>57</v>
      </c>
      <c r="M3" t="s">
        <v>39</v>
      </c>
      <c r="N3">
        <v>4.65E-2</v>
      </c>
      <c r="O3" s="1"/>
      <c r="P3" t="s">
        <v>58</v>
      </c>
      <c r="Q3" t="s">
        <v>59</v>
      </c>
      <c r="S3" t="s">
        <v>60</v>
      </c>
      <c r="T3" t="s">
        <v>60</v>
      </c>
      <c r="U3" t="s">
        <v>61</v>
      </c>
      <c r="V3">
        <v>0</v>
      </c>
      <c r="Y3">
        <v>69</v>
      </c>
      <c r="AE3" t="s">
        <v>62</v>
      </c>
      <c r="AF3" t="s">
        <v>63</v>
      </c>
      <c r="AG3" t="s">
        <v>64</v>
      </c>
      <c r="AH3" t="str">
        <f>HYPERLINK("http://compartments.jensenlab.org/Entity?figures=subcell_cell_%&amp;knowledge=10&amp;textmining=10&amp;experiments=10&amp;predictions=10&amp;type1=9606&amp;type2=-22&amp;id1=ENSP00000374218","link")</f>
        <v>link</v>
      </c>
      <c r="AI3" t="s">
        <v>65</v>
      </c>
      <c r="AJ3" t="s">
        <v>51</v>
      </c>
      <c r="AK3" t="str">
        <f>HYPERLINK("http://www.proteinatlas.org/A0FGR9","HPA039200")</f>
        <v>HPA039200</v>
      </c>
      <c r="AM3">
        <v>83850</v>
      </c>
    </row>
    <row r="4" spans="1:39" x14ac:dyDescent="0.35">
      <c r="A4" t="s">
        <v>66</v>
      </c>
      <c r="B4" t="str">
        <f>HYPERLINK("http://www.uniprot.org/uniprot/A0PJK1","A0PJK1")</f>
        <v>A0PJK1</v>
      </c>
      <c r="C4" t="s">
        <v>67</v>
      </c>
      <c r="D4" t="s">
        <v>68</v>
      </c>
      <c r="E4" t="s">
        <v>39</v>
      </c>
      <c r="F4" t="s">
        <v>40</v>
      </c>
      <c r="H4">
        <v>596</v>
      </c>
      <c r="I4">
        <v>14</v>
      </c>
      <c r="J4">
        <v>0</v>
      </c>
      <c r="K4" t="s">
        <v>69</v>
      </c>
      <c r="L4" t="s">
        <v>57</v>
      </c>
      <c r="N4">
        <v>0.88019999999999998</v>
      </c>
      <c r="O4" s="1">
        <v>1</v>
      </c>
      <c r="P4" t="s">
        <v>70</v>
      </c>
      <c r="Q4" t="s">
        <v>71</v>
      </c>
      <c r="S4" t="s">
        <v>45</v>
      </c>
      <c r="T4" t="s">
        <v>72</v>
      </c>
      <c r="U4" t="s">
        <v>73</v>
      </c>
      <c r="V4">
        <v>3</v>
      </c>
      <c r="AE4" t="s">
        <v>74</v>
      </c>
      <c r="AF4" t="s">
        <v>75</v>
      </c>
      <c r="AG4" t="s">
        <v>76</v>
      </c>
      <c r="AH4" t="str">
        <f>HYPERLINK("http://compartments.jensenlab.org/Entity?figures=subcell_cell_%&amp;knowledge=10&amp;textmining=10&amp;experiments=10&amp;predictions=10&amp;type1=9606&amp;type2=-22&amp;id1=ENSP00000379007","link")</f>
        <v>link</v>
      </c>
      <c r="AK4" t="str">
        <f>HYPERLINK("http://www.proteinatlas.org/A0PJK1","HPA052014")</f>
        <v>HPA052014</v>
      </c>
      <c r="AM4">
        <v>125206</v>
      </c>
    </row>
    <row r="5" spans="1:39" x14ac:dyDescent="0.35">
      <c r="A5" t="s">
        <v>77</v>
      </c>
      <c r="B5" t="str">
        <f>HYPERLINK("http://www.uniprot.org/uniprot/A0PK11","A0PK11")</f>
        <v>A0PK11</v>
      </c>
      <c r="C5" t="s">
        <v>78</v>
      </c>
      <c r="D5" t="s">
        <v>79</v>
      </c>
      <c r="E5" t="s">
        <v>39</v>
      </c>
      <c r="F5" t="s">
        <v>40</v>
      </c>
      <c r="H5">
        <v>232</v>
      </c>
      <c r="I5">
        <v>4</v>
      </c>
      <c r="J5">
        <v>0</v>
      </c>
      <c r="K5" t="s">
        <v>80</v>
      </c>
      <c r="L5" t="s">
        <v>42</v>
      </c>
      <c r="N5">
        <v>0.61080000000000001</v>
      </c>
      <c r="O5" s="1">
        <v>2</v>
      </c>
      <c r="P5" t="s">
        <v>81</v>
      </c>
      <c r="Q5" t="s">
        <v>82</v>
      </c>
      <c r="S5" t="s">
        <v>60</v>
      </c>
      <c r="T5" t="s">
        <v>60</v>
      </c>
      <c r="U5">
        <v>48</v>
      </c>
      <c r="V5">
        <v>1</v>
      </c>
      <c r="AE5" t="s">
        <v>48</v>
      </c>
      <c r="AF5" t="s">
        <v>83</v>
      </c>
      <c r="AG5" t="s">
        <v>84</v>
      </c>
      <c r="AH5" t="str">
        <f>HYPERLINK("http://compartments.jensenlab.org/Entity?figures=subcell_cell_%&amp;knowledge=10&amp;textmining=10&amp;experiments=10&amp;predictions=10&amp;type1=9606&amp;type2=-22&amp;id1=ENSP00000424711","link")</f>
        <v>link</v>
      </c>
      <c r="AK5" t="str">
        <f>HYPERLINK("http://www.proteinatlas.org/A0PK11","HPA042407")</f>
        <v>HPA042407</v>
      </c>
      <c r="AM5">
        <v>645104</v>
      </c>
    </row>
    <row r="6" spans="1:39" x14ac:dyDescent="0.35">
      <c r="A6" t="s">
        <v>85</v>
      </c>
      <c r="B6" t="str">
        <f>HYPERLINK("http://www.uniprot.org/uniprot/A0ZSE6","A0ZSE6")</f>
        <v>A0ZSE6</v>
      </c>
      <c r="C6" t="s">
        <v>86</v>
      </c>
      <c r="D6" t="s">
        <v>87</v>
      </c>
      <c r="E6" t="s">
        <v>39</v>
      </c>
      <c r="F6" t="s">
        <v>40</v>
      </c>
      <c r="H6">
        <v>113</v>
      </c>
      <c r="I6">
        <v>1</v>
      </c>
      <c r="J6">
        <v>0</v>
      </c>
      <c r="K6" t="s">
        <v>88</v>
      </c>
      <c r="L6" t="s">
        <v>57</v>
      </c>
      <c r="N6">
        <v>0.63270000000000004</v>
      </c>
      <c r="O6" s="1">
        <v>2</v>
      </c>
      <c r="P6" t="s">
        <v>89</v>
      </c>
      <c r="Q6" t="s">
        <v>90</v>
      </c>
      <c r="S6" t="s">
        <v>91</v>
      </c>
      <c r="T6" t="s">
        <v>92</v>
      </c>
      <c r="U6" t="s">
        <v>93</v>
      </c>
      <c r="V6">
        <v>2</v>
      </c>
      <c r="AE6" t="s">
        <v>94</v>
      </c>
      <c r="AF6" t="s">
        <v>95</v>
      </c>
      <c r="AG6" t="s">
        <v>96</v>
      </c>
      <c r="AH6" t="str">
        <f>HYPERLINK("http://compartments.jensenlab.org/Entity?figures=subcell_cell_%&amp;knowledge=10&amp;textmining=10&amp;experiments=10&amp;predictions=10&amp;type1=9606&amp;type2=-22&amp;id1=ENSP00000402698","link")</f>
        <v>link</v>
      </c>
      <c r="AJ6" t="s">
        <v>51</v>
      </c>
      <c r="AK6" t="str">
        <f>HYPERLINK("http://www.proteinatlas.org/A0ZSE6","no")</f>
        <v>no</v>
      </c>
    </row>
    <row r="7" spans="1:39" x14ac:dyDescent="0.35">
      <c r="A7" t="s">
        <v>97</v>
      </c>
      <c r="B7" t="str">
        <f>HYPERLINK("http://www.uniprot.org/uniprot/A1A5B4","A1A5B4")</f>
        <v>A1A5B4</v>
      </c>
      <c r="C7" t="s">
        <v>98</v>
      </c>
      <c r="D7" t="s">
        <v>99</v>
      </c>
      <c r="E7" t="s">
        <v>39</v>
      </c>
      <c r="F7" t="s">
        <v>55</v>
      </c>
      <c r="H7">
        <v>782</v>
      </c>
      <c r="I7">
        <v>8</v>
      </c>
      <c r="J7">
        <v>0</v>
      </c>
      <c r="K7" t="s">
        <v>100</v>
      </c>
      <c r="L7" t="s">
        <v>101</v>
      </c>
      <c r="M7" t="s">
        <v>39</v>
      </c>
      <c r="N7">
        <v>0.76890000000000003</v>
      </c>
      <c r="O7" s="1">
        <v>1</v>
      </c>
      <c r="P7" t="s">
        <v>102</v>
      </c>
      <c r="Q7" t="s">
        <v>103</v>
      </c>
      <c r="S7" t="s">
        <v>91</v>
      </c>
      <c r="T7" t="s">
        <v>104</v>
      </c>
      <c r="U7" t="s">
        <v>105</v>
      </c>
      <c r="V7">
        <v>4</v>
      </c>
      <c r="Y7" t="s">
        <v>106</v>
      </c>
      <c r="Z7" t="s">
        <v>107</v>
      </c>
      <c r="AA7">
        <v>2</v>
      </c>
      <c r="AB7" t="s">
        <v>108</v>
      </c>
      <c r="AC7" t="s">
        <v>109</v>
      </c>
      <c r="AD7" t="s">
        <v>110</v>
      </c>
      <c r="AE7" t="s">
        <v>74</v>
      </c>
      <c r="AF7" t="s">
        <v>111</v>
      </c>
      <c r="AG7" t="s">
        <v>112</v>
      </c>
      <c r="AH7" t="str">
        <f>HYPERLINK("http://compartments.jensenlab.org/Entity?figures=subcell_cell_%&amp;knowledge=10&amp;textmining=10&amp;experiments=10&amp;predictions=10&amp;type1=9606&amp;type2=-22&amp;id1=ENSP00000332788","link")</f>
        <v>link</v>
      </c>
      <c r="AJ7" t="s">
        <v>113</v>
      </c>
      <c r="AK7" t="str">
        <f>HYPERLINK("http://www.proteinatlas.org/A1A5B4","HPA039948")</f>
        <v>HPA039948</v>
      </c>
      <c r="AM7">
        <v>338440</v>
      </c>
    </row>
    <row r="8" spans="1:39" x14ac:dyDescent="0.35">
      <c r="A8" t="s">
        <v>114</v>
      </c>
      <c r="B8" t="str">
        <f>HYPERLINK("http://www.uniprot.org/uniprot/A1A5C7","A1A5C7")</f>
        <v>A1A5C7</v>
      </c>
      <c r="C8" t="s">
        <v>115</v>
      </c>
      <c r="D8" t="s">
        <v>116</v>
      </c>
      <c r="E8" t="s">
        <v>39</v>
      </c>
      <c r="F8" t="s">
        <v>40</v>
      </c>
      <c r="H8">
        <v>686</v>
      </c>
      <c r="I8">
        <v>10</v>
      </c>
      <c r="J8">
        <v>0</v>
      </c>
      <c r="K8" t="s">
        <v>117</v>
      </c>
      <c r="L8" t="s">
        <v>118</v>
      </c>
      <c r="N8">
        <v>0.85829999999999995</v>
      </c>
      <c r="O8" s="1">
        <v>1</v>
      </c>
      <c r="P8" t="s">
        <v>119</v>
      </c>
      <c r="Q8" t="s">
        <v>120</v>
      </c>
      <c r="S8" t="s">
        <v>45</v>
      </c>
      <c r="T8" t="s">
        <v>121</v>
      </c>
      <c r="U8" t="s">
        <v>122</v>
      </c>
      <c r="V8">
        <v>6</v>
      </c>
      <c r="Z8" t="s">
        <v>123</v>
      </c>
      <c r="AA8">
        <v>3</v>
      </c>
      <c r="AB8" t="s">
        <v>124</v>
      </c>
      <c r="AC8" t="s">
        <v>125</v>
      </c>
      <c r="AD8" t="s">
        <v>126</v>
      </c>
      <c r="AE8" t="s">
        <v>48</v>
      </c>
      <c r="AF8" t="s">
        <v>127</v>
      </c>
      <c r="AG8" t="s">
        <v>128</v>
      </c>
      <c r="AH8" t="str">
        <f>HYPERLINK("http://compartments.jensenlab.org/Entity?figures=subcell_cell_%&amp;knowledge=10&amp;textmining=10&amp;experiments=10&amp;predictions=10&amp;type1=9606&amp;type2=-22&amp;id1=ENSP00000385028","link")</f>
        <v>link</v>
      </c>
      <c r="AJ8" t="s">
        <v>51</v>
      </c>
      <c r="AK8" t="str">
        <f>HYPERLINK("http://www.proteinatlas.org/A1A5C7","HPA014697")</f>
        <v>HPA014697</v>
      </c>
      <c r="AM8">
        <v>63027</v>
      </c>
    </row>
    <row r="9" spans="1:39" x14ac:dyDescent="0.35">
      <c r="A9" t="s">
        <v>129</v>
      </c>
      <c r="B9" t="str">
        <f>HYPERLINK("http://www.uniprot.org/uniprot/A1L157","A1L157")</f>
        <v>A1L157</v>
      </c>
      <c r="C9" t="s">
        <v>130</v>
      </c>
      <c r="D9" t="s">
        <v>131</v>
      </c>
      <c r="E9" t="s">
        <v>39</v>
      </c>
      <c r="F9" t="s">
        <v>40</v>
      </c>
      <c r="H9">
        <v>253</v>
      </c>
      <c r="I9">
        <v>4</v>
      </c>
      <c r="J9">
        <v>0</v>
      </c>
      <c r="K9" t="s">
        <v>132</v>
      </c>
      <c r="L9" t="s">
        <v>42</v>
      </c>
      <c r="N9">
        <v>0.65669999999999995</v>
      </c>
      <c r="O9" s="1">
        <v>2</v>
      </c>
      <c r="P9" t="s">
        <v>133</v>
      </c>
      <c r="Q9" t="s">
        <v>134</v>
      </c>
      <c r="S9" t="s">
        <v>91</v>
      </c>
      <c r="T9" t="s">
        <v>135</v>
      </c>
      <c r="U9" t="s">
        <v>136</v>
      </c>
      <c r="V9">
        <v>2</v>
      </c>
      <c r="AE9" t="s">
        <v>48</v>
      </c>
      <c r="AF9" t="s">
        <v>83</v>
      </c>
      <c r="AG9" t="s">
        <v>137</v>
      </c>
      <c r="AH9" t="str">
        <f>HYPERLINK("http://compartments.jensenlab.org/Entity?figures=subcell_cell_%&amp;knowledge=10&amp;textmining=10&amp;experiments=10&amp;predictions=10&amp;type1=9606&amp;type2=-22&amp;id1=ENSP00000261177","link")</f>
        <v>link</v>
      </c>
      <c r="AJ9" t="s">
        <v>51</v>
      </c>
      <c r="AK9" t="str">
        <f>HYPERLINK("http://www.proteinatlas.org/A1L157","no")</f>
        <v>no</v>
      </c>
      <c r="AM9">
        <v>441631</v>
      </c>
    </row>
    <row r="10" spans="1:39" x14ac:dyDescent="0.35">
      <c r="A10" t="s">
        <v>138</v>
      </c>
      <c r="B10" t="str">
        <f>HYPERLINK("http://www.uniprot.org/uniprot/A2RRL7","A2RRL7")</f>
        <v>A2RRL7</v>
      </c>
      <c r="C10" t="s">
        <v>139</v>
      </c>
      <c r="D10" t="s">
        <v>140</v>
      </c>
      <c r="E10" t="s">
        <v>39</v>
      </c>
      <c r="F10" t="s">
        <v>40</v>
      </c>
      <c r="H10">
        <v>107</v>
      </c>
      <c r="I10">
        <v>1</v>
      </c>
      <c r="J10">
        <v>1</v>
      </c>
      <c r="K10" t="s">
        <v>141</v>
      </c>
      <c r="L10" t="s">
        <v>57</v>
      </c>
      <c r="N10">
        <v>0.66469999999999996</v>
      </c>
      <c r="O10" s="1">
        <v>2</v>
      </c>
      <c r="P10" t="s">
        <v>142</v>
      </c>
      <c r="Q10" t="s">
        <v>143</v>
      </c>
      <c r="S10" t="s">
        <v>60</v>
      </c>
      <c r="T10" t="s">
        <v>60</v>
      </c>
      <c r="U10">
        <v>33</v>
      </c>
      <c r="V10">
        <v>1</v>
      </c>
      <c r="Y10">
        <v>79</v>
      </c>
      <c r="AE10" t="s">
        <v>144</v>
      </c>
      <c r="AF10" t="s">
        <v>145</v>
      </c>
      <c r="AG10" t="s">
        <v>146</v>
      </c>
      <c r="AH10" t="str">
        <f>HYPERLINK("http://compartments.jensenlab.org/Entity?figures=subcell_cell_%&amp;knowledge=10&amp;textmining=10&amp;experiments=10&amp;predictions=10&amp;type1=9606&amp;type2=-22&amp;id1=ENSP00000390407","link")</f>
        <v>link</v>
      </c>
      <c r="AK10" t="str">
        <f>HYPERLINK("http://www.proteinatlas.org/A2RRL7","HPA054059")</f>
        <v>HPA054059</v>
      </c>
      <c r="AM10">
        <v>155006</v>
      </c>
    </row>
    <row r="11" spans="1:39" x14ac:dyDescent="0.35">
      <c r="A11" t="s">
        <v>147</v>
      </c>
      <c r="B11" t="str">
        <f>HYPERLINK("http://www.uniprot.org/uniprot/A2VDJ0","A2VDJ0")</f>
        <v>A2VDJ0</v>
      </c>
      <c r="C11" t="s">
        <v>148</v>
      </c>
      <c r="D11" t="s">
        <v>149</v>
      </c>
      <c r="E11" t="s">
        <v>39</v>
      </c>
      <c r="F11" t="s">
        <v>40</v>
      </c>
      <c r="H11">
        <v>1609</v>
      </c>
      <c r="I11">
        <v>1</v>
      </c>
      <c r="J11">
        <v>1</v>
      </c>
      <c r="K11" t="s">
        <v>150</v>
      </c>
      <c r="L11" t="s">
        <v>101</v>
      </c>
      <c r="N11">
        <v>0.77839999999999998</v>
      </c>
      <c r="O11" s="1">
        <v>1</v>
      </c>
      <c r="P11" t="s">
        <v>151</v>
      </c>
      <c r="Q11" t="s">
        <v>152</v>
      </c>
      <c r="U11" t="s">
        <v>153</v>
      </c>
      <c r="V11">
        <v>12</v>
      </c>
      <c r="Y11" t="s">
        <v>154</v>
      </c>
      <c r="Z11" t="s">
        <v>107</v>
      </c>
      <c r="AA11">
        <v>2</v>
      </c>
      <c r="AB11" t="s">
        <v>155</v>
      </c>
      <c r="AC11" t="s">
        <v>156</v>
      </c>
      <c r="AD11" t="s">
        <v>157</v>
      </c>
      <c r="AE11" t="s">
        <v>144</v>
      </c>
      <c r="AF11" t="s">
        <v>158</v>
      </c>
      <c r="AG11" t="s">
        <v>159</v>
      </c>
      <c r="AH11" t="str">
        <f>HYPERLINK("http://compartments.jensenlab.org/Entity?figures=subcell_cell_%&amp;knowledge=10&amp;textmining=10&amp;experiments=10&amp;predictions=10&amp;type1=9606&amp;type2=-22&amp;id1=ENSP00000386574","link")</f>
        <v>link</v>
      </c>
      <c r="AK11" t="str">
        <f>HYPERLINK("http://www.proteinatlas.org/A2VDJ0","HPA043472;HPA048443")</f>
        <v>HPA043472;HPA048443</v>
      </c>
      <c r="AM11">
        <v>23240</v>
      </c>
    </row>
    <row r="12" spans="1:39" x14ac:dyDescent="0.35">
      <c r="A12" t="s">
        <v>160</v>
      </c>
      <c r="B12" t="str">
        <f>HYPERLINK("http://www.uniprot.org/uniprot/A3KFT3","A3KFT3")</f>
        <v>A3KFT3</v>
      </c>
      <c r="C12" t="s">
        <v>161</v>
      </c>
      <c r="D12" t="s">
        <v>162</v>
      </c>
      <c r="E12" t="s">
        <v>39</v>
      </c>
      <c r="F12" t="s">
        <v>55</v>
      </c>
      <c r="H12">
        <v>312</v>
      </c>
      <c r="I12">
        <v>7</v>
      </c>
      <c r="J12">
        <v>0</v>
      </c>
      <c r="K12" t="s">
        <v>163</v>
      </c>
      <c r="L12" t="s">
        <v>57</v>
      </c>
      <c r="N12">
        <v>0.95809999999999995</v>
      </c>
      <c r="O12" s="1">
        <v>1</v>
      </c>
      <c r="P12" t="s">
        <v>164</v>
      </c>
      <c r="Q12" t="s">
        <v>165</v>
      </c>
      <c r="S12" t="s">
        <v>166</v>
      </c>
      <c r="T12" t="s">
        <v>167</v>
      </c>
      <c r="U12" t="s">
        <v>168</v>
      </c>
      <c r="V12">
        <v>3</v>
      </c>
      <c r="AE12" t="s">
        <v>74</v>
      </c>
      <c r="AF12" t="s">
        <v>169</v>
      </c>
      <c r="AG12" t="s">
        <v>170</v>
      </c>
      <c r="AH12" t="str">
        <f>HYPERLINK("http://compartments.jensenlab.org/Entity?figures=subcell_cell_%&amp;knowledge=10&amp;textmining=10&amp;experiments=10&amp;predictions=10&amp;type1=9606&amp;type2=-22&amp;id1=ENSP00000355432","link")</f>
        <v>link</v>
      </c>
      <c r="AI12" t="s">
        <v>65</v>
      </c>
      <c r="AJ12" t="s">
        <v>51</v>
      </c>
      <c r="AK12" t="str">
        <f>HYPERLINK("http://www.proteinatlas.org/A3KFT3","no")</f>
        <v>no</v>
      </c>
      <c r="AM12">
        <v>127059</v>
      </c>
    </row>
    <row r="13" spans="1:39" x14ac:dyDescent="0.35">
      <c r="A13" t="s">
        <v>171</v>
      </c>
      <c r="B13" t="str">
        <f>HYPERLINK("http://www.uniprot.org/uniprot/A4D2G3","A4D2G3")</f>
        <v>A4D2G3</v>
      </c>
      <c r="C13" t="s">
        <v>172</v>
      </c>
      <c r="D13" t="s">
        <v>173</v>
      </c>
      <c r="E13" t="s">
        <v>39</v>
      </c>
      <c r="F13" t="s">
        <v>55</v>
      </c>
      <c r="H13">
        <v>310</v>
      </c>
      <c r="I13">
        <v>7</v>
      </c>
      <c r="J13">
        <v>0</v>
      </c>
      <c r="K13" t="s">
        <v>174</v>
      </c>
      <c r="L13" t="s">
        <v>57</v>
      </c>
      <c r="N13">
        <v>0.96009999999999995</v>
      </c>
      <c r="O13" s="1">
        <v>1</v>
      </c>
      <c r="P13" t="s">
        <v>175</v>
      </c>
      <c r="Q13" t="s">
        <v>176</v>
      </c>
      <c r="S13" t="s">
        <v>166</v>
      </c>
      <c r="T13" t="s">
        <v>167</v>
      </c>
      <c r="U13" t="s">
        <v>177</v>
      </c>
      <c r="V13">
        <v>1</v>
      </c>
      <c r="AE13" t="s">
        <v>74</v>
      </c>
      <c r="AF13" t="s">
        <v>169</v>
      </c>
      <c r="AG13" t="s">
        <v>178</v>
      </c>
      <c r="AH13" t="str">
        <f>HYPERLINK("http://compartments.jensenlab.org/Entity?figures=subcell_cell_%&amp;knowledge=10&amp;textmining=10&amp;experiments=10&amp;predictions=10&amp;type1=9606&amp;type2=-22&amp;id1=ENSP00000386167","link")</f>
        <v>link</v>
      </c>
      <c r="AI13" t="s">
        <v>65</v>
      </c>
      <c r="AJ13" t="s">
        <v>51</v>
      </c>
      <c r="AK13" t="str">
        <f>HYPERLINK("http://www.proteinatlas.org/A4D2G3","HPA058272")</f>
        <v>HPA058272</v>
      </c>
      <c r="AM13">
        <v>392138</v>
      </c>
    </row>
    <row r="14" spans="1:39" x14ac:dyDescent="0.35">
      <c r="A14" t="s">
        <v>179</v>
      </c>
      <c r="B14" t="str">
        <f>HYPERLINK("http://www.uniprot.org/uniprot/A4IF30","A4IF30")</f>
        <v>A4IF30</v>
      </c>
      <c r="C14" t="s">
        <v>180</v>
      </c>
      <c r="D14" t="s">
        <v>181</v>
      </c>
      <c r="E14" t="s">
        <v>39</v>
      </c>
      <c r="F14" t="s">
        <v>40</v>
      </c>
      <c r="H14">
        <v>521</v>
      </c>
      <c r="I14">
        <v>10</v>
      </c>
      <c r="J14">
        <v>0</v>
      </c>
      <c r="K14" t="s">
        <v>182</v>
      </c>
      <c r="L14" t="s">
        <v>42</v>
      </c>
      <c r="N14">
        <v>0.5968</v>
      </c>
      <c r="O14" s="1">
        <v>2</v>
      </c>
      <c r="P14" t="s">
        <v>183</v>
      </c>
      <c r="Q14" t="s">
        <v>184</v>
      </c>
      <c r="S14" t="s">
        <v>45</v>
      </c>
      <c r="T14" t="s">
        <v>185</v>
      </c>
      <c r="U14" t="s">
        <v>186</v>
      </c>
      <c r="V14">
        <v>3</v>
      </c>
      <c r="AE14" t="s">
        <v>48</v>
      </c>
      <c r="AF14" t="s">
        <v>187</v>
      </c>
      <c r="AG14" t="s">
        <v>188</v>
      </c>
      <c r="AH14" t="str">
        <f>HYPERLINK("http://compartments.jensenlab.org/Entity?figures=subcell_cell_%&amp;knowledge=10&amp;textmining=10&amp;experiments=10&amp;predictions=10&amp;type1=9606&amp;type2=-22&amp;id1=ENSP00000342518","link")</f>
        <v>link</v>
      </c>
      <c r="AJ14" t="s">
        <v>51</v>
      </c>
      <c r="AK14" t="str">
        <f>HYPERLINK("http://www.proteinatlas.org/A4IF30","HPA043853")</f>
        <v>HPA043853</v>
      </c>
      <c r="AM14">
        <v>341880</v>
      </c>
    </row>
    <row r="15" spans="1:39" x14ac:dyDescent="0.35">
      <c r="A15" t="s">
        <v>189</v>
      </c>
      <c r="B15" t="str">
        <f>HYPERLINK("http://www.uniprot.org/uniprot/A5X5Y0","A5X5Y0")</f>
        <v>A5X5Y0</v>
      </c>
      <c r="C15" t="s">
        <v>190</v>
      </c>
      <c r="D15" t="s">
        <v>191</v>
      </c>
      <c r="E15" t="s">
        <v>39</v>
      </c>
      <c r="F15" t="s">
        <v>40</v>
      </c>
      <c r="H15">
        <v>456</v>
      </c>
      <c r="I15">
        <v>4</v>
      </c>
      <c r="J15">
        <v>1</v>
      </c>
      <c r="K15" t="s">
        <v>192</v>
      </c>
      <c r="L15" t="s">
        <v>57</v>
      </c>
      <c r="N15">
        <v>0.73650000000000004</v>
      </c>
      <c r="O15" s="1">
        <v>2</v>
      </c>
      <c r="P15" t="s">
        <v>193</v>
      </c>
      <c r="Q15" t="s">
        <v>194</v>
      </c>
      <c r="S15" t="s">
        <v>45</v>
      </c>
      <c r="T15" t="s">
        <v>195</v>
      </c>
      <c r="U15" t="s">
        <v>196</v>
      </c>
      <c r="V15">
        <v>4</v>
      </c>
      <c r="AE15" t="s">
        <v>74</v>
      </c>
      <c r="AF15" t="s">
        <v>197</v>
      </c>
      <c r="AG15" t="s">
        <v>198</v>
      </c>
      <c r="AH15" t="str">
        <f>HYPERLINK("http://compartments.jensenlab.org/Entity?figures=subcell_cell_%&amp;knowledge=10&amp;textmining=10&amp;experiments=10&amp;predictions=10&amp;type1=9606&amp;type2=-22&amp;id1=ENSP00000401444","link")</f>
        <v>link</v>
      </c>
      <c r="AK15" t="str">
        <f>HYPERLINK("http://www.proteinatlas.org/A5X5Y0","HPA049764")</f>
        <v>HPA049764</v>
      </c>
      <c r="AM15">
        <v>285242</v>
      </c>
    </row>
    <row r="16" spans="1:39" x14ac:dyDescent="0.35">
      <c r="A16" t="s">
        <v>199</v>
      </c>
      <c r="B16" t="str">
        <f>HYPERLINK("http://www.uniprot.org/uniprot/A6BM72","A6BM72")</f>
        <v>A6BM72</v>
      </c>
      <c r="C16" t="s">
        <v>200</v>
      </c>
      <c r="D16" t="s">
        <v>201</v>
      </c>
      <c r="E16" t="s">
        <v>39</v>
      </c>
      <c r="F16" t="s">
        <v>40</v>
      </c>
      <c r="H16">
        <v>1044</v>
      </c>
      <c r="I16">
        <v>1</v>
      </c>
      <c r="J16">
        <v>1</v>
      </c>
      <c r="K16" t="s">
        <v>202</v>
      </c>
      <c r="L16" t="s">
        <v>57</v>
      </c>
      <c r="N16">
        <v>0.95209999999999995</v>
      </c>
      <c r="O16" s="1">
        <v>1</v>
      </c>
      <c r="P16" t="s">
        <v>203</v>
      </c>
      <c r="Q16" t="s">
        <v>204</v>
      </c>
      <c r="S16" t="s">
        <v>166</v>
      </c>
      <c r="T16" t="s">
        <v>205</v>
      </c>
      <c r="U16" t="s">
        <v>206</v>
      </c>
      <c r="V16">
        <v>9</v>
      </c>
      <c r="AE16" t="s">
        <v>207</v>
      </c>
      <c r="AF16" t="s">
        <v>208</v>
      </c>
      <c r="AG16" t="s">
        <v>209</v>
      </c>
      <c r="AH16" t="str">
        <f>HYPERLINK("http://compartments.jensenlab.org/Entity?figures=subcell_cell_%&amp;knowledge=10&amp;textmining=10&amp;experiments=10&amp;predictions=10&amp;type1=9606&amp;type2=-22&amp;id1=ENSP00000386908","link")</f>
        <v>link</v>
      </c>
      <c r="AI16" t="s">
        <v>65</v>
      </c>
      <c r="AJ16" t="s">
        <v>51</v>
      </c>
      <c r="AK16" t="str">
        <f>HYPERLINK("http://www.proteinatlas.org/A6BM72","HPA017982")</f>
        <v>HPA017982</v>
      </c>
      <c r="AM16">
        <v>84465</v>
      </c>
    </row>
    <row r="17" spans="1:39" x14ac:dyDescent="0.35">
      <c r="A17" t="s">
        <v>210</v>
      </c>
      <c r="B17" t="str">
        <f>HYPERLINK("http://www.uniprot.org/uniprot/A6H8M9","A6H8M9")</f>
        <v>A6H8M9</v>
      </c>
      <c r="C17" t="s">
        <v>211</v>
      </c>
      <c r="D17" t="s">
        <v>212</v>
      </c>
      <c r="E17" t="s">
        <v>39</v>
      </c>
      <c r="F17" t="s">
        <v>40</v>
      </c>
      <c r="H17">
        <v>788</v>
      </c>
      <c r="I17">
        <v>1</v>
      </c>
      <c r="J17">
        <v>1</v>
      </c>
      <c r="K17" t="s">
        <v>213</v>
      </c>
      <c r="L17" t="s">
        <v>57</v>
      </c>
      <c r="N17">
        <v>0.78439999999999999</v>
      </c>
      <c r="O17" s="1">
        <v>1</v>
      </c>
      <c r="P17" t="s">
        <v>214</v>
      </c>
      <c r="Q17" t="s">
        <v>215</v>
      </c>
      <c r="S17" t="s">
        <v>91</v>
      </c>
      <c r="T17" t="s">
        <v>216</v>
      </c>
      <c r="U17" t="s">
        <v>217</v>
      </c>
      <c r="V17">
        <v>5</v>
      </c>
      <c r="AE17" t="s">
        <v>144</v>
      </c>
      <c r="AF17" t="s">
        <v>218</v>
      </c>
      <c r="AG17" t="s">
        <v>219</v>
      </c>
      <c r="AH17" t="str">
        <f>HYPERLINK("http://compartments.jensenlab.org/Entity?figures=subcell_cell_%&amp;knowledge=10&amp;textmining=10&amp;experiments=10&amp;predictions=10&amp;type1=9606&amp;type2=-22&amp;id1=ENSP00000391409","link")</f>
        <v>link</v>
      </c>
      <c r="AJ17" t="s">
        <v>51</v>
      </c>
      <c r="AK17" t="str">
        <f>HYPERLINK("http://www.proteinatlas.org/A6H8M9","HPA043330")</f>
        <v>HPA043330</v>
      </c>
      <c r="AM17">
        <v>389118</v>
      </c>
    </row>
    <row r="18" spans="1:39" x14ac:dyDescent="0.35">
      <c r="A18" t="s">
        <v>220</v>
      </c>
      <c r="B18" t="str">
        <f>HYPERLINK("http://www.uniprot.org/uniprot/A6NC51","A6NC51")</f>
        <v>A6NC51</v>
      </c>
      <c r="C18" t="s">
        <v>221</v>
      </c>
      <c r="D18" t="s">
        <v>222</v>
      </c>
      <c r="E18" t="s">
        <v>39</v>
      </c>
      <c r="F18" t="s">
        <v>40</v>
      </c>
      <c r="H18">
        <v>233</v>
      </c>
      <c r="I18">
        <v>5</v>
      </c>
      <c r="J18">
        <v>1</v>
      </c>
      <c r="K18" t="s">
        <v>223</v>
      </c>
      <c r="L18" t="s">
        <v>57</v>
      </c>
      <c r="N18">
        <v>0.72650000000000003</v>
      </c>
      <c r="O18" s="1">
        <v>2</v>
      </c>
      <c r="P18" t="s">
        <v>224</v>
      </c>
      <c r="Q18" t="s">
        <v>225</v>
      </c>
      <c r="S18" t="s">
        <v>60</v>
      </c>
      <c r="T18" t="s">
        <v>60</v>
      </c>
      <c r="U18">
        <v>30</v>
      </c>
      <c r="V18">
        <v>1</v>
      </c>
      <c r="AE18" t="s">
        <v>48</v>
      </c>
      <c r="AF18" t="s">
        <v>226</v>
      </c>
      <c r="AG18" t="s">
        <v>227</v>
      </c>
      <c r="AH18" t="str">
        <f>HYPERLINK("http://compartments.jensenlab.org/Entity?figures=subcell_cell_%&amp;knowledge=10&amp;textmining=10&amp;experiments=10&amp;predictions=10&amp;type1=9606&amp;type2=-22&amp;id1=ENSP00000320757","link")</f>
        <v>link</v>
      </c>
      <c r="AJ18" t="s">
        <v>51</v>
      </c>
      <c r="AK18" t="str">
        <f>HYPERLINK("http://www.proteinatlas.org/A6NC51","HPA060334")</f>
        <v>HPA060334</v>
      </c>
      <c r="AM18">
        <v>284417</v>
      </c>
    </row>
    <row r="19" spans="1:39" x14ac:dyDescent="0.35">
      <c r="A19" t="s">
        <v>228</v>
      </c>
      <c r="B19" t="str">
        <f>HYPERLINK("http://www.uniprot.org/uniprot/A6NCV1","A6NCV1")</f>
        <v>A6NCV1</v>
      </c>
      <c r="C19" t="s">
        <v>229</v>
      </c>
      <c r="D19" t="s">
        <v>230</v>
      </c>
      <c r="E19" t="s">
        <v>39</v>
      </c>
      <c r="F19" t="s">
        <v>55</v>
      </c>
      <c r="H19">
        <v>312</v>
      </c>
      <c r="I19">
        <v>7</v>
      </c>
      <c r="J19">
        <v>0</v>
      </c>
      <c r="K19" t="s">
        <v>231</v>
      </c>
      <c r="L19" t="s">
        <v>57</v>
      </c>
      <c r="N19">
        <v>0.98199999999999998</v>
      </c>
      <c r="O19" s="1">
        <v>1</v>
      </c>
      <c r="P19" t="s">
        <v>232</v>
      </c>
      <c r="Q19" t="s">
        <v>233</v>
      </c>
      <c r="S19" t="s">
        <v>166</v>
      </c>
      <c r="T19" t="s">
        <v>167</v>
      </c>
      <c r="U19" t="s">
        <v>234</v>
      </c>
      <c r="V19">
        <v>1</v>
      </c>
      <c r="AE19" t="s">
        <v>74</v>
      </c>
      <c r="AF19" t="s">
        <v>169</v>
      </c>
      <c r="AG19" t="s">
        <v>235</v>
      </c>
      <c r="AH19" t="str">
        <f>HYPERLINK("http://compartments.jensenlab.org/Entity?figures=subcell_cell_%&amp;knowledge=10&amp;textmining=10&amp;experiments=10&amp;predictions=10&amp;type1=9606&amp;type2=-22&amp;id1=ENSP00000342836","link")</f>
        <v>link</v>
      </c>
      <c r="AI19" t="s">
        <v>65</v>
      </c>
      <c r="AJ19" t="s">
        <v>51</v>
      </c>
      <c r="AK19" t="str">
        <f>HYPERLINK("http://www.proteinatlas.org/A6NCV1","no")</f>
        <v>no</v>
      </c>
      <c r="AM19">
        <v>254783</v>
      </c>
    </row>
    <row r="20" spans="1:39" x14ac:dyDescent="0.35">
      <c r="A20" t="s">
        <v>236</v>
      </c>
      <c r="B20" t="str">
        <f>HYPERLINK("http://www.uniprot.org/uniprot/A6ND01","A6ND01")</f>
        <v>A6ND01</v>
      </c>
      <c r="C20" t="s">
        <v>237</v>
      </c>
      <c r="D20" t="s">
        <v>238</v>
      </c>
      <c r="E20" t="s">
        <v>39</v>
      </c>
      <c r="F20" t="s">
        <v>239</v>
      </c>
      <c r="H20">
        <v>250</v>
      </c>
      <c r="I20">
        <v>0</v>
      </c>
      <c r="J20">
        <v>1</v>
      </c>
      <c r="K20" t="s">
        <v>240</v>
      </c>
      <c r="L20" t="s">
        <v>57</v>
      </c>
      <c r="N20">
        <v>0.62670000000000003</v>
      </c>
      <c r="O20" s="1" t="s">
        <v>241</v>
      </c>
      <c r="P20" t="s">
        <v>242</v>
      </c>
      <c r="S20" t="s">
        <v>60</v>
      </c>
      <c r="T20" t="s">
        <v>60</v>
      </c>
      <c r="U20">
        <v>73</v>
      </c>
      <c r="V20">
        <v>1</v>
      </c>
      <c r="W20">
        <v>73</v>
      </c>
      <c r="AE20" t="s">
        <v>243</v>
      </c>
      <c r="AF20" t="s">
        <v>244</v>
      </c>
      <c r="AG20" t="s">
        <v>245</v>
      </c>
      <c r="AK20" t="str">
        <f>HYPERLINK("http://www.proteinatlas.org/A6ND01","no")</f>
        <v>no</v>
      </c>
      <c r="AM20">
        <v>390243</v>
      </c>
    </row>
    <row r="21" spans="1:39" x14ac:dyDescent="0.35">
      <c r="A21" t="s">
        <v>246</v>
      </c>
      <c r="B21" t="str">
        <f>HYPERLINK("http://www.uniprot.org/uniprot/A6ND48","A6ND48")</f>
        <v>A6ND48</v>
      </c>
      <c r="C21" t="s">
        <v>247</v>
      </c>
      <c r="D21" t="s">
        <v>248</v>
      </c>
      <c r="E21" t="s">
        <v>39</v>
      </c>
      <c r="F21" t="s">
        <v>55</v>
      </c>
      <c r="H21">
        <v>311</v>
      </c>
      <c r="I21">
        <v>7</v>
      </c>
      <c r="J21">
        <v>0</v>
      </c>
      <c r="K21" t="s">
        <v>249</v>
      </c>
      <c r="L21" t="s">
        <v>57</v>
      </c>
      <c r="M21" t="s">
        <v>39</v>
      </c>
      <c r="N21">
        <v>0.91100000000000003</v>
      </c>
      <c r="O21" s="1">
        <v>1</v>
      </c>
      <c r="P21" t="s">
        <v>250</v>
      </c>
      <c r="Q21" t="s">
        <v>251</v>
      </c>
      <c r="S21" t="s">
        <v>166</v>
      </c>
      <c r="T21" t="s">
        <v>167</v>
      </c>
      <c r="U21" t="s">
        <v>252</v>
      </c>
      <c r="V21">
        <v>1</v>
      </c>
      <c r="AE21" t="s">
        <v>74</v>
      </c>
      <c r="AF21" t="s">
        <v>169</v>
      </c>
      <c r="AG21" t="s">
        <v>253</v>
      </c>
      <c r="AH21" t="str">
        <f>HYPERLINK("http://compartments.jensenlab.org/Entity?figures=subcell_cell_%&amp;knowledge=10&amp;textmining=10&amp;experiments=10&amp;predictions=10&amp;type1=9606&amp;type2=-22&amp;id1=ENSP00000339726","link")</f>
        <v>link</v>
      </c>
      <c r="AI21" t="s">
        <v>65</v>
      </c>
      <c r="AJ21" t="s">
        <v>51</v>
      </c>
      <c r="AK21" t="str">
        <f>HYPERLINK("http://www.proteinatlas.org/A6ND48","no")</f>
        <v>no</v>
      </c>
      <c r="AM21">
        <v>401994</v>
      </c>
    </row>
    <row r="22" spans="1:39" x14ac:dyDescent="0.35">
      <c r="A22" t="s">
        <v>254</v>
      </c>
      <c r="B22" t="str">
        <f>HYPERLINK("http://www.uniprot.org/uniprot/A6NDA9","A6NDA9")</f>
        <v>A6NDA9</v>
      </c>
      <c r="C22" t="s">
        <v>255</v>
      </c>
      <c r="D22" t="s">
        <v>256</v>
      </c>
      <c r="E22" t="s">
        <v>39</v>
      </c>
      <c r="F22" t="s">
        <v>40</v>
      </c>
      <c r="H22">
        <v>550</v>
      </c>
      <c r="I22">
        <v>1</v>
      </c>
      <c r="J22">
        <v>1</v>
      </c>
      <c r="K22" t="s">
        <v>257</v>
      </c>
      <c r="L22" t="s">
        <v>42</v>
      </c>
      <c r="N22">
        <v>0.87029999999999996</v>
      </c>
      <c r="O22" s="1">
        <v>1</v>
      </c>
      <c r="P22" t="s">
        <v>258</v>
      </c>
      <c r="Q22" t="s">
        <v>259</v>
      </c>
      <c r="S22" t="s">
        <v>91</v>
      </c>
      <c r="T22" t="s">
        <v>260</v>
      </c>
      <c r="U22" t="s">
        <v>261</v>
      </c>
      <c r="V22">
        <v>6</v>
      </c>
      <c r="AE22" t="s">
        <v>144</v>
      </c>
      <c r="AF22" t="s">
        <v>262</v>
      </c>
      <c r="AG22" t="s">
        <v>263</v>
      </c>
      <c r="AH22" t="str">
        <f>HYPERLINK("http://compartments.jensenlab.org/Entity?figures=subcell_cell_%&amp;knowledge=10&amp;textmining=10&amp;experiments=10&amp;predictions=10&amp;type1=9606&amp;type2=-22&amp;id1=ENSP00000361185","link")</f>
        <v>link</v>
      </c>
      <c r="AJ22" t="s">
        <v>51</v>
      </c>
      <c r="AK22" t="str">
        <f>HYPERLINK("http://www.proteinatlas.org/A6NDA9","HPA037788")</f>
        <v>HPA037788</v>
      </c>
      <c r="AM22">
        <v>340745</v>
      </c>
    </row>
    <row r="23" spans="1:39" x14ac:dyDescent="0.35">
      <c r="A23" t="s">
        <v>264</v>
      </c>
      <c r="B23" t="str">
        <f>HYPERLINK("http://www.uniprot.org/uniprot/A6NDH6","A6NDH6")</f>
        <v>A6NDH6</v>
      </c>
      <c r="C23" t="s">
        <v>265</v>
      </c>
      <c r="D23" t="s">
        <v>266</v>
      </c>
      <c r="E23" t="s">
        <v>39</v>
      </c>
      <c r="F23" t="s">
        <v>55</v>
      </c>
      <c r="H23">
        <v>313</v>
      </c>
      <c r="I23">
        <v>7</v>
      </c>
      <c r="J23">
        <v>0</v>
      </c>
      <c r="K23" t="s">
        <v>267</v>
      </c>
      <c r="L23" t="s">
        <v>57</v>
      </c>
      <c r="N23">
        <v>0.99399999999999999</v>
      </c>
      <c r="O23" s="1">
        <v>1</v>
      </c>
      <c r="P23" t="s">
        <v>268</v>
      </c>
      <c r="Q23" t="s">
        <v>269</v>
      </c>
      <c r="S23" t="s">
        <v>166</v>
      </c>
      <c r="T23" t="s">
        <v>167</v>
      </c>
      <c r="U23">
        <v>5</v>
      </c>
      <c r="V23">
        <v>1</v>
      </c>
      <c r="AE23" t="s">
        <v>74</v>
      </c>
      <c r="AF23" t="s">
        <v>169</v>
      </c>
      <c r="AG23" t="s">
        <v>270</v>
      </c>
      <c r="AH23" t="str">
        <f>HYPERLINK("http://compartments.jensenlab.org/Entity?figures=subcell_cell_%&amp;knowledge=10&amp;textmining=10&amp;experiments=10&amp;predictions=10&amp;type1=9606&amp;type2=-22&amp;id1=ENSP00000373195","link")</f>
        <v>link</v>
      </c>
      <c r="AI23" t="s">
        <v>65</v>
      </c>
      <c r="AJ23" t="s">
        <v>51</v>
      </c>
      <c r="AK23" t="str">
        <f>HYPERLINK("http://www.proteinatlas.org/A6NDH6","no")</f>
        <v>no</v>
      </c>
      <c r="AM23">
        <v>403274</v>
      </c>
    </row>
    <row r="24" spans="1:39" x14ac:dyDescent="0.35">
      <c r="A24" t="s">
        <v>271</v>
      </c>
      <c r="B24" t="str">
        <f>HYPERLINK("http://www.uniprot.org/uniprot/A6NDL8","A6NDL8")</f>
        <v>A6NDL8</v>
      </c>
      <c r="C24" t="s">
        <v>272</v>
      </c>
      <c r="D24" t="s">
        <v>273</v>
      </c>
      <c r="E24" t="s">
        <v>39</v>
      </c>
      <c r="F24" t="s">
        <v>40</v>
      </c>
      <c r="H24">
        <v>312</v>
      </c>
      <c r="I24">
        <v>7</v>
      </c>
      <c r="J24">
        <v>0</v>
      </c>
      <c r="K24" t="s">
        <v>274</v>
      </c>
      <c r="L24" t="s">
        <v>57</v>
      </c>
      <c r="N24">
        <v>0.78439999999999999</v>
      </c>
      <c r="O24" s="1">
        <v>1</v>
      </c>
      <c r="P24" t="s">
        <v>275</v>
      </c>
      <c r="Q24" t="s">
        <v>276</v>
      </c>
      <c r="S24" t="s">
        <v>166</v>
      </c>
      <c r="T24" t="s">
        <v>167</v>
      </c>
      <c r="U24">
        <v>63</v>
      </c>
      <c r="V24">
        <v>0</v>
      </c>
      <c r="AE24" t="s">
        <v>74</v>
      </c>
      <c r="AF24" t="s">
        <v>277</v>
      </c>
      <c r="AG24" t="s">
        <v>278</v>
      </c>
      <c r="AH24" t="str">
        <f>HYPERLINK("http://compartments.jensenlab.org/Entity?figures=subcell_cell_%&amp;knowledge=10&amp;textmining=10&amp;experiments=10&amp;predictions=10&amp;type1=9606&amp;type2=-22&amp;id1=ENSP00000448811","link")</f>
        <v>link</v>
      </c>
      <c r="AK24" t="str">
        <f>HYPERLINK("http://www.proteinatlas.org/A6NDL8","no")</f>
        <v>no</v>
      </c>
      <c r="AM24">
        <v>403284</v>
      </c>
    </row>
    <row r="25" spans="1:39" x14ac:dyDescent="0.35">
      <c r="A25" t="s">
        <v>279</v>
      </c>
      <c r="B25" t="str">
        <f>HYPERLINK("http://www.uniprot.org/uniprot/A6NDP7","A6NDP7")</f>
        <v>A6NDP7</v>
      </c>
      <c r="C25" t="s">
        <v>280</v>
      </c>
      <c r="D25" t="s">
        <v>281</v>
      </c>
      <c r="E25" t="s">
        <v>39</v>
      </c>
      <c r="F25" t="s">
        <v>40</v>
      </c>
      <c r="H25">
        <v>307</v>
      </c>
      <c r="I25">
        <v>7</v>
      </c>
      <c r="J25">
        <v>0</v>
      </c>
      <c r="K25" t="s">
        <v>282</v>
      </c>
      <c r="L25" t="s">
        <v>42</v>
      </c>
      <c r="N25">
        <v>0.74650000000000005</v>
      </c>
      <c r="O25" s="1">
        <v>2</v>
      </c>
      <c r="P25" t="s">
        <v>283</v>
      </c>
      <c r="Q25" t="s">
        <v>284</v>
      </c>
      <c r="S25" t="s">
        <v>60</v>
      </c>
      <c r="T25" t="s">
        <v>60</v>
      </c>
      <c r="U25">
        <v>86</v>
      </c>
      <c r="V25">
        <v>0</v>
      </c>
      <c r="AE25" t="s">
        <v>48</v>
      </c>
      <c r="AF25" t="s">
        <v>285</v>
      </c>
      <c r="AG25" t="s">
        <v>286</v>
      </c>
      <c r="AH25" t="str">
        <f>HYPERLINK("http://compartments.jensenlab.org/Entity?figures=subcell_cell_%&amp;knowledge=10&amp;textmining=10&amp;experiments=10&amp;predictions=10&amp;type1=9606&amp;type2=-22&amp;id1=ENSP00000327718","link")</f>
        <v>link</v>
      </c>
      <c r="AJ25" t="s">
        <v>51</v>
      </c>
      <c r="AK25" t="str">
        <f>HYPERLINK("http://www.proteinatlas.org/A6NDP7","HPA041856;HPA048476")</f>
        <v>HPA041856;HPA048476</v>
      </c>
      <c r="AM25">
        <v>255275</v>
      </c>
    </row>
    <row r="26" spans="1:39" x14ac:dyDescent="0.35">
      <c r="A26" t="s">
        <v>287</v>
      </c>
      <c r="B26" t="str">
        <f>HYPERLINK("http://www.uniprot.org/uniprot/A6NDV4","A6NDV4")</f>
        <v>A6NDV4</v>
      </c>
      <c r="C26" t="s">
        <v>288</v>
      </c>
      <c r="D26" t="s">
        <v>289</v>
      </c>
      <c r="E26" t="s">
        <v>39</v>
      </c>
      <c r="F26" t="s">
        <v>40</v>
      </c>
      <c r="H26">
        <v>472</v>
      </c>
      <c r="I26">
        <v>7</v>
      </c>
      <c r="J26">
        <v>0</v>
      </c>
      <c r="K26" t="s">
        <v>290</v>
      </c>
      <c r="L26" t="s">
        <v>57</v>
      </c>
      <c r="N26">
        <v>0.74450000000000005</v>
      </c>
      <c r="O26" s="1">
        <v>2</v>
      </c>
      <c r="P26" t="s">
        <v>291</v>
      </c>
      <c r="Q26" t="s">
        <v>292</v>
      </c>
      <c r="S26" t="s">
        <v>60</v>
      </c>
      <c r="T26" t="s">
        <v>60</v>
      </c>
      <c r="U26" t="s">
        <v>293</v>
      </c>
      <c r="V26">
        <v>3</v>
      </c>
      <c r="W26" t="s">
        <v>293</v>
      </c>
      <c r="Y26" t="s">
        <v>294</v>
      </c>
      <c r="AE26" t="s">
        <v>295</v>
      </c>
      <c r="AF26" t="s">
        <v>296</v>
      </c>
      <c r="AG26" t="s">
        <v>297</v>
      </c>
      <c r="AH26" t="str">
        <f>HYPERLINK("http://compartments.jensenlab.org/Entity?figures=subcell_cell_%&amp;knowledge=10&amp;textmining=10&amp;experiments=10&amp;predictions=10&amp;type1=9606&amp;type2=-22&amp;id1=ENSP00000367227","link")</f>
        <v>link</v>
      </c>
      <c r="AI26" t="s">
        <v>298</v>
      </c>
      <c r="AJ26" t="s">
        <v>299</v>
      </c>
      <c r="AK26" t="str">
        <f>HYPERLINK("http://www.proteinatlas.org/A6NDV4","HPA052130")</f>
        <v>HPA052130</v>
      </c>
      <c r="AM26">
        <v>51754</v>
      </c>
    </row>
    <row r="27" spans="1:39" x14ac:dyDescent="0.35">
      <c r="A27" t="s">
        <v>300</v>
      </c>
      <c r="B27" t="str">
        <f>HYPERLINK("http://www.uniprot.org/uniprot/A6NET4","A6NET4")</f>
        <v>A6NET4</v>
      </c>
      <c r="C27" t="s">
        <v>301</v>
      </c>
      <c r="D27" t="s">
        <v>302</v>
      </c>
      <c r="E27" t="s">
        <v>39</v>
      </c>
      <c r="F27" t="s">
        <v>55</v>
      </c>
      <c r="H27">
        <v>321</v>
      </c>
      <c r="I27">
        <v>7</v>
      </c>
      <c r="J27">
        <v>0</v>
      </c>
      <c r="K27" t="s">
        <v>303</v>
      </c>
      <c r="L27" t="s">
        <v>57</v>
      </c>
      <c r="N27">
        <v>0.95209999999999995</v>
      </c>
      <c r="O27" s="1">
        <v>1</v>
      </c>
      <c r="P27" t="s">
        <v>304</v>
      </c>
      <c r="Q27" t="s">
        <v>305</v>
      </c>
      <c r="S27" t="s">
        <v>166</v>
      </c>
      <c r="T27" t="s">
        <v>167</v>
      </c>
      <c r="U27">
        <v>5</v>
      </c>
      <c r="V27">
        <v>1</v>
      </c>
      <c r="AE27" t="s">
        <v>74</v>
      </c>
      <c r="AF27" t="s">
        <v>169</v>
      </c>
      <c r="AG27" t="s">
        <v>306</v>
      </c>
      <c r="AH27" t="str">
        <f>HYPERLINK("http://compartments.jensenlab.org/Entity?figures=subcell_cell_%&amp;knowledge=10&amp;textmining=10&amp;experiments=10&amp;predictions=10&amp;type1=9606&amp;type2=-22&amp;id1=ENSP00000373194","link")</f>
        <v>link</v>
      </c>
      <c r="AI27" t="s">
        <v>65</v>
      </c>
      <c r="AJ27" t="s">
        <v>51</v>
      </c>
      <c r="AK27" t="str">
        <f>HYPERLINK("http://www.proteinatlas.org/A6NET4","no")</f>
        <v>no</v>
      </c>
      <c r="AM27">
        <v>403277</v>
      </c>
    </row>
    <row r="28" spans="1:39" x14ac:dyDescent="0.35">
      <c r="A28" t="s">
        <v>307</v>
      </c>
      <c r="B28" t="str">
        <f>HYPERLINK("http://www.uniprot.org/uniprot/A6NF34","A6NF34")</f>
        <v>A6NF34</v>
      </c>
      <c r="C28" t="s">
        <v>308</v>
      </c>
      <c r="D28" t="s">
        <v>309</v>
      </c>
      <c r="E28" t="s">
        <v>39</v>
      </c>
      <c r="F28" t="s">
        <v>40</v>
      </c>
      <c r="H28">
        <v>631</v>
      </c>
      <c r="I28">
        <v>1</v>
      </c>
      <c r="J28">
        <v>1</v>
      </c>
      <c r="K28" t="s">
        <v>310</v>
      </c>
      <c r="L28" t="s">
        <v>57</v>
      </c>
      <c r="N28">
        <v>0.67659999999999998</v>
      </c>
      <c r="O28" s="1">
        <v>2</v>
      </c>
      <c r="P28" t="s">
        <v>311</v>
      </c>
      <c r="Q28" t="s">
        <v>312</v>
      </c>
      <c r="S28" t="s">
        <v>60</v>
      </c>
      <c r="T28" t="s">
        <v>60</v>
      </c>
      <c r="U28" t="s">
        <v>313</v>
      </c>
      <c r="V28">
        <v>3</v>
      </c>
      <c r="AE28" t="s">
        <v>144</v>
      </c>
      <c r="AF28" t="s">
        <v>314</v>
      </c>
      <c r="AG28" t="s">
        <v>315</v>
      </c>
      <c r="AH28" t="str">
        <f>HYPERLINK("http://compartments.jensenlab.org/Entity?figures=subcell_cell_%&amp;knowledge=10&amp;textmining=10&amp;experiments=10&amp;predictions=10&amp;type1=9606&amp;type2=-22&amp;id1=ENSP00000480615","link")</f>
        <v>link</v>
      </c>
      <c r="AK28" t="str">
        <f>HYPERLINK("http://www.proteinatlas.org/A6NF34","no")</f>
        <v>no</v>
      </c>
      <c r="AM28">
        <v>195977</v>
      </c>
    </row>
    <row r="29" spans="1:39" x14ac:dyDescent="0.35">
      <c r="A29" t="s">
        <v>316</v>
      </c>
      <c r="B29" t="str">
        <f>HYPERLINK("http://www.uniprot.org/uniprot/A6NF89","A6NF89")</f>
        <v>A6NF89</v>
      </c>
      <c r="C29" t="s">
        <v>317</v>
      </c>
      <c r="D29" t="s">
        <v>318</v>
      </c>
      <c r="E29" t="s">
        <v>39</v>
      </c>
      <c r="F29" t="s">
        <v>55</v>
      </c>
      <c r="H29">
        <v>314</v>
      </c>
      <c r="I29">
        <v>7</v>
      </c>
      <c r="J29">
        <v>0</v>
      </c>
      <c r="K29" t="s">
        <v>319</v>
      </c>
      <c r="L29" t="s">
        <v>57</v>
      </c>
      <c r="N29">
        <v>0.96009999999999995</v>
      </c>
      <c r="O29" s="1">
        <v>1</v>
      </c>
      <c r="P29" t="s">
        <v>320</v>
      </c>
      <c r="Q29" t="s">
        <v>321</v>
      </c>
      <c r="S29" t="s">
        <v>166</v>
      </c>
      <c r="T29" t="s">
        <v>167</v>
      </c>
      <c r="U29" t="s">
        <v>322</v>
      </c>
      <c r="V29">
        <v>1</v>
      </c>
      <c r="AE29" t="s">
        <v>74</v>
      </c>
      <c r="AF29" t="s">
        <v>169</v>
      </c>
      <c r="AG29" t="s">
        <v>323</v>
      </c>
      <c r="AH29" t="str">
        <f>HYPERLINK("http://compartments.jensenlab.org/Entity?figures=subcell_cell_%&amp;knowledge=10&amp;textmining=10&amp;experiments=10&amp;predictions=10&amp;type1=9606&amp;type2=-22&amp;id1=ENSP00000351211","link")</f>
        <v>link</v>
      </c>
      <c r="AI29" t="s">
        <v>65</v>
      </c>
      <c r="AJ29" t="s">
        <v>51</v>
      </c>
      <c r="AK29" t="str">
        <f>HYPERLINK("http://www.proteinatlas.org/A6NF89","HPA051090")</f>
        <v>HPA051090</v>
      </c>
      <c r="AM29">
        <v>283365</v>
      </c>
    </row>
    <row r="30" spans="1:39" x14ac:dyDescent="0.35">
      <c r="A30" t="s">
        <v>324</v>
      </c>
      <c r="B30" t="str">
        <f>HYPERLINK("http://www.uniprot.org/uniprot/A6NFA1","A6NFA1")</f>
        <v>A6NFA1</v>
      </c>
      <c r="C30" t="s">
        <v>325</v>
      </c>
      <c r="D30" t="s">
        <v>326</v>
      </c>
      <c r="E30" t="s">
        <v>39</v>
      </c>
      <c r="F30" t="s">
        <v>40</v>
      </c>
      <c r="H30">
        <v>517</v>
      </c>
      <c r="I30">
        <v>1</v>
      </c>
      <c r="J30">
        <v>1</v>
      </c>
      <c r="K30" t="s">
        <v>327</v>
      </c>
      <c r="L30" t="s">
        <v>57</v>
      </c>
      <c r="N30">
        <v>0.71860000000000002</v>
      </c>
      <c r="O30" s="1">
        <v>2</v>
      </c>
      <c r="P30" t="s">
        <v>328</v>
      </c>
      <c r="Q30" t="s">
        <v>329</v>
      </c>
      <c r="S30" t="s">
        <v>60</v>
      </c>
      <c r="T30" t="s">
        <v>60</v>
      </c>
      <c r="U30" t="s">
        <v>330</v>
      </c>
      <c r="V30">
        <v>4</v>
      </c>
      <c r="W30" t="s">
        <v>331</v>
      </c>
      <c r="AE30" t="s">
        <v>332</v>
      </c>
      <c r="AF30" t="s">
        <v>333</v>
      </c>
      <c r="AG30" t="s">
        <v>334</v>
      </c>
      <c r="AH30" t="str">
        <f>HYPERLINK("http://compartments.jensenlab.org/Entity?figures=subcell_cell_%&amp;knowledge=10&amp;textmining=10&amp;experiments=10&amp;predictions=10&amp;type1=9606&amp;type2=-22&amp;id1=ENSP00000476820","link")</f>
        <v>link</v>
      </c>
      <c r="AK30" t="str">
        <f>HYPERLINK("http://www.proteinatlas.org/A6NFA1","HPA045817")</f>
        <v>HPA045817</v>
      </c>
      <c r="AM30">
        <v>388630</v>
      </c>
    </row>
    <row r="31" spans="1:39" x14ac:dyDescent="0.35">
      <c r="A31" t="s">
        <v>335</v>
      </c>
      <c r="B31" t="str">
        <f>HYPERLINK("http://www.uniprot.org/uniprot/A6NFC5","A6NFC5")</f>
        <v>A6NFC5</v>
      </c>
      <c r="C31" t="s">
        <v>336</v>
      </c>
      <c r="D31" t="s">
        <v>337</v>
      </c>
      <c r="E31" t="s">
        <v>39</v>
      </c>
      <c r="F31" t="s">
        <v>40</v>
      </c>
      <c r="H31">
        <v>223</v>
      </c>
      <c r="I31">
        <v>3</v>
      </c>
      <c r="J31">
        <v>1</v>
      </c>
      <c r="K31" t="s">
        <v>338</v>
      </c>
      <c r="L31" t="s">
        <v>42</v>
      </c>
      <c r="N31">
        <v>0.71860000000000002</v>
      </c>
      <c r="O31" s="1">
        <v>2</v>
      </c>
      <c r="P31" t="s">
        <v>339</v>
      </c>
      <c r="Q31" t="s">
        <v>340</v>
      </c>
      <c r="S31" t="s">
        <v>45</v>
      </c>
      <c r="T31" t="s">
        <v>341</v>
      </c>
      <c r="U31">
        <v>41</v>
      </c>
      <c r="V31">
        <v>1</v>
      </c>
      <c r="AE31" t="s">
        <v>342</v>
      </c>
      <c r="AF31" t="s">
        <v>343</v>
      </c>
      <c r="AG31" t="s">
        <v>344</v>
      </c>
      <c r="AH31" t="str">
        <f>HYPERLINK("http://compartments.jensenlab.org/Entity?figures=subcell_cell_%&amp;knowledge=10&amp;textmining=10&amp;experiments=10&amp;predictions=10&amp;type1=9606&amp;type2=-22&amp;id1=ENSP00000402790","link")</f>
        <v>link</v>
      </c>
      <c r="AJ31" t="s">
        <v>345</v>
      </c>
      <c r="AK31" t="str">
        <f>HYPERLINK("http://www.proteinatlas.org/A6NFC5","HPA053939")</f>
        <v>HPA053939</v>
      </c>
      <c r="AM31">
        <v>283999</v>
      </c>
    </row>
    <row r="32" spans="1:39" x14ac:dyDescent="0.35">
      <c r="A32" t="s">
        <v>346</v>
      </c>
      <c r="B32" t="str">
        <f>HYPERLINK("http://www.uniprot.org/uniprot/A6NFX1","A6NFX1")</f>
        <v>A6NFX1</v>
      </c>
      <c r="C32" t="s">
        <v>347</v>
      </c>
      <c r="D32" t="s">
        <v>348</v>
      </c>
      <c r="E32" t="s">
        <v>39</v>
      </c>
      <c r="F32" t="s">
        <v>40</v>
      </c>
      <c r="H32">
        <v>497</v>
      </c>
      <c r="I32">
        <v>10</v>
      </c>
      <c r="J32">
        <v>0</v>
      </c>
      <c r="K32" t="s">
        <v>349</v>
      </c>
      <c r="L32" t="s">
        <v>42</v>
      </c>
      <c r="N32">
        <v>0.63670000000000004</v>
      </c>
      <c r="O32" s="1">
        <v>2</v>
      </c>
      <c r="P32" t="s">
        <v>350</v>
      </c>
      <c r="Q32" t="s">
        <v>351</v>
      </c>
      <c r="S32" t="s">
        <v>60</v>
      </c>
      <c r="T32" t="s">
        <v>60</v>
      </c>
      <c r="U32">
        <v>103</v>
      </c>
      <c r="V32">
        <v>0</v>
      </c>
      <c r="AE32" t="s">
        <v>48</v>
      </c>
      <c r="AF32" t="s">
        <v>352</v>
      </c>
      <c r="AG32" t="s">
        <v>353</v>
      </c>
      <c r="AH32" t="str">
        <f>HYPERLINK("http://compartments.jensenlab.org/Entity?figures=subcell_cell_%&amp;knowledge=10&amp;textmining=10&amp;experiments=10&amp;predictions=10&amp;type1=9606&amp;type2=-22&amp;id1=ENSP00000385527","link")</f>
        <v>link</v>
      </c>
      <c r="AJ32" t="s">
        <v>51</v>
      </c>
      <c r="AK32" t="str">
        <f>HYPERLINK("http://www.proteinatlas.org/A6NFX1","HPA044145")</f>
        <v>HPA044145</v>
      </c>
      <c r="AM32">
        <v>388931</v>
      </c>
    </row>
    <row r="33" spans="1:39" x14ac:dyDescent="0.35">
      <c r="A33" t="s">
        <v>354</v>
      </c>
      <c r="B33" t="str">
        <f>HYPERLINK("http://www.uniprot.org/uniprot/A6NGU5","A6NGU5")</f>
        <v>A6NGU5</v>
      </c>
      <c r="C33" t="s">
        <v>355</v>
      </c>
      <c r="D33" t="s">
        <v>356</v>
      </c>
      <c r="E33" t="s">
        <v>39</v>
      </c>
      <c r="F33" t="s">
        <v>40</v>
      </c>
      <c r="H33">
        <v>568</v>
      </c>
      <c r="I33">
        <v>1</v>
      </c>
      <c r="J33">
        <v>0</v>
      </c>
      <c r="K33" t="s">
        <v>357</v>
      </c>
      <c r="L33" t="s">
        <v>57</v>
      </c>
      <c r="N33">
        <v>0.5948</v>
      </c>
      <c r="O33" s="1">
        <v>2</v>
      </c>
      <c r="S33" t="s">
        <v>60</v>
      </c>
      <c r="T33" t="s">
        <v>60</v>
      </c>
      <c r="U33" t="s">
        <v>358</v>
      </c>
      <c r="V33">
        <v>7</v>
      </c>
      <c r="AE33" t="s">
        <v>359</v>
      </c>
      <c r="AF33" t="s">
        <v>360</v>
      </c>
      <c r="AG33" t="s">
        <v>361</v>
      </c>
      <c r="AK33" t="str">
        <f>HYPERLINK("http://www.proteinatlas.org/A6NGU5","no")</f>
        <v>no</v>
      </c>
    </row>
    <row r="34" spans="1:39" x14ac:dyDescent="0.35">
      <c r="A34" t="s">
        <v>362</v>
      </c>
      <c r="B34" t="str">
        <f>HYPERLINK("http://www.uniprot.org/uniprot/A6NGY5","A6NGY5")</f>
        <v>A6NGY5</v>
      </c>
      <c r="C34" t="s">
        <v>363</v>
      </c>
      <c r="D34" t="s">
        <v>364</v>
      </c>
      <c r="E34" t="s">
        <v>39</v>
      </c>
      <c r="F34" t="s">
        <v>40</v>
      </c>
      <c r="H34">
        <v>319</v>
      </c>
      <c r="I34">
        <v>7</v>
      </c>
      <c r="J34">
        <v>0</v>
      </c>
      <c r="K34" t="s">
        <v>365</v>
      </c>
      <c r="L34" t="s">
        <v>57</v>
      </c>
      <c r="N34">
        <v>0.93610000000000004</v>
      </c>
      <c r="O34" s="1">
        <v>1</v>
      </c>
      <c r="P34" t="s">
        <v>366</v>
      </c>
      <c r="Q34" t="s">
        <v>367</v>
      </c>
      <c r="S34" t="s">
        <v>166</v>
      </c>
      <c r="T34" t="s">
        <v>167</v>
      </c>
      <c r="U34">
        <v>13</v>
      </c>
      <c r="V34">
        <v>1</v>
      </c>
      <c r="AE34" t="s">
        <v>74</v>
      </c>
      <c r="AF34" t="s">
        <v>368</v>
      </c>
      <c r="AG34" t="s">
        <v>369</v>
      </c>
      <c r="AH34" t="str">
        <f>HYPERLINK("http://compartments.jensenlab.org/Entity?figures=subcell_cell_%&amp;knowledge=10&amp;textmining=10&amp;experiments=10&amp;predictions=10&amp;type1=9606&amp;type2=-22&amp;id1=ENSP00000369744","link")</f>
        <v>link</v>
      </c>
      <c r="AK34" t="str">
        <f>HYPERLINK("http://www.proteinatlas.org/A6NGY5","no")</f>
        <v>no</v>
      </c>
    </row>
    <row r="35" spans="1:39" x14ac:dyDescent="0.35">
      <c r="A35" t="s">
        <v>370</v>
      </c>
      <c r="B35" t="str">
        <f>HYPERLINK("http://www.uniprot.org/uniprot/A6NH00","A6NH00")</f>
        <v>A6NH00</v>
      </c>
      <c r="C35" t="s">
        <v>371</v>
      </c>
      <c r="D35" t="s">
        <v>372</v>
      </c>
      <c r="E35" t="s">
        <v>39</v>
      </c>
      <c r="F35" t="s">
        <v>55</v>
      </c>
      <c r="H35">
        <v>312</v>
      </c>
      <c r="I35">
        <v>7</v>
      </c>
      <c r="J35">
        <v>0</v>
      </c>
      <c r="K35" t="s">
        <v>373</v>
      </c>
      <c r="L35" t="s">
        <v>57</v>
      </c>
      <c r="M35" t="s">
        <v>39</v>
      </c>
      <c r="N35">
        <v>0.94920000000000004</v>
      </c>
      <c r="O35" s="1">
        <v>1</v>
      </c>
      <c r="P35" t="s">
        <v>374</v>
      </c>
      <c r="Q35" t="s">
        <v>375</v>
      </c>
      <c r="S35" t="s">
        <v>166</v>
      </c>
      <c r="T35" t="s">
        <v>167</v>
      </c>
      <c r="U35" t="s">
        <v>376</v>
      </c>
      <c r="V35">
        <v>2</v>
      </c>
      <c r="AE35" t="s">
        <v>74</v>
      </c>
      <c r="AF35" t="s">
        <v>169</v>
      </c>
      <c r="AG35" t="s">
        <v>377</v>
      </c>
      <c r="AH35" t="str">
        <f>HYPERLINK("http://compartments.jensenlab.org/Entity?figures=subcell_cell_%&amp;knowledge=10&amp;textmining=10&amp;experiments=10&amp;predictions=10&amp;type1=9606&amp;type2=-22&amp;id1=ENSP00000326225","link")</f>
        <v>link</v>
      </c>
      <c r="AI35" t="s">
        <v>65</v>
      </c>
      <c r="AJ35" t="s">
        <v>51</v>
      </c>
      <c r="AK35" t="str">
        <f>HYPERLINK("http://www.proteinatlas.org/A6NH00","no")</f>
        <v>no</v>
      </c>
      <c r="AM35">
        <v>343172</v>
      </c>
    </row>
    <row r="36" spans="1:39" x14ac:dyDescent="0.35">
      <c r="A36" t="s">
        <v>378</v>
      </c>
      <c r="B36" t="str">
        <f>HYPERLINK("http://www.uniprot.org/uniprot/A6NH21","A6NH21")</f>
        <v>A6NH21</v>
      </c>
      <c r="C36" t="s">
        <v>379</v>
      </c>
      <c r="D36" t="s">
        <v>380</v>
      </c>
      <c r="E36" t="s">
        <v>39</v>
      </c>
      <c r="F36" t="s">
        <v>40</v>
      </c>
      <c r="H36">
        <v>518</v>
      </c>
      <c r="I36">
        <v>10</v>
      </c>
      <c r="J36">
        <v>0</v>
      </c>
      <c r="K36" t="s">
        <v>381</v>
      </c>
      <c r="L36" t="s">
        <v>42</v>
      </c>
      <c r="N36">
        <v>0.7006</v>
      </c>
      <c r="O36" s="1">
        <v>2</v>
      </c>
      <c r="P36" t="s">
        <v>382</v>
      </c>
      <c r="Q36" t="s">
        <v>383</v>
      </c>
      <c r="S36" t="s">
        <v>45</v>
      </c>
      <c r="T36" t="s">
        <v>384</v>
      </c>
      <c r="U36" t="s">
        <v>385</v>
      </c>
      <c r="V36">
        <v>1</v>
      </c>
      <c r="AE36" t="s">
        <v>48</v>
      </c>
      <c r="AF36" t="s">
        <v>386</v>
      </c>
      <c r="AG36" t="s">
        <v>387</v>
      </c>
      <c r="AH36" t="str">
        <f>HYPERLINK("http://compartments.jensenlab.org/Entity?figures=subcell_cell_%&amp;knowledge=10&amp;textmining=10&amp;experiments=10&amp;predictions=10&amp;type1=9606&amp;type2=-22&amp;id1=ENSP00000319796","link")</f>
        <v>link</v>
      </c>
      <c r="AK36" t="str">
        <f>HYPERLINK("http://www.proteinatlas.org/A6NH21","HPA018526")</f>
        <v>HPA018526</v>
      </c>
      <c r="AM36">
        <v>619189</v>
      </c>
    </row>
    <row r="37" spans="1:39" x14ac:dyDescent="0.35">
      <c r="A37" t="s">
        <v>388</v>
      </c>
      <c r="B37" t="str">
        <f>HYPERLINK("http://www.uniprot.org/uniprot/A6NHA9","A6NHA9")</f>
        <v>A6NHA9</v>
      </c>
      <c r="C37" t="s">
        <v>389</v>
      </c>
      <c r="D37" t="s">
        <v>390</v>
      </c>
      <c r="E37" t="s">
        <v>39</v>
      </c>
      <c r="F37" t="s">
        <v>55</v>
      </c>
      <c r="H37">
        <v>309</v>
      </c>
      <c r="I37">
        <v>7</v>
      </c>
      <c r="J37">
        <v>0</v>
      </c>
      <c r="K37" t="s">
        <v>391</v>
      </c>
      <c r="L37" t="s">
        <v>57</v>
      </c>
      <c r="N37">
        <v>0.97409999999999997</v>
      </c>
      <c r="O37" s="1">
        <v>1</v>
      </c>
      <c r="P37" t="s">
        <v>392</v>
      </c>
      <c r="Q37" t="s">
        <v>393</v>
      </c>
      <c r="S37" t="s">
        <v>166</v>
      </c>
      <c r="T37" t="s">
        <v>167</v>
      </c>
      <c r="U37">
        <v>6</v>
      </c>
      <c r="V37">
        <v>1</v>
      </c>
      <c r="AE37" t="s">
        <v>74</v>
      </c>
      <c r="AF37" t="s">
        <v>169</v>
      </c>
      <c r="AG37" t="s">
        <v>394</v>
      </c>
      <c r="AH37" t="str">
        <f>HYPERLINK("http://compartments.jensenlab.org/Entity?figures=subcell_cell_%&amp;knowledge=10&amp;textmining=10&amp;experiments=10&amp;predictions=10&amp;type1=9606&amp;type2=-22&amp;id1=ENSP00000329056","link")</f>
        <v>link</v>
      </c>
      <c r="AI37" t="s">
        <v>65</v>
      </c>
      <c r="AJ37" t="s">
        <v>51</v>
      </c>
      <c r="AK37" t="str">
        <f>HYPERLINK("http://www.proteinatlas.org/A6NHA9","no")</f>
        <v>no</v>
      </c>
      <c r="AM37">
        <v>119749</v>
      </c>
    </row>
    <row r="38" spans="1:39" x14ac:dyDescent="0.35">
      <c r="A38" t="s">
        <v>395</v>
      </c>
      <c r="B38" t="str">
        <f>HYPERLINK("http://www.uniprot.org/uniprot/A6NHG9","A6NHG9")</f>
        <v>A6NHG9</v>
      </c>
      <c r="C38" t="s">
        <v>396</v>
      </c>
      <c r="D38" t="s">
        <v>397</v>
      </c>
      <c r="E38" t="s">
        <v>39</v>
      </c>
      <c r="F38" t="s">
        <v>55</v>
      </c>
      <c r="H38">
        <v>310</v>
      </c>
      <c r="I38">
        <v>7</v>
      </c>
      <c r="J38">
        <v>0</v>
      </c>
      <c r="K38" t="s">
        <v>398</v>
      </c>
      <c r="L38" t="s">
        <v>57</v>
      </c>
      <c r="N38">
        <v>0.96209999999999996</v>
      </c>
      <c r="O38" s="1">
        <v>1</v>
      </c>
      <c r="P38" t="s">
        <v>399</v>
      </c>
      <c r="Q38" t="s">
        <v>400</v>
      </c>
      <c r="S38" t="s">
        <v>166</v>
      </c>
      <c r="T38" t="s">
        <v>167</v>
      </c>
      <c r="U38">
        <v>5</v>
      </c>
      <c r="V38">
        <v>1</v>
      </c>
      <c r="AE38" t="s">
        <v>74</v>
      </c>
      <c r="AF38" t="s">
        <v>169</v>
      </c>
      <c r="AG38" t="s">
        <v>401</v>
      </c>
      <c r="AH38" t="str">
        <f>HYPERLINK("http://compartments.jensenlab.org/Entity?figures=subcell_cell_%&amp;knowledge=10&amp;textmining=10&amp;experiments=10&amp;predictions=10&amp;type1=9606&amp;type2=-22&amp;id1=ENSP00000401706","link")</f>
        <v>link</v>
      </c>
      <c r="AI38" t="s">
        <v>65</v>
      </c>
      <c r="AJ38" t="s">
        <v>51</v>
      </c>
      <c r="AK38" t="str">
        <f>HYPERLINK("http://www.proteinatlas.org/A6NHG9","no")</f>
        <v>no</v>
      </c>
      <c r="AM38">
        <v>403273</v>
      </c>
    </row>
    <row r="39" spans="1:39" x14ac:dyDescent="0.35">
      <c r="A39" t="s">
        <v>402</v>
      </c>
      <c r="B39" t="str">
        <f>HYPERLINK("http://www.uniprot.org/uniprot/A6NHS7","A6NHS7")</f>
        <v>A6NHS7</v>
      </c>
      <c r="C39" t="s">
        <v>403</v>
      </c>
      <c r="D39" t="s">
        <v>404</v>
      </c>
      <c r="E39" t="s">
        <v>39</v>
      </c>
      <c r="F39" t="s">
        <v>40</v>
      </c>
      <c r="H39">
        <v>340</v>
      </c>
      <c r="I39">
        <v>1</v>
      </c>
      <c r="J39">
        <v>1</v>
      </c>
      <c r="K39" t="s">
        <v>405</v>
      </c>
      <c r="L39" t="s">
        <v>57</v>
      </c>
      <c r="N39">
        <v>0.87429999999999997</v>
      </c>
      <c r="O39" s="1">
        <v>1</v>
      </c>
      <c r="P39" t="s">
        <v>406</v>
      </c>
      <c r="Q39" t="s">
        <v>407</v>
      </c>
      <c r="S39" t="s">
        <v>60</v>
      </c>
      <c r="T39" t="s">
        <v>60</v>
      </c>
      <c r="U39" t="s">
        <v>408</v>
      </c>
      <c r="V39">
        <v>7</v>
      </c>
      <c r="AE39" t="s">
        <v>144</v>
      </c>
      <c r="AF39" t="s">
        <v>409</v>
      </c>
      <c r="AG39" t="s">
        <v>410</v>
      </c>
      <c r="AH39" t="str">
        <f>HYPERLINK("http://compartments.jensenlab.org/Entity?figures=subcell_cell_%&amp;knowledge=10&amp;textmining=10&amp;experiments=10&amp;predictions=10&amp;type1=9606&amp;type2=-22&amp;id1=ENSP00000370673","link")</f>
        <v>link</v>
      </c>
      <c r="AJ39" t="s">
        <v>51</v>
      </c>
      <c r="AK39" t="str">
        <f>HYPERLINK("http://www.proteinatlas.org/A6NHS7","HPA039454;HPA039682")</f>
        <v>HPA039454;HPA039682</v>
      </c>
      <c r="AM39" s="4">
        <v>100000000</v>
      </c>
    </row>
    <row r="40" spans="1:39" x14ac:dyDescent="0.35">
      <c r="A40" t="s">
        <v>411</v>
      </c>
      <c r="B40" t="str">
        <f>HYPERLINK("http://www.uniprot.org/uniprot/A6NI73","A6NI73")</f>
        <v>A6NI73</v>
      </c>
      <c r="C40" t="s">
        <v>412</v>
      </c>
      <c r="D40" t="s">
        <v>413</v>
      </c>
      <c r="E40" t="s">
        <v>39</v>
      </c>
      <c r="F40" t="s">
        <v>40</v>
      </c>
      <c r="H40">
        <v>299</v>
      </c>
      <c r="I40">
        <v>1</v>
      </c>
      <c r="J40">
        <v>1</v>
      </c>
      <c r="K40" t="s">
        <v>414</v>
      </c>
      <c r="L40" t="s">
        <v>101</v>
      </c>
      <c r="N40">
        <v>0.7984</v>
      </c>
      <c r="O40" s="1">
        <v>1</v>
      </c>
      <c r="P40" t="s">
        <v>415</v>
      </c>
      <c r="Q40" t="s">
        <v>416</v>
      </c>
      <c r="R40" t="s">
        <v>417</v>
      </c>
      <c r="S40" t="s">
        <v>166</v>
      </c>
      <c r="T40" t="s">
        <v>418</v>
      </c>
      <c r="U40" t="s">
        <v>419</v>
      </c>
      <c r="V40">
        <v>4</v>
      </c>
      <c r="W40" t="s">
        <v>419</v>
      </c>
      <c r="Z40" t="s">
        <v>107</v>
      </c>
      <c r="AA40">
        <v>2</v>
      </c>
      <c r="AB40" t="s">
        <v>420</v>
      </c>
      <c r="AC40" t="s">
        <v>421</v>
      </c>
      <c r="AD40" t="s">
        <v>422</v>
      </c>
      <c r="AE40" t="s">
        <v>423</v>
      </c>
      <c r="AF40" t="s">
        <v>424</v>
      </c>
      <c r="AG40" t="s">
        <v>425</v>
      </c>
      <c r="AH40" t="str">
        <f>HYPERLINK("http://compartments.jensenlab.org/Entity?figures=subcell_cell_%&amp;knowledge=10&amp;textmining=10&amp;experiments=10&amp;predictions=10&amp;type1=9606&amp;type2=-22&amp;id1=ENSP00000404236","link")</f>
        <v>link</v>
      </c>
      <c r="AK40" t="str">
        <f>HYPERLINK("http://www.proteinatlas.org/A6NI73","no")</f>
        <v>no</v>
      </c>
      <c r="AM40">
        <v>353514</v>
      </c>
    </row>
    <row r="41" spans="1:39" x14ac:dyDescent="0.35">
      <c r="A41" t="s">
        <v>426</v>
      </c>
      <c r="B41" t="str">
        <f>HYPERLINK("http://www.uniprot.org/uniprot/A6NIJ9","A6NIJ9")</f>
        <v>A6NIJ9</v>
      </c>
      <c r="C41" t="s">
        <v>427</v>
      </c>
      <c r="D41" t="s">
        <v>428</v>
      </c>
      <c r="E41" t="s">
        <v>39</v>
      </c>
      <c r="F41" t="s">
        <v>55</v>
      </c>
      <c r="H41">
        <v>312</v>
      </c>
      <c r="I41">
        <v>7</v>
      </c>
      <c r="J41">
        <v>0</v>
      </c>
      <c r="K41" t="s">
        <v>429</v>
      </c>
      <c r="L41" t="s">
        <v>57</v>
      </c>
      <c r="N41">
        <v>0.96009999999999995</v>
      </c>
      <c r="O41" s="1">
        <v>1</v>
      </c>
      <c r="P41" t="s">
        <v>430</v>
      </c>
      <c r="Q41" t="s">
        <v>431</v>
      </c>
      <c r="S41" t="s">
        <v>166</v>
      </c>
      <c r="T41" t="s">
        <v>167</v>
      </c>
      <c r="U41" t="s">
        <v>432</v>
      </c>
      <c r="V41">
        <v>1</v>
      </c>
      <c r="AE41" t="s">
        <v>74</v>
      </c>
      <c r="AF41" t="s">
        <v>169</v>
      </c>
      <c r="AG41" t="s">
        <v>433</v>
      </c>
      <c r="AH41" t="str">
        <f>HYPERLINK("http://compartments.jensenlab.org/Entity?figures=subcell_cell_%&amp;knowledge=10&amp;textmining=10&amp;experiments=10&amp;predictions=10&amp;type1=9606&amp;type2=-22&amp;id1=ENSP00000329153","link")</f>
        <v>link</v>
      </c>
      <c r="AI41" t="s">
        <v>65</v>
      </c>
      <c r="AJ41" t="s">
        <v>51</v>
      </c>
      <c r="AK41" t="str">
        <f>HYPERLINK("http://www.proteinatlas.org/A6NIJ9","no")</f>
        <v>no</v>
      </c>
      <c r="AM41">
        <v>390327</v>
      </c>
    </row>
    <row r="42" spans="1:39" x14ac:dyDescent="0.35">
      <c r="A42" t="s">
        <v>434</v>
      </c>
      <c r="B42" t="str">
        <f>HYPERLINK("http://www.uniprot.org/uniprot/A6NIM6","A6NIM6")</f>
        <v>A6NIM6</v>
      </c>
      <c r="C42" t="s">
        <v>435</v>
      </c>
      <c r="D42" t="s">
        <v>436</v>
      </c>
      <c r="E42" t="s">
        <v>39</v>
      </c>
      <c r="F42" t="s">
        <v>40</v>
      </c>
      <c r="H42">
        <v>579</v>
      </c>
      <c r="I42">
        <v>11</v>
      </c>
      <c r="J42">
        <v>0</v>
      </c>
      <c r="K42" t="s">
        <v>437</v>
      </c>
      <c r="L42" t="s">
        <v>42</v>
      </c>
      <c r="N42">
        <v>0.74250000000000005</v>
      </c>
      <c r="O42" s="1">
        <v>2</v>
      </c>
      <c r="P42" t="s">
        <v>438</v>
      </c>
      <c r="Q42" t="s">
        <v>439</v>
      </c>
      <c r="S42" t="s">
        <v>60</v>
      </c>
      <c r="T42" t="s">
        <v>60</v>
      </c>
      <c r="U42">
        <v>203</v>
      </c>
      <c r="V42">
        <v>0</v>
      </c>
      <c r="Y42">
        <v>195</v>
      </c>
      <c r="AE42" t="s">
        <v>48</v>
      </c>
      <c r="AF42" t="s">
        <v>440</v>
      </c>
      <c r="AG42" t="s">
        <v>441</v>
      </c>
      <c r="AH42" t="str">
        <f>HYPERLINK("http://compartments.jensenlab.org/Entity?figures=subcell_cell_%&amp;knowledge=10&amp;textmining=10&amp;experiments=10&amp;predictions=10&amp;type1=9606&amp;type2=-22&amp;id1=ENSP00000340402","link")</f>
        <v>link</v>
      </c>
      <c r="AJ42" t="s">
        <v>51</v>
      </c>
      <c r="AK42" t="str">
        <f>HYPERLINK("http://www.proteinatlas.org/A6NIM6","HPA041638")</f>
        <v>HPA041638</v>
      </c>
      <c r="AM42">
        <v>729025</v>
      </c>
    </row>
    <row r="43" spans="1:39" x14ac:dyDescent="0.35">
      <c r="A43" t="s">
        <v>442</v>
      </c>
      <c r="B43" t="str">
        <f>HYPERLINK("http://www.uniprot.org/uniprot/A6NJW9","A6NJW9")</f>
        <v>A6NJW9</v>
      </c>
      <c r="C43" t="s">
        <v>443</v>
      </c>
      <c r="D43" t="s">
        <v>444</v>
      </c>
      <c r="E43" t="s">
        <v>39</v>
      </c>
      <c r="F43" t="s">
        <v>40</v>
      </c>
      <c r="H43">
        <v>211</v>
      </c>
      <c r="I43">
        <v>1</v>
      </c>
      <c r="J43">
        <v>1</v>
      </c>
      <c r="K43" t="s">
        <v>445</v>
      </c>
      <c r="L43" t="s">
        <v>57</v>
      </c>
      <c r="N43">
        <v>0.64670000000000005</v>
      </c>
      <c r="O43" s="1">
        <v>2</v>
      </c>
      <c r="S43" t="s">
        <v>60</v>
      </c>
      <c r="T43" t="s">
        <v>60</v>
      </c>
      <c r="U43">
        <v>102</v>
      </c>
      <c r="V43">
        <v>1</v>
      </c>
      <c r="AE43" t="s">
        <v>332</v>
      </c>
      <c r="AF43" t="s">
        <v>446</v>
      </c>
      <c r="AG43" t="s">
        <v>447</v>
      </c>
      <c r="AK43" t="str">
        <f>HYPERLINK("http://www.proteinatlas.org/A6NJW9","no")</f>
        <v>no</v>
      </c>
    </row>
    <row r="44" spans="1:39" x14ac:dyDescent="0.35">
      <c r="A44" t="s">
        <v>448</v>
      </c>
      <c r="B44" t="str">
        <f>HYPERLINK("http://www.uniprot.org/uniprot/A6NJZ3","A6NJZ3")</f>
        <v>A6NJZ3</v>
      </c>
      <c r="C44" t="s">
        <v>449</v>
      </c>
      <c r="D44" t="s">
        <v>450</v>
      </c>
      <c r="E44" t="s">
        <v>39</v>
      </c>
      <c r="F44" t="s">
        <v>55</v>
      </c>
      <c r="H44">
        <v>312</v>
      </c>
      <c r="I44">
        <v>7</v>
      </c>
      <c r="J44">
        <v>0</v>
      </c>
      <c r="K44" t="s">
        <v>451</v>
      </c>
      <c r="L44" t="s">
        <v>57</v>
      </c>
      <c r="N44">
        <v>0.93010000000000004</v>
      </c>
      <c r="O44" s="1">
        <v>1</v>
      </c>
      <c r="P44" t="s">
        <v>452</v>
      </c>
      <c r="Q44" t="s">
        <v>453</v>
      </c>
      <c r="S44" t="s">
        <v>166</v>
      </c>
      <c r="T44" t="s">
        <v>167</v>
      </c>
      <c r="U44" t="s">
        <v>454</v>
      </c>
      <c r="V44">
        <v>2</v>
      </c>
      <c r="AE44" t="s">
        <v>74</v>
      </c>
      <c r="AF44" t="s">
        <v>455</v>
      </c>
      <c r="AG44" t="s">
        <v>456</v>
      </c>
      <c r="AH44" t="str">
        <f>HYPERLINK("http://compartments.jensenlab.org/Entity?figures=subcell_cell_%&amp;knowledge=10&amp;textmining=10&amp;experiments=10&amp;predictions=10&amp;type1=9606&amp;type2=-22&amp;id1=ENSP00000368986","link")</f>
        <v>link</v>
      </c>
      <c r="AI44" t="s">
        <v>65</v>
      </c>
      <c r="AJ44" t="s">
        <v>51</v>
      </c>
      <c r="AK44" t="str">
        <f>HYPERLINK("http://www.proteinatlas.org/A6NJZ3","no")</f>
        <v>no</v>
      </c>
      <c r="AM44">
        <v>403282</v>
      </c>
    </row>
    <row r="45" spans="1:39" x14ac:dyDescent="0.35">
      <c r="A45" t="s">
        <v>457</v>
      </c>
      <c r="B45" t="str">
        <f>HYPERLINK("http://www.uniprot.org/uniprot/A6NK97","A6NK97")</f>
        <v>A6NK97</v>
      </c>
      <c r="C45" t="s">
        <v>458</v>
      </c>
      <c r="D45" t="s">
        <v>459</v>
      </c>
      <c r="E45" t="s">
        <v>39</v>
      </c>
      <c r="F45" t="s">
        <v>40</v>
      </c>
      <c r="H45">
        <v>555</v>
      </c>
      <c r="I45">
        <v>11</v>
      </c>
      <c r="J45">
        <v>0</v>
      </c>
      <c r="K45" t="s">
        <v>460</v>
      </c>
      <c r="L45" t="s">
        <v>57</v>
      </c>
      <c r="N45">
        <v>0.6966</v>
      </c>
      <c r="O45" s="1">
        <v>2</v>
      </c>
      <c r="S45" t="s">
        <v>45</v>
      </c>
      <c r="T45" t="s">
        <v>121</v>
      </c>
      <c r="U45" t="s">
        <v>461</v>
      </c>
      <c r="V45">
        <v>5</v>
      </c>
      <c r="AE45" t="s">
        <v>48</v>
      </c>
      <c r="AF45" t="s">
        <v>462</v>
      </c>
      <c r="AG45" t="s">
        <v>463</v>
      </c>
      <c r="AK45" t="str">
        <f>HYPERLINK("http://www.proteinatlas.org/A6NK97","no")</f>
        <v>no</v>
      </c>
      <c r="AM45">
        <v>440044</v>
      </c>
    </row>
    <row r="46" spans="1:39" x14ac:dyDescent="0.35">
      <c r="A46" t="s">
        <v>464</v>
      </c>
      <c r="B46" t="str">
        <f>HYPERLINK("http://www.uniprot.org/uniprot/A6NKB5","A6NKB5")</f>
        <v>A6NKB5</v>
      </c>
      <c r="C46" t="s">
        <v>465</v>
      </c>
      <c r="D46" t="s">
        <v>466</v>
      </c>
      <c r="E46" t="s">
        <v>39</v>
      </c>
      <c r="F46" t="s">
        <v>40</v>
      </c>
      <c r="H46">
        <v>2137</v>
      </c>
      <c r="I46">
        <v>15</v>
      </c>
      <c r="J46">
        <v>0</v>
      </c>
      <c r="K46" t="s">
        <v>467</v>
      </c>
      <c r="L46" t="s">
        <v>42</v>
      </c>
      <c r="N46">
        <v>0.62870000000000004</v>
      </c>
      <c r="O46" s="1">
        <v>2</v>
      </c>
      <c r="P46" t="s">
        <v>468</v>
      </c>
      <c r="Q46" t="s">
        <v>469</v>
      </c>
      <c r="S46" t="s">
        <v>60</v>
      </c>
      <c r="T46" t="s">
        <v>60</v>
      </c>
      <c r="U46" t="s">
        <v>470</v>
      </c>
      <c r="V46">
        <v>4</v>
      </c>
      <c r="X46">
        <v>330</v>
      </c>
      <c r="Y46" t="s">
        <v>471</v>
      </c>
      <c r="AE46" t="s">
        <v>48</v>
      </c>
      <c r="AF46" t="s">
        <v>472</v>
      </c>
      <c r="AG46" t="s">
        <v>473</v>
      </c>
      <c r="AH46" t="str">
        <f>HYPERLINK("http://compartments.jensenlab.org/Entity?figures=subcell_cell_%&amp;knowledge=10&amp;textmining=10&amp;experiments=10&amp;predictions=10&amp;type1=9606&amp;type2=-22&amp;id1=ENSP00000258229","link")</f>
        <v>link</v>
      </c>
      <c r="AJ46" t="s">
        <v>51</v>
      </c>
      <c r="AK46" t="str">
        <f>HYPERLINK("http://www.proteinatlas.org/A6NKB5","HPA013815;HPA014427")</f>
        <v>HPA013815;HPA014427</v>
      </c>
      <c r="AM46">
        <v>80003</v>
      </c>
    </row>
    <row r="47" spans="1:39" x14ac:dyDescent="0.35">
      <c r="A47" t="s">
        <v>474</v>
      </c>
      <c r="B47" t="str">
        <f>HYPERLINK("http://www.uniprot.org/uniprot/A6NKC4","A6NKC4")</f>
        <v>A6NKC4</v>
      </c>
      <c r="C47" t="s">
        <v>475</v>
      </c>
      <c r="D47" t="s">
        <v>476</v>
      </c>
      <c r="E47" t="s">
        <v>39</v>
      </c>
      <c r="F47" t="s">
        <v>40</v>
      </c>
      <c r="H47">
        <v>280</v>
      </c>
      <c r="I47">
        <v>1</v>
      </c>
      <c r="J47">
        <v>1</v>
      </c>
      <c r="K47" t="s">
        <v>477</v>
      </c>
      <c r="L47" t="s">
        <v>57</v>
      </c>
      <c r="N47">
        <v>0.85629999999999995</v>
      </c>
      <c r="O47" s="1">
        <v>1</v>
      </c>
      <c r="S47" t="s">
        <v>166</v>
      </c>
      <c r="T47" t="s">
        <v>478</v>
      </c>
      <c r="U47" t="s">
        <v>479</v>
      </c>
      <c r="V47">
        <v>5</v>
      </c>
      <c r="AE47" t="s">
        <v>332</v>
      </c>
      <c r="AF47" t="s">
        <v>480</v>
      </c>
      <c r="AG47" t="s">
        <v>481</v>
      </c>
      <c r="AK47" t="str">
        <f>HYPERLINK("http://www.proteinatlas.org/A6NKC4","no")</f>
        <v>no</v>
      </c>
    </row>
    <row r="48" spans="1:39" x14ac:dyDescent="0.35">
      <c r="A48" t="s">
        <v>482</v>
      </c>
      <c r="B48" t="str">
        <f>HYPERLINK("http://www.uniprot.org/uniprot/A6NKK0","A6NKK0")</f>
        <v>A6NKK0</v>
      </c>
      <c r="C48" t="s">
        <v>483</v>
      </c>
      <c r="D48" t="s">
        <v>484</v>
      </c>
      <c r="E48" t="s">
        <v>39</v>
      </c>
      <c r="F48" t="s">
        <v>55</v>
      </c>
      <c r="H48">
        <v>313</v>
      </c>
      <c r="I48">
        <v>7</v>
      </c>
      <c r="J48">
        <v>0</v>
      </c>
      <c r="K48" t="s">
        <v>485</v>
      </c>
      <c r="L48" t="s">
        <v>57</v>
      </c>
      <c r="N48">
        <v>0.97209999999999996</v>
      </c>
      <c r="O48" s="1">
        <v>1</v>
      </c>
      <c r="P48" t="s">
        <v>486</v>
      </c>
      <c r="Q48" t="s">
        <v>487</v>
      </c>
      <c r="S48" t="s">
        <v>166</v>
      </c>
      <c r="T48" t="s">
        <v>167</v>
      </c>
      <c r="U48">
        <v>5</v>
      </c>
      <c r="V48">
        <v>1</v>
      </c>
      <c r="AE48" t="s">
        <v>74</v>
      </c>
      <c r="AF48" t="s">
        <v>169</v>
      </c>
      <c r="AG48" t="s">
        <v>488</v>
      </c>
      <c r="AH48" t="str">
        <f>HYPERLINK("http://compartments.jensenlab.org/Entity?figures=subcell_cell_%&amp;knowledge=10&amp;textmining=10&amp;experiments=10&amp;predictions=10&amp;type1=9606&amp;type2=-22&amp;id1=ENSP00000346575","link")</f>
        <v>link</v>
      </c>
      <c r="AI48" t="s">
        <v>65</v>
      </c>
      <c r="AJ48" t="s">
        <v>51</v>
      </c>
      <c r="AK48" t="str">
        <f>HYPERLINK("http://www.proteinatlas.org/A6NKK0","no")</f>
        <v>no</v>
      </c>
      <c r="AM48">
        <v>26341</v>
      </c>
    </row>
    <row r="49" spans="1:39" x14ac:dyDescent="0.35">
      <c r="A49" t="s">
        <v>489</v>
      </c>
      <c r="B49" t="str">
        <f>HYPERLINK("http://www.uniprot.org/uniprot/A6NL08","A6NL08")</f>
        <v>A6NL08</v>
      </c>
      <c r="C49" t="s">
        <v>490</v>
      </c>
      <c r="D49" t="s">
        <v>491</v>
      </c>
      <c r="E49" t="s">
        <v>39</v>
      </c>
      <c r="F49" t="s">
        <v>55</v>
      </c>
      <c r="H49">
        <v>312</v>
      </c>
      <c r="I49">
        <v>7</v>
      </c>
      <c r="J49">
        <v>0</v>
      </c>
      <c r="K49" t="s">
        <v>492</v>
      </c>
      <c r="L49" t="s">
        <v>57</v>
      </c>
      <c r="N49">
        <v>0.99199999999999999</v>
      </c>
      <c r="O49" s="1">
        <v>1</v>
      </c>
      <c r="P49" t="s">
        <v>493</v>
      </c>
      <c r="Q49" t="s">
        <v>494</v>
      </c>
      <c r="S49" t="s">
        <v>166</v>
      </c>
      <c r="T49" t="s">
        <v>167</v>
      </c>
      <c r="U49" t="s">
        <v>495</v>
      </c>
      <c r="V49">
        <v>2</v>
      </c>
      <c r="AE49" t="s">
        <v>74</v>
      </c>
      <c r="AF49" t="s">
        <v>169</v>
      </c>
      <c r="AG49" t="s">
        <v>496</v>
      </c>
      <c r="AH49" t="str">
        <f>HYPERLINK("http://compartments.jensenlab.org/Entity?figures=subcell_cell_%&amp;knowledge=10&amp;textmining=10&amp;experiments=10&amp;predictions=10&amp;type1=9606&amp;type2=-22&amp;id1=ENSP00000368987","link")</f>
        <v>link</v>
      </c>
      <c r="AI49" t="s">
        <v>65</v>
      </c>
      <c r="AJ49" t="s">
        <v>51</v>
      </c>
      <c r="AK49" t="str">
        <f>HYPERLINK("http://www.proteinatlas.org/A6NL08","no")</f>
        <v>no</v>
      </c>
      <c r="AM49">
        <v>390323</v>
      </c>
    </row>
    <row r="50" spans="1:39" x14ac:dyDescent="0.35">
      <c r="A50" t="s">
        <v>497</v>
      </c>
      <c r="B50" t="str">
        <f>HYPERLINK("http://www.uniprot.org/uniprot/A6NL26","A6NL26")</f>
        <v>A6NL26</v>
      </c>
      <c r="C50" t="s">
        <v>498</v>
      </c>
      <c r="D50" t="s">
        <v>499</v>
      </c>
      <c r="E50" t="s">
        <v>39</v>
      </c>
      <c r="F50" t="s">
        <v>55</v>
      </c>
      <c r="H50">
        <v>309</v>
      </c>
      <c r="I50">
        <v>7</v>
      </c>
      <c r="J50">
        <v>0</v>
      </c>
      <c r="K50" t="s">
        <v>500</v>
      </c>
      <c r="L50" t="s">
        <v>57</v>
      </c>
      <c r="M50" t="s">
        <v>39</v>
      </c>
      <c r="N50">
        <v>0.97729999999999995</v>
      </c>
      <c r="O50" s="1">
        <v>1</v>
      </c>
      <c r="P50" t="s">
        <v>501</v>
      </c>
      <c r="Q50" t="s">
        <v>502</v>
      </c>
      <c r="S50" t="s">
        <v>166</v>
      </c>
      <c r="T50" t="s">
        <v>167</v>
      </c>
      <c r="U50" t="s">
        <v>503</v>
      </c>
      <c r="V50">
        <v>2</v>
      </c>
      <c r="AE50" t="s">
        <v>74</v>
      </c>
      <c r="AF50" t="s">
        <v>169</v>
      </c>
      <c r="AG50" t="s">
        <v>504</v>
      </c>
      <c r="AH50" t="str">
        <f>HYPERLINK("http://compartments.jensenlab.org/Entity?figures=subcell_cell_%&amp;knowledge=10&amp;textmining=10&amp;experiments=10&amp;predictions=10&amp;type1=9606&amp;type2=-22&amp;id1=ENSP00000353537","link")</f>
        <v>link</v>
      </c>
      <c r="AI50" t="s">
        <v>65</v>
      </c>
      <c r="AJ50" t="s">
        <v>51</v>
      </c>
      <c r="AK50" t="str">
        <f>HYPERLINK("http://www.proteinatlas.org/A6NL26","no")</f>
        <v>no</v>
      </c>
      <c r="AM50">
        <v>219968</v>
      </c>
    </row>
    <row r="51" spans="1:39" x14ac:dyDescent="0.35">
      <c r="A51" t="s">
        <v>505</v>
      </c>
      <c r="B51" t="str">
        <f>HYPERLINK("http://www.uniprot.org/uniprot/A6NL88","A6NL88")</f>
        <v>A6NL88</v>
      </c>
      <c r="C51" t="s">
        <v>506</v>
      </c>
      <c r="D51" t="s">
        <v>507</v>
      </c>
      <c r="E51" t="s">
        <v>39</v>
      </c>
      <c r="F51" t="s">
        <v>40</v>
      </c>
      <c r="H51">
        <v>538</v>
      </c>
      <c r="I51">
        <v>1</v>
      </c>
      <c r="J51">
        <v>1</v>
      </c>
      <c r="K51" t="s">
        <v>508</v>
      </c>
      <c r="L51" t="s">
        <v>57</v>
      </c>
      <c r="N51">
        <v>0.7026</v>
      </c>
      <c r="O51" s="1">
        <v>2</v>
      </c>
      <c r="P51" t="s">
        <v>509</v>
      </c>
      <c r="Q51" t="s">
        <v>510</v>
      </c>
      <c r="U51" t="s">
        <v>511</v>
      </c>
      <c r="V51">
        <v>3</v>
      </c>
      <c r="AE51" t="s">
        <v>94</v>
      </c>
      <c r="AF51" t="s">
        <v>409</v>
      </c>
      <c r="AG51" t="s">
        <v>512</v>
      </c>
      <c r="AH51" t="str">
        <f>HYPERLINK("http://compartments.jensenlab.org/Entity?figures=subcell_cell_%&amp;knowledge=10&amp;textmining=10&amp;experiments=10&amp;predictions=10&amp;type1=9606&amp;type2=-22&amp;id1=ENSP00000365503","link")</f>
        <v>link</v>
      </c>
      <c r="AJ51" t="s">
        <v>51</v>
      </c>
      <c r="AK51" t="str">
        <f>HYPERLINK("http://www.proteinatlas.org/A6NL88","HPA058935")</f>
        <v>HPA058935</v>
      </c>
      <c r="AM51">
        <v>729956</v>
      </c>
    </row>
    <row r="52" spans="1:39" x14ac:dyDescent="0.35">
      <c r="A52" t="s">
        <v>513</v>
      </c>
      <c r="B52" t="str">
        <f>HYPERLINK("http://www.uniprot.org/uniprot/A6NM03","A6NM03")</f>
        <v>A6NM03</v>
      </c>
      <c r="C52" t="s">
        <v>514</v>
      </c>
      <c r="D52" t="s">
        <v>515</v>
      </c>
      <c r="E52" t="s">
        <v>39</v>
      </c>
      <c r="F52" t="s">
        <v>55</v>
      </c>
      <c r="H52">
        <v>316</v>
      </c>
      <c r="I52">
        <v>7</v>
      </c>
      <c r="J52">
        <v>0</v>
      </c>
      <c r="K52" t="s">
        <v>516</v>
      </c>
      <c r="L52" t="s">
        <v>57</v>
      </c>
      <c r="N52">
        <v>0.91620000000000001</v>
      </c>
      <c r="O52" s="1">
        <v>1</v>
      </c>
      <c r="P52" t="s">
        <v>517</v>
      </c>
      <c r="Q52" t="s">
        <v>518</v>
      </c>
      <c r="S52" t="s">
        <v>166</v>
      </c>
      <c r="T52" t="s">
        <v>167</v>
      </c>
      <c r="U52" t="s">
        <v>519</v>
      </c>
      <c r="V52">
        <v>2</v>
      </c>
      <c r="AE52" t="s">
        <v>74</v>
      </c>
      <c r="AF52" t="s">
        <v>169</v>
      </c>
      <c r="AG52" t="s">
        <v>520</v>
      </c>
      <c r="AH52" t="str">
        <f>HYPERLINK("http://compartments.jensenlab.org/Entity?figures=subcell_cell_%&amp;knowledge=10&amp;textmining=10&amp;experiments=10&amp;predictions=10&amp;type1=9606&amp;type2=-22&amp;id1=ENSP00000342697","link")</f>
        <v>link</v>
      </c>
      <c r="AI52" t="s">
        <v>65</v>
      </c>
      <c r="AJ52" t="s">
        <v>51</v>
      </c>
      <c r="AK52" t="str">
        <f>HYPERLINK("http://www.proteinatlas.org/A6NM03","no")</f>
        <v>no</v>
      </c>
      <c r="AM52">
        <v>338755</v>
      </c>
    </row>
    <row r="53" spans="1:39" x14ac:dyDescent="0.35">
      <c r="A53" t="s">
        <v>521</v>
      </c>
      <c r="B53" t="str">
        <f>HYPERLINK("http://www.uniprot.org/uniprot/A6NM11","A6NM11")</f>
        <v>A6NM11</v>
      </c>
      <c r="C53" t="s">
        <v>522</v>
      </c>
      <c r="D53" t="s">
        <v>523</v>
      </c>
      <c r="E53" t="s">
        <v>39</v>
      </c>
      <c r="F53" t="s">
        <v>40</v>
      </c>
      <c r="H53">
        <v>1700</v>
      </c>
      <c r="I53">
        <v>1</v>
      </c>
      <c r="J53">
        <v>1</v>
      </c>
      <c r="K53" t="s">
        <v>524</v>
      </c>
      <c r="L53" t="s">
        <v>57</v>
      </c>
      <c r="N53">
        <v>0.88019999999999998</v>
      </c>
      <c r="O53" s="1">
        <v>1</v>
      </c>
      <c r="P53" t="s">
        <v>525</v>
      </c>
      <c r="Q53" t="s">
        <v>526</v>
      </c>
      <c r="S53" t="s">
        <v>91</v>
      </c>
      <c r="T53" t="s">
        <v>527</v>
      </c>
      <c r="U53" t="s">
        <v>528</v>
      </c>
      <c r="V53">
        <v>10</v>
      </c>
      <c r="Y53">
        <v>19</v>
      </c>
      <c r="AE53" t="s">
        <v>144</v>
      </c>
      <c r="AF53" t="s">
        <v>529</v>
      </c>
      <c r="AG53" t="s">
        <v>530</v>
      </c>
      <c r="AH53" t="str">
        <f>HYPERLINK("http://compartments.jensenlab.org/Entity?figures=subcell_cell_%&amp;knowledge=10&amp;textmining=10&amp;experiments=10&amp;predictions=10&amp;type1=9606&amp;type2=-22&amp;id1=ENSP00000333071","link")</f>
        <v>link</v>
      </c>
      <c r="AJ53" t="s">
        <v>51</v>
      </c>
      <c r="AK53" t="str">
        <f>HYPERLINK("http://www.proteinatlas.org/A6NM11","HPA042121;HPA042701;HPA043056;HPA045090;HPA049080")</f>
        <v>HPA042121;HPA042701;HPA043056;HPA045090;HPA049080</v>
      </c>
      <c r="AM53">
        <v>474170</v>
      </c>
    </row>
    <row r="54" spans="1:39" x14ac:dyDescent="0.35">
      <c r="A54" t="s">
        <v>531</v>
      </c>
      <c r="B54" t="str">
        <f>HYPERLINK("http://www.uniprot.org/uniprot/A6NM45","A6NM45")</f>
        <v>A6NM45</v>
      </c>
      <c r="C54" t="s">
        <v>532</v>
      </c>
      <c r="D54" t="s">
        <v>533</v>
      </c>
      <c r="E54" t="s">
        <v>39</v>
      </c>
      <c r="F54" t="s">
        <v>40</v>
      </c>
      <c r="H54">
        <v>220</v>
      </c>
      <c r="I54">
        <v>4</v>
      </c>
      <c r="J54">
        <v>0</v>
      </c>
      <c r="K54" t="s">
        <v>534</v>
      </c>
      <c r="L54" t="s">
        <v>57</v>
      </c>
      <c r="N54">
        <v>0.65869999999999995</v>
      </c>
      <c r="O54" s="1">
        <v>2</v>
      </c>
      <c r="P54" t="s">
        <v>535</v>
      </c>
      <c r="Q54" t="s">
        <v>536</v>
      </c>
      <c r="S54" t="s">
        <v>91</v>
      </c>
      <c r="T54" t="s">
        <v>537</v>
      </c>
      <c r="U54">
        <v>45</v>
      </c>
      <c r="V54">
        <v>1</v>
      </c>
      <c r="Y54" t="s">
        <v>538</v>
      </c>
      <c r="AE54" t="s">
        <v>539</v>
      </c>
      <c r="AF54" t="s">
        <v>540</v>
      </c>
      <c r="AG54" t="s">
        <v>541</v>
      </c>
      <c r="AH54" t="str">
        <f>HYPERLINK("http://compartments.jensenlab.org/Entity?figures=subcell_cell_%&amp;knowledge=10&amp;textmining=10&amp;experiments=10&amp;predictions=10&amp;type1=9606&amp;type2=-22&amp;id1=ENSP00000438400","link")</f>
        <v>link</v>
      </c>
      <c r="AK54" t="str">
        <f>HYPERLINK("http://www.proteinatlas.org/A6NM45","no")</f>
        <v>no</v>
      </c>
      <c r="AM54" s="4">
        <v>100000000</v>
      </c>
    </row>
    <row r="55" spans="1:39" x14ac:dyDescent="0.35">
      <c r="A55" t="s">
        <v>542</v>
      </c>
      <c r="B55" t="str">
        <f>HYPERLINK("http://www.uniprot.org/uniprot/A6NM76","A6NM76")</f>
        <v>A6NM76</v>
      </c>
      <c r="C55" t="s">
        <v>543</v>
      </c>
      <c r="D55" t="s">
        <v>544</v>
      </c>
      <c r="E55" t="s">
        <v>39</v>
      </c>
      <c r="F55" t="s">
        <v>55</v>
      </c>
      <c r="H55">
        <v>312</v>
      </c>
      <c r="I55">
        <v>7</v>
      </c>
      <c r="J55">
        <v>0</v>
      </c>
      <c r="K55" t="s">
        <v>545</v>
      </c>
      <c r="L55" t="s">
        <v>57</v>
      </c>
      <c r="N55">
        <v>0.97009999999999996</v>
      </c>
      <c r="O55" s="1">
        <v>1</v>
      </c>
      <c r="P55" t="s">
        <v>546</v>
      </c>
      <c r="Q55" t="s">
        <v>547</v>
      </c>
      <c r="S55" t="s">
        <v>166</v>
      </c>
      <c r="T55" t="s">
        <v>167</v>
      </c>
      <c r="U55" t="s">
        <v>548</v>
      </c>
      <c r="V55">
        <v>1</v>
      </c>
      <c r="AE55" t="s">
        <v>74</v>
      </c>
      <c r="AF55" t="s">
        <v>549</v>
      </c>
      <c r="AG55" t="s">
        <v>550</v>
      </c>
      <c r="AH55" t="str">
        <f>HYPERLINK("http://compartments.jensenlab.org/Entity?figures=subcell_cell_%&amp;knowledge=10&amp;textmining=10&amp;experiments=10&amp;predictions=10&amp;type1=9606&amp;type2=-22&amp;id1=ENSP00000328402","link")</f>
        <v>link</v>
      </c>
      <c r="AI55" t="s">
        <v>65</v>
      </c>
      <c r="AJ55" t="s">
        <v>51</v>
      </c>
      <c r="AK55" t="str">
        <f>HYPERLINK("http://www.proteinatlas.org/A6NM76","no")</f>
        <v>no</v>
      </c>
      <c r="AM55">
        <v>390326</v>
      </c>
    </row>
    <row r="56" spans="1:39" x14ac:dyDescent="0.35">
      <c r="A56" t="s">
        <v>551</v>
      </c>
      <c r="B56" t="str">
        <f>HYPERLINK("http://www.uniprot.org/uniprot/A6NMB1","A6NMB1")</f>
        <v>A6NMB1</v>
      </c>
      <c r="C56" t="s">
        <v>552</v>
      </c>
      <c r="D56" t="s">
        <v>553</v>
      </c>
      <c r="E56" t="s">
        <v>39</v>
      </c>
      <c r="F56" t="s">
        <v>40</v>
      </c>
      <c r="H56">
        <v>481</v>
      </c>
      <c r="I56">
        <v>1</v>
      </c>
      <c r="J56">
        <v>1</v>
      </c>
      <c r="K56" t="s">
        <v>554</v>
      </c>
      <c r="L56" t="s">
        <v>57</v>
      </c>
      <c r="N56">
        <v>0.77049999999999996</v>
      </c>
      <c r="O56" s="1">
        <v>1</v>
      </c>
      <c r="S56" t="s">
        <v>91</v>
      </c>
      <c r="T56" t="s">
        <v>555</v>
      </c>
      <c r="U56" t="s">
        <v>556</v>
      </c>
      <c r="V56">
        <v>4</v>
      </c>
      <c r="AE56" t="s">
        <v>144</v>
      </c>
      <c r="AF56" t="s">
        <v>557</v>
      </c>
      <c r="AG56" t="s">
        <v>558</v>
      </c>
      <c r="AK56" t="str">
        <f>HYPERLINK("http://www.proteinatlas.org/A6NMB1","no")</f>
        <v>no</v>
      </c>
    </row>
    <row r="57" spans="1:39" x14ac:dyDescent="0.35">
      <c r="A57" t="s">
        <v>559</v>
      </c>
      <c r="B57" t="str">
        <f>HYPERLINK("http://www.uniprot.org/uniprot/A6NMS3","A6NMS3")</f>
        <v>A6NMS3</v>
      </c>
      <c r="C57" t="s">
        <v>560</v>
      </c>
      <c r="D57" t="s">
        <v>561</v>
      </c>
      <c r="E57" t="s">
        <v>39</v>
      </c>
      <c r="F57" t="s">
        <v>55</v>
      </c>
      <c r="H57">
        <v>321</v>
      </c>
      <c r="I57">
        <v>7</v>
      </c>
      <c r="J57">
        <v>0</v>
      </c>
      <c r="K57" t="s">
        <v>562</v>
      </c>
      <c r="L57" t="s">
        <v>57</v>
      </c>
      <c r="N57">
        <v>0.93010000000000004</v>
      </c>
      <c r="O57" s="1">
        <v>1</v>
      </c>
      <c r="P57" t="s">
        <v>563</v>
      </c>
      <c r="Q57" t="s">
        <v>564</v>
      </c>
      <c r="S57" t="s">
        <v>166</v>
      </c>
      <c r="T57" t="s">
        <v>167</v>
      </c>
      <c r="U57">
        <v>5</v>
      </c>
      <c r="V57">
        <v>1</v>
      </c>
      <c r="AE57" t="s">
        <v>74</v>
      </c>
      <c r="AF57" t="s">
        <v>169</v>
      </c>
      <c r="AG57" t="s">
        <v>565</v>
      </c>
      <c r="AH57" t="str">
        <f>HYPERLINK("http://compartments.jensenlab.org/Entity?figures=subcell_cell_%&amp;knowledge=10&amp;textmining=10&amp;experiments=10&amp;predictions=10&amp;type1=9606&amp;type2=-22&amp;id1=ENSP00000347003","link")</f>
        <v>link</v>
      </c>
      <c r="AI57" t="s">
        <v>65</v>
      </c>
      <c r="AJ57" t="s">
        <v>51</v>
      </c>
      <c r="AK57" t="str">
        <f>HYPERLINK("http://www.proteinatlas.org/A6NMS3","no")</f>
        <v>no</v>
      </c>
      <c r="AM57">
        <v>403278</v>
      </c>
    </row>
    <row r="58" spans="1:39" x14ac:dyDescent="0.35">
      <c r="A58" t="s">
        <v>566</v>
      </c>
      <c r="B58" t="str">
        <f>HYPERLINK("http://www.uniprot.org/uniprot/A6NMS7","A6NMS7")</f>
        <v>A6NMS7</v>
      </c>
      <c r="C58" t="s">
        <v>567</v>
      </c>
      <c r="D58" t="s">
        <v>568</v>
      </c>
      <c r="E58" t="s">
        <v>39</v>
      </c>
      <c r="F58" t="s">
        <v>40</v>
      </c>
      <c r="H58">
        <v>1700</v>
      </c>
      <c r="I58">
        <v>1</v>
      </c>
      <c r="J58">
        <v>1</v>
      </c>
      <c r="K58" t="s">
        <v>524</v>
      </c>
      <c r="L58" t="s">
        <v>57</v>
      </c>
      <c r="N58">
        <v>0.88219999999999998</v>
      </c>
      <c r="O58" s="1">
        <v>1</v>
      </c>
      <c r="P58" t="s">
        <v>569</v>
      </c>
      <c r="Q58" t="s">
        <v>570</v>
      </c>
      <c r="S58" t="s">
        <v>91</v>
      </c>
      <c r="T58" t="s">
        <v>527</v>
      </c>
      <c r="U58" t="s">
        <v>528</v>
      </c>
      <c r="V58">
        <v>10</v>
      </c>
      <c r="Y58">
        <v>19</v>
      </c>
      <c r="AE58" t="s">
        <v>144</v>
      </c>
      <c r="AF58" t="s">
        <v>571</v>
      </c>
      <c r="AG58" t="s">
        <v>572</v>
      </c>
      <c r="AH58" t="str">
        <f>HYPERLINK("http://compartments.jensenlab.org/Entity?figures=subcell_cell_%&amp;knowledge=10&amp;textmining=10&amp;experiments=10&amp;predictions=10&amp;type1=9606&amp;type2=-22&amp;id1=ENSP00000326324","link")</f>
        <v>link</v>
      </c>
      <c r="AJ58" t="s">
        <v>51</v>
      </c>
      <c r="AK58" t="str">
        <f>HYPERLINK("http://www.proteinatlas.org/A6NMS7","HPA042121;HPA042701;HPA043056;HPA045090;HPA049080")</f>
        <v>HPA042121;HPA042701;HPA043056;HPA045090;HPA049080</v>
      </c>
      <c r="AM58">
        <v>9884</v>
      </c>
    </row>
    <row r="59" spans="1:39" x14ac:dyDescent="0.35">
      <c r="A59" t="s">
        <v>573</v>
      </c>
      <c r="B59" t="str">
        <f>HYPERLINK("http://www.uniprot.org/uniprot/A6NMU1","A6NMU1")</f>
        <v>A6NMU1</v>
      </c>
      <c r="C59" t="s">
        <v>574</v>
      </c>
      <c r="D59" t="s">
        <v>575</v>
      </c>
      <c r="E59" t="s">
        <v>39</v>
      </c>
      <c r="F59" t="s">
        <v>40</v>
      </c>
      <c r="H59">
        <v>304</v>
      </c>
      <c r="I59">
        <v>7</v>
      </c>
      <c r="J59">
        <v>0</v>
      </c>
      <c r="K59" t="s">
        <v>576</v>
      </c>
      <c r="L59" t="s">
        <v>57</v>
      </c>
      <c r="N59">
        <v>0.7944</v>
      </c>
      <c r="O59" s="1">
        <v>1</v>
      </c>
      <c r="S59" t="s">
        <v>166</v>
      </c>
      <c r="T59" t="s">
        <v>167</v>
      </c>
      <c r="U59">
        <v>7</v>
      </c>
      <c r="V59">
        <v>1</v>
      </c>
      <c r="AE59" t="s">
        <v>74</v>
      </c>
      <c r="AF59" t="s">
        <v>169</v>
      </c>
      <c r="AG59" t="s">
        <v>577</v>
      </c>
      <c r="AK59" t="str">
        <f>HYPERLINK("http://www.proteinatlas.org/A6NMU1","no")</f>
        <v>no</v>
      </c>
    </row>
    <row r="60" spans="1:39" x14ac:dyDescent="0.35">
      <c r="A60" t="s">
        <v>578</v>
      </c>
      <c r="B60" t="str">
        <f>HYPERLINK("http://www.uniprot.org/uniprot/A6NMZ5","A6NMZ5")</f>
        <v>A6NMZ5</v>
      </c>
      <c r="C60" t="s">
        <v>579</v>
      </c>
      <c r="D60" t="s">
        <v>580</v>
      </c>
      <c r="E60" t="s">
        <v>39</v>
      </c>
      <c r="F60" t="s">
        <v>40</v>
      </c>
      <c r="H60">
        <v>311</v>
      </c>
      <c r="I60">
        <v>7</v>
      </c>
      <c r="J60">
        <v>0</v>
      </c>
      <c r="K60" t="s">
        <v>581</v>
      </c>
      <c r="L60" t="s">
        <v>57</v>
      </c>
      <c r="N60">
        <v>0.72650000000000003</v>
      </c>
      <c r="O60" s="1">
        <v>2</v>
      </c>
      <c r="S60" t="s">
        <v>166</v>
      </c>
      <c r="T60" t="s">
        <v>167</v>
      </c>
      <c r="V60">
        <v>0</v>
      </c>
      <c r="AE60" t="s">
        <v>74</v>
      </c>
      <c r="AF60" t="s">
        <v>582</v>
      </c>
      <c r="AG60" t="s">
        <v>583</v>
      </c>
      <c r="AK60" t="str">
        <f>HYPERLINK("http://www.proteinatlas.org/A6NMZ5","no")</f>
        <v>no</v>
      </c>
    </row>
    <row r="61" spans="1:39" x14ac:dyDescent="0.35">
      <c r="A61" t="s">
        <v>584</v>
      </c>
      <c r="B61" t="str">
        <f>HYPERLINK("http://www.uniprot.org/uniprot/A6NND4","A6NND4")</f>
        <v>A6NND4</v>
      </c>
      <c r="C61" t="s">
        <v>585</v>
      </c>
      <c r="D61" t="s">
        <v>586</v>
      </c>
      <c r="E61" t="s">
        <v>39</v>
      </c>
      <c r="F61" t="s">
        <v>55</v>
      </c>
      <c r="H61">
        <v>320</v>
      </c>
      <c r="I61">
        <v>7</v>
      </c>
      <c r="J61">
        <v>0</v>
      </c>
      <c r="K61" t="s">
        <v>587</v>
      </c>
      <c r="L61" t="s">
        <v>57</v>
      </c>
      <c r="M61" t="s">
        <v>39</v>
      </c>
      <c r="N61">
        <v>0.98309999999999997</v>
      </c>
      <c r="O61" s="1">
        <v>1</v>
      </c>
      <c r="P61" t="s">
        <v>588</v>
      </c>
      <c r="Q61" t="s">
        <v>589</v>
      </c>
      <c r="S61" t="s">
        <v>166</v>
      </c>
      <c r="T61" t="s">
        <v>167</v>
      </c>
      <c r="U61" t="s">
        <v>590</v>
      </c>
      <c r="V61">
        <v>1</v>
      </c>
      <c r="AE61" t="s">
        <v>74</v>
      </c>
      <c r="AF61" t="s">
        <v>549</v>
      </c>
      <c r="AG61" t="s">
        <v>591</v>
      </c>
      <c r="AH61" t="str">
        <f>HYPERLINK("http://compartments.jensenlab.org/Entity?figures=subcell_cell_%&amp;knowledge=10&amp;textmining=10&amp;experiments=10&amp;predictions=10&amp;type1=9606&amp;type2=-22&amp;id1=ENSP00000304846","link")</f>
        <v>link</v>
      </c>
      <c r="AI61" t="s">
        <v>65</v>
      </c>
      <c r="AJ61" t="s">
        <v>51</v>
      </c>
      <c r="AK61" t="str">
        <f>HYPERLINK("http://www.proteinatlas.org/A6NND4","HPA060357")</f>
        <v>HPA060357</v>
      </c>
      <c r="AM61">
        <v>341152</v>
      </c>
    </row>
    <row r="62" spans="1:39" x14ac:dyDescent="0.35">
      <c r="A62" t="s">
        <v>592</v>
      </c>
      <c r="B62" t="str">
        <f>HYPERLINK("http://www.uniprot.org/uniprot/A6NNN8","A6NNN8")</f>
        <v>A6NNN8</v>
      </c>
      <c r="C62" t="s">
        <v>593</v>
      </c>
      <c r="D62" t="s">
        <v>594</v>
      </c>
      <c r="E62" t="s">
        <v>39</v>
      </c>
      <c r="F62" t="s">
        <v>40</v>
      </c>
      <c r="H62">
        <v>435</v>
      </c>
      <c r="I62">
        <v>11</v>
      </c>
      <c r="J62">
        <v>0</v>
      </c>
      <c r="K62" t="s">
        <v>595</v>
      </c>
      <c r="L62" t="s">
        <v>42</v>
      </c>
      <c r="N62">
        <v>0.5948</v>
      </c>
      <c r="O62" s="1">
        <v>2</v>
      </c>
      <c r="P62" t="s">
        <v>596</v>
      </c>
      <c r="Q62" t="s">
        <v>597</v>
      </c>
      <c r="S62" t="s">
        <v>45</v>
      </c>
      <c r="T62" t="s">
        <v>598</v>
      </c>
      <c r="V62">
        <v>0</v>
      </c>
      <c r="AE62" t="s">
        <v>48</v>
      </c>
      <c r="AF62" t="s">
        <v>599</v>
      </c>
      <c r="AG62" t="s">
        <v>600</v>
      </c>
      <c r="AH62" t="str">
        <f>HYPERLINK("http://compartments.jensenlab.org/Entity?figures=subcell_cell_%&amp;knowledge=10&amp;textmining=10&amp;experiments=10&amp;predictions=10&amp;type1=9606&amp;type2=-22&amp;id1=ENSP00000299709","link")</f>
        <v>link</v>
      </c>
      <c r="AJ62" t="s">
        <v>51</v>
      </c>
      <c r="AK62" t="str">
        <f>HYPERLINK("http://www.proteinatlas.org/A6NNN8","no")</f>
        <v>no</v>
      </c>
      <c r="AM62">
        <v>146167</v>
      </c>
    </row>
    <row r="63" spans="1:39" x14ac:dyDescent="0.35">
      <c r="A63" t="s">
        <v>601</v>
      </c>
      <c r="B63" t="str">
        <f>HYPERLINK("http://www.uniprot.org/uniprot/A7MBM2","A7MBM2")</f>
        <v>A7MBM2</v>
      </c>
      <c r="C63" t="s">
        <v>602</v>
      </c>
      <c r="D63" t="s">
        <v>603</v>
      </c>
      <c r="E63" t="s">
        <v>39</v>
      </c>
      <c r="F63" t="s">
        <v>40</v>
      </c>
      <c r="H63">
        <v>1401</v>
      </c>
      <c r="I63">
        <v>12</v>
      </c>
      <c r="J63">
        <v>0</v>
      </c>
      <c r="K63" t="s">
        <v>604</v>
      </c>
      <c r="L63" t="s">
        <v>118</v>
      </c>
      <c r="N63">
        <v>0.9022</v>
      </c>
      <c r="O63" s="1">
        <v>1</v>
      </c>
      <c r="P63" t="s">
        <v>605</v>
      </c>
      <c r="Q63" t="s">
        <v>606</v>
      </c>
      <c r="S63" t="s">
        <v>60</v>
      </c>
      <c r="T63" t="s">
        <v>60</v>
      </c>
      <c r="U63" t="s">
        <v>607</v>
      </c>
      <c r="V63">
        <v>7</v>
      </c>
      <c r="Y63">
        <v>706</v>
      </c>
      <c r="Z63" t="s">
        <v>123</v>
      </c>
      <c r="AA63">
        <v>6</v>
      </c>
      <c r="AB63" t="s">
        <v>608</v>
      </c>
      <c r="AC63" t="s">
        <v>609</v>
      </c>
      <c r="AD63" t="s">
        <v>610</v>
      </c>
      <c r="AE63" t="s">
        <v>48</v>
      </c>
      <c r="AF63" t="s">
        <v>83</v>
      </c>
      <c r="AG63" t="s">
        <v>611</v>
      </c>
      <c r="AH63" t="str">
        <f>HYPERLINK("http://compartments.jensenlab.org/Entity?figures=subcell_cell_%&amp;knowledge=10&amp;textmining=10&amp;experiments=10&amp;predictions=10&amp;type1=9606&amp;type2=-22&amp;id1=ENSP00000267889","link")</f>
        <v>link</v>
      </c>
      <c r="AJ63" t="s">
        <v>51</v>
      </c>
      <c r="AK63" t="str">
        <f>HYPERLINK("http://www.proteinatlas.org/A7MBM2","HPA059903")</f>
        <v>HPA059903</v>
      </c>
      <c r="AM63">
        <v>85455</v>
      </c>
    </row>
    <row r="64" spans="1:39" x14ac:dyDescent="0.35">
      <c r="A64" t="s">
        <v>612</v>
      </c>
      <c r="B64" t="str">
        <f>HYPERLINK("http://www.uniprot.org/uniprot/A8MPY1","A8MPY1")</f>
        <v>A8MPY1</v>
      </c>
      <c r="C64" t="s">
        <v>613</v>
      </c>
      <c r="D64" t="s">
        <v>614</v>
      </c>
      <c r="E64" t="s">
        <v>39</v>
      </c>
      <c r="F64" t="s">
        <v>40</v>
      </c>
      <c r="H64">
        <v>467</v>
      </c>
      <c r="I64">
        <v>4</v>
      </c>
      <c r="J64">
        <v>1</v>
      </c>
      <c r="K64" t="s">
        <v>615</v>
      </c>
      <c r="L64" t="s">
        <v>57</v>
      </c>
      <c r="N64">
        <v>0.86829999999999996</v>
      </c>
      <c r="O64" s="1">
        <v>1</v>
      </c>
      <c r="P64" t="s">
        <v>616</v>
      </c>
      <c r="Q64" t="s">
        <v>617</v>
      </c>
      <c r="S64" t="s">
        <v>45</v>
      </c>
      <c r="T64" t="s">
        <v>195</v>
      </c>
      <c r="U64" t="s">
        <v>618</v>
      </c>
      <c r="V64">
        <v>3</v>
      </c>
      <c r="AE64" t="s">
        <v>619</v>
      </c>
      <c r="AF64" t="s">
        <v>620</v>
      </c>
      <c r="AG64" t="s">
        <v>621</v>
      </c>
      <c r="AH64" t="str">
        <f>HYPERLINK("http://compartments.jensenlab.org/Entity?figures=subcell_cell_%&amp;knowledge=10&amp;textmining=10&amp;experiments=10&amp;predictions=10&amp;type1=9606&amp;type2=-22&amp;id1=ENSP00000420790","link")</f>
        <v>link</v>
      </c>
      <c r="AK64" t="str">
        <f>HYPERLINK("http://www.proteinatlas.org/A8MPY1","no")</f>
        <v>no</v>
      </c>
      <c r="AL64" t="s">
        <v>622</v>
      </c>
      <c r="AM64">
        <v>200959</v>
      </c>
    </row>
    <row r="65" spans="1:39" x14ac:dyDescent="0.35">
      <c r="A65" t="s">
        <v>623</v>
      </c>
      <c r="B65" t="str">
        <f>HYPERLINK("http://www.uniprot.org/uniprot/A8MUP6","A8MUP6")</f>
        <v>A8MUP6</v>
      </c>
      <c r="C65" t="s">
        <v>624</v>
      </c>
      <c r="E65" t="s">
        <v>39</v>
      </c>
      <c r="F65" t="s">
        <v>40</v>
      </c>
      <c r="H65">
        <v>235</v>
      </c>
      <c r="I65">
        <v>3</v>
      </c>
      <c r="J65">
        <v>1</v>
      </c>
      <c r="K65" t="s">
        <v>625</v>
      </c>
      <c r="L65" t="s">
        <v>42</v>
      </c>
      <c r="N65">
        <v>0.67469999999999997</v>
      </c>
      <c r="O65" s="1">
        <v>2</v>
      </c>
      <c r="S65" t="s">
        <v>60</v>
      </c>
      <c r="T65" t="s">
        <v>60</v>
      </c>
      <c r="U65" t="s">
        <v>626</v>
      </c>
      <c r="V65">
        <v>2</v>
      </c>
      <c r="AE65" t="s">
        <v>48</v>
      </c>
      <c r="AF65" t="s">
        <v>409</v>
      </c>
      <c r="AG65" t="s">
        <v>627</v>
      </c>
      <c r="AK65" t="str">
        <f>HYPERLINK("http://www.proteinatlas.org/A8MUP6","no")</f>
        <v>no</v>
      </c>
    </row>
    <row r="66" spans="1:39" x14ac:dyDescent="0.35">
      <c r="A66" t="s">
        <v>628</v>
      </c>
      <c r="B66" t="str">
        <f>HYPERLINK("http://www.uniprot.org/uniprot/A8MVS5","A8MVS5")</f>
        <v>A8MVS5</v>
      </c>
      <c r="C66" t="s">
        <v>629</v>
      </c>
      <c r="D66" t="s">
        <v>630</v>
      </c>
      <c r="E66" t="s">
        <v>39</v>
      </c>
      <c r="F66" t="s">
        <v>40</v>
      </c>
      <c r="H66">
        <v>230</v>
      </c>
      <c r="I66">
        <v>1</v>
      </c>
      <c r="J66">
        <v>1</v>
      </c>
      <c r="K66" t="s">
        <v>631</v>
      </c>
      <c r="L66" t="s">
        <v>57</v>
      </c>
      <c r="N66">
        <v>0.91620000000000001</v>
      </c>
      <c r="O66" s="1">
        <v>1</v>
      </c>
      <c r="P66" t="s">
        <v>632</v>
      </c>
      <c r="Q66" t="s">
        <v>633</v>
      </c>
      <c r="S66" t="s">
        <v>60</v>
      </c>
      <c r="T66" t="s">
        <v>60</v>
      </c>
      <c r="U66" t="s">
        <v>634</v>
      </c>
      <c r="V66">
        <v>4</v>
      </c>
      <c r="AE66" t="s">
        <v>144</v>
      </c>
      <c r="AF66" t="s">
        <v>409</v>
      </c>
      <c r="AG66" t="s">
        <v>635</v>
      </c>
      <c r="AH66" t="str">
        <f>HYPERLINK("http://compartments.jensenlab.org/Entity?figures=subcell_cell_%&amp;knowledge=10&amp;textmining=10&amp;experiments=10&amp;predictions=10&amp;type1=9606&amp;type2=-22&amp;id1=ENSP00000380920","link")</f>
        <v>link</v>
      </c>
      <c r="AJ66" t="s">
        <v>51</v>
      </c>
      <c r="AK66" t="str">
        <f>HYPERLINK("http://www.proteinatlas.org/A8MVS5","HPA012150")</f>
        <v>HPA012150</v>
      </c>
      <c r="AM66">
        <v>255809</v>
      </c>
    </row>
    <row r="67" spans="1:39" x14ac:dyDescent="0.35">
      <c r="A67" t="s">
        <v>636</v>
      </c>
      <c r="B67" t="str">
        <f>HYPERLINK("http://www.uniprot.org/uniprot/A8MVW0","A8MVW0")</f>
        <v>A8MVW0</v>
      </c>
      <c r="C67" t="s">
        <v>637</v>
      </c>
      <c r="D67" t="s">
        <v>638</v>
      </c>
      <c r="E67" t="s">
        <v>39</v>
      </c>
      <c r="F67" t="s">
        <v>40</v>
      </c>
      <c r="H67">
        <v>826</v>
      </c>
      <c r="I67">
        <v>1</v>
      </c>
      <c r="J67">
        <v>1</v>
      </c>
      <c r="K67" t="s">
        <v>639</v>
      </c>
      <c r="L67" t="s">
        <v>101</v>
      </c>
      <c r="N67">
        <v>0.74250000000000005</v>
      </c>
      <c r="O67" s="1">
        <v>2</v>
      </c>
      <c r="P67" t="s">
        <v>640</v>
      </c>
      <c r="Q67" t="s">
        <v>641</v>
      </c>
      <c r="S67" t="s">
        <v>60</v>
      </c>
      <c r="T67" t="s">
        <v>60</v>
      </c>
      <c r="U67" t="s">
        <v>642</v>
      </c>
      <c r="V67">
        <v>4</v>
      </c>
      <c r="Z67" t="s">
        <v>107</v>
      </c>
      <c r="AA67">
        <v>1</v>
      </c>
      <c r="AB67" t="s">
        <v>643</v>
      </c>
      <c r="AC67">
        <v>66</v>
      </c>
      <c r="AD67" t="s">
        <v>644</v>
      </c>
      <c r="AE67" t="s">
        <v>144</v>
      </c>
      <c r="AF67" t="s">
        <v>409</v>
      </c>
      <c r="AG67" t="s">
        <v>645</v>
      </c>
      <c r="AH67" t="str">
        <f>HYPERLINK("http://compartments.jensenlab.org/Entity?figures=subcell_cell_%&amp;knowledge=10&amp;textmining=10&amp;experiments=10&amp;predictions=10&amp;type1=9606&amp;type2=-22&amp;id1=ENSP00000293443","link")</f>
        <v>link</v>
      </c>
      <c r="AJ67" t="s">
        <v>51</v>
      </c>
      <c r="AK67" t="str">
        <f>HYPERLINK("http://www.proteinatlas.org/A8MVW0","HPA019770")</f>
        <v>HPA019770</v>
      </c>
      <c r="AM67">
        <v>284069</v>
      </c>
    </row>
    <row r="68" spans="1:39" x14ac:dyDescent="0.35">
      <c r="A68" t="s">
        <v>646</v>
      </c>
      <c r="B68" t="str">
        <f>HYPERLINK("http://www.uniprot.org/uniprot/A8MVW5","A8MVW5")</f>
        <v>A8MVW5</v>
      </c>
      <c r="C68" t="s">
        <v>647</v>
      </c>
      <c r="D68" t="s">
        <v>648</v>
      </c>
      <c r="E68" t="s">
        <v>39</v>
      </c>
      <c r="F68" t="s">
        <v>40</v>
      </c>
      <c r="H68">
        <v>462</v>
      </c>
      <c r="I68">
        <v>1</v>
      </c>
      <c r="J68">
        <v>1</v>
      </c>
      <c r="K68" t="s">
        <v>649</v>
      </c>
      <c r="L68" t="s">
        <v>101</v>
      </c>
      <c r="N68">
        <v>0.87819999999999998</v>
      </c>
      <c r="O68" s="1">
        <v>1</v>
      </c>
      <c r="P68" t="s">
        <v>650</v>
      </c>
      <c r="Q68" t="s">
        <v>651</v>
      </c>
      <c r="S68" t="s">
        <v>60</v>
      </c>
      <c r="T68" t="s">
        <v>60</v>
      </c>
      <c r="U68" t="s">
        <v>652</v>
      </c>
      <c r="V68">
        <v>8</v>
      </c>
      <c r="Z68" t="s">
        <v>107</v>
      </c>
      <c r="AA68">
        <v>1</v>
      </c>
      <c r="AB68" t="s">
        <v>653</v>
      </c>
      <c r="AC68">
        <v>129</v>
      </c>
      <c r="AD68" t="s">
        <v>654</v>
      </c>
      <c r="AE68" t="s">
        <v>655</v>
      </c>
      <c r="AF68" t="s">
        <v>656</v>
      </c>
      <c r="AG68" t="s">
        <v>657</v>
      </c>
      <c r="AH68" t="str">
        <f>HYPERLINK("http://compartments.jensenlab.org/Entity?figures=subcell_cell_%&amp;knowledge=10&amp;textmining=10&amp;experiments=10&amp;predictions=10&amp;type1=9606&amp;type2=-22&amp;id1=ENSP00000377980","link")</f>
        <v>link</v>
      </c>
      <c r="AI68" t="s">
        <v>658</v>
      </c>
      <c r="AJ68" t="s">
        <v>659</v>
      </c>
      <c r="AK68" t="str">
        <f>HYPERLINK("http://www.proteinatlas.org/A8MVW5","HPA012381")</f>
        <v>HPA012381</v>
      </c>
      <c r="AM68">
        <v>253012</v>
      </c>
    </row>
    <row r="69" spans="1:39" x14ac:dyDescent="0.35">
      <c r="A69" t="s">
        <v>660</v>
      </c>
      <c r="B69" t="str">
        <f>HYPERLINK("http://www.uniprot.org/uniprot/A8MVZ5","A8MVZ5")</f>
        <v>A8MVZ5</v>
      </c>
      <c r="C69" t="s">
        <v>661</v>
      </c>
      <c r="D69" t="s">
        <v>662</v>
      </c>
      <c r="E69" t="s">
        <v>39</v>
      </c>
      <c r="F69" t="s">
        <v>40</v>
      </c>
      <c r="H69">
        <v>291</v>
      </c>
      <c r="I69">
        <v>1</v>
      </c>
      <c r="J69">
        <v>1</v>
      </c>
      <c r="K69" t="s">
        <v>663</v>
      </c>
      <c r="L69" t="s">
        <v>57</v>
      </c>
      <c r="N69">
        <v>0.76049999999999995</v>
      </c>
      <c r="O69" s="1">
        <v>1</v>
      </c>
      <c r="U69" t="s">
        <v>664</v>
      </c>
      <c r="V69">
        <v>3</v>
      </c>
      <c r="AE69" t="s">
        <v>144</v>
      </c>
      <c r="AF69" t="s">
        <v>665</v>
      </c>
      <c r="AG69" t="s">
        <v>666</v>
      </c>
      <c r="AK69" t="str">
        <f>HYPERLINK("http://www.proteinatlas.org/A8MVZ5","no")</f>
        <v>no</v>
      </c>
    </row>
    <row r="70" spans="1:39" x14ac:dyDescent="0.35">
      <c r="A70" t="s">
        <v>667</v>
      </c>
      <c r="B70" t="str">
        <f>HYPERLINK("http://www.uniprot.org/uniprot/A8MWY0","A8MWY0")</f>
        <v>A8MWY0</v>
      </c>
      <c r="C70" t="s">
        <v>668</v>
      </c>
      <c r="D70" t="s">
        <v>669</v>
      </c>
      <c r="E70" t="s">
        <v>39</v>
      </c>
      <c r="F70" t="s">
        <v>40</v>
      </c>
      <c r="H70">
        <v>1029</v>
      </c>
      <c r="I70">
        <v>1</v>
      </c>
      <c r="J70">
        <v>1</v>
      </c>
      <c r="K70" t="s">
        <v>670</v>
      </c>
      <c r="L70" t="s">
        <v>101</v>
      </c>
      <c r="N70">
        <v>0.73450000000000004</v>
      </c>
      <c r="O70" s="1">
        <v>2</v>
      </c>
      <c r="P70" t="s">
        <v>671</v>
      </c>
      <c r="Q70" t="s">
        <v>672</v>
      </c>
      <c r="S70" t="s">
        <v>60</v>
      </c>
      <c r="T70" t="s">
        <v>60</v>
      </c>
      <c r="U70" t="s">
        <v>673</v>
      </c>
      <c r="V70">
        <v>9</v>
      </c>
      <c r="Z70" t="s">
        <v>107</v>
      </c>
      <c r="AA70">
        <v>1</v>
      </c>
      <c r="AB70" t="s">
        <v>674</v>
      </c>
      <c r="AC70">
        <v>733</v>
      </c>
      <c r="AD70" t="s">
        <v>675</v>
      </c>
      <c r="AE70" t="s">
        <v>144</v>
      </c>
      <c r="AF70" t="s">
        <v>676</v>
      </c>
      <c r="AG70" t="s">
        <v>677</v>
      </c>
      <c r="AH70" t="str">
        <f>HYPERLINK("http://compartments.jensenlab.org/Entity?figures=subcell_cell_%&amp;knowledge=10&amp;textmining=10&amp;experiments=10&amp;predictions=10&amp;type1=9606&amp;type2=-22&amp;id1=ENSP00000413445","link")</f>
        <v>link</v>
      </c>
      <c r="AJ70" t="s">
        <v>51</v>
      </c>
      <c r="AK70" t="str">
        <f>HYPERLINK("http://www.proteinatlas.org/A8MWY0","HPA044527")</f>
        <v>HPA044527</v>
      </c>
      <c r="AM70">
        <v>222223</v>
      </c>
    </row>
    <row r="71" spans="1:39" x14ac:dyDescent="0.35">
      <c r="A71" t="s">
        <v>678</v>
      </c>
      <c r="B71" t="str">
        <f>HYPERLINK("http://www.uniprot.org/uniprot/A8MXK1","A8MXK1")</f>
        <v>A8MXK1</v>
      </c>
      <c r="C71" t="s">
        <v>679</v>
      </c>
      <c r="D71" t="s">
        <v>680</v>
      </c>
      <c r="E71" t="s">
        <v>39</v>
      </c>
      <c r="F71" t="s">
        <v>40</v>
      </c>
      <c r="H71">
        <v>200</v>
      </c>
      <c r="I71">
        <v>1</v>
      </c>
      <c r="J71">
        <v>1</v>
      </c>
      <c r="K71" t="s">
        <v>681</v>
      </c>
      <c r="L71" t="s">
        <v>57</v>
      </c>
      <c r="N71">
        <v>0.86629999999999996</v>
      </c>
      <c r="O71" s="1">
        <v>1</v>
      </c>
      <c r="P71" t="s">
        <v>682</v>
      </c>
      <c r="Q71" t="s">
        <v>683</v>
      </c>
      <c r="S71" t="s">
        <v>60</v>
      </c>
      <c r="T71" t="s">
        <v>60</v>
      </c>
      <c r="U71" t="s">
        <v>684</v>
      </c>
      <c r="V71">
        <v>3</v>
      </c>
      <c r="AE71" t="s">
        <v>144</v>
      </c>
      <c r="AF71" t="s">
        <v>409</v>
      </c>
      <c r="AG71" t="s">
        <v>685</v>
      </c>
      <c r="AH71" t="str">
        <f>HYPERLINK("http://compartments.jensenlab.org/Entity?figures=subcell_cell_%&amp;knowledge=10&amp;textmining=10&amp;experiments=10&amp;predictions=10&amp;type1=9606&amp;type2=-22&amp;id1=ENSP00000386607","link")</f>
        <v>link</v>
      </c>
      <c r="AJ71" t="s">
        <v>51</v>
      </c>
      <c r="AK71" t="str">
        <f>HYPERLINK("http://www.proteinatlas.org/A8MXK1","HPA029525")</f>
        <v>HPA029525</v>
      </c>
      <c r="AM71">
        <v>387804</v>
      </c>
    </row>
    <row r="72" spans="1:39" x14ac:dyDescent="0.35">
      <c r="A72" t="s">
        <v>686</v>
      </c>
      <c r="B72" t="str">
        <f>HYPERLINK("http://www.uniprot.org/uniprot/B0FP48","B0FP48")</f>
        <v>B0FP48</v>
      </c>
      <c r="C72" t="s">
        <v>687</v>
      </c>
      <c r="D72" t="s">
        <v>688</v>
      </c>
      <c r="E72" t="s">
        <v>39</v>
      </c>
      <c r="F72" t="s">
        <v>40</v>
      </c>
      <c r="H72">
        <v>263</v>
      </c>
      <c r="I72">
        <v>1</v>
      </c>
      <c r="J72">
        <v>1</v>
      </c>
      <c r="K72" t="s">
        <v>689</v>
      </c>
      <c r="L72" t="s">
        <v>57</v>
      </c>
      <c r="N72">
        <v>0.88419999999999999</v>
      </c>
      <c r="O72" s="1">
        <v>1</v>
      </c>
      <c r="P72" t="s">
        <v>690</v>
      </c>
      <c r="Q72" t="s">
        <v>691</v>
      </c>
      <c r="S72" t="s">
        <v>91</v>
      </c>
      <c r="T72" t="s">
        <v>692</v>
      </c>
      <c r="U72" t="s">
        <v>693</v>
      </c>
      <c r="V72">
        <v>5</v>
      </c>
      <c r="AE72" t="s">
        <v>144</v>
      </c>
      <c r="AF72" t="s">
        <v>409</v>
      </c>
      <c r="AG72" t="s">
        <v>694</v>
      </c>
      <c r="AH72" t="str">
        <f>HYPERLINK("http://compartments.jensenlab.org/Entity?figures=subcell_cell_%&amp;knowledge=10&amp;textmining=10&amp;experiments=10&amp;predictions=10&amp;type1=9606&amp;type2=-22&amp;id1=ENSP00000342938","link")</f>
        <v>link</v>
      </c>
      <c r="AJ72" t="s">
        <v>51</v>
      </c>
      <c r="AK72" t="str">
        <f>HYPERLINK("http://www.proteinatlas.org/B0FP48","HPA011403")</f>
        <v>HPA011403</v>
      </c>
      <c r="AM72" t="s">
        <v>695</v>
      </c>
    </row>
    <row r="73" spans="1:39" x14ac:dyDescent="0.35">
      <c r="A73" t="s">
        <v>696</v>
      </c>
      <c r="B73" t="str">
        <f>HYPERLINK("http://www.uniprot.org/uniprot/B2RN74","B2RN74")</f>
        <v>B2RN74</v>
      </c>
      <c r="C73" t="s">
        <v>697</v>
      </c>
      <c r="D73" t="s">
        <v>698</v>
      </c>
      <c r="E73" t="s">
        <v>39</v>
      </c>
      <c r="F73" t="s">
        <v>40</v>
      </c>
      <c r="H73">
        <v>326</v>
      </c>
      <c r="I73">
        <v>7</v>
      </c>
      <c r="J73">
        <v>0</v>
      </c>
      <c r="K73" t="s">
        <v>699</v>
      </c>
      <c r="L73" t="s">
        <v>57</v>
      </c>
      <c r="N73">
        <v>0.98799999999999999</v>
      </c>
      <c r="O73" s="1">
        <v>1</v>
      </c>
      <c r="P73" t="s">
        <v>700</v>
      </c>
      <c r="Q73" t="s">
        <v>701</v>
      </c>
      <c r="S73" t="s">
        <v>166</v>
      </c>
      <c r="T73" t="s">
        <v>167</v>
      </c>
      <c r="U73" t="s">
        <v>702</v>
      </c>
      <c r="V73">
        <v>3</v>
      </c>
      <c r="Y73">
        <v>65</v>
      </c>
      <c r="AE73" t="s">
        <v>74</v>
      </c>
      <c r="AF73" t="s">
        <v>549</v>
      </c>
      <c r="AG73" t="s">
        <v>703</v>
      </c>
      <c r="AH73" t="str">
        <f>HYPERLINK("http://compartments.jensenlab.org/Entity?figures=subcell_cell_%&amp;knowledge=10&amp;textmining=10&amp;experiments=10&amp;predictions=10&amp;type1=9606&amp;type2=-22&amp;id1=ENSP00000449002","link")</f>
        <v>link</v>
      </c>
      <c r="AK73" t="str">
        <f>HYPERLINK("http://www.proteinatlas.org/B2RN74","HPA047370")</f>
        <v>HPA047370</v>
      </c>
      <c r="AM73">
        <v>440153</v>
      </c>
    </row>
    <row r="74" spans="1:39" x14ac:dyDescent="0.35">
      <c r="A74" t="s">
        <v>704</v>
      </c>
      <c r="B74" t="str">
        <f>HYPERLINK("http://www.uniprot.org/uniprot/B3SHH9","B3SHH9")</f>
        <v>B3SHH9</v>
      </c>
      <c r="C74" t="s">
        <v>705</v>
      </c>
      <c r="D74" t="s">
        <v>706</v>
      </c>
      <c r="E74" t="s">
        <v>39</v>
      </c>
      <c r="F74" t="s">
        <v>40</v>
      </c>
      <c r="H74">
        <v>223</v>
      </c>
      <c r="I74">
        <v>3</v>
      </c>
      <c r="J74">
        <v>1</v>
      </c>
      <c r="K74" t="s">
        <v>707</v>
      </c>
      <c r="L74" t="s">
        <v>42</v>
      </c>
      <c r="N74">
        <v>0.68259999999999998</v>
      </c>
      <c r="O74" s="1">
        <v>2</v>
      </c>
      <c r="P74" t="s">
        <v>708</v>
      </c>
      <c r="Q74" t="s">
        <v>709</v>
      </c>
      <c r="S74" t="s">
        <v>60</v>
      </c>
      <c r="T74" t="s">
        <v>60</v>
      </c>
      <c r="U74" t="s">
        <v>710</v>
      </c>
      <c r="V74">
        <v>2</v>
      </c>
      <c r="AE74" t="s">
        <v>74</v>
      </c>
      <c r="AF74" t="s">
        <v>711</v>
      </c>
      <c r="AG74" t="s">
        <v>712</v>
      </c>
      <c r="AH74" t="str">
        <f>HYPERLINK("http://compartments.jensenlab.org/Entity?figures=subcell_cell_%&amp;knowledge=10&amp;textmining=10&amp;experiments=10&amp;predictions=10&amp;type1=9606&amp;type2=-22&amp;id1=ENSP00000484263","link")</f>
        <v>link</v>
      </c>
      <c r="AK74" t="str">
        <f>HYPERLINK("http://www.proteinatlas.org/B3SHH9","HPA045671")</f>
        <v>HPA045671</v>
      </c>
      <c r="AM74">
        <v>283953</v>
      </c>
    </row>
    <row r="75" spans="1:39" x14ac:dyDescent="0.35">
      <c r="A75" t="s">
        <v>713</v>
      </c>
      <c r="B75" t="str">
        <f>HYPERLINK("http://www.uniprot.org/uniprot/B4DS77","B4DS77")</f>
        <v>B4DS77</v>
      </c>
      <c r="C75" t="s">
        <v>714</v>
      </c>
      <c r="D75" t="s">
        <v>715</v>
      </c>
      <c r="E75" t="s">
        <v>39</v>
      </c>
      <c r="F75" t="s">
        <v>40</v>
      </c>
      <c r="H75">
        <v>424</v>
      </c>
      <c r="I75">
        <v>1</v>
      </c>
      <c r="J75">
        <v>1</v>
      </c>
      <c r="K75" t="s">
        <v>716</v>
      </c>
      <c r="L75" t="s">
        <v>57</v>
      </c>
      <c r="N75">
        <v>0.79039999999999999</v>
      </c>
      <c r="O75" s="1">
        <v>1</v>
      </c>
      <c r="P75" t="s">
        <v>717</v>
      </c>
      <c r="Q75" t="s">
        <v>718</v>
      </c>
      <c r="S75" t="s">
        <v>60</v>
      </c>
      <c r="T75" t="s">
        <v>60</v>
      </c>
      <c r="U75" t="s">
        <v>719</v>
      </c>
      <c r="V75">
        <v>3</v>
      </c>
      <c r="AE75" t="s">
        <v>720</v>
      </c>
      <c r="AF75" t="s">
        <v>721</v>
      </c>
      <c r="AG75" t="s">
        <v>722</v>
      </c>
      <c r="AH75" t="str">
        <f>HYPERLINK("http://compartments.jensenlab.org/Entity?figures=subcell_cell_%&amp;knowledge=10&amp;textmining=10&amp;experiments=10&amp;predictions=10&amp;type1=9606&amp;type2=-22&amp;id1=ENSP00000454014","link")</f>
        <v>link</v>
      </c>
      <c r="AK75" t="str">
        <f>HYPERLINK("http://www.proteinatlas.org/B4DS77","HPA053177")</f>
        <v>HPA053177</v>
      </c>
      <c r="AM75">
        <v>729993</v>
      </c>
    </row>
    <row r="76" spans="1:39" x14ac:dyDescent="0.35">
      <c r="A76" t="s">
        <v>723</v>
      </c>
      <c r="B76" t="str">
        <f>HYPERLINK("http://www.uniprot.org/uniprot/B6A8C7","B6A8C7")</f>
        <v>B6A8C7</v>
      </c>
      <c r="C76" t="s">
        <v>724</v>
      </c>
      <c r="D76" t="s">
        <v>725</v>
      </c>
      <c r="E76" t="s">
        <v>39</v>
      </c>
      <c r="F76" t="s">
        <v>40</v>
      </c>
      <c r="H76">
        <v>271</v>
      </c>
      <c r="I76">
        <v>1</v>
      </c>
      <c r="J76">
        <v>1</v>
      </c>
      <c r="K76" t="s">
        <v>726</v>
      </c>
      <c r="L76" t="s">
        <v>57</v>
      </c>
      <c r="N76">
        <v>0.7964</v>
      </c>
      <c r="O76" s="1">
        <v>1</v>
      </c>
      <c r="P76" t="s">
        <v>727</v>
      </c>
      <c r="Q76" t="s">
        <v>728</v>
      </c>
      <c r="S76" t="s">
        <v>60</v>
      </c>
      <c r="T76" t="s">
        <v>60</v>
      </c>
      <c r="U76" t="s">
        <v>729</v>
      </c>
      <c r="V76">
        <v>3</v>
      </c>
      <c r="AE76" t="s">
        <v>144</v>
      </c>
      <c r="AF76" t="s">
        <v>730</v>
      </c>
      <c r="AG76" t="s">
        <v>731</v>
      </c>
      <c r="AH76" t="str">
        <f>HYPERLINK("http://compartments.jensenlab.org/Entity?figures=subcell_cell_%&amp;knowledge=10&amp;textmining=10&amp;experiments=10&amp;predictions=10&amp;type1=9606&amp;type2=-22&amp;id1=ENSP00000439454","link")</f>
        <v>link</v>
      </c>
      <c r="AK76" t="str">
        <f>HYPERLINK("http://www.proteinatlas.org/B6A8C7","HPA051022;HPA054401")</f>
        <v>HPA051022;HPA054401</v>
      </c>
      <c r="AM76">
        <v>441864</v>
      </c>
    </row>
    <row r="77" spans="1:39" x14ac:dyDescent="0.35">
      <c r="A77" t="s">
        <v>732</v>
      </c>
      <c r="B77" t="str">
        <f>HYPERLINK("http://www.uniprot.org/uniprot/B6SEH8","B6SEH8")</f>
        <v>B6SEH8</v>
      </c>
      <c r="C77" t="s">
        <v>733</v>
      </c>
      <c r="D77" t="s">
        <v>734</v>
      </c>
      <c r="E77" t="s">
        <v>39</v>
      </c>
      <c r="F77" t="s">
        <v>40</v>
      </c>
      <c r="H77">
        <v>477</v>
      </c>
      <c r="I77">
        <v>1</v>
      </c>
      <c r="J77">
        <v>1</v>
      </c>
      <c r="K77" t="s">
        <v>735</v>
      </c>
      <c r="L77" t="s">
        <v>57</v>
      </c>
      <c r="N77">
        <v>0.78239999999999998</v>
      </c>
      <c r="O77" s="1">
        <v>1</v>
      </c>
      <c r="P77" t="s">
        <v>736</v>
      </c>
      <c r="Q77" t="s">
        <v>737</v>
      </c>
      <c r="S77" t="s">
        <v>91</v>
      </c>
      <c r="T77" t="s">
        <v>738</v>
      </c>
      <c r="U77" t="s">
        <v>739</v>
      </c>
      <c r="V77">
        <v>9</v>
      </c>
      <c r="AE77" t="s">
        <v>144</v>
      </c>
      <c r="AF77" t="s">
        <v>740</v>
      </c>
      <c r="AG77" t="s">
        <v>741</v>
      </c>
      <c r="AH77" t="str">
        <f>HYPERLINK("http://compartments.jensenlab.org/Entity?figures=subcell_cell_%&amp;knowledge=10&amp;textmining=10&amp;experiments=10&amp;predictions=10&amp;type1=9606&amp;type2=-22&amp;id1=ENSP00000473153","link")</f>
        <v>link</v>
      </c>
      <c r="AK77" t="str">
        <f>HYPERLINK("http://www.proteinatlas.org/B6SEH8","no")</f>
        <v>no</v>
      </c>
      <c r="AM77">
        <v>147664</v>
      </c>
    </row>
    <row r="78" spans="1:39" x14ac:dyDescent="0.35">
      <c r="A78" t="s">
        <v>742</v>
      </c>
      <c r="B78" t="str">
        <f>HYPERLINK("http://www.uniprot.org/uniprot/B6SEH9","B6SEH9")</f>
        <v>B6SEH9</v>
      </c>
      <c r="C78" t="s">
        <v>743</v>
      </c>
      <c r="D78" t="s">
        <v>744</v>
      </c>
      <c r="E78" t="s">
        <v>39</v>
      </c>
      <c r="F78" t="s">
        <v>40</v>
      </c>
      <c r="H78">
        <v>535</v>
      </c>
      <c r="I78">
        <v>2</v>
      </c>
      <c r="J78">
        <v>1</v>
      </c>
      <c r="K78" t="s">
        <v>745</v>
      </c>
      <c r="L78" t="s">
        <v>57</v>
      </c>
      <c r="N78">
        <v>0.9002</v>
      </c>
      <c r="O78" s="1">
        <v>1</v>
      </c>
      <c r="P78" t="s">
        <v>746</v>
      </c>
      <c r="Q78" t="s">
        <v>747</v>
      </c>
      <c r="S78" t="s">
        <v>91</v>
      </c>
      <c r="T78" t="s">
        <v>738</v>
      </c>
      <c r="U78" t="s">
        <v>748</v>
      </c>
      <c r="V78">
        <v>9</v>
      </c>
      <c r="AE78" t="s">
        <v>48</v>
      </c>
      <c r="AF78" t="s">
        <v>740</v>
      </c>
      <c r="AG78" t="s">
        <v>749</v>
      </c>
      <c r="AH78" t="str">
        <f>HYPERLINK("http://compartments.jensenlab.org/Entity?figures=subcell_cell_%&amp;knowledge=10&amp;textmining=10&amp;experiments=10&amp;predictions=10&amp;type1=9606&amp;type2=-22&amp;id1=ENSP00000472919","link")</f>
        <v>link</v>
      </c>
      <c r="AK78" t="str">
        <f>HYPERLINK("http://www.proteinatlas.org/B6SEH9","no")</f>
        <v>no</v>
      </c>
      <c r="AM78" s="4">
        <v>100000000</v>
      </c>
    </row>
    <row r="79" spans="1:39" x14ac:dyDescent="0.35">
      <c r="A79" t="s">
        <v>750</v>
      </c>
      <c r="B79" t="str">
        <f>HYPERLINK("http://www.uniprot.org/uniprot/B8ZZ34","B8ZZ34")</f>
        <v>B8ZZ34</v>
      </c>
      <c r="C79" t="s">
        <v>751</v>
      </c>
      <c r="D79" t="s">
        <v>752</v>
      </c>
      <c r="E79" t="s">
        <v>39</v>
      </c>
      <c r="F79" t="s">
        <v>40</v>
      </c>
      <c r="H79">
        <v>492</v>
      </c>
      <c r="I79">
        <v>1</v>
      </c>
      <c r="J79">
        <v>1</v>
      </c>
      <c r="K79" t="s">
        <v>753</v>
      </c>
      <c r="L79" t="s">
        <v>57</v>
      </c>
      <c r="N79">
        <v>0.64270000000000005</v>
      </c>
      <c r="O79" s="1">
        <v>2</v>
      </c>
      <c r="P79" t="s">
        <v>754</v>
      </c>
      <c r="Q79" t="s">
        <v>755</v>
      </c>
      <c r="S79" t="s">
        <v>60</v>
      </c>
      <c r="T79" t="s">
        <v>60</v>
      </c>
      <c r="U79">
        <v>75</v>
      </c>
      <c r="V79">
        <v>1</v>
      </c>
      <c r="AE79" t="s">
        <v>144</v>
      </c>
      <c r="AF79" t="s">
        <v>409</v>
      </c>
      <c r="AG79" t="s">
        <v>756</v>
      </c>
      <c r="AH79" t="str">
        <f>HYPERLINK("http://compartments.jensenlab.org/Entity?figures=subcell_cell_%&amp;knowledge=10&amp;textmining=10&amp;experiments=10&amp;predictions=10&amp;type1=9606&amp;type2=-22&amp;id1=ENSP00000389964","link")</f>
        <v>link</v>
      </c>
      <c r="AJ79" t="s">
        <v>51</v>
      </c>
      <c r="AK79" t="str">
        <f>HYPERLINK("http://www.proteinatlas.org/B8ZZ34","HPA059173")</f>
        <v>HPA059173</v>
      </c>
      <c r="AM79">
        <v>440829</v>
      </c>
    </row>
    <row r="80" spans="1:39" x14ac:dyDescent="0.35">
      <c r="A80" t="s">
        <v>757</v>
      </c>
      <c r="B80" t="str">
        <f>HYPERLINK("http://www.uniprot.org/uniprot/D3W0D1","D3W0D1")</f>
        <v>D3W0D1</v>
      </c>
      <c r="C80" t="s">
        <v>758</v>
      </c>
      <c r="D80" t="s">
        <v>759</v>
      </c>
      <c r="E80" t="s">
        <v>39</v>
      </c>
      <c r="F80" t="s">
        <v>40</v>
      </c>
      <c r="H80">
        <v>207</v>
      </c>
      <c r="I80">
        <v>1</v>
      </c>
      <c r="J80">
        <v>0</v>
      </c>
      <c r="K80" t="s">
        <v>760</v>
      </c>
      <c r="L80" t="s">
        <v>57</v>
      </c>
      <c r="N80">
        <v>0.6986</v>
      </c>
      <c r="O80" s="1">
        <v>2</v>
      </c>
      <c r="P80" t="s">
        <v>761</v>
      </c>
      <c r="Q80" t="s">
        <v>762</v>
      </c>
      <c r="U80" t="s">
        <v>763</v>
      </c>
      <c r="V80">
        <v>2</v>
      </c>
      <c r="W80">
        <v>202</v>
      </c>
      <c r="AE80" t="s">
        <v>764</v>
      </c>
      <c r="AF80" t="s">
        <v>765</v>
      </c>
      <c r="AG80" t="s">
        <v>766</v>
      </c>
      <c r="AH80" t="str">
        <f>HYPERLINK("http://compartments.jensenlab.org/Entity?figures=subcell_cell_%&amp;knowledge=10&amp;textmining=10&amp;experiments=10&amp;predictions=10&amp;type1=9606&amp;type2=-22&amp;id1=ENSP00000438244","link")</f>
        <v>link</v>
      </c>
      <c r="AK80" t="str">
        <f>HYPERLINK("http://www.proteinatlas.org/D3W0D1","no")</f>
        <v>no</v>
      </c>
      <c r="AM80" s="4">
        <v>100000000</v>
      </c>
    </row>
    <row r="81" spans="1:39" x14ac:dyDescent="0.35">
      <c r="A81" t="s">
        <v>767</v>
      </c>
      <c r="B81" t="str">
        <f>HYPERLINK("http://www.uniprot.org/uniprot/E2RYF6","E2RYF6")</f>
        <v>E2RYF6</v>
      </c>
      <c r="C81" t="s">
        <v>768</v>
      </c>
      <c r="D81" t="s">
        <v>769</v>
      </c>
      <c r="E81" t="s">
        <v>39</v>
      </c>
      <c r="F81" t="s">
        <v>40</v>
      </c>
      <c r="H81">
        <v>1773</v>
      </c>
      <c r="I81">
        <v>1</v>
      </c>
      <c r="J81">
        <v>1</v>
      </c>
      <c r="K81" t="s">
        <v>770</v>
      </c>
      <c r="L81" t="s">
        <v>57</v>
      </c>
      <c r="N81">
        <v>0.62870000000000004</v>
      </c>
      <c r="O81" s="1">
        <v>2</v>
      </c>
      <c r="P81" t="s">
        <v>771</v>
      </c>
      <c r="Q81" t="s">
        <v>772</v>
      </c>
      <c r="U81" t="s">
        <v>773</v>
      </c>
      <c r="V81">
        <v>6</v>
      </c>
      <c r="Y81">
        <v>11</v>
      </c>
      <c r="AE81" t="s">
        <v>94</v>
      </c>
      <c r="AF81" t="s">
        <v>774</v>
      </c>
      <c r="AG81" t="s">
        <v>775</v>
      </c>
      <c r="AH81" t="str">
        <f>HYPERLINK("http://compartments.jensenlab.org/Entity?figures=subcell_cell_%&amp;knowledge=10&amp;textmining=10&amp;experiments=10&amp;predictions=10&amp;type1=9606&amp;type2=-22&amp;id1=ENSP00000455906","link")</f>
        <v>link</v>
      </c>
      <c r="AK81" t="str">
        <f>HYPERLINK("http://www.proteinatlas.org/E2RYF6","no")</f>
        <v>no</v>
      </c>
      <c r="AM81" s="4">
        <v>101000000</v>
      </c>
    </row>
    <row r="82" spans="1:39" x14ac:dyDescent="0.35">
      <c r="A82" t="s">
        <v>776</v>
      </c>
      <c r="B82" t="str">
        <f>HYPERLINK("http://www.uniprot.org/uniprot/F2Z333","F2Z333")</f>
        <v>F2Z333</v>
      </c>
      <c r="C82" t="s">
        <v>777</v>
      </c>
      <c r="D82" t="s">
        <v>778</v>
      </c>
      <c r="E82" t="s">
        <v>39</v>
      </c>
      <c r="F82" t="s">
        <v>40</v>
      </c>
      <c r="H82">
        <v>226</v>
      </c>
      <c r="I82">
        <v>1</v>
      </c>
      <c r="J82">
        <v>1</v>
      </c>
      <c r="K82" t="s">
        <v>779</v>
      </c>
      <c r="L82" t="s">
        <v>57</v>
      </c>
      <c r="N82">
        <v>0.58879999999999999</v>
      </c>
      <c r="O82" s="1">
        <v>2</v>
      </c>
      <c r="P82" t="s">
        <v>780</v>
      </c>
      <c r="Q82" t="s">
        <v>781</v>
      </c>
      <c r="U82" t="s">
        <v>782</v>
      </c>
      <c r="V82">
        <v>2</v>
      </c>
      <c r="AE82" t="s">
        <v>144</v>
      </c>
      <c r="AF82" t="s">
        <v>409</v>
      </c>
      <c r="AG82" t="s">
        <v>783</v>
      </c>
      <c r="AH82" t="str">
        <f>HYPERLINK("http://compartments.jensenlab.org/Entity?figures=subcell_cell_%&amp;knowledge=10&amp;textmining=10&amp;experiments=10&amp;predictions=10&amp;type1=9606&amp;type2=-22&amp;id1=ENSP00000389111","link")</f>
        <v>link</v>
      </c>
      <c r="AK82" t="str">
        <f>HYPERLINK("http://www.proteinatlas.org/F2Z333","no")</f>
        <v>no</v>
      </c>
      <c r="AM82">
        <v>643988</v>
      </c>
    </row>
    <row r="83" spans="1:39" x14ac:dyDescent="0.35">
      <c r="A83" t="s">
        <v>784</v>
      </c>
      <c r="B83" t="str">
        <f>HYPERLINK("http://www.uniprot.org/uniprot/F5H4A9","F5H4A9")</f>
        <v>F5H4A9</v>
      </c>
      <c r="C83" t="s">
        <v>785</v>
      </c>
      <c r="D83" t="s">
        <v>786</v>
      </c>
      <c r="E83" t="s">
        <v>39</v>
      </c>
      <c r="F83" t="s">
        <v>40</v>
      </c>
      <c r="H83">
        <v>247</v>
      </c>
      <c r="I83">
        <v>1</v>
      </c>
      <c r="J83">
        <v>1</v>
      </c>
      <c r="K83" t="s">
        <v>787</v>
      </c>
      <c r="L83" t="s">
        <v>42</v>
      </c>
      <c r="N83">
        <v>0.5968</v>
      </c>
      <c r="O83" s="1">
        <v>2</v>
      </c>
      <c r="P83" t="s">
        <v>788</v>
      </c>
      <c r="Q83" t="s">
        <v>789</v>
      </c>
      <c r="U83">
        <v>57</v>
      </c>
      <c r="V83">
        <v>1</v>
      </c>
      <c r="AE83" t="s">
        <v>94</v>
      </c>
      <c r="AF83" t="s">
        <v>409</v>
      </c>
      <c r="AG83" t="s">
        <v>790</v>
      </c>
      <c r="AH83" t="str">
        <f>HYPERLINK("http://compartments.jensenlab.org/Entity?figures=subcell_cell_%&amp;knowledge=10&amp;textmining=10&amp;experiments=10&amp;predictions=10&amp;type1=9606&amp;type2=-22&amp;id1=ENSP00000313324","link")</f>
        <v>link</v>
      </c>
      <c r="AJ83" t="s">
        <v>51</v>
      </c>
      <c r="AK83" t="str">
        <f>HYPERLINK("http://www.proteinatlas.org/F5H4A9","HPA047439")</f>
        <v>HPA047439</v>
      </c>
      <c r="AM83">
        <v>401097</v>
      </c>
    </row>
    <row r="84" spans="1:39" x14ac:dyDescent="0.35">
      <c r="A84" t="s">
        <v>791</v>
      </c>
      <c r="B84" t="str">
        <f>HYPERLINK("http://www.uniprot.org/uniprot/G3V0H7","G3V0H7")</f>
        <v>G3V0H7</v>
      </c>
      <c r="C84" t="s">
        <v>792</v>
      </c>
      <c r="D84" t="s">
        <v>793</v>
      </c>
      <c r="E84" t="s">
        <v>39</v>
      </c>
      <c r="F84" t="s">
        <v>40</v>
      </c>
      <c r="H84">
        <v>640</v>
      </c>
      <c r="I84">
        <v>11</v>
      </c>
      <c r="J84">
        <v>0</v>
      </c>
      <c r="K84" t="s">
        <v>794</v>
      </c>
      <c r="L84" t="s">
        <v>57</v>
      </c>
      <c r="N84">
        <v>0.87429999999999997</v>
      </c>
      <c r="O84" s="1">
        <v>1</v>
      </c>
      <c r="P84" t="s">
        <v>795</v>
      </c>
      <c r="Q84" t="s">
        <v>796</v>
      </c>
      <c r="S84" t="s">
        <v>45</v>
      </c>
      <c r="T84" t="s">
        <v>797</v>
      </c>
      <c r="U84" t="s">
        <v>798</v>
      </c>
      <c r="V84">
        <v>5</v>
      </c>
      <c r="AE84" t="s">
        <v>74</v>
      </c>
      <c r="AF84" t="s">
        <v>799</v>
      </c>
      <c r="AG84" t="s">
        <v>800</v>
      </c>
      <c r="AH84" t="str">
        <f>HYPERLINK("http://compartments.jensenlab.org/Entity?figures=subcell_cell_%&amp;knowledge=10&amp;textmining=10&amp;experiments=10&amp;predictions=10&amp;type1=9606&amp;type2=-22&amp;id1=ENSP00000394168","link")</f>
        <v>link</v>
      </c>
      <c r="AI84" t="s">
        <v>65</v>
      </c>
      <c r="AJ84" t="s">
        <v>51</v>
      </c>
      <c r="AK84" t="str">
        <f>HYPERLINK("http://www.proteinatlas.org/G3V0H7","HPA050892")</f>
        <v>HPA050892</v>
      </c>
      <c r="AM84">
        <v>338821</v>
      </c>
    </row>
    <row r="85" spans="1:39" x14ac:dyDescent="0.35">
      <c r="A85" t="s">
        <v>801</v>
      </c>
      <c r="B85" t="str">
        <f>HYPERLINK("http://www.uniprot.org/uniprot/H3BS89","H3BS89")</f>
        <v>H3BS89</v>
      </c>
      <c r="C85" t="s">
        <v>802</v>
      </c>
      <c r="D85" t="s">
        <v>803</v>
      </c>
      <c r="E85" t="s">
        <v>39</v>
      </c>
      <c r="F85" t="s">
        <v>40</v>
      </c>
      <c r="H85">
        <v>294</v>
      </c>
      <c r="I85">
        <v>3</v>
      </c>
      <c r="J85">
        <v>1</v>
      </c>
      <c r="K85" t="s">
        <v>804</v>
      </c>
      <c r="L85" t="s">
        <v>42</v>
      </c>
      <c r="N85">
        <v>0.7006</v>
      </c>
      <c r="O85" s="1">
        <v>2</v>
      </c>
      <c r="P85" t="s">
        <v>805</v>
      </c>
      <c r="Q85" t="s">
        <v>806</v>
      </c>
      <c r="U85" t="s">
        <v>807</v>
      </c>
      <c r="V85">
        <v>3</v>
      </c>
      <c r="AE85" t="s">
        <v>48</v>
      </c>
      <c r="AF85" t="s">
        <v>409</v>
      </c>
      <c r="AG85" t="s">
        <v>808</v>
      </c>
      <c r="AH85" t="str">
        <f>HYPERLINK("http://compartments.jensenlab.org/Entity?figures=subcell_cell_%&amp;knowledge=10&amp;textmining=10&amp;experiments=10&amp;predictions=10&amp;type1=9606&amp;type2=-22&amp;id1=ENSP00000456594","link")</f>
        <v>link</v>
      </c>
      <c r="AK85" t="str">
        <f>HYPERLINK("http://www.proteinatlas.org/H3BS89","HPA048771")</f>
        <v>HPA048771</v>
      </c>
      <c r="AM85" s="4">
        <v>101000000</v>
      </c>
    </row>
    <row r="86" spans="1:39" x14ac:dyDescent="0.35">
      <c r="A86" t="s">
        <v>809</v>
      </c>
      <c r="B86" t="str">
        <f>HYPERLINK("http://www.uniprot.org/uniprot/I3L273","I3L273")</f>
        <v>I3L273</v>
      </c>
      <c r="C86" t="s">
        <v>810</v>
      </c>
      <c r="D86" t="s">
        <v>811</v>
      </c>
      <c r="E86" t="s">
        <v>39</v>
      </c>
      <c r="F86" t="s">
        <v>40</v>
      </c>
      <c r="H86">
        <v>518</v>
      </c>
      <c r="I86">
        <v>1</v>
      </c>
      <c r="J86">
        <v>1</v>
      </c>
      <c r="K86" t="s">
        <v>812</v>
      </c>
      <c r="L86" t="s">
        <v>57</v>
      </c>
      <c r="N86">
        <v>0.78639999999999999</v>
      </c>
      <c r="O86" s="1">
        <v>1</v>
      </c>
      <c r="P86" t="s">
        <v>813</v>
      </c>
      <c r="Q86" t="s">
        <v>814</v>
      </c>
      <c r="U86" t="s">
        <v>815</v>
      </c>
      <c r="V86">
        <v>5</v>
      </c>
      <c r="X86" t="s">
        <v>816</v>
      </c>
      <c r="AE86" t="s">
        <v>817</v>
      </c>
      <c r="AF86" t="s">
        <v>818</v>
      </c>
      <c r="AG86" t="s">
        <v>819</v>
      </c>
      <c r="AH86" t="str">
        <f>HYPERLINK("http://compartments.jensenlab.org/Entity?figures=subcell_cell_%&amp;knowledge=10&amp;textmining=10&amp;experiments=10&amp;predictions=10&amp;type1=9606&amp;type2=-22&amp;id1=ENSP00000459439","link")</f>
        <v>link</v>
      </c>
      <c r="AK86" t="str">
        <f>HYPERLINK("http://www.proteinatlas.org/I3L273","no")</f>
        <v>no</v>
      </c>
      <c r="AM86" s="4">
        <v>101000000</v>
      </c>
    </row>
    <row r="87" spans="1:39" x14ac:dyDescent="0.35">
      <c r="A87" t="s">
        <v>820</v>
      </c>
      <c r="B87" t="str">
        <f>HYPERLINK("http://www.uniprot.org/uniprot/O00144","O00144")</f>
        <v>O00144</v>
      </c>
      <c r="C87" t="s">
        <v>821</v>
      </c>
      <c r="D87" t="s">
        <v>822</v>
      </c>
      <c r="E87" t="s">
        <v>39</v>
      </c>
      <c r="F87" t="s">
        <v>55</v>
      </c>
      <c r="H87">
        <v>591</v>
      </c>
      <c r="I87">
        <v>7</v>
      </c>
      <c r="J87">
        <v>1</v>
      </c>
      <c r="K87" t="s">
        <v>823</v>
      </c>
      <c r="L87" t="s">
        <v>57</v>
      </c>
      <c r="M87" t="s">
        <v>39</v>
      </c>
      <c r="N87">
        <v>0.91849999999999998</v>
      </c>
      <c r="O87" s="1">
        <v>1</v>
      </c>
      <c r="P87" t="s">
        <v>824</v>
      </c>
      <c r="Q87" t="s">
        <v>825</v>
      </c>
      <c r="R87" t="s">
        <v>826</v>
      </c>
      <c r="S87" t="s">
        <v>166</v>
      </c>
      <c r="T87" t="s">
        <v>827</v>
      </c>
      <c r="U87" t="s">
        <v>828</v>
      </c>
      <c r="V87">
        <v>2</v>
      </c>
      <c r="W87" t="s">
        <v>829</v>
      </c>
      <c r="AE87" t="s">
        <v>74</v>
      </c>
      <c r="AF87" t="s">
        <v>830</v>
      </c>
      <c r="AG87" t="s">
        <v>831</v>
      </c>
      <c r="AH87" t="str">
        <f>HYPERLINK("http://compartments.jensenlab.org/Entity?figures=subcell_cell_%&amp;knowledge=10&amp;textmining=10&amp;experiments=10&amp;predictions=10&amp;type1=9606&amp;type2=-22&amp;id1=ENSP00000345785","link")</f>
        <v>link</v>
      </c>
      <c r="AI87" t="s">
        <v>65</v>
      </c>
      <c r="AJ87" t="s">
        <v>51</v>
      </c>
      <c r="AK87" t="str">
        <f>HYPERLINK("http://www.proteinatlas.org/O00144","no")</f>
        <v>no</v>
      </c>
      <c r="AM87">
        <v>8326</v>
      </c>
    </row>
    <row r="88" spans="1:39" x14ac:dyDescent="0.35">
      <c r="A88" t="s">
        <v>832</v>
      </c>
      <c r="B88" t="str">
        <f>HYPERLINK("http://www.uniprot.org/uniprot/O00155","O00155")</f>
        <v>O00155</v>
      </c>
      <c r="C88" t="s">
        <v>833</v>
      </c>
      <c r="D88" t="s">
        <v>834</v>
      </c>
      <c r="E88" t="s">
        <v>39</v>
      </c>
      <c r="F88" t="s">
        <v>55</v>
      </c>
      <c r="H88">
        <v>361</v>
      </c>
      <c r="I88">
        <v>7</v>
      </c>
      <c r="J88">
        <v>0</v>
      </c>
      <c r="K88" t="s">
        <v>835</v>
      </c>
      <c r="L88" t="s">
        <v>57</v>
      </c>
      <c r="M88" t="s">
        <v>39</v>
      </c>
      <c r="N88">
        <v>0.77549999999999997</v>
      </c>
      <c r="O88" s="1">
        <v>1</v>
      </c>
      <c r="P88" t="s">
        <v>836</v>
      </c>
      <c r="Q88" t="s">
        <v>837</v>
      </c>
      <c r="S88" t="s">
        <v>166</v>
      </c>
      <c r="T88" t="s">
        <v>838</v>
      </c>
      <c r="V88">
        <v>0</v>
      </c>
      <c r="AE88" t="s">
        <v>74</v>
      </c>
      <c r="AF88" t="s">
        <v>839</v>
      </c>
      <c r="AG88" t="s">
        <v>840</v>
      </c>
      <c r="AH88" t="str">
        <f>HYPERLINK("http://compartments.jensenlab.org/Entity?figures=subcell_cell_%&amp;knowledge=10&amp;textmining=10&amp;experiments=10&amp;predictions=10&amp;type1=9606&amp;type2=-22&amp;id1=ENSP00000301917","link")</f>
        <v>link</v>
      </c>
      <c r="AI88" t="s">
        <v>65</v>
      </c>
      <c r="AJ88" t="s">
        <v>51</v>
      </c>
      <c r="AK88" t="str">
        <f>HYPERLINK("http://www.proteinatlas.org/O00155","no")</f>
        <v>no</v>
      </c>
      <c r="AM88">
        <v>2848</v>
      </c>
    </row>
    <row r="89" spans="1:39" x14ac:dyDescent="0.35">
      <c r="A89" t="s">
        <v>841</v>
      </c>
      <c r="B89" t="str">
        <f>HYPERLINK("http://www.uniprot.org/uniprot/O00206","O00206")</f>
        <v>O00206</v>
      </c>
      <c r="C89" t="s">
        <v>842</v>
      </c>
      <c r="D89" t="s">
        <v>843</v>
      </c>
      <c r="E89" t="s">
        <v>39</v>
      </c>
      <c r="F89" t="s">
        <v>55</v>
      </c>
      <c r="H89">
        <v>839</v>
      </c>
      <c r="I89">
        <v>1</v>
      </c>
      <c r="J89">
        <v>1</v>
      </c>
      <c r="K89" t="s">
        <v>844</v>
      </c>
      <c r="L89" t="s">
        <v>101</v>
      </c>
      <c r="M89" t="s">
        <v>39</v>
      </c>
      <c r="N89">
        <v>0.84240000000000004</v>
      </c>
      <c r="O89" s="1">
        <v>1</v>
      </c>
      <c r="P89" t="s">
        <v>845</v>
      </c>
      <c r="Q89" t="s">
        <v>846</v>
      </c>
      <c r="R89" t="s">
        <v>847</v>
      </c>
      <c r="S89" t="s">
        <v>166</v>
      </c>
      <c r="T89" t="s">
        <v>848</v>
      </c>
      <c r="U89" t="s">
        <v>849</v>
      </c>
      <c r="V89">
        <v>10</v>
      </c>
      <c r="W89" t="s">
        <v>849</v>
      </c>
      <c r="Y89" t="s">
        <v>850</v>
      </c>
      <c r="Z89" t="s">
        <v>107</v>
      </c>
      <c r="AA89">
        <v>2</v>
      </c>
      <c r="AB89" t="s">
        <v>851</v>
      </c>
      <c r="AC89" t="s">
        <v>852</v>
      </c>
      <c r="AD89" t="s">
        <v>853</v>
      </c>
      <c r="AE89" t="s">
        <v>332</v>
      </c>
      <c r="AF89" t="s">
        <v>854</v>
      </c>
      <c r="AG89" t="s">
        <v>855</v>
      </c>
      <c r="AH89" t="str">
        <f>HYPERLINK("http://compartments.jensenlab.org/Entity?figures=subcell_cell_%&amp;knowledge=10&amp;textmining=10&amp;experiments=10&amp;predictions=10&amp;type1=9606&amp;type2=-22&amp;id1=ENSP00000363089","link")</f>
        <v>link</v>
      </c>
      <c r="AI89" t="s">
        <v>65</v>
      </c>
      <c r="AJ89" t="s">
        <v>51</v>
      </c>
      <c r="AK89" t="str">
        <f>HYPERLINK("http://www.proteinatlas.org/O00206","CAB004025;HPA049174")</f>
        <v>CAB004025;HPA049174</v>
      </c>
      <c r="AL89" t="s">
        <v>856</v>
      </c>
      <c r="AM89">
        <v>7099</v>
      </c>
    </row>
    <row r="90" spans="1:39" x14ac:dyDescent="0.35">
      <c r="A90" t="s">
        <v>857</v>
      </c>
      <c r="B90" t="str">
        <f>HYPERLINK("http://www.uniprot.org/uniprot/O00220","O00220")</f>
        <v>O00220</v>
      </c>
      <c r="C90" t="s">
        <v>858</v>
      </c>
      <c r="D90" t="s">
        <v>859</v>
      </c>
      <c r="E90" t="s">
        <v>39</v>
      </c>
      <c r="F90" t="s">
        <v>40</v>
      </c>
      <c r="H90">
        <v>468</v>
      </c>
      <c r="I90">
        <v>1</v>
      </c>
      <c r="J90">
        <v>1</v>
      </c>
      <c r="K90" t="s">
        <v>860</v>
      </c>
      <c r="L90" t="s">
        <v>57</v>
      </c>
      <c r="N90">
        <v>0.84430000000000005</v>
      </c>
      <c r="O90" s="1">
        <v>1</v>
      </c>
      <c r="P90" t="s">
        <v>861</v>
      </c>
      <c r="Q90" t="s">
        <v>862</v>
      </c>
      <c r="R90" t="s">
        <v>863</v>
      </c>
      <c r="S90" t="s">
        <v>166</v>
      </c>
      <c r="T90" t="s">
        <v>864</v>
      </c>
      <c r="U90" t="s">
        <v>865</v>
      </c>
      <c r="V90">
        <v>1</v>
      </c>
      <c r="AE90" t="s">
        <v>144</v>
      </c>
      <c r="AF90" t="s">
        <v>866</v>
      </c>
      <c r="AG90" t="s">
        <v>867</v>
      </c>
      <c r="AH90" t="str">
        <f>HYPERLINK("http://compartments.jensenlab.org/Entity?figures=subcell_cell_%&amp;knowledge=10&amp;textmining=10&amp;experiments=10&amp;predictions=10&amp;type1=9606&amp;type2=-22&amp;id1=ENSP00000221132","link")</f>
        <v>link</v>
      </c>
      <c r="AJ90" t="s">
        <v>51</v>
      </c>
      <c r="AK90" t="str">
        <f>HYPERLINK("http://www.proteinatlas.org/O00220","HPA054475")</f>
        <v>HPA054475</v>
      </c>
      <c r="AM90">
        <v>8797</v>
      </c>
    </row>
    <row r="91" spans="1:39" x14ac:dyDescent="0.35">
      <c r="A91" t="s">
        <v>868</v>
      </c>
      <c r="B91" t="str">
        <f>HYPERLINK("http://www.uniprot.org/uniprot/O00222","O00222")</f>
        <v>O00222</v>
      </c>
      <c r="C91" t="s">
        <v>869</v>
      </c>
      <c r="D91" t="s">
        <v>870</v>
      </c>
      <c r="E91" t="s">
        <v>39</v>
      </c>
      <c r="F91" t="s">
        <v>55</v>
      </c>
      <c r="H91">
        <v>908</v>
      </c>
      <c r="I91">
        <v>7</v>
      </c>
      <c r="J91">
        <v>1</v>
      </c>
      <c r="K91" t="s">
        <v>871</v>
      </c>
      <c r="L91" t="s">
        <v>57</v>
      </c>
      <c r="N91">
        <v>0.9002</v>
      </c>
      <c r="O91" s="1">
        <v>1</v>
      </c>
      <c r="P91" t="s">
        <v>872</v>
      </c>
      <c r="Q91" t="s">
        <v>873</v>
      </c>
      <c r="S91" t="s">
        <v>166</v>
      </c>
      <c r="T91" t="s">
        <v>874</v>
      </c>
      <c r="U91" t="s">
        <v>875</v>
      </c>
      <c r="V91">
        <v>5</v>
      </c>
      <c r="W91" t="s">
        <v>876</v>
      </c>
      <c r="AE91" t="s">
        <v>74</v>
      </c>
      <c r="AF91" t="s">
        <v>877</v>
      </c>
      <c r="AG91" t="s">
        <v>878</v>
      </c>
      <c r="AH91" t="str">
        <f>HYPERLINK("http://compartments.jensenlab.org/Entity?figures=subcell_cell_%&amp;knowledge=10&amp;textmining=10&amp;experiments=10&amp;predictions=10&amp;type1=9606&amp;type2=-22&amp;id1=ENSP00000344173","link")</f>
        <v>link</v>
      </c>
      <c r="AI91" t="s">
        <v>65</v>
      </c>
      <c r="AJ91" t="s">
        <v>51</v>
      </c>
      <c r="AK91" t="str">
        <f>HYPERLINK("http://www.proteinatlas.org/O00222","HPA051481")</f>
        <v>HPA051481</v>
      </c>
      <c r="AM91">
        <v>2918</v>
      </c>
    </row>
    <row r="92" spans="1:39" x14ac:dyDescent="0.35">
      <c r="A92" t="s">
        <v>879</v>
      </c>
      <c r="B92" t="str">
        <f>HYPERLINK("http://www.uniprot.org/uniprot/O00241","O00241")</f>
        <v>O00241</v>
      </c>
      <c r="C92" t="s">
        <v>880</v>
      </c>
      <c r="D92" t="s">
        <v>881</v>
      </c>
      <c r="E92" t="s">
        <v>39</v>
      </c>
      <c r="F92" t="s">
        <v>40</v>
      </c>
      <c r="H92">
        <v>398</v>
      </c>
      <c r="I92">
        <v>1</v>
      </c>
      <c r="J92">
        <v>1</v>
      </c>
      <c r="K92" t="s">
        <v>882</v>
      </c>
      <c r="L92" t="s">
        <v>101</v>
      </c>
      <c r="N92">
        <v>0.76249999999999996</v>
      </c>
      <c r="O92" s="1">
        <v>1</v>
      </c>
      <c r="P92" t="s">
        <v>883</v>
      </c>
      <c r="Q92" t="s">
        <v>884</v>
      </c>
      <c r="R92" t="s">
        <v>885</v>
      </c>
      <c r="S92" t="s">
        <v>91</v>
      </c>
      <c r="T92" t="s">
        <v>886</v>
      </c>
      <c r="U92" t="s">
        <v>887</v>
      </c>
      <c r="V92">
        <v>4</v>
      </c>
      <c r="W92" t="s">
        <v>887</v>
      </c>
      <c r="Y92">
        <v>311</v>
      </c>
      <c r="Z92" t="s">
        <v>107</v>
      </c>
      <c r="AA92">
        <v>2</v>
      </c>
      <c r="AB92" t="s">
        <v>888</v>
      </c>
      <c r="AC92">
        <v>291</v>
      </c>
      <c r="AD92" t="s">
        <v>889</v>
      </c>
      <c r="AE92" t="s">
        <v>144</v>
      </c>
      <c r="AF92" t="s">
        <v>890</v>
      </c>
      <c r="AG92" t="s">
        <v>891</v>
      </c>
      <c r="AH92" t="str">
        <f>HYPERLINK("http://compartments.jensenlab.org/Entity?figures=subcell_cell_%&amp;knowledge=10&amp;textmining=10&amp;experiments=10&amp;predictions=10&amp;type1=9606&amp;type2=-22&amp;id1=ENSP00000371018","link")</f>
        <v>link</v>
      </c>
      <c r="AK92" t="str">
        <f>HYPERLINK("http://www.proteinatlas.org/O00241","HPA047463")</f>
        <v>HPA047463</v>
      </c>
      <c r="AM92">
        <v>10326</v>
      </c>
    </row>
    <row r="93" spans="1:39" x14ac:dyDescent="0.35">
      <c r="A93" t="s">
        <v>892</v>
      </c>
      <c r="B93" t="str">
        <f>HYPERLINK("http://www.uniprot.org/uniprot/O00254","O00254")</f>
        <v>O00254</v>
      </c>
      <c r="C93" t="s">
        <v>893</v>
      </c>
      <c r="D93" t="s">
        <v>894</v>
      </c>
      <c r="E93" t="s">
        <v>39</v>
      </c>
      <c r="F93" t="s">
        <v>55</v>
      </c>
      <c r="H93">
        <v>374</v>
      </c>
      <c r="I93">
        <v>7</v>
      </c>
      <c r="J93">
        <v>1</v>
      </c>
      <c r="K93" t="s">
        <v>895</v>
      </c>
      <c r="L93" t="s">
        <v>57</v>
      </c>
      <c r="M93" t="s">
        <v>39</v>
      </c>
      <c r="N93">
        <v>0.93640000000000001</v>
      </c>
      <c r="O93" s="1">
        <v>1</v>
      </c>
      <c r="P93" t="s">
        <v>896</v>
      </c>
      <c r="Q93" t="s">
        <v>897</v>
      </c>
      <c r="S93" t="s">
        <v>166</v>
      </c>
      <c r="T93" t="s">
        <v>838</v>
      </c>
      <c r="U93" t="s">
        <v>898</v>
      </c>
      <c r="V93">
        <v>3</v>
      </c>
      <c r="W93" t="s">
        <v>898</v>
      </c>
      <c r="X93" t="s">
        <v>899</v>
      </c>
      <c r="AE93" t="s">
        <v>74</v>
      </c>
      <c r="AF93" t="s">
        <v>900</v>
      </c>
      <c r="AG93" t="s">
        <v>901</v>
      </c>
      <c r="AH93" t="str">
        <f>HYPERLINK("http://compartments.jensenlab.org/Entity?figures=subcell_cell_%&amp;knowledge=10&amp;textmining=10&amp;experiments=10&amp;predictions=10&amp;type1=9606&amp;type2=-22&amp;id1=ENSP00000296641","link")</f>
        <v>link</v>
      </c>
      <c r="AI93" t="s">
        <v>65</v>
      </c>
      <c r="AJ93" t="s">
        <v>902</v>
      </c>
      <c r="AK93" t="str">
        <f>HYPERLINK("http://www.proteinatlas.org/O00254","no")</f>
        <v>no</v>
      </c>
      <c r="AM93">
        <v>2151</v>
      </c>
    </row>
    <row r="94" spans="1:39" x14ac:dyDescent="0.35">
      <c r="A94" t="s">
        <v>903</v>
      </c>
      <c r="B94" t="str">
        <f>HYPERLINK("http://www.uniprot.org/uniprot/O00270","O00270")</f>
        <v>O00270</v>
      </c>
      <c r="C94" t="s">
        <v>904</v>
      </c>
      <c r="D94" t="s">
        <v>905</v>
      </c>
      <c r="E94" t="s">
        <v>39</v>
      </c>
      <c r="F94" t="s">
        <v>40</v>
      </c>
      <c r="H94">
        <v>319</v>
      </c>
      <c r="I94">
        <v>7</v>
      </c>
      <c r="J94">
        <v>0</v>
      </c>
      <c r="K94" t="s">
        <v>906</v>
      </c>
      <c r="L94" t="s">
        <v>57</v>
      </c>
      <c r="N94">
        <v>0.92020000000000002</v>
      </c>
      <c r="O94" s="1">
        <v>1</v>
      </c>
      <c r="P94" t="s">
        <v>907</v>
      </c>
      <c r="Q94" t="s">
        <v>908</v>
      </c>
      <c r="S94" t="s">
        <v>166</v>
      </c>
      <c r="T94" t="s">
        <v>838</v>
      </c>
      <c r="U94" t="s">
        <v>909</v>
      </c>
      <c r="V94">
        <v>2</v>
      </c>
      <c r="W94">
        <v>158</v>
      </c>
      <c r="AE94" t="s">
        <v>74</v>
      </c>
      <c r="AF94" t="s">
        <v>910</v>
      </c>
      <c r="AG94" t="s">
        <v>911</v>
      </c>
      <c r="AH94" t="str">
        <f>HYPERLINK("http://compartments.jensenlab.org/Entity?figures=subcell_cell_%&amp;knowledge=10&amp;textmining=10&amp;experiments=10&amp;predictions=10&amp;type1=9606&amp;type2=-22&amp;id1=ENSP00000355799","link")</f>
        <v>link</v>
      </c>
      <c r="AI94" t="s">
        <v>65</v>
      </c>
      <c r="AJ94" t="s">
        <v>51</v>
      </c>
      <c r="AK94" t="str">
        <f>HYPERLINK("http://www.proteinatlas.org/O00270","HPA014014;HPA027108")</f>
        <v>HPA014014;HPA027108</v>
      </c>
      <c r="AM94">
        <v>2853</v>
      </c>
    </row>
    <row r="95" spans="1:39" x14ac:dyDescent="0.35">
      <c r="A95" t="s">
        <v>912</v>
      </c>
      <c r="B95" t="str">
        <f>HYPERLINK("http://www.uniprot.org/uniprot/O00322","O00322")</f>
        <v>O00322</v>
      </c>
      <c r="C95" t="s">
        <v>913</v>
      </c>
      <c r="D95" t="s">
        <v>914</v>
      </c>
      <c r="E95" t="s">
        <v>39</v>
      </c>
      <c r="F95" t="s">
        <v>40</v>
      </c>
      <c r="H95">
        <v>258</v>
      </c>
      <c r="I95">
        <v>4</v>
      </c>
      <c r="J95">
        <v>0</v>
      </c>
      <c r="K95" t="s">
        <v>915</v>
      </c>
      <c r="L95" t="s">
        <v>57</v>
      </c>
      <c r="N95">
        <v>0.64470000000000005</v>
      </c>
      <c r="O95" s="1">
        <v>2</v>
      </c>
      <c r="P95" t="s">
        <v>916</v>
      </c>
      <c r="Q95" t="s">
        <v>917</v>
      </c>
      <c r="S95" t="s">
        <v>91</v>
      </c>
      <c r="T95" t="s">
        <v>135</v>
      </c>
      <c r="U95">
        <v>170</v>
      </c>
      <c r="V95">
        <v>1</v>
      </c>
      <c r="AE95" t="s">
        <v>48</v>
      </c>
      <c r="AF95" t="s">
        <v>918</v>
      </c>
      <c r="AG95" t="s">
        <v>919</v>
      </c>
      <c r="AH95" t="str">
        <f>HYPERLINK("http://compartments.jensenlab.org/Entity?figures=subcell_cell_%&amp;knowledge=10&amp;textmining=10&amp;experiments=10&amp;predictions=10&amp;type1=9606&amp;type2=-22&amp;id1=ENSP00000222275","link")</f>
        <v>link</v>
      </c>
      <c r="AJ95" t="s">
        <v>345</v>
      </c>
      <c r="AK95" t="str">
        <f>HYPERLINK("http://www.proteinatlas.org/O00322","HPA049879")</f>
        <v>HPA049879</v>
      </c>
      <c r="AM95">
        <v>11045</v>
      </c>
    </row>
    <row r="96" spans="1:39" x14ac:dyDescent="0.35">
      <c r="A96" t="s">
        <v>920</v>
      </c>
      <c r="B96" t="str">
        <f>HYPERLINK("http://www.uniprot.org/uniprot/O00337","O00337")</f>
        <v>O00337</v>
      </c>
      <c r="C96" t="s">
        <v>921</v>
      </c>
      <c r="D96" t="s">
        <v>922</v>
      </c>
      <c r="E96" t="s">
        <v>39</v>
      </c>
      <c r="F96" t="s">
        <v>40</v>
      </c>
      <c r="H96">
        <v>649</v>
      </c>
      <c r="I96">
        <v>13</v>
      </c>
      <c r="J96">
        <v>0</v>
      </c>
      <c r="K96" t="s">
        <v>923</v>
      </c>
      <c r="L96" t="s">
        <v>57</v>
      </c>
      <c r="N96">
        <v>0.70860000000000001</v>
      </c>
      <c r="O96" s="1">
        <v>2</v>
      </c>
      <c r="P96" t="s">
        <v>924</v>
      </c>
      <c r="Q96" t="s">
        <v>925</v>
      </c>
      <c r="S96" t="s">
        <v>45</v>
      </c>
      <c r="T96" t="s">
        <v>926</v>
      </c>
      <c r="U96" t="s">
        <v>927</v>
      </c>
      <c r="V96">
        <v>2</v>
      </c>
      <c r="W96" t="s">
        <v>928</v>
      </c>
      <c r="AE96" t="s">
        <v>74</v>
      </c>
      <c r="AF96" t="s">
        <v>929</v>
      </c>
      <c r="AG96" t="s">
        <v>930</v>
      </c>
      <c r="AH96" t="str">
        <f>HYPERLINK("http://compartments.jensenlab.org/Entity?figures=subcell_cell_%&amp;knowledge=10&amp;textmining=10&amp;experiments=10&amp;predictions=10&amp;type1=9606&amp;type2=-22&amp;id1=ENSP00000286749","link")</f>
        <v>link</v>
      </c>
      <c r="AJ96" t="s">
        <v>51</v>
      </c>
      <c r="AK96" t="str">
        <f>HYPERLINK("http://www.proteinatlas.org/O00337","HPA019551")</f>
        <v>HPA019551</v>
      </c>
      <c r="AM96">
        <v>9154</v>
      </c>
    </row>
    <row r="97" spans="1:39" x14ac:dyDescent="0.35">
      <c r="A97" t="s">
        <v>931</v>
      </c>
      <c r="B97" t="str">
        <f>HYPERLINK("http://www.uniprot.org/uniprot/O00341","O00341")</f>
        <v>O00341</v>
      </c>
      <c r="C97" t="s">
        <v>932</v>
      </c>
      <c r="D97" t="s">
        <v>933</v>
      </c>
      <c r="E97" t="s">
        <v>39</v>
      </c>
      <c r="F97" t="s">
        <v>40</v>
      </c>
      <c r="H97">
        <v>560</v>
      </c>
      <c r="I97">
        <v>10</v>
      </c>
      <c r="J97">
        <v>0</v>
      </c>
      <c r="K97" t="s">
        <v>934</v>
      </c>
      <c r="L97" t="s">
        <v>57</v>
      </c>
      <c r="N97">
        <v>0.73450000000000004</v>
      </c>
      <c r="O97" s="1">
        <v>2</v>
      </c>
      <c r="P97" t="s">
        <v>935</v>
      </c>
      <c r="Q97" t="s">
        <v>936</v>
      </c>
      <c r="S97" t="s">
        <v>45</v>
      </c>
      <c r="T97" t="s">
        <v>937</v>
      </c>
      <c r="U97" t="s">
        <v>938</v>
      </c>
      <c r="V97">
        <v>1</v>
      </c>
      <c r="AE97" t="s">
        <v>48</v>
      </c>
      <c r="AF97" t="s">
        <v>939</v>
      </c>
      <c r="AG97" t="s">
        <v>940</v>
      </c>
      <c r="AH97" t="str">
        <f>HYPERLINK("http://compartments.jensenlab.org/Entity?figures=subcell_cell_%&amp;knowledge=10&amp;textmining=10&amp;experiments=10&amp;predictions=10&amp;type1=9606&amp;type2=-22&amp;id1=ENSP00000360549","link")</f>
        <v>link</v>
      </c>
      <c r="AJ97" t="s">
        <v>51</v>
      </c>
      <c r="AK97" t="str">
        <f>HYPERLINK("http://www.proteinatlas.org/O00341","HPA049124")</f>
        <v>HPA049124</v>
      </c>
      <c r="AM97">
        <v>6512</v>
      </c>
    </row>
    <row r="98" spans="1:39" x14ac:dyDescent="0.35">
      <c r="A98" t="s">
        <v>941</v>
      </c>
      <c r="B98" t="str">
        <f>HYPERLINK("http://www.uniprot.org/uniprot/O00391","O00391")</f>
        <v>O00391</v>
      </c>
      <c r="C98" t="s">
        <v>942</v>
      </c>
      <c r="D98" t="s">
        <v>943</v>
      </c>
      <c r="E98" t="s">
        <v>39</v>
      </c>
      <c r="F98" t="s">
        <v>40</v>
      </c>
      <c r="H98">
        <v>747</v>
      </c>
      <c r="I98">
        <v>1</v>
      </c>
      <c r="J98">
        <v>1</v>
      </c>
      <c r="K98" t="s">
        <v>944</v>
      </c>
      <c r="L98" t="s">
        <v>118</v>
      </c>
      <c r="N98">
        <v>0.62480000000000002</v>
      </c>
      <c r="O98" s="1">
        <v>2</v>
      </c>
      <c r="P98" t="s">
        <v>945</v>
      </c>
      <c r="Q98" t="s">
        <v>946</v>
      </c>
      <c r="S98" t="s">
        <v>947</v>
      </c>
      <c r="T98" t="s">
        <v>948</v>
      </c>
      <c r="U98" t="s">
        <v>949</v>
      </c>
      <c r="V98">
        <v>4</v>
      </c>
      <c r="W98" t="s">
        <v>949</v>
      </c>
      <c r="Z98" t="s">
        <v>107</v>
      </c>
      <c r="AA98">
        <v>1</v>
      </c>
      <c r="AB98" t="s">
        <v>950</v>
      </c>
      <c r="AC98">
        <v>575</v>
      </c>
      <c r="AD98" t="s">
        <v>951</v>
      </c>
      <c r="AE98" t="s">
        <v>952</v>
      </c>
      <c r="AF98" t="s">
        <v>953</v>
      </c>
      <c r="AG98" t="s">
        <v>954</v>
      </c>
      <c r="AH98" t="str">
        <f>HYPERLINK("http://compartments.jensenlab.org/Entity?figures=subcell_cell_%&amp;knowledge=10&amp;textmining=10&amp;experiments=10&amp;predictions=10&amp;type1=9606&amp;type2=-22&amp;id1=ENSP00000356574","link")</f>
        <v>link</v>
      </c>
      <c r="AI98" t="s">
        <v>955</v>
      </c>
      <c r="AJ98" t="s">
        <v>956</v>
      </c>
      <c r="AK98" t="str">
        <f>HYPERLINK("http://www.proteinatlas.org/O00391","HPA042127;HPA056243")</f>
        <v>HPA042127;HPA056243</v>
      </c>
      <c r="AM98">
        <v>5768</v>
      </c>
    </row>
    <row r="99" spans="1:39" x14ac:dyDescent="0.35">
      <c r="A99" t="s">
        <v>957</v>
      </c>
      <c r="B99" t="str">
        <f>HYPERLINK("http://www.uniprot.org/uniprot/O00398","O00398")</f>
        <v>O00398</v>
      </c>
      <c r="C99" t="s">
        <v>958</v>
      </c>
      <c r="D99" t="s">
        <v>959</v>
      </c>
      <c r="E99" t="s">
        <v>39</v>
      </c>
      <c r="F99" t="s">
        <v>55</v>
      </c>
      <c r="H99">
        <v>339</v>
      </c>
      <c r="I99">
        <v>7</v>
      </c>
      <c r="J99">
        <v>0</v>
      </c>
      <c r="K99" t="s">
        <v>960</v>
      </c>
      <c r="L99" t="s">
        <v>101</v>
      </c>
      <c r="M99" t="s">
        <v>39</v>
      </c>
      <c r="N99">
        <v>0.91800000000000004</v>
      </c>
      <c r="O99" s="1">
        <v>1</v>
      </c>
      <c r="P99" t="s">
        <v>961</v>
      </c>
      <c r="Q99" t="s">
        <v>962</v>
      </c>
      <c r="S99" t="s">
        <v>166</v>
      </c>
      <c r="T99" t="s">
        <v>838</v>
      </c>
      <c r="U99" t="s">
        <v>963</v>
      </c>
      <c r="V99">
        <v>3</v>
      </c>
      <c r="Y99">
        <v>216</v>
      </c>
      <c r="Z99" t="s">
        <v>107</v>
      </c>
      <c r="AA99">
        <v>1</v>
      </c>
      <c r="AB99" t="s">
        <v>964</v>
      </c>
      <c r="AC99" t="s">
        <v>965</v>
      </c>
      <c r="AD99" t="s">
        <v>966</v>
      </c>
      <c r="AE99" t="s">
        <v>74</v>
      </c>
      <c r="AF99" t="s">
        <v>967</v>
      </c>
      <c r="AG99" t="s">
        <v>968</v>
      </c>
      <c r="AH99" t="str">
        <f>HYPERLINK("http://compartments.jensenlab.org/Entity?figures=subcell_cell_%&amp;knowledge=10&amp;textmining=10&amp;experiments=10&amp;predictions=10&amp;type1=9606&amp;type2=-22&amp;id1=ENSP00000171757","link")</f>
        <v>link</v>
      </c>
      <c r="AI99" t="s">
        <v>65</v>
      </c>
      <c r="AJ99" t="s">
        <v>51</v>
      </c>
      <c r="AK99" t="str">
        <f>HYPERLINK("http://www.proteinatlas.org/O00398","HPA036757")</f>
        <v>HPA036757</v>
      </c>
      <c r="AM99">
        <v>27334</v>
      </c>
    </row>
    <row r="100" spans="1:39" x14ac:dyDescent="0.35">
      <c r="A100" t="s">
        <v>969</v>
      </c>
      <c r="B100" t="str">
        <f>HYPERLINK("http://www.uniprot.org/uniprot/O00400","O00400")</f>
        <v>O00400</v>
      </c>
      <c r="C100" t="s">
        <v>970</v>
      </c>
      <c r="D100" t="s">
        <v>971</v>
      </c>
      <c r="E100" t="s">
        <v>39</v>
      </c>
      <c r="F100" t="s">
        <v>40</v>
      </c>
      <c r="H100">
        <v>549</v>
      </c>
      <c r="I100">
        <v>11</v>
      </c>
      <c r="J100">
        <v>0</v>
      </c>
      <c r="K100" t="s">
        <v>972</v>
      </c>
      <c r="L100" t="s">
        <v>57</v>
      </c>
      <c r="N100">
        <v>0.66669999999999996</v>
      </c>
      <c r="O100" s="1">
        <v>2</v>
      </c>
      <c r="P100" t="s">
        <v>973</v>
      </c>
      <c r="Q100" t="s">
        <v>974</v>
      </c>
      <c r="S100" t="s">
        <v>45</v>
      </c>
      <c r="T100" t="s">
        <v>975</v>
      </c>
      <c r="U100" t="s">
        <v>976</v>
      </c>
      <c r="V100">
        <v>1</v>
      </c>
      <c r="AE100" t="s">
        <v>977</v>
      </c>
      <c r="AF100" t="s">
        <v>978</v>
      </c>
      <c r="AG100" t="s">
        <v>979</v>
      </c>
      <c r="AH100" t="str">
        <f>HYPERLINK("http://compartments.jensenlab.org/Entity?figures=subcell_cell_%&amp;knowledge=10&amp;textmining=10&amp;experiments=10&amp;predictions=10&amp;type1=9606&amp;type2=-22&amp;id1=ENSP00000352456","link")</f>
        <v>link</v>
      </c>
      <c r="AI100" t="s">
        <v>980</v>
      </c>
      <c r="AJ100" t="s">
        <v>981</v>
      </c>
      <c r="AK100" t="str">
        <f>HYPERLINK("http://www.proteinatlas.org/O00400","HPA042430")</f>
        <v>HPA042430</v>
      </c>
      <c r="AM100">
        <v>9197</v>
      </c>
    </row>
    <row r="101" spans="1:39" x14ac:dyDescent="0.35">
      <c r="A101" t="s">
        <v>982</v>
      </c>
      <c r="B101" t="str">
        <f>HYPERLINK("http://www.uniprot.org/uniprot/O00421","O00421")</f>
        <v>O00421</v>
      </c>
      <c r="C101" t="s">
        <v>983</v>
      </c>
      <c r="D101" t="s">
        <v>984</v>
      </c>
      <c r="E101" t="s">
        <v>39</v>
      </c>
      <c r="F101" t="s">
        <v>40</v>
      </c>
      <c r="H101">
        <v>344</v>
      </c>
      <c r="I101">
        <v>7</v>
      </c>
      <c r="J101">
        <v>0</v>
      </c>
      <c r="K101" t="s">
        <v>985</v>
      </c>
      <c r="L101" t="s">
        <v>57</v>
      </c>
      <c r="N101">
        <v>0.88219999999999998</v>
      </c>
      <c r="O101" s="1">
        <v>1</v>
      </c>
      <c r="P101" t="s">
        <v>986</v>
      </c>
      <c r="Q101" t="s">
        <v>987</v>
      </c>
      <c r="S101" t="s">
        <v>166</v>
      </c>
      <c r="T101" t="s">
        <v>838</v>
      </c>
      <c r="U101" t="s">
        <v>988</v>
      </c>
      <c r="V101">
        <v>1</v>
      </c>
      <c r="W101">
        <v>3</v>
      </c>
      <c r="X101" t="s">
        <v>989</v>
      </c>
      <c r="AE101" t="s">
        <v>74</v>
      </c>
      <c r="AF101" t="s">
        <v>990</v>
      </c>
      <c r="AG101" t="s">
        <v>991</v>
      </c>
      <c r="AH101" t="str">
        <f>HYPERLINK("http://compartments.jensenlab.org/Entity?figures=subcell_cell_%&amp;knowledge=10&amp;textmining=10&amp;experiments=10&amp;predictions=10&amp;type1=9606&amp;type2=-22&amp;id1=ENSP00000381994","link")</f>
        <v>link</v>
      </c>
      <c r="AK101" t="str">
        <f>HYPERLINK("http://www.proteinatlas.org/O00421","HPA043238")</f>
        <v>HPA043238</v>
      </c>
      <c r="AM101">
        <v>9034</v>
      </c>
    </row>
    <row r="102" spans="1:39" x14ac:dyDescent="0.35">
      <c r="A102" t="s">
        <v>992</v>
      </c>
      <c r="B102" t="str">
        <f>HYPERLINK("http://www.uniprot.org/uniprot/O00451","O00451")</f>
        <v>O00451</v>
      </c>
      <c r="C102" t="s">
        <v>993</v>
      </c>
      <c r="D102" t="s">
        <v>994</v>
      </c>
      <c r="E102" t="s">
        <v>39</v>
      </c>
      <c r="F102" t="s">
        <v>239</v>
      </c>
      <c r="H102">
        <v>464</v>
      </c>
      <c r="I102">
        <v>0</v>
      </c>
      <c r="J102">
        <v>1</v>
      </c>
      <c r="K102" t="s">
        <v>995</v>
      </c>
      <c r="L102" t="s">
        <v>996</v>
      </c>
      <c r="N102">
        <v>0.75049999999999994</v>
      </c>
      <c r="O102" s="1" t="s">
        <v>997</v>
      </c>
      <c r="P102" t="s">
        <v>998</v>
      </c>
      <c r="Q102" t="s">
        <v>999</v>
      </c>
      <c r="U102" t="s">
        <v>1000</v>
      </c>
      <c r="V102">
        <v>4</v>
      </c>
      <c r="W102" t="s">
        <v>1000</v>
      </c>
      <c r="Z102" t="s">
        <v>107</v>
      </c>
      <c r="AA102">
        <v>8</v>
      </c>
      <c r="AB102" t="s">
        <v>1001</v>
      </c>
      <c r="AC102" t="s">
        <v>1002</v>
      </c>
      <c r="AD102" t="s">
        <v>1003</v>
      </c>
      <c r="AE102" t="s">
        <v>243</v>
      </c>
      <c r="AF102" t="s">
        <v>1004</v>
      </c>
      <c r="AG102" t="s">
        <v>1005</v>
      </c>
      <c r="AH102" t="str">
        <f>HYPERLINK("http://compartments.jensenlab.org/Entity?figures=subcell_cell_%&amp;knowledge=10&amp;textmining=10&amp;experiments=10&amp;predictions=10&amp;type1=9606&amp;type2=-22&amp;id1=ENSP00000429445","link")</f>
        <v>link</v>
      </c>
      <c r="AK102" t="str">
        <f>HYPERLINK("http://www.proteinatlas.org/O00451","HPA024704;CAB032791")</f>
        <v>HPA024704;CAB032791</v>
      </c>
      <c r="AM102">
        <v>2675</v>
      </c>
    </row>
    <row r="103" spans="1:39" x14ac:dyDescent="0.35">
      <c r="A103" t="s">
        <v>1006</v>
      </c>
      <c r="B103" t="str">
        <f>HYPERLINK("http://www.uniprot.org/uniprot/O00478","O00478")</f>
        <v>O00478</v>
      </c>
      <c r="C103" t="s">
        <v>1007</v>
      </c>
      <c r="D103" t="s">
        <v>1008</v>
      </c>
      <c r="E103" t="s">
        <v>39</v>
      </c>
      <c r="F103" t="s">
        <v>40</v>
      </c>
      <c r="H103">
        <v>584</v>
      </c>
      <c r="I103">
        <v>1</v>
      </c>
      <c r="J103">
        <v>1</v>
      </c>
      <c r="K103" t="s">
        <v>1009</v>
      </c>
      <c r="L103" t="s">
        <v>57</v>
      </c>
      <c r="N103">
        <v>0.73250000000000004</v>
      </c>
      <c r="O103" s="1">
        <v>2</v>
      </c>
      <c r="P103" t="s">
        <v>1010</v>
      </c>
      <c r="Q103" t="s">
        <v>1011</v>
      </c>
      <c r="S103" t="s">
        <v>91</v>
      </c>
      <c r="T103" t="s">
        <v>1012</v>
      </c>
      <c r="U103" t="s">
        <v>1013</v>
      </c>
      <c r="V103">
        <v>1</v>
      </c>
      <c r="AE103" t="s">
        <v>332</v>
      </c>
      <c r="AF103" t="s">
        <v>1014</v>
      </c>
      <c r="AG103" t="s">
        <v>1015</v>
      </c>
      <c r="AH103" t="str">
        <f>HYPERLINK("http://compartments.jensenlab.org/Entity?figures=subcell_cell_%&amp;knowledge=10&amp;textmining=10&amp;experiments=10&amp;predictions=10&amp;type1=9606&amp;type2=-22&amp;id1=ENSP00000244519","link")</f>
        <v>link</v>
      </c>
      <c r="AJ103" t="s">
        <v>51</v>
      </c>
      <c r="AK103" t="str">
        <f>HYPERLINK("http://www.proteinatlas.org/O00478","HPA007904;HPA011871")</f>
        <v>HPA007904;HPA011871</v>
      </c>
      <c r="AM103">
        <v>10384</v>
      </c>
    </row>
    <row r="104" spans="1:39" x14ac:dyDescent="0.35">
      <c r="A104" t="s">
        <v>1016</v>
      </c>
      <c r="B104" t="str">
        <f>HYPERLINK("http://www.uniprot.org/uniprot/O00481","O00481")</f>
        <v>O00481</v>
      </c>
      <c r="C104" t="s">
        <v>1017</v>
      </c>
      <c r="D104" t="s">
        <v>1018</v>
      </c>
      <c r="E104" t="s">
        <v>39</v>
      </c>
      <c r="F104" t="s">
        <v>40</v>
      </c>
      <c r="H104">
        <v>513</v>
      </c>
      <c r="I104">
        <v>1</v>
      </c>
      <c r="J104">
        <v>1</v>
      </c>
      <c r="K104" t="s">
        <v>1019</v>
      </c>
      <c r="L104" t="s">
        <v>57</v>
      </c>
      <c r="N104">
        <v>0.82240000000000002</v>
      </c>
      <c r="O104" s="1">
        <v>1</v>
      </c>
      <c r="P104" t="s">
        <v>1020</v>
      </c>
      <c r="Q104" t="s">
        <v>1021</v>
      </c>
      <c r="R104" t="s">
        <v>1022</v>
      </c>
      <c r="S104" t="s">
        <v>91</v>
      </c>
      <c r="T104" t="s">
        <v>1012</v>
      </c>
      <c r="U104">
        <v>115</v>
      </c>
      <c r="V104">
        <v>1</v>
      </c>
      <c r="AE104" t="s">
        <v>1023</v>
      </c>
      <c r="AF104" t="s">
        <v>1024</v>
      </c>
      <c r="AG104" t="s">
        <v>1025</v>
      </c>
      <c r="AH104" t="str">
        <f>HYPERLINK("http://compartments.jensenlab.org/Entity?figures=subcell_cell_%&amp;knowledge=10&amp;textmining=10&amp;experiments=10&amp;predictions=10&amp;type1=9606&amp;type2=-22&amp;id1=ENSP00000289361","link")</f>
        <v>link</v>
      </c>
      <c r="AJ104" t="s">
        <v>51</v>
      </c>
      <c r="AK104" t="str">
        <f>HYPERLINK("http://www.proteinatlas.org/O00481","HPA012565")</f>
        <v>HPA012565</v>
      </c>
      <c r="AM104">
        <v>11119</v>
      </c>
    </row>
    <row r="105" spans="1:39" x14ac:dyDescent="0.35">
      <c r="A105" t="s">
        <v>1026</v>
      </c>
      <c r="B105" t="str">
        <f>HYPERLINK("http://www.uniprot.org/uniprot/O00526","O00526")</f>
        <v>O00526</v>
      </c>
      <c r="C105" t="s">
        <v>1027</v>
      </c>
      <c r="D105" t="s">
        <v>1028</v>
      </c>
      <c r="E105" t="s">
        <v>39</v>
      </c>
      <c r="F105" t="s">
        <v>40</v>
      </c>
      <c r="H105">
        <v>184</v>
      </c>
      <c r="I105">
        <v>1</v>
      </c>
      <c r="J105">
        <v>1</v>
      </c>
      <c r="K105" t="s">
        <v>1029</v>
      </c>
      <c r="L105" t="s">
        <v>57</v>
      </c>
      <c r="N105">
        <v>0.78639999999999999</v>
      </c>
      <c r="O105" s="1">
        <v>1</v>
      </c>
      <c r="P105" t="s">
        <v>1030</v>
      </c>
      <c r="Q105" t="s">
        <v>1031</v>
      </c>
      <c r="S105" t="s">
        <v>60</v>
      </c>
      <c r="T105" t="s">
        <v>60</v>
      </c>
      <c r="U105" t="s">
        <v>1032</v>
      </c>
      <c r="V105">
        <v>3</v>
      </c>
      <c r="W105">
        <v>57</v>
      </c>
      <c r="AE105" t="s">
        <v>332</v>
      </c>
      <c r="AF105" t="s">
        <v>1033</v>
      </c>
      <c r="AG105" t="s">
        <v>1034</v>
      </c>
      <c r="AH105" t="str">
        <f>HYPERLINK("http://compartments.jensenlab.org/Entity?figures=subcell_cell_%&amp;knowledge=10&amp;textmining=10&amp;experiments=10&amp;predictions=10&amp;type1=9606&amp;type2=-22&amp;id1=ENSP00000264031","link")</f>
        <v>link</v>
      </c>
      <c r="AI105" t="s">
        <v>65</v>
      </c>
      <c r="AJ105" t="s">
        <v>345</v>
      </c>
      <c r="AK105" t="str">
        <f>HYPERLINK("http://www.proteinatlas.org/O00526","HPA043312;HPA061106")</f>
        <v>HPA043312;HPA061106</v>
      </c>
      <c r="AM105">
        <v>7379</v>
      </c>
    </row>
    <row r="106" spans="1:39" x14ac:dyDescent="0.35">
      <c r="A106" t="s">
        <v>1035</v>
      </c>
      <c r="B106" t="str">
        <f>HYPERLINK("http://www.uniprot.org/uniprot/O00533","O00533")</f>
        <v>O00533</v>
      </c>
      <c r="C106" t="s">
        <v>1036</v>
      </c>
      <c r="D106" t="s">
        <v>1037</v>
      </c>
      <c r="E106" t="s">
        <v>39</v>
      </c>
      <c r="F106" t="s">
        <v>55</v>
      </c>
      <c r="H106">
        <v>1208</v>
      </c>
      <c r="I106">
        <v>1</v>
      </c>
      <c r="J106">
        <v>1</v>
      </c>
      <c r="K106" t="s">
        <v>1038</v>
      </c>
      <c r="L106" t="s">
        <v>101</v>
      </c>
      <c r="M106" t="s">
        <v>39</v>
      </c>
      <c r="N106">
        <v>0.9647</v>
      </c>
      <c r="O106" s="1">
        <v>1</v>
      </c>
      <c r="P106" t="s">
        <v>1039</v>
      </c>
      <c r="Q106" t="s">
        <v>1040</v>
      </c>
      <c r="S106" t="s">
        <v>91</v>
      </c>
      <c r="T106" t="s">
        <v>555</v>
      </c>
      <c r="U106" t="s">
        <v>1041</v>
      </c>
      <c r="V106">
        <v>21</v>
      </c>
      <c r="Z106" t="s">
        <v>107</v>
      </c>
      <c r="AA106">
        <v>10</v>
      </c>
      <c r="AB106" t="s">
        <v>1042</v>
      </c>
      <c r="AC106" t="s">
        <v>1043</v>
      </c>
      <c r="AD106" t="s">
        <v>1044</v>
      </c>
      <c r="AE106" t="s">
        <v>1045</v>
      </c>
      <c r="AF106" t="s">
        <v>1046</v>
      </c>
      <c r="AG106" t="s">
        <v>1047</v>
      </c>
      <c r="AH106" t="str">
        <f>HYPERLINK("http://compartments.jensenlab.org/Entity?figures=subcell_cell_%&amp;knowledge=10&amp;textmining=10&amp;experiments=10&amp;predictions=10&amp;type1=9606&amp;type2=-22&amp;id1=ENSP00000380628","link")</f>
        <v>link</v>
      </c>
      <c r="AK106" t="str">
        <f>HYPERLINK("http://www.proteinatlas.org/O00533","HPA003345;CAB026120")</f>
        <v>HPA003345;CAB026120</v>
      </c>
      <c r="AM106">
        <v>10752</v>
      </c>
    </row>
    <row r="107" spans="1:39" x14ac:dyDescent="0.35">
      <c r="A107" t="s">
        <v>1048</v>
      </c>
      <c r="B107" t="str">
        <f>HYPERLINK("http://www.uniprot.org/uniprot/O00548","O00548")</f>
        <v>O00548</v>
      </c>
      <c r="C107" t="s">
        <v>1049</v>
      </c>
      <c r="D107" t="s">
        <v>1050</v>
      </c>
      <c r="E107" t="s">
        <v>39</v>
      </c>
      <c r="F107" t="s">
        <v>40</v>
      </c>
      <c r="H107">
        <v>723</v>
      </c>
      <c r="I107">
        <v>1</v>
      </c>
      <c r="J107">
        <v>1</v>
      </c>
      <c r="K107" t="s">
        <v>1051</v>
      </c>
      <c r="L107" t="s">
        <v>57</v>
      </c>
      <c r="N107">
        <v>0.77049999999999996</v>
      </c>
      <c r="O107" s="1">
        <v>1</v>
      </c>
      <c r="P107" t="s">
        <v>1052</v>
      </c>
      <c r="Q107" t="s">
        <v>1053</v>
      </c>
      <c r="S107" t="s">
        <v>91</v>
      </c>
      <c r="T107" t="s">
        <v>1054</v>
      </c>
      <c r="U107">
        <v>477</v>
      </c>
      <c r="V107">
        <v>1</v>
      </c>
      <c r="W107">
        <v>477</v>
      </c>
      <c r="X107" t="s">
        <v>1055</v>
      </c>
      <c r="AE107" t="s">
        <v>144</v>
      </c>
      <c r="AF107" t="s">
        <v>1056</v>
      </c>
      <c r="AG107" t="s">
        <v>1057</v>
      </c>
      <c r="AH107" t="str">
        <f>HYPERLINK("http://compartments.jensenlab.org/Entity?figures=subcell_cell_%&amp;knowledge=10&amp;textmining=10&amp;experiments=10&amp;predictions=10&amp;type1=9606&amp;type2=-22&amp;id1=ENSP00000355718","link")</f>
        <v>link</v>
      </c>
      <c r="AI107" t="s">
        <v>1058</v>
      </c>
      <c r="AJ107" t="s">
        <v>902</v>
      </c>
      <c r="AK107" t="str">
        <f>HYPERLINK("http://www.proteinatlas.org/O00548","no")</f>
        <v>no</v>
      </c>
      <c r="AM107">
        <v>28514</v>
      </c>
    </row>
    <row r="108" spans="1:39" x14ac:dyDescent="0.35">
      <c r="A108" t="s">
        <v>1059</v>
      </c>
      <c r="B108" t="str">
        <f>HYPERLINK("http://www.uniprot.org/uniprot/O00574","O00574")</f>
        <v>O00574</v>
      </c>
      <c r="C108" t="s">
        <v>1060</v>
      </c>
      <c r="D108" t="s">
        <v>1061</v>
      </c>
      <c r="E108" t="s">
        <v>39</v>
      </c>
      <c r="F108" t="s">
        <v>55</v>
      </c>
      <c r="H108">
        <v>342</v>
      </c>
      <c r="I108">
        <v>7</v>
      </c>
      <c r="J108">
        <v>0</v>
      </c>
      <c r="K108" t="s">
        <v>1062</v>
      </c>
      <c r="L108" t="s">
        <v>57</v>
      </c>
      <c r="M108" t="s">
        <v>39</v>
      </c>
      <c r="N108">
        <v>0.82289999999999996</v>
      </c>
      <c r="O108" s="1">
        <v>1</v>
      </c>
      <c r="P108" t="s">
        <v>1063</v>
      </c>
      <c r="Q108" t="s">
        <v>1064</v>
      </c>
      <c r="R108" t="s">
        <v>1065</v>
      </c>
      <c r="S108" t="s">
        <v>166</v>
      </c>
      <c r="T108" t="s">
        <v>838</v>
      </c>
      <c r="U108">
        <v>16</v>
      </c>
      <c r="V108">
        <v>1</v>
      </c>
      <c r="AE108" t="s">
        <v>74</v>
      </c>
      <c r="AF108" t="s">
        <v>967</v>
      </c>
      <c r="AG108" t="s">
        <v>1066</v>
      </c>
      <c r="AH108" t="str">
        <f>HYPERLINK("http://compartments.jensenlab.org/Entity?figures=subcell_cell_%&amp;knowledge=10&amp;textmining=10&amp;experiments=10&amp;predictions=10&amp;type1=9606&amp;type2=-22&amp;id1=ENSP00000304414","link")</f>
        <v>link</v>
      </c>
      <c r="AI108" t="s">
        <v>65</v>
      </c>
      <c r="AJ108" t="s">
        <v>51</v>
      </c>
      <c r="AK108" t="str">
        <f>HYPERLINK("http://www.proteinatlas.org/O00574","HPA047591")</f>
        <v>HPA047591</v>
      </c>
      <c r="AM108">
        <v>10663</v>
      </c>
    </row>
    <row r="109" spans="1:39" x14ac:dyDescent="0.35">
      <c r="A109" t="s">
        <v>1067</v>
      </c>
      <c r="B109" t="str">
        <f>HYPERLINK("http://www.uniprot.org/uniprot/O00590","O00590")</f>
        <v>O00590</v>
      </c>
      <c r="C109" t="s">
        <v>1068</v>
      </c>
      <c r="D109" t="s">
        <v>1069</v>
      </c>
      <c r="E109" t="s">
        <v>39</v>
      </c>
      <c r="F109" t="s">
        <v>55</v>
      </c>
      <c r="H109">
        <v>384</v>
      </c>
      <c r="I109">
        <v>7</v>
      </c>
      <c r="J109">
        <v>0</v>
      </c>
      <c r="K109" t="s">
        <v>1070</v>
      </c>
      <c r="L109" t="s">
        <v>57</v>
      </c>
      <c r="M109" t="s">
        <v>39</v>
      </c>
      <c r="N109">
        <v>0.94359999999999999</v>
      </c>
      <c r="O109" s="1">
        <v>1</v>
      </c>
      <c r="P109" t="s">
        <v>1071</v>
      </c>
      <c r="Q109" t="s">
        <v>1072</v>
      </c>
      <c r="S109" t="s">
        <v>166</v>
      </c>
      <c r="T109" t="s">
        <v>838</v>
      </c>
      <c r="U109" t="s">
        <v>1073</v>
      </c>
      <c r="V109">
        <v>1</v>
      </c>
      <c r="W109">
        <v>267</v>
      </c>
      <c r="X109">
        <v>346</v>
      </c>
      <c r="AE109" t="s">
        <v>1074</v>
      </c>
      <c r="AF109" t="s">
        <v>1075</v>
      </c>
      <c r="AG109" t="s">
        <v>1076</v>
      </c>
      <c r="AH109" t="str">
        <f>HYPERLINK("http://compartments.jensenlab.org/Entity?figures=subcell_cell_%&amp;knowledge=10&amp;textmining=10&amp;experiments=10&amp;predictions=10&amp;type1=9606&amp;type2=-22&amp;id1=ENSP00000273145","link")</f>
        <v>link</v>
      </c>
      <c r="AI109" t="s">
        <v>65</v>
      </c>
      <c r="AJ109" t="s">
        <v>51</v>
      </c>
      <c r="AK109" t="str">
        <f>HYPERLINK("http://www.proteinatlas.org/O00590","HPA013819")</f>
        <v>HPA013819</v>
      </c>
      <c r="AM109">
        <v>1238</v>
      </c>
    </row>
    <row r="110" spans="1:39" x14ac:dyDescent="0.35">
      <c r="A110" t="s">
        <v>1077</v>
      </c>
      <c r="B110" t="str">
        <f>HYPERLINK("http://www.uniprot.org/uniprot/O00591","O00591")</f>
        <v>O00591</v>
      </c>
      <c r="C110" t="s">
        <v>1078</v>
      </c>
      <c r="D110" t="s">
        <v>1079</v>
      </c>
      <c r="E110" t="s">
        <v>39</v>
      </c>
      <c r="F110" t="s">
        <v>55</v>
      </c>
      <c r="H110">
        <v>440</v>
      </c>
      <c r="I110">
        <v>4</v>
      </c>
      <c r="J110">
        <v>1</v>
      </c>
      <c r="K110" t="s">
        <v>1080</v>
      </c>
      <c r="L110" t="s">
        <v>57</v>
      </c>
      <c r="M110" t="s">
        <v>39</v>
      </c>
      <c r="N110">
        <v>0.71860000000000002</v>
      </c>
      <c r="O110" s="1">
        <v>2</v>
      </c>
      <c r="P110" t="s">
        <v>1081</v>
      </c>
      <c r="Q110" t="s">
        <v>1082</v>
      </c>
      <c r="S110" t="s">
        <v>45</v>
      </c>
      <c r="T110" t="s">
        <v>195</v>
      </c>
      <c r="U110" t="s">
        <v>1083</v>
      </c>
      <c r="V110">
        <v>5</v>
      </c>
      <c r="AE110" t="s">
        <v>619</v>
      </c>
      <c r="AF110" t="s">
        <v>1084</v>
      </c>
      <c r="AG110" t="s">
        <v>1085</v>
      </c>
      <c r="AH110" t="str">
        <f>HYPERLINK("http://compartments.jensenlab.org/Entity?figures=subcell_cell_%&amp;knowledge=10&amp;textmining=10&amp;experiments=10&amp;predictions=10&amp;type1=9606&amp;type2=-22&amp;id1=ENSP00000265294","link")</f>
        <v>link</v>
      </c>
      <c r="AI110" t="s">
        <v>65</v>
      </c>
      <c r="AJ110" t="s">
        <v>51</v>
      </c>
      <c r="AK110" t="str">
        <f>HYPERLINK("http://www.proteinatlas.org/O00591","CAB014883")</f>
        <v>CAB014883</v>
      </c>
      <c r="AL110" t="s">
        <v>1086</v>
      </c>
      <c r="AM110">
        <v>2568</v>
      </c>
    </row>
    <row r="111" spans="1:39" x14ac:dyDescent="0.35">
      <c r="A111" t="s">
        <v>1087</v>
      </c>
      <c r="B111" t="str">
        <f>HYPERLINK("http://www.uniprot.org/uniprot/O00592","O00592")</f>
        <v>O00592</v>
      </c>
      <c r="C111" t="s">
        <v>1088</v>
      </c>
      <c r="D111" t="s">
        <v>1089</v>
      </c>
      <c r="E111" t="s">
        <v>39</v>
      </c>
      <c r="F111" t="s">
        <v>55</v>
      </c>
      <c r="H111">
        <v>558</v>
      </c>
      <c r="I111">
        <v>1</v>
      </c>
      <c r="J111">
        <v>1</v>
      </c>
      <c r="K111" t="s">
        <v>1090</v>
      </c>
      <c r="L111" t="s">
        <v>101</v>
      </c>
      <c r="M111" t="s">
        <v>39</v>
      </c>
      <c r="N111">
        <v>0.93959999999999999</v>
      </c>
      <c r="O111" s="1">
        <v>1</v>
      </c>
      <c r="P111" t="s">
        <v>1091</v>
      </c>
      <c r="Q111" t="s">
        <v>1092</v>
      </c>
      <c r="S111" t="s">
        <v>60</v>
      </c>
      <c r="T111" t="s">
        <v>60</v>
      </c>
      <c r="U111" t="s">
        <v>1093</v>
      </c>
      <c r="V111">
        <v>5</v>
      </c>
      <c r="W111" t="s">
        <v>1094</v>
      </c>
      <c r="X111" t="s">
        <v>1095</v>
      </c>
      <c r="Z111" t="s">
        <v>107</v>
      </c>
      <c r="AA111">
        <v>2</v>
      </c>
      <c r="AB111" t="s">
        <v>1096</v>
      </c>
      <c r="AC111">
        <v>360</v>
      </c>
      <c r="AD111" t="s">
        <v>1097</v>
      </c>
      <c r="AE111" t="s">
        <v>1098</v>
      </c>
      <c r="AF111" t="s">
        <v>1099</v>
      </c>
      <c r="AG111" t="s">
        <v>1100</v>
      </c>
      <c r="AH111" t="str">
        <f>HYPERLINK("http://compartments.jensenlab.org/Entity?figures=subcell_cell_%&amp;knowledge=10&amp;textmining=10&amp;experiments=10&amp;predictions=10&amp;type1=9606&amp;type2=-22&amp;id1=ENSP00000367817","link")</f>
        <v>link</v>
      </c>
      <c r="AI111" t="s">
        <v>65</v>
      </c>
      <c r="AJ111" t="s">
        <v>1101</v>
      </c>
      <c r="AK111" t="str">
        <f>HYPERLINK("http://www.proteinatlas.org/O00592","HPA002110;CAB016169;HPA045507;CAB062558;CAB068219;CAB068220")</f>
        <v>HPA002110;CAB016169;HPA045507;CAB062558;CAB068219;CAB068220</v>
      </c>
      <c r="AM111">
        <v>5420</v>
      </c>
    </row>
    <row r="112" spans="1:39" x14ac:dyDescent="0.35">
      <c r="A112" t="s">
        <v>1102</v>
      </c>
      <c r="B112" t="str">
        <f>HYPERLINK("http://www.uniprot.org/uniprot/O14493","O14493")</f>
        <v>O14493</v>
      </c>
      <c r="C112" t="s">
        <v>1103</v>
      </c>
      <c r="D112" t="s">
        <v>1104</v>
      </c>
      <c r="E112" t="s">
        <v>39</v>
      </c>
      <c r="F112" t="s">
        <v>40</v>
      </c>
      <c r="H112">
        <v>209</v>
      </c>
      <c r="I112">
        <v>4</v>
      </c>
      <c r="J112">
        <v>0</v>
      </c>
      <c r="K112" t="s">
        <v>1105</v>
      </c>
      <c r="L112" t="s">
        <v>57</v>
      </c>
      <c r="N112">
        <v>0.65469999999999995</v>
      </c>
      <c r="O112" s="1">
        <v>2</v>
      </c>
      <c r="P112" t="s">
        <v>1106</v>
      </c>
      <c r="Q112" t="s">
        <v>1107</v>
      </c>
      <c r="S112" t="s">
        <v>91</v>
      </c>
      <c r="T112" t="s">
        <v>537</v>
      </c>
      <c r="V112">
        <v>0</v>
      </c>
      <c r="Y112" t="s">
        <v>1108</v>
      </c>
      <c r="AE112" t="s">
        <v>539</v>
      </c>
      <c r="AF112" t="s">
        <v>1109</v>
      </c>
      <c r="AG112" t="s">
        <v>1110</v>
      </c>
      <c r="AH112" t="str">
        <f>HYPERLINK("http://compartments.jensenlab.org/Entity?figures=subcell_cell_%&amp;knowledge=10&amp;textmining=10&amp;experiments=10&amp;predictions=10&amp;type1=9606&amp;type2=-22&amp;id1=ENSP00000342445","link")</f>
        <v>link</v>
      </c>
      <c r="AI112" t="s">
        <v>65</v>
      </c>
      <c r="AJ112" t="s">
        <v>51</v>
      </c>
      <c r="AK112" t="str">
        <f>HYPERLINK("http://www.proteinatlas.org/O14493","CAB002610;HPA007322")</f>
        <v>CAB002610;HPA007322</v>
      </c>
      <c r="AM112">
        <v>1364</v>
      </c>
    </row>
    <row r="113" spans="1:39" x14ac:dyDescent="0.35">
      <c r="A113" t="s">
        <v>1111</v>
      </c>
      <c r="B113" t="str">
        <f>HYPERLINK("http://www.uniprot.org/uniprot/O14494","O14494")</f>
        <v>O14494</v>
      </c>
      <c r="C113" t="s">
        <v>1112</v>
      </c>
      <c r="D113" t="s">
        <v>1113</v>
      </c>
      <c r="E113" t="s">
        <v>39</v>
      </c>
      <c r="F113" t="s">
        <v>55</v>
      </c>
      <c r="H113">
        <v>284</v>
      </c>
      <c r="I113">
        <v>6</v>
      </c>
      <c r="J113">
        <v>0</v>
      </c>
      <c r="K113" t="s">
        <v>1114</v>
      </c>
      <c r="L113" t="s">
        <v>101</v>
      </c>
      <c r="M113" t="s">
        <v>39</v>
      </c>
      <c r="N113">
        <v>0.51300000000000001</v>
      </c>
      <c r="O113" s="1">
        <v>3</v>
      </c>
      <c r="P113" t="s">
        <v>1115</v>
      </c>
      <c r="Q113" t="s">
        <v>1116</v>
      </c>
      <c r="S113" t="s">
        <v>947</v>
      </c>
      <c r="T113" t="s">
        <v>1117</v>
      </c>
      <c r="U113">
        <v>142</v>
      </c>
      <c r="V113">
        <v>1</v>
      </c>
      <c r="X113">
        <v>273</v>
      </c>
      <c r="Z113" t="s">
        <v>107</v>
      </c>
      <c r="AA113">
        <v>1</v>
      </c>
      <c r="AB113" t="s">
        <v>1118</v>
      </c>
      <c r="AC113">
        <v>142</v>
      </c>
      <c r="AD113" t="s">
        <v>1119</v>
      </c>
      <c r="AE113" t="s">
        <v>74</v>
      </c>
      <c r="AF113" t="s">
        <v>1120</v>
      </c>
      <c r="AG113" t="s">
        <v>1121</v>
      </c>
      <c r="AH113" t="str">
        <f>HYPERLINK("http://compartments.jensenlab.org/Entity?figures=subcell_cell_%&amp;knowledge=10&amp;textmining=10&amp;experiments=10&amp;predictions=10&amp;type1=9606&amp;type2=-22&amp;id1=ENSP00000302229","link")</f>
        <v>link</v>
      </c>
      <c r="AK113" t="str">
        <f>HYPERLINK("http://www.proteinatlas.org/O14494","HPA047815")</f>
        <v>HPA047815</v>
      </c>
      <c r="AM113">
        <v>8611</v>
      </c>
    </row>
    <row r="114" spans="1:39" x14ac:dyDescent="0.35">
      <c r="A114" t="s">
        <v>1122</v>
      </c>
      <c r="B114" t="str">
        <f>HYPERLINK("http://www.uniprot.org/uniprot/O14495","O14495")</f>
        <v>O14495</v>
      </c>
      <c r="C114" t="s">
        <v>1123</v>
      </c>
      <c r="D114" t="s">
        <v>1124</v>
      </c>
      <c r="E114" t="s">
        <v>39</v>
      </c>
      <c r="F114" t="s">
        <v>55</v>
      </c>
      <c r="H114">
        <v>311</v>
      </c>
      <c r="I114">
        <v>6</v>
      </c>
      <c r="J114">
        <v>0</v>
      </c>
      <c r="K114" t="s">
        <v>1125</v>
      </c>
      <c r="L114" t="s">
        <v>101</v>
      </c>
      <c r="M114" t="s">
        <v>39</v>
      </c>
      <c r="N114">
        <v>0.68559999999999999</v>
      </c>
      <c r="O114" s="1">
        <v>2</v>
      </c>
      <c r="P114" t="s">
        <v>1126</v>
      </c>
      <c r="Q114" t="s">
        <v>1127</v>
      </c>
      <c r="S114" t="s">
        <v>947</v>
      </c>
      <c r="T114" t="s">
        <v>1117</v>
      </c>
      <c r="U114">
        <v>170</v>
      </c>
      <c r="V114">
        <v>1</v>
      </c>
      <c r="Z114" t="s">
        <v>107</v>
      </c>
      <c r="AA114">
        <v>1</v>
      </c>
      <c r="AB114" t="s">
        <v>1128</v>
      </c>
      <c r="AC114">
        <v>170</v>
      </c>
      <c r="AD114" t="s">
        <v>1129</v>
      </c>
      <c r="AE114" t="s">
        <v>1130</v>
      </c>
      <c r="AF114" t="s">
        <v>1131</v>
      </c>
      <c r="AG114" t="s">
        <v>1132</v>
      </c>
      <c r="AH114" t="str">
        <f>HYPERLINK("http://compartments.jensenlab.org/Entity?figures=subcell_cell_%&amp;knowledge=10&amp;textmining=10&amp;experiments=10&amp;predictions=10&amp;type1=9606&amp;type2=-22&amp;id1=ENSP00000360296","link")</f>
        <v>link</v>
      </c>
      <c r="AK114" t="str">
        <f>HYPERLINK("http://www.proteinatlas.org/O14495","HPA028892")</f>
        <v>HPA028892</v>
      </c>
      <c r="AM114">
        <v>8613</v>
      </c>
    </row>
    <row r="115" spans="1:39" x14ac:dyDescent="0.35">
      <c r="A115" t="s">
        <v>1133</v>
      </c>
      <c r="B115" t="str">
        <f>HYPERLINK("http://www.uniprot.org/uniprot/O14511","O14511")</f>
        <v>O14511</v>
      </c>
      <c r="C115" t="s">
        <v>1134</v>
      </c>
      <c r="D115" t="s">
        <v>1135</v>
      </c>
      <c r="E115" t="s">
        <v>39</v>
      </c>
      <c r="F115" t="s">
        <v>40</v>
      </c>
      <c r="H115">
        <v>850</v>
      </c>
      <c r="I115">
        <v>1</v>
      </c>
      <c r="J115">
        <v>0</v>
      </c>
      <c r="K115" t="s">
        <v>1136</v>
      </c>
      <c r="L115" t="s">
        <v>57</v>
      </c>
      <c r="N115">
        <v>0.77249999999999996</v>
      </c>
      <c r="O115" s="1">
        <v>1</v>
      </c>
      <c r="P115" t="s">
        <v>1137</v>
      </c>
      <c r="Q115" t="s">
        <v>1138</v>
      </c>
      <c r="S115" t="s">
        <v>60</v>
      </c>
      <c r="T115" t="s">
        <v>60</v>
      </c>
      <c r="U115" t="s">
        <v>1139</v>
      </c>
      <c r="V115">
        <v>5</v>
      </c>
      <c r="W115" t="s">
        <v>1139</v>
      </c>
      <c r="X115">
        <v>512</v>
      </c>
      <c r="AE115" t="s">
        <v>1140</v>
      </c>
      <c r="AF115" t="s">
        <v>1141</v>
      </c>
      <c r="AG115" t="s">
        <v>1142</v>
      </c>
      <c r="AH115" t="str">
        <f>HYPERLINK("http://compartments.jensenlab.org/Entity?figures=subcell_cell_%&amp;knowledge=10&amp;textmining=10&amp;experiments=10&amp;predictions=10&amp;type1=9606&amp;type2=-22&amp;id1=ENSP00000354910","link")</f>
        <v>link</v>
      </c>
      <c r="AK115" t="str">
        <f>HYPERLINK("http://www.proteinatlas.org/O14511","HPA038935;HPA047973")</f>
        <v>HPA038935;HPA047973</v>
      </c>
      <c r="AM115">
        <v>9542</v>
      </c>
    </row>
    <row r="116" spans="1:39" x14ac:dyDescent="0.35">
      <c r="A116" t="s">
        <v>1143</v>
      </c>
      <c r="B116" t="str">
        <f>HYPERLINK("http://www.uniprot.org/uniprot/O14514","O14514")</f>
        <v>O14514</v>
      </c>
      <c r="C116" t="s">
        <v>1144</v>
      </c>
      <c r="D116" t="s">
        <v>1145</v>
      </c>
      <c r="E116" t="s">
        <v>39</v>
      </c>
      <c r="F116" t="s">
        <v>40</v>
      </c>
      <c r="H116">
        <v>1584</v>
      </c>
      <c r="I116">
        <v>7</v>
      </c>
      <c r="J116">
        <v>1</v>
      </c>
      <c r="K116" t="s">
        <v>1146</v>
      </c>
      <c r="L116" t="s">
        <v>57</v>
      </c>
      <c r="N116">
        <v>0.99</v>
      </c>
      <c r="O116" s="1">
        <v>1</v>
      </c>
      <c r="P116" t="s">
        <v>1147</v>
      </c>
      <c r="Q116" t="s">
        <v>1148</v>
      </c>
      <c r="S116" t="s">
        <v>166</v>
      </c>
      <c r="T116" t="s">
        <v>1149</v>
      </c>
      <c r="U116" t="s">
        <v>1150</v>
      </c>
      <c r="V116">
        <v>7</v>
      </c>
      <c r="W116" t="s">
        <v>1151</v>
      </c>
      <c r="Y116" t="s">
        <v>1152</v>
      </c>
      <c r="AE116" t="s">
        <v>74</v>
      </c>
      <c r="AF116" t="s">
        <v>1153</v>
      </c>
      <c r="AG116" t="s">
        <v>1154</v>
      </c>
      <c r="AH116" t="str">
        <f>HYPERLINK("http://compartments.jensenlab.org/Entity?figures=subcell_cell_%&amp;knowledge=10&amp;textmining=10&amp;experiments=10&amp;predictions=10&amp;type1=9606&amp;type2=-22&amp;id1=ENSP00000313046","link")</f>
        <v>link</v>
      </c>
      <c r="AI116" t="s">
        <v>65</v>
      </c>
      <c r="AJ116" t="s">
        <v>51</v>
      </c>
      <c r="AK116" t="str">
        <f>HYPERLINK("http://www.proteinatlas.org/O14514","HPA038785")</f>
        <v>HPA038785</v>
      </c>
      <c r="AM116">
        <v>575</v>
      </c>
    </row>
    <row r="117" spans="1:39" x14ac:dyDescent="0.35">
      <c r="A117" t="s">
        <v>1155</v>
      </c>
      <c r="B117" t="str">
        <f>HYPERLINK("http://www.uniprot.org/uniprot/O14522","O14522")</f>
        <v>O14522</v>
      </c>
      <c r="C117" t="s">
        <v>1156</v>
      </c>
      <c r="D117" t="s">
        <v>1157</v>
      </c>
      <c r="E117" t="s">
        <v>39</v>
      </c>
      <c r="F117" t="s">
        <v>40</v>
      </c>
      <c r="H117">
        <v>1441</v>
      </c>
      <c r="I117">
        <v>1</v>
      </c>
      <c r="J117">
        <v>1</v>
      </c>
      <c r="K117" t="s">
        <v>1158</v>
      </c>
      <c r="L117" t="s">
        <v>57</v>
      </c>
      <c r="N117">
        <v>0.94210000000000005</v>
      </c>
      <c r="O117" s="1">
        <v>1</v>
      </c>
      <c r="P117" t="s">
        <v>1159</v>
      </c>
      <c r="Q117" t="s">
        <v>1160</v>
      </c>
      <c r="S117" t="s">
        <v>166</v>
      </c>
      <c r="T117" t="s">
        <v>1161</v>
      </c>
      <c r="U117" t="s">
        <v>1162</v>
      </c>
      <c r="V117">
        <v>10</v>
      </c>
      <c r="W117" t="s">
        <v>1162</v>
      </c>
      <c r="AE117" t="s">
        <v>144</v>
      </c>
      <c r="AF117" t="s">
        <v>1163</v>
      </c>
      <c r="AG117" t="s">
        <v>1164</v>
      </c>
      <c r="AH117" t="str">
        <f>HYPERLINK("http://compartments.jensenlab.org/Entity?figures=subcell_cell_%&amp;knowledge=10&amp;textmining=10&amp;experiments=10&amp;predictions=10&amp;type1=9606&amp;type2=-22&amp;id1=ENSP00000362289","link")</f>
        <v>link</v>
      </c>
      <c r="AK117" t="str">
        <f>HYPERLINK("http://www.proteinatlas.org/O14522","HPA017336;CAB069423")</f>
        <v>HPA017336;CAB069423</v>
      </c>
      <c r="AM117">
        <v>11122</v>
      </c>
    </row>
    <row r="118" spans="1:39" x14ac:dyDescent="0.35">
      <c r="A118" t="s">
        <v>1165</v>
      </c>
      <c r="B118" t="str">
        <f>HYPERLINK("http://www.uniprot.org/uniprot/O14524","O14524")</f>
        <v>O14524</v>
      </c>
      <c r="C118" t="s">
        <v>1166</v>
      </c>
      <c r="D118" t="s">
        <v>1167</v>
      </c>
      <c r="E118" t="s">
        <v>39</v>
      </c>
      <c r="F118" t="s">
        <v>40</v>
      </c>
      <c r="H118">
        <v>444</v>
      </c>
      <c r="I118">
        <v>6</v>
      </c>
      <c r="J118">
        <v>0</v>
      </c>
      <c r="K118" t="s">
        <v>1168</v>
      </c>
      <c r="L118" t="s">
        <v>118</v>
      </c>
      <c r="N118">
        <v>0.60680000000000001</v>
      </c>
      <c r="O118" s="1">
        <v>2</v>
      </c>
      <c r="P118" t="s">
        <v>1169</v>
      </c>
      <c r="Q118" t="s">
        <v>1170</v>
      </c>
      <c r="S118" t="s">
        <v>60</v>
      </c>
      <c r="T118" t="s">
        <v>60</v>
      </c>
      <c r="U118" t="s">
        <v>1171</v>
      </c>
      <c r="V118">
        <v>2</v>
      </c>
      <c r="Z118" t="s">
        <v>123</v>
      </c>
      <c r="AA118">
        <v>1</v>
      </c>
      <c r="AB118" t="s">
        <v>1172</v>
      </c>
      <c r="AC118">
        <v>125</v>
      </c>
      <c r="AD118" t="s">
        <v>1173</v>
      </c>
      <c r="AE118" t="s">
        <v>48</v>
      </c>
      <c r="AF118" t="s">
        <v>1174</v>
      </c>
      <c r="AG118" t="s">
        <v>1175</v>
      </c>
      <c r="AH118" t="str">
        <f>HYPERLINK("http://compartments.jensenlab.org/Entity?figures=subcell_cell_%&amp;knowledge=10&amp;textmining=10&amp;experiments=10&amp;predictions=10&amp;type1=9606&amp;type2=-22&amp;id1=ENSP00000300128","link")</f>
        <v>link</v>
      </c>
      <c r="AJ118" t="s">
        <v>51</v>
      </c>
      <c r="AK118" t="str">
        <f>HYPERLINK("http://www.proteinatlas.org/O14524","HPA014394")</f>
        <v>HPA014394</v>
      </c>
      <c r="AM118">
        <v>23306</v>
      </c>
    </row>
    <row r="119" spans="1:39" x14ac:dyDescent="0.35">
      <c r="A119" t="s">
        <v>1176</v>
      </c>
      <c r="B119" t="str">
        <f>HYPERLINK("http://www.uniprot.org/uniprot/O14525","O14525")</f>
        <v>O14525</v>
      </c>
      <c r="C119" t="s">
        <v>1177</v>
      </c>
      <c r="D119" t="s">
        <v>1178</v>
      </c>
      <c r="E119" t="s">
        <v>39</v>
      </c>
      <c r="F119" t="s">
        <v>40</v>
      </c>
      <c r="H119">
        <v>1302</v>
      </c>
      <c r="I119">
        <v>2</v>
      </c>
      <c r="J119">
        <v>1</v>
      </c>
      <c r="K119" t="s">
        <v>1179</v>
      </c>
      <c r="L119" t="s">
        <v>42</v>
      </c>
      <c r="N119">
        <v>0.91620000000000001</v>
      </c>
      <c r="O119" s="1">
        <v>1</v>
      </c>
      <c r="P119" t="s">
        <v>1180</v>
      </c>
      <c r="S119" t="s">
        <v>60</v>
      </c>
      <c r="T119" t="s">
        <v>60</v>
      </c>
      <c r="U119" t="s">
        <v>1181</v>
      </c>
      <c r="V119">
        <v>6</v>
      </c>
      <c r="Y119" t="s">
        <v>1182</v>
      </c>
      <c r="AE119" t="s">
        <v>48</v>
      </c>
      <c r="AF119" t="s">
        <v>1183</v>
      </c>
      <c r="AG119" t="s">
        <v>1184</v>
      </c>
      <c r="AK119" t="str">
        <f>HYPERLINK("http://www.proteinatlas.org/O14525","no")</f>
        <v>no</v>
      </c>
      <c r="AM119">
        <v>460</v>
      </c>
    </row>
    <row r="120" spans="1:39" x14ac:dyDescent="0.35">
      <c r="A120" t="s">
        <v>1185</v>
      </c>
      <c r="B120" t="str">
        <f>HYPERLINK("http://www.uniprot.org/uniprot/O14581","O14581")</f>
        <v>O14581</v>
      </c>
      <c r="C120" t="s">
        <v>1186</v>
      </c>
      <c r="D120" t="s">
        <v>1187</v>
      </c>
      <c r="E120" t="s">
        <v>39</v>
      </c>
      <c r="F120" t="s">
        <v>55</v>
      </c>
      <c r="H120">
        <v>309</v>
      </c>
      <c r="I120">
        <v>7</v>
      </c>
      <c r="J120">
        <v>0</v>
      </c>
      <c r="K120" t="s">
        <v>1188</v>
      </c>
      <c r="L120" t="s">
        <v>57</v>
      </c>
      <c r="N120">
        <v>0.97799999999999998</v>
      </c>
      <c r="O120" s="1">
        <v>1</v>
      </c>
      <c r="P120" t="s">
        <v>1189</v>
      </c>
      <c r="Q120" t="s">
        <v>1190</v>
      </c>
      <c r="S120" t="s">
        <v>166</v>
      </c>
      <c r="T120" t="s">
        <v>167</v>
      </c>
      <c r="U120" t="s">
        <v>1191</v>
      </c>
      <c r="V120">
        <v>1</v>
      </c>
      <c r="AE120" t="s">
        <v>74</v>
      </c>
      <c r="AF120" t="s">
        <v>169</v>
      </c>
      <c r="AG120" t="s">
        <v>1192</v>
      </c>
      <c r="AH120" t="str">
        <f>HYPERLINK("http://compartments.jensenlab.org/Entity?figures=subcell_cell_%&amp;knowledge=10&amp;textmining=10&amp;experiments=10&amp;predictions=10&amp;type1=9606&amp;type2=-22&amp;id1=ENSP00000328144","link")</f>
        <v>link</v>
      </c>
      <c r="AI120" t="s">
        <v>65</v>
      </c>
      <c r="AJ120" t="s">
        <v>51</v>
      </c>
      <c r="AK120" t="str">
        <f>HYPERLINK("http://www.proteinatlas.org/O14581","no")</f>
        <v>no</v>
      </c>
      <c r="AM120">
        <v>26333</v>
      </c>
    </row>
    <row r="121" spans="1:39" x14ac:dyDescent="0.35">
      <c r="A121" t="s">
        <v>1193</v>
      </c>
      <c r="B121" t="str">
        <f>HYPERLINK("http://www.uniprot.org/uniprot/O14626","O14626")</f>
        <v>O14626</v>
      </c>
      <c r="C121" t="s">
        <v>1194</v>
      </c>
      <c r="D121" t="s">
        <v>1195</v>
      </c>
      <c r="E121" t="s">
        <v>39</v>
      </c>
      <c r="F121" t="s">
        <v>55</v>
      </c>
      <c r="H121">
        <v>319</v>
      </c>
      <c r="I121">
        <v>7</v>
      </c>
      <c r="J121">
        <v>0</v>
      </c>
      <c r="K121" t="s">
        <v>1196</v>
      </c>
      <c r="L121" t="s">
        <v>57</v>
      </c>
      <c r="M121" t="s">
        <v>39</v>
      </c>
      <c r="N121">
        <v>0.87229999999999996</v>
      </c>
      <c r="O121" s="1">
        <v>1</v>
      </c>
      <c r="P121" t="s">
        <v>1197</v>
      </c>
      <c r="Q121" t="s">
        <v>1198</v>
      </c>
      <c r="S121" t="s">
        <v>166</v>
      </c>
      <c r="T121" t="s">
        <v>838</v>
      </c>
      <c r="U121" t="s">
        <v>1199</v>
      </c>
      <c r="V121">
        <v>1</v>
      </c>
      <c r="AE121" t="s">
        <v>74</v>
      </c>
      <c r="AF121" t="s">
        <v>910</v>
      </c>
      <c r="AG121" t="s">
        <v>1200</v>
      </c>
      <c r="AH121" t="str">
        <f>HYPERLINK("http://compartments.jensenlab.org/Entity?figures=subcell_cell_%&amp;knowledge=10&amp;textmining=10&amp;experiments=10&amp;predictions=10&amp;type1=9606&amp;type2=-22&amp;id1=ENSP00000308479","link")</f>
        <v>link</v>
      </c>
      <c r="AI121" t="s">
        <v>65</v>
      </c>
      <c r="AJ121" t="s">
        <v>51</v>
      </c>
      <c r="AK121" t="str">
        <f>HYPERLINK("http://www.proteinatlas.org/O14626","HPA062429")</f>
        <v>HPA062429</v>
      </c>
      <c r="AM121">
        <v>29909</v>
      </c>
    </row>
    <row r="122" spans="1:39" x14ac:dyDescent="0.35">
      <c r="A122" t="s">
        <v>1201</v>
      </c>
      <c r="B122" t="str">
        <f>HYPERLINK("http://www.uniprot.org/uniprot/O14672","O14672")</f>
        <v>O14672</v>
      </c>
      <c r="C122" t="s">
        <v>1202</v>
      </c>
      <c r="D122" t="s">
        <v>1203</v>
      </c>
      <c r="E122" t="s">
        <v>39</v>
      </c>
      <c r="F122" t="s">
        <v>55</v>
      </c>
      <c r="H122">
        <v>748</v>
      </c>
      <c r="I122">
        <v>1</v>
      </c>
      <c r="J122">
        <v>1</v>
      </c>
      <c r="K122" t="s">
        <v>1204</v>
      </c>
      <c r="L122" t="s">
        <v>101</v>
      </c>
      <c r="M122" t="s">
        <v>39</v>
      </c>
      <c r="N122">
        <v>0.79100000000000004</v>
      </c>
      <c r="O122" s="1">
        <v>1</v>
      </c>
      <c r="P122" t="s">
        <v>1205</v>
      </c>
      <c r="Q122" t="s">
        <v>1206</v>
      </c>
      <c r="R122" t="s">
        <v>1207</v>
      </c>
      <c r="S122" t="s">
        <v>947</v>
      </c>
      <c r="T122" t="s">
        <v>1208</v>
      </c>
      <c r="U122" t="s">
        <v>1209</v>
      </c>
      <c r="V122">
        <v>4</v>
      </c>
      <c r="W122" t="s">
        <v>1209</v>
      </c>
      <c r="Z122" t="s">
        <v>107</v>
      </c>
      <c r="AA122">
        <v>13</v>
      </c>
      <c r="AB122" t="s">
        <v>1210</v>
      </c>
      <c r="AC122" t="s">
        <v>1211</v>
      </c>
      <c r="AD122" t="s">
        <v>1212</v>
      </c>
      <c r="AE122" t="s">
        <v>1213</v>
      </c>
      <c r="AF122" t="s">
        <v>1214</v>
      </c>
      <c r="AG122" t="s">
        <v>1215</v>
      </c>
      <c r="AH122" t="str">
        <f>HYPERLINK("http://compartments.jensenlab.org/Entity?figures=subcell_cell_%&amp;knowledge=10&amp;textmining=10&amp;experiments=10&amp;predictions=10&amp;type1=9606&amp;type2=-22&amp;id1=ENSP00000260408","link")</f>
        <v>link</v>
      </c>
      <c r="AI122" t="s">
        <v>1216</v>
      </c>
      <c r="AJ122" t="s">
        <v>1217</v>
      </c>
      <c r="AK122" t="str">
        <f>HYPERLINK("http://www.proteinatlas.org/O14672","CAB001709;HPA050670")</f>
        <v>CAB001709;HPA050670</v>
      </c>
      <c r="AM122">
        <v>102</v>
      </c>
    </row>
    <row r="123" spans="1:39" x14ac:dyDescent="0.35">
      <c r="A123" t="s">
        <v>1218</v>
      </c>
      <c r="B123" t="str">
        <f>HYPERLINK("http://www.uniprot.org/uniprot/O14718","O14718")</f>
        <v>O14718</v>
      </c>
      <c r="C123" t="s">
        <v>1219</v>
      </c>
      <c r="D123" t="s">
        <v>1220</v>
      </c>
      <c r="E123" t="s">
        <v>39</v>
      </c>
      <c r="F123" t="s">
        <v>40</v>
      </c>
      <c r="H123">
        <v>337</v>
      </c>
      <c r="I123">
        <v>7</v>
      </c>
      <c r="J123">
        <v>0</v>
      </c>
      <c r="K123" t="s">
        <v>1221</v>
      </c>
      <c r="L123" t="s">
        <v>57</v>
      </c>
      <c r="N123">
        <v>0.8982</v>
      </c>
      <c r="O123" s="1">
        <v>1</v>
      </c>
      <c r="P123" t="s">
        <v>1222</v>
      </c>
      <c r="Q123" t="s">
        <v>1223</v>
      </c>
      <c r="S123" t="s">
        <v>166</v>
      </c>
      <c r="T123" t="s">
        <v>838</v>
      </c>
      <c r="U123">
        <v>8</v>
      </c>
      <c r="V123">
        <v>1</v>
      </c>
      <c r="AE123" t="s">
        <v>48</v>
      </c>
      <c r="AF123" t="s">
        <v>1224</v>
      </c>
      <c r="AG123" t="s">
        <v>1225</v>
      </c>
      <c r="AH123" t="str">
        <f>HYPERLINK("http://compartments.jensenlab.org/Entity?figures=subcell_cell_%&amp;knowledge=10&amp;textmining=10&amp;experiments=10&amp;predictions=10&amp;type1=9606&amp;type2=-22&amp;id1=ENSP00000314992","link")</f>
        <v>link</v>
      </c>
      <c r="AJ123" t="s">
        <v>51</v>
      </c>
      <c r="AK123" t="str">
        <f>HYPERLINK("http://www.proteinatlas.org/O14718","HPA042374")</f>
        <v>HPA042374</v>
      </c>
      <c r="AM123">
        <v>10692</v>
      </c>
    </row>
    <row r="124" spans="1:39" x14ac:dyDescent="0.35">
      <c r="A124" t="s">
        <v>1226</v>
      </c>
      <c r="B124" t="str">
        <f>HYPERLINK("http://www.uniprot.org/uniprot/O14764","O14764")</f>
        <v>O14764</v>
      </c>
      <c r="C124" t="s">
        <v>1227</v>
      </c>
      <c r="D124" t="s">
        <v>1228</v>
      </c>
      <c r="E124" t="s">
        <v>39</v>
      </c>
      <c r="F124" t="s">
        <v>55</v>
      </c>
      <c r="H124">
        <v>452</v>
      </c>
      <c r="I124">
        <v>4</v>
      </c>
      <c r="J124">
        <v>1</v>
      </c>
      <c r="K124" t="s">
        <v>1229</v>
      </c>
      <c r="L124" t="s">
        <v>57</v>
      </c>
      <c r="M124" t="s">
        <v>39</v>
      </c>
      <c r="N124">
        <v>0.8579</v>
      </c>
      <c r="O124" s="1">
        <v>1</v>
      </c>
      <c r="P124" t="s">
        <v>1230</v>
      </c>
      <c r="Q124" t="s">
        <v>1231</v>
      </c>
      <c r="S124" t="s">
        <v>45</v>
      </c>
      <c r="T124" t="s">
        <v>195</v>
      </c>
      <c r="U124" t="s">
        <v>1232</v>
      </c>
      <c r="V124">
        <v>2</v>
      </c>
      <c r="W124" t="s">
        <v>1232</v>
      </c>
      <c r="AE124" t="s">
        <v>619</v>
      </c>
      <c r="AF124" t="s">
        <v>1233</v>
      </c>
      <c r="AG124" t="s">
        <v>1234</v>
      </c>
      <c r="AH124" t="str">
        <f>HYPERLINK("http://compartments.jensenlab.org/Entity?figures=subcell_cell_%&amp;knowledge=10&amp;textmining=10&amp;experiments=10&amp;predictions=10&amp;type1=9606&amp;type2=-22&amp;id1=ENSP00000367848","link")</f>
        <v>link</v>
      </c>
      <c r="AI124" t="s">
        <v>65</v>
      </c>
      <c r="AJ124" t="s">
        <v>51</v>
      </c>
      <c r="AK124" t="str">
        <f>HYPERLINK("http://www.proteinatlas.org/O14764","HPA044371")</f>
        <v>HPA044371</v>
      </c>
      <c r="AL124" t="s">
        <v>1235</v>
      </c>
      <c r="AM124">
        <v>2563</v>
      </c>
    </row>
    <row r="125" spans="1:39" x14ac:dyDescent="0.35">
      <c r="A125" t="s">
        <v>1236</v>
      </c>
      <c r="B125" t="str">
        <f>HYPERLINK("http://www.uniprot.org/uniprot/O14786","O14786")</f>
        <v>O14786</v>
      </c>
      <c r="C125" t="s">
        <v>1237</v>
      </c>
      <c r="D125" t="s">
        <v>1238</v>
      </c>
      <c r="E125" t="s">
        <v>39</v>
      </c>
      <c r="F125" t="s">
        <v>55</v>
      </c>
      <c r="H125">
        <v>923</v>
      </c>
      <c r="I125">
        <v>1</v>
      </c>
      <c r="J125">
        <v>1</v>
      </c>
      <c r="K125" t="s">
        <v>1239</v>
      </c>
      <c r="L125" t="s">
        <v>101</v>
      </c>
      <c r="M125" t="s">
        <v>39</v>
      </c>
      <c r="N125">
        <v>0.95950000000000002</v>
      </c>
      <c r="O125" s="1">
        <v>1</v>
      </c>
      <c r="P125" t="s">
        <v>1240</v>
      </c>
      <c r="Q125" t="s">
        <v>1241</v>
      </c>
      <c r="R125" t="s">
        <v>1242</v>
      </c>
      <c r="S125" t="s">
        <v>166</v>
      </c>
      <c r="T125" t="s">
        <v>1243</v>
      </c>
      <c r="U125" t="s">
        <v>1244</v>
      </c>
      <c r="V125">
        <v>5</v>
      </c>
      <c r="W125" t="s">
        <v>1245</v>
      </c>
      <c r="X125" t="s">
        <v>1246</v>
      </c>
      <c r="Z125" t="s">
        <v>107</v>
      </c>
      <c r="AA125">
        <v>10</v>
      </c>
      <c r="AB125" t="s">
        <v>1247</v>
      </c>
      <c r="AC125" t="s">
        <v>1248</v>
      </c>
      <c r="AD125" t="s">
        <v>1249</v>
      </c>
      <c r="AE125" t="s">
        <v>1250</v>
      </c>
      <c r="AF125" t="s">
        <v>1251</v>
      </c>
      <c r="AG125" t="s">
        <v>1252</v>
      </c>
      <c r="AH125" t="str">
        <f>HYPERLINK("http://compartments.jensenlab.org/Entity?figures=subcell_cell_%&amp;knowledge=10&amp;textmining=10&amp;experiments=10&amp;predictions=10&amp;type1=9606&amp;type2=-22&amp;id1=ENSP00000265371","link")</f>
        <v>link</v>
      </c>
      <c r="AI125" t="s">
        <v>1058</v>
      </c>
      <c r="AJ125" t="s">
        <v>1253</v>
      </c>
      <c r="AK125" t="str">
        <f>HYPERLINK("http://www.proteinatlas.org/O14786","CAB004511;HPA030278")</f>
        <v>CAB004511;HPA030278</v>
      </c>
      <c r="AL125" t="s">
        <v>1254</v>
      </c>
      <c r="AM125">
        <v>8829</v>
      </c>
    </row>
    <row r="126" spans="1:39" x14ac:dyDescent="0.35">
      <c r="A126" t="s">
        <v>1255</v>
      </c>
      <c r="B126" t="str">
        <f>HYPERLINK("http://www.uniprot.org/uniprot/O14788","O14788")</f>
        <v>O14788</v>
      </c>
      <c r="C126" t="s">
        <v>1256</v>
      </c>
      <c r="D126" t="s">
        <v>1257</v>
      </c>
      <c r="E126" t="s">
        <v>39</v>
      </c>
      <c r="F126" t="s">
        <v>40</v>
      </c>
      <c r="H126">
        <v>317</v>
      </c>
      <c r="I126">
        <v>1</v>
      </c>
      <c r="J126">
        <v>0</v>
      </c>
      <c r="K126" t="s">
        <v>1258</v>
      </c>
      <c r="L126" t="s">
        <v>57</v>
      </c>
      <c r="N126">
        <v>0.69059999999999999</v>
      </c>
      <c r="O126" s="1">
        <v>2</v>
      </c>
      <c r="P126" t="s">
        <v>1259</v>
      </c>
      <c r="Q126" t="s">
        <v>1260</v>
      </c>
      <c r="R126" t="s">
        <v>1261</v>
      </c>
      <c r="S126" t="s">
        <v>60</v>
      </c>
      <c r="T126" t="s">
        <v>60</v>
      </c>
      <c r="U126" t="s">
        <v>1262</v>
      </c>
      <c r="V126">
        <v>2</v>
      </c>
      <c r="W126" t="s">
        <v>1263</v>
      </c>
      <c r="X126" t="s">
        <v>1264</v>
      </c>
      <c r="AE126" t="s">
        <v>1265</v>
      </c>
      <c r="AF126" t="s">
        <v>1266</v>
      </c>
      <c r="AG126" t="s">
        <v>1267</v>
      </c>
      <c r="AH126" t="str">
        <f>HYPERLINK("http://compartments.jensenlab.org/Entity?figures=subcell_cell_%&amp;knowledge=10&amp;textmining=10&amp;experiments=10&amp;predictions=10&amp;type1=9606&amp;type2=-22&amp;id1=ENSP00000381775","link")</f>
        <v>link</v>
      </c>
      <c r="AK126" t="str">
        <f>HYPERLINK("http://www.proteinatlas.org/O14788","CAB009193;HPA045142")</f>
        <v>CAB009193;HPA045142</v>
      </c>
      <c r="AL126" t="s">
        <v>1268</v>
      </c>
      <c r="AM126">
        <v>8600</v>
      </c>
    </row>
    <row r="127" spans="1:39" x14ac:dyDescent="0.35">
      <c r="A127" t="s">
        <v>1269</v>
      </c>
      <c r="B127" t="str">
        <f>HYPERLINK("http://www.uniprot.org/uniprot/O14798","O14798")</f>
        <v>O14798</v>
      </c>
      <c r="C127" t="s">
        <v>1270</v>
      </c>
      <c r="D127" t="s">
        <v>1271</v>
      </c>
      <c r="E127" t="s">
        <v>39</v>
      </c>
      <c r="F127" t="s">
        <v>239</v>
      </c>
      <c r="H127">
        <v>259</v>
      </c>
      <c r="I127">
        <v>0</v>
      </c>
      <c r="J127">
        <v>1</v>
      </c>
      <c r="K127" t="s">
        <v>1272</v>
      </c>
      <c r="L127" t="s">
        <v>57</v>
      </c>
      <c r="N127">
        <v>0.75649999999999995</v>
      </c>
      <c r="O127" s="1" t="s">
        <v>997</v>
      </c>
      <c r="P127" t="s">
        <v>1273</v>
      </c>
      <c r="Q127" t="s">
        <v>1274</v>
      </c>
      <c r="R127" t="s">
        <v>1275</v>
      </c>
      <c r="S127" t="s">
        <v>166</v>
      </c>
      <c r="T127" t="s">
        <v>864</v>
      </c>
      <c r="U127" t="s">
        <v>1276</v>
      </c>
      <c r="V127">
        <v>5</v>
      </c>
      <c r="W127" t="s">
        <v>1276</v>
      </c>
      <c r="AE127" t="s">
        <v>243</v>
      </c>
      <c r="AF127" t="s">
        <v>1277</v>
      </c>
      <c r="AG127" t="s">
        <v>1278</v>
      </c>
      <c r="AH127" t="str">
        <f>HYPERLINK("http://compartments.jensenlab.org/Entity?figures=subcell_cell_%&amp;knowledge=10&amp;textmining=10&amp;experiments=10&amp;predictions=10&amp;type1=9606&amp;type2=-22&amp;id1=ENSP00000349324","link")</f>
        <v>link</v>
      </c>
      <c r="AK127" t="str">
        <f>HYPERLINK("http://www.proteinatlas.org/O14798","CAB025635")</f>
        <v>CAB025635</v>
      </c>
      <c r="AM127">
        <v>8794</v>
      </c>
    </row>
    <row r="128" spans="1:39" x14ac:dyDescent="0.35">
      <c r="A128" t="s">
        <v>1279</v>
      </c>
      <c r="B128" t="str">
        <f>HYPERLINK("http://www.uniprot.org/uniprot/O14804","O14804")</f>
        <v>O14804</v>
      </c>
      <c r="C128" t="s">
        <v>1280</v>
      </c>
      <c r="D128" t="s">
        <v>1281</v>
      </c>
      <c r="E128" t="s">
        <v>39</v>
      </c>
      <c r="F128" t="s">
        <v>55</v>
      </c>
      <c r="H128">
        <v>337</v>
      </c>
      <c r="I128">
        <v>7</v>
      </c>
      <c r="J128">
        <v>0</v>
      </c>
      <c r="K128" t="s">
        <v>1282</v>
      </c>
      <c r="L128" t="s">
        <v>57</v>
      </c>
      <c r="M128" t="s">
        <v>39</v>
      </c>
      <c r="N128">
        <v>0.96150000000000002</v>
      </c>
      <c r="O128" s="1">
        <v>1</v>
      </c>
      <c r="P128" t="s">
        <v>1283</v>
      </c>
      <c r="Q128" t="s">
        <v>1284</v>
      </c>
      <c r="S128" t="s">
        <v>166</v>
      </c>
      <c r="T128" t="s">
        <v>838</v>
      </c>
      <c r="U128">
        <v>21</v>
      </c>
      <c r="V128">
        <v>1</v>
      </c>
      <c r="AE128" t="s">
        <v>74</v>
      </c>
      <c r="AF128" t="s">
        <v>967</v>
      </c>
      <c r="AG128" t="s">
        <v>1285</v>
      </c>
      <c r="AH128" t="str">
        <f>HYPERLINK("http://compartments.jensenlab.org/Entity?figures=subcell_cell_%&amp;knowledge=10&amp;textmining=10&amp;experiments=10&amp;predictions=10&amp;type1=9606&amp;type2=-22&amp;id1=ENSP00000258034","link")</f>
        <v>link</v>
      </c>
      <c r="AI128" t="s">
        <v>65</v>
      </c>
      <c r="AJ128" t="s">
        <v>51</v>
      </c>
      <c r="AK128" t="str">
        <f>HYPERLINK("http://www.proteinatlas.org/O14804","HPA051703")</f>
        <v>HPA051703</v>
      </c>
      <c r="AM128">
        <v>9038</v>
      </c>
    </row>
    <row r="129" spans="1:39" x14ac:dyDescent="0.35">
      <c r="A129" t="s">
        <v>1286</v>
      </c>
      <c r="B129" t="str">
        <f>HYPERLINK("http://www.uniprot.org/uniprot/O14817","O14817")</f>
        <v>O14817</v>
      </c>
      <c r="C129" t="s">
        <v>1287</v>
      </c>
      <c r="D129" t="s">
        <v>1288</v>
      </c>
      <c r="E129" t="s">
        <v>39</v>
      </c>
      <c r="F129" t="s">
        <v>40</v>
      </c>
      <c r="H129">
        <v>238</v>
      </c>
      <c r="I129">
        <v>4</v>
      </c>
      <c r="J129">
        <v>0</v>
      </c>
      <c r="K129" t="s">
        <v>1289</v>
      </c>
      <c r="L129" t="s">
        <v>101</v>
      </c>
      <c r="N129">
        <v>0.84830000000000005</v>
      </c>
      <c r="O129" s="1">
        <v>1</v>
      </c>
      <c r="P129" t="s">
        <v>1290</v>
      </c>
      <c r="Q129" t="s">
        <v>1291</v>
      </c>
      <c r="S129" t="s">
        <v>91</v>
      </c>
      <c r="T129" t="s">
        <v>135</v>
      </c>
      <c r="U129" t="s">
        <v>1292</v>
      </c>
      <c r="V129">
        <v>2</v>
      </c>
      <c r="W129" t="s">
        <v>1292</v>
      </c>
      <c r="Z129" t="s">
        <v>123</v>
      </c>
      <c r="AA129">
        <v>3</v>
      </c>
      <c r="AB129" t="s">
        <v>1293</v>
      </c>
      <c r="AC129" t="s">
        <v>1292</v>
      </c>
      <c r="AD129" t="s">
        <v>1294</v>
      </c>
      <c r="AE129" t="s">
        <v>48</v>
      </c>
      <c r="AF129" t="s">
        <v>83</v>
      </c>
      <c r="AG129" t="s">
        <v>1295</v>
      </c>
      <c r="AH129" t="str">
        <f>HYPERLINK("http://compartments.jensenlab.org/Entity?figures=subcell_cell_%&amp;knowledge=10&amp;textmining=10&amp;experiments=10&amp;predictions=10&amp;type1=9606&amp;type2=-22&amp;id1=ENSP00000380552","link")</f>
        <v>link</v>
      </c>
      <c r="AK129" t="str">
        <f>HYPERLINK("http://www.proteinatlas.org/O14817","HPA016435")</f>
        <v>HPA016435</v>
      </c>
      <c r="AM129">
        <v>7106</v>
      </c>
    </row>
    <row r="130" spans="1:39" x14ac:dyDescent="0.35">
      <c r="A130" t="s">
        <v>1296</v>
      </c>
      <c r="B130" t="str">
        <f>HYPERLINK("http://www.uniprot.org/uniprot/O14836","O14836")</f>
        <v>O14836</v>
      </c>
      <c r="C130" t="s">
        <v>1297</v>
      </c>
      <c r="D130" t="s">
        <v>1298</v>
      </c>
      <c r="E130" t="s">
        <v>39</v>
      </c>
      <c r="F130" t="s">
        <v>40</v>
      </c>
      <c r="H130">
        <v>293</v>
      </c>
      <c r="I130">
        <v>1</v>
      </c>
      <c r="J130">
        <v>0</v>
      </c>
      <c r="K130" t="s">
        <v>1299</v>
      </c>
      <c r="L130" t="s">
        <v>101</v>
      </c>
      <c r="N130">
        <v>0.67469999999999997</v>
      </c>
      <c r="O130" s="1">
        <v>2</v>
      </c>
      <c r="P130" t="s">
        <v>1300</v>
      </c>
      <c r="Q130" t="s">
        <v>1301</v>
      </c>
      <c r="R130" t="s">
        <v>1302</v>
      </c>
      <c r="S130" t="s">
        <v>166</v>
      </c>
      <c r="T130" t="s">
        <v>864</v>
      </c>
      <c r="U130">
        <v>128</v>
      </c>
      <c r="V130">
        <v>1</v>
      </c>
      <c r="W130">
        <v>128</v>
      </c>
      <c r="Z130" t="s">
        <v>123</v>
      </c>
      <c r="AA130">
        <v>1</v>
      </c>
      <c r="AB130" t="s">
        <v>1303</v>
      </c>
      <c r="AC130">
        <v>128</v>
      </c>
      <c r="AD130" t="s">
        <v>1304</v>
      </c>
      <c r="AE130" t="s">
        <v>1305</v>
      </c>
      <c r="AF130" t="s">
        <v>1306</v>
      </c>
      <c r="AG130" t="s">
        <v>1307</v>
      </c>
      <c r="AH130" t="str">
        <f>HYPERLINK("http://compartments.jensenlab.org/Entity?figures=subcell_cell_%&amp;knowledge=10&amp;textmining=10&amp;experiments=10&amp;predictions=10&amp;type1=9606&amp;type2=-22&amp;id1=ENSP00000261652","link")</f>
        <v>link</v>
      </c>
      <c r="AJ130" t="s">
        <v>51</v>
      </c>
      <c r="AK130" t="str">
        <f>HYPERLINK("http://www.proteinatlas.org/O14836","HPA030453")</f>
        <v>HPA030453</v>
      </c>
      <c r="AM130">
        <v>23495</v>
      </c>
    </row>
    <row r="131" spans="1:39" x14ac:dyDescent="0.35">
      <c r="A131" t="s">
        <v>1308</v>
      </c>
      <c r="B131" t="str">
        <f>HYPERLINK("http://www.uniprot.org/uniprot/O14842","O14842")</f>
        <v>O14842</v>
      </c>
      <c r="C131" t="s">
        <v>1309</v>
      </c>
      <c r="D131" t="s">
        <v>1310</v>
      </c>
      <c r="E131" t="s">
        <v>39</v>
      </c>
      <c r="F131" t="s">
        <v>55</v>
      </c>
      <c r="H131">
        <v>300</v>
      </c>
      <c r="I131">
        <v>7</v>
      </c>
      <c r="J131">
        <v>0</v>
      </c>
      <c r="K131" t="s">
        <v>1311</v>
      </c>
      <c r="L131" t="s">
        <v>57</v>
      </c>
      <c r="M131" t="s">
        <v>39</v>
      </c>
      <c r="N131">
        <v>0.78949999999999998</v>
      </c>
      <c r="O131" s="1">
        <v>1</v>
      </c>
      <c r="P131" t="s">
        <v>1312</v>
      </c>
      <c r="Q131" t="s">
        <v>1313</v>
      </c>
      <c r="S131" t="s">
        <v>166</v>
      </c>
      <c r="T131" t="s">
        <v>838</v>
      </c>
      <c r="U131" t="s">
        <v>1314</v>
      </c>
      <c r="V131">
        <v>3</v>
      </c>
      <c r="AE131" t="s">
        <v>74</v>
      </c>
      <c r="AF131" t="s">
        <v>1315</v>
      </c>
      <c r="AG131" t="s">
        <v>1316</v>
      </c>
      <c r="AH131" t="str">
        <f>HYPERLINK("http://compartments.jensenlab.org/Entity?figures=subcell_cell_%&amp;knowledge=10&amp;textmining=10&amp;experiments=10&amp;predictions=10&amp;type1=9606&amp;type2=-22&amp;id1=ENSP00000246553","link")</f>
        <v>link</v>
      </c>
      <c r="AI131" t="s">
        <v>65</v>
      </c>
      <c r="AJ131" t="s">
        <v>51</v>
      </c>
      <c r="AK131" t="str">
        <f>HYPERLINK("http://www.proteinatlas.org/O14842","no")</f>
        <v>no</v>
      </c>
      <c r="AL131" t="s">
        <v>1317</v>
      </c>
      <c r="AM131">
        <v>2864</v>
      </c>
    </row>
    <row r="132" spans="1:39" x14ac:dyDescent="0.35">
      <c r="A132" t="s">
        <v>1318</v>
      </c>
      <c r="B132" t="str">
        <f>HYPERLINK("http://www.uniprot.org/uniprot/O14843","O14843")</f>
        <v>O14843</v>
      </c>
      <c r="C132" t="s">
        <v>1319</v>
      </c>
      <c r="D132" t="s">
        <v>1320</v>
      </c>
      <c r="E132" t="s">
        <v>39</v>
      </c>
      <c r="F132" t="s">
        <v>55</v>
      </c>
      <c r="H132">
        <v>346</v>
      </c>
      <c r="I132">
        <v>7</v>
      </c>
      <c r="J132">
        <v>0</v>
      </c>
      <c r="K132" t="s">
        <v>1321</v>
      </c>
      <c r="L132" t="s">
        <v>57</v>
      </c>
      <c r="M132" t="s">
        <v>39</v>
      </c>
      <c r="N132">
        <v>0.94179999999999997</v>
      </c>
      <c r="O132" s="1">
        <v>1</v>
      </c>
      <c r="P132" t="s">
        <v>1322</v>
      </c>
      <c r="Q132" t="s">
        <v>1323</v>
      </c>
      <c r="S132" t="s">
        <v>166</v>
      </c>
      <c r="T132" t="s">
        <v>838</v>
      </c>
      <c r="U132" t="s">
        <v>1324</v>
      </c>
      <c r="V132">
        <v>1</v>
      </c>
      <c r="W132" t="s">
        <v>1325</v>
      </c>
      <c r="Y132">
        <v>298</v>
      </c>
      <c r="AE132" t="s">
        <v>74</v>
      </c>
      <c r="AF132" t="s">
        <v>1326</v>
      </c>
      <c r="AG132" t="s">
        <v>1327</v>
      </c>
      <c r="AH132" t="str">
        <f>HYPERLINK("http://compartments.jensenlab.org/Entity?figures=subcell_cell_%&amp;knowledge=10&amp;textmining=10&amp;experiments=10&amp;predictions=10&amp;type1=9606&amp;type2=-22&amp;id1=ENSP00000328230","link")</f>
        <v>link</v>
      </c>
      <c r="AI132" t="s">
        <v>65</v>
      </c>
      <c r="AJ132" t="s">
        <v>51</v>
      </c>
      <c r="AK132" t="str">
        <f>HYPERLINK("http://www.proteinatlas.org/O14843","HPA044681")</f>
        <v>HPA044681</v>
      </c>
      <c r="AM132">
        <v>2865</v>
      </c>
    </row>
    <row r="133" spans="1:39" x14ac:dyDescent="0.35">
      <c r="A133" t="s">
        <v>1328</v>
      </c>
      <c r="B133" t="str">
        <f>HYPERLINK("http://www.uniprot.org/uniprot/O14894","O14894")</f>
        <v>O14894</v>
      </c>
      <c r="C133" t="s">
        <v>1329</v>
      </c>
      <c r="D133" t="s">
        <v>1330</v>
      </c>
      <c r="E133" t="s">
        <v>39</v>
      </c>
      <c r="F133" t="s">
        <v>40</v>
      </c>
      <c r="H133">
        <v>197</v>
      </c>
      <c r="I133">
        <v>4</v>
      </c>
      <c r="J133">
        <v>0</v>
      </c>
      <c r="K133" t="s">
        <v>1331</v>
      </c>
      <c r="L133" t="s">
        <v>57</v>
      </c>
      <c r="N133">
        <v>0.77839999999999998</v>
      </c>
      <c r="O133" s="1">
        <v>1</v>
      </c>
      <c r="P133" t="s">
        <v>1332</v>
      </c>
      <c r="Q133" t="s">
        <v>1333</v>
      </c>
      <c r="S133" t="s">
        <v>91</v>
      </c>
      <c r="T133" t="s">
        <v>1334</v>
      </c>
      <c r="U133" t="s">
        <v>1335</v>
      </c>
      <c r="V133">
        <v>2</v>
      </c>
      <c r="W133" t="s">
        <v>1335</v>
      </c>
      <c r="AE133" t="s">
        <v>48</v>
      </c>
      <c r="AF133" t="s">
        <v>95</v>
      </c>
      <c r="AG133" t="s">
        <v>1336</v>
      </c>
      <c r="AH133" t="str">
        <f>HYPERLINK("http://compartments.jensenlab.org/Entity?figures=subcell_cell_%&amp;knowledge=10&amp;textmining=10&amp;experiments=10&amp;predictions=10&amp;type1=9606&amp;type2=-22&amp;id1=ENSP00000270560","link")</f>
        <v>link</v>
      </c>
      <c r="AJ133" t="s">
        <v>51</v>
      </c>
      <c r="AK133" t="str">
        <f>HYPERLINK("http://www.proteinatlas.org/O14894","HPA041259")</f>
        <v>HPA041259</v>
      </c>
      <c r="AM133">
        <v>9032</v>
      </c>
    </row>
    <row r="134" spans="1:39" x14ac:dyDescent="0.35">
      <c r="A134" t="s">
        <v>1337</v>
      </c>
      <c r="B134" t="str">
        <f>HYPERLINK("http://www.uniprot.org/uniprot/O14917","O14917")</f>
        <v>O14917</v>
      </c>
      <c r="C134" t="s">
        <v>1338</v>
      </c>
      <c r="D134" t="s">
        <v>1339</v>
      </c>
      <c r="E134" t="s">
        <v>39</v>
      </c>
      <c r="F134" t="s">
        <v>55</v>
      </c>
      <c r="H134">
        <v>1159</v>
      </c>
      <c r="I134">
        <v>1</v>
      </c>
      <c r="J134">
        <v>1</v>
      </c>
      <c r="K134" t="s">
        <v>1340</v>
      </c>
      <c r="L134" t="s">
        <v>101</v>
      </c>
      <c r="M134" t="s">
        <v>39</v>
      </c>
      <c r="N134">
        <v>0.94389999999999996</v>
      </c>
      <c r="O134" s="1">
        <v>1</v>
      </c>
      <c r="P134" t="s">
        <v>1341</v>
      </c>
      <c r="Q134" t="s">
        <v>1342</v>
      </c>
      <c r="S134" t="s">
        <v>91</v>
      </c>
      <c r="T134" t="s">
        <v>216</v>
      </c>
      <c r="U134" t="s">
        <v>1343</v>
      </c>
      <c r="V134">
        <v>7</v>
      </c>
      <c r="Z134" t="s">
        <v>107</v>
      </c>
      <c r="AA134">
        <v>4</v>
      </c>
      <c r="AB134" t="s">
        <v>1344</v>
      </c>
      <c r="AC134" t="s">
        <v>1345</v>
      </c>
      <c r="AD134" t="s">
        <v>1346</v>
      </c>
      <c r="AE134" t="s">
        <v>332</v>
      </c>
      <c r="AF134" t="s">
        <v>1347</v>
      </c>
      <c r="AG134" t="s">
        <v>1348</v>
      </c>
      <c r="AH134" t="str">
        <f>HYPERLINK("http://compartments.jensenlab.org/Entity?figures=subcell_cell_%&amp;knowledge=10&amp;textmining=10&amp;experiments=10&amp;predictions=10&amp;type1=9606&amp;type2=-22&amp;id1=ENSP00000367151","link")</f>
        <v>link</v>
      </c>
      <c r="AI134" t="s">
        <v>65</v>
      </c>
      <c r="AJ134" t="s">
        <v>51</v>
      </c>
      <c r="AK134" t="str">
        <f>HYPERLINK("http://www.proteinatlas.org/O14917","HPA026817")</f>
        <v>HPA026817</v>
      </c>
      <c r="AM134">
        <v>27253</v>
      </c>
    </row>
    <row r="135" spans="1:39" x14ac:dyDescent="0.35">
      <c r="A135" t="s">
        <v>1349</v>
      </c>
      <c r="B135" t="str">
        <f>HYPERLINK("http://www.uniprot.org/uniprot/O14931","O14931")</f>
        <v>O14931</v>
      </c>
      <c r="C135" t="s">
        <v>1350</v>
      </c>
      <c r="D135" t="s">
        <v>1351</v>
      </c>
      <c r="E135" t="s">
        <v>39</v>
      </c>
      <c r="F135" t="s">
        <v>55</v>
      </c>
      <c r="H135">
        <v>201</v>
      </c>
      <c r="I135">
        <v>1</v>
      </c>
      <c r="J135">
        <v>1</v>
      </c>
      <c r="K135" t="s">
        <v>1352</v>
      </c>
      <c r="L135" t="s">
        <v>101</v>
      </c>
      <c r="M135" t="s">
        <v>39</v>
      </c>
      <c r="N135">
        <v>0.66990000000000005</v>
      </c>
      <c r="O135" s="1">
        <v>2</v>
      </c>
      <c r="P135" t="s">
        <v>1353</v>
      </c>
      <c r="Q135" t="s">
        <v>1354</v>
      </c>
      <c r="R135" t="s">
        <v>1355</v>
      </c>
      <c r="S135" t="s">
        <v>166</v>
      </c>
      <c r="T135" t="s">
        <v>1356</v>
      </c>
      <c r="U135" t="s">
        <v>1357</v>
      </c>
      <c r="V135">
        <v>3</v>
      </c>
      <c r="W135" t="s">
        <v>1358</v>
      </c>
      <c r="Z135" t="s">
        <v>107</v>
      </c>
      <c r="AA135">
        <v>2</v>
      </c>
      <c r="AB135" t="s">
        <v>1359</v>
      </c>
      <c r="AC135" t="s">
        <v>1360</v>
      </c>
      <c r="AD135" t="s">
        <v>1361</v>
      </c>
      <c r="AE135" t="s">
        <v>332</v>
      </c>
      <c r="AF135" t="s">
        <v>1362</v>
      </c>
      <c r="AG135" t="s">
        <v>1363</v>
      </c>
      <c r="AH135" t="str">
        <f>HYPERLINK("http://compartments.jensenlab.org/Entity?figures=subcell_cell_%&amp;knowledge=10&amp;textmining=10&amp;experiments=10&amp;predictions=10&amp;type1=9606&amp;type2=-22&amp;id1=ENSP00000342156","link")</f>
        <v>link</v>
      </c>
      <c r="AI135" t="s">
        <v>1364</v>
      </c>
      <c r="AJ135" t="s">
        <v>1365</v>
      </c>
      <c r="AK135" t="str">
        <f>HYPERLINK("http://www.proteinatlas.org/O14931","no")</f>
        <v>no</v>
      </c>
      <c r="AM135">
        <v>259197</v>
      </c>
    </row>
    <row r="136" spans="1:39" x14ac:dyDescent="0.35">
      <c r="A136" t="s">
        <v>1366</v>
      </c>
      <c r="B136" t="str">
        <f>HYPERLINK("http://www.uniprot.org/uniprot/O14944","O14944")</f>
        <v>O14944</v>
      </c>
      <c r="C136" t="s">
        <v>1367</v>
      </c>
      <c r="D136" t="s">
        <v>1368</v>
      </c>
      <c r="E136" t="s">
        <v>39</v>
      </c>
      <c r="F136" t="s">
        <v>55</v>
      </c>
      <c r="H136">
        <v>169</v>
      </c>
      <c r="I136">
        <v>1</v>
      </c>
      <c r="J136">
        <v>1</v>
      </c>
      <c r="K136" t="s">
        <v>1369</v>
      </c>
      <c r="L136" t="s">
        <v>57</v>
      </c>
      <c r="M136" t="s">
        <v>39</v>
      </c>
      <c r="N136">
        <v>0.96089999999999998</v>
      </c>
      <c r="O136" s="1">
        <v>1</v>
      </c>
      <c r="P136" t="s">
        <v>1370</v>
      </c>
      <c r="Q136" t="s">
        <v>1371</v>
      </c>
      <c r="S136" t="s">
        <v>60</v>
      </c>
      <c r="T136" t="s">
        <v>60</v>
      </c>
      <c r="U136">
        <v>47</v>
      </c>
      <c r="V136">
        <v>1</v>
      </c>
      <c r="W136">
        <v>47</v>
      </c>
      <c r="X136" t="s">
        <v>1372</v>
      </c>
      <c r="AE136" t="s">
        <v>1373</v>
      </c>
      <c r="AF136" t="s">
        <v>1374</v>
      </c>
      <c r="AG136" t="s">
        <v>1375</v>
      </c>
      <c r="AH136" t="str">
        <f>HYPERLINK("http://compartments.jensenlab.org/Entity?figures=subcell_cell_%&amp;knowledge=10&amp;textmining=10&amp;experiments=10&amp;predictions=10&amp;type1=9606&amp;type2=-22&amp;id1=ENSP00000244869","link")</f>
        <v>link</v>
      </c>
      <c r="AI136" t="s">
        <v>1058</v>
      </c>
      <c r="AJ136" t="s">
        <v>902</v>
      </c>
      <c r="AK136" t="str">
        <f>HYPERLINK("http://www.proteinatlas.org/O14944","HPA054373")</f>
        <v>HPA054373</v>
      </c>
      <c r="AM136">
        <v>2069</v>
      </c>
    </row>
    <row r="137" spans="1:39" x14ac:dyDescent="0.35">
      <c r="A137" t="s">
        <v>1376</v>
      </c>
      <c r="B137" t="str">
        <f>HYPERLINK("http://www.uniprot.org/uniprot/O15031","O15031")</f>
        <v>O15031</v>
      </c>
      <c r="C137" t="s">
        <v>1377</v>
      </c>
      <c r="D137" t="s">
        <v>1378</v>
      </c>
      <c r="E137" t="s">
        <v>39</v>
      </c>
      <c r="F137" t="s">
        <v>55</v>
      </c>
      <c r="H137">
        <v>1838</v>
      </c>
      <c r="I137">
        <v>1</v>
      </c>
      <c r="J137">
        <v>1</v>
      </c>
      <c r="K137" t="s">
        <v>1379</v>
      </c>
      <c r="L137" t="s">
        <v>101</v>
      </c>
      <c r="M137" t="s">
        <v>39</v>
      </c>
      <c r="N137">
        <v>0.94340000000000002</v>
      </c>
      <c r="O137" s="1">
        <v>1</v>
      </c>
      <c r="P137" t="s">
        <v>1380</v>
      </c>
      <c r="Q137" t="s">
        <v>1381</v>
      </c>
      <c r="S137" t="s">
        <v>166</v>
      </c>
      <c r="T137" t="s">
        <v>1382</v>
      </c>
      <c r="U137" t="s">
        <v>1383</v>
      </c>
      <c r="V137">
        <v>13</v>
      </c>
      <c r="W137" t="s">
        <v>1384</v>
      </c>
      <c r="Z137" t="s">
        <v>107</v>
      </c>
      <c r="AA137">
        <v>46</v>
      </c>
      <c r="AB137" t="s">
        <v>1385</v>
      </c>
      <c r="AC137" t="s">
        <v>1386</v>
      </c>
      <c r="AD137" t="s">
        <v>1387</v>
      </c>
      <c r="AE137" t="s">
        <v>332</v>
      </c>
      <c r="AF137" t="s">
        <v>1388</v>
      </c>
      <c r="AG137" t="s">
        <v>1389</v>
      </c>
      <c r="AH137" t="str">
        <f>HYPERLINK("http://compartments.jensenlab.org/Entity?figures=subcell_cell_%&amp;knowledge=10&amp;textmining=10&amp;experiments=10&amp;predictions=10&amp;type1=9606&amp;type2=-22&amp;id1=ENSP00000352288","link")</f>
        <v>link</v>
      </c>
      <c r="AI137" t="s">
        <v>65</v>
      </c>
      <c r="AJ137" t="s">
        <v>113</v>
      </c>
      <c r="AK137" t="str">
        <f>HYPERLINK("http://www.proteinatlas.org/O15031","HPA003100")</f>
        <v>HPA003100</v>
      </c>
      <c r="AM137">
        <v>23654</v>
      </c>
    </row>
    <row r="138" spans="1:39" x14ac:dyDescent="0.35">
      <c r="A138" t="s">
        <v>1390</v>
      </c>
      <c r="B138" t="str">
        <f>HYPERLINK("http://www.uniprot.org/uniprot/O15118","O15118")</f>
        <v>O15118</v>
      </c>
      <c r="C138" t="s">
        <v>1391</v>
      </c>
      <c r="D138" t="s">
        <v>1392</v>
      </c>
      <c r="E138" t="s">
        <v>39</v>
      </c>
      <c r="F138" t="s">
        <v>40</v>
      </c>
      <c r="H138">
        <v>1278</v>
      </c>
      <c r="I138">
        <v>13</v>
      </c>
      <c r="J138">
        <v>1</v>
      </c>
      <c r="K138" t="s">
        <v>1393</v>
      </c>
      <c r="L138" t="s">
        <v>101</v>
      </c>
      <c r="N138">
        <v>0.94810000000000005</v>
      </c>
      <c r="O138" s="1">
        <v>1</v>
      </c>
      <c r="P138" t="s">
        <v>1394</v>
      </c>
      <c r="Q138" t="s">
        <v>1395</v>
      </c>
      <c r="S138" t="s">
        <v>60</v>
      </c>
      <c r="T138" t="s">
        <v>60</v>
      </c>
      <c r="U138" t="s">
        <v>1396</v>
      </c>
      <c r="V138">
        <v>18</v>
      </c>
      <c r="W138" t="s">
        <v>1396</v>
      </c>
      <c r="Z138" t="s">
        <v>107</v>
      </c>
      <c r="AA138">
        <v>11</v>
      </c>
      <c r="AB138" t="s">
        <v>1397</v>
      </c>
      <c r="AC138" t="s">
        <v>1398</v>
      </c>
      <c r="AD138" t="s">
        <v>1399</v>
      </c>
      <c r="AE138" t="s">
        <v>1400</v>
      </c>
      <c r="AF138" t="s">
        <v>1401</v>
      </c>
      <c r="AG138" t="s">
        <v>1402</v>
      </c>
      <c r="AH138" t="str">
        <f>HYPERLINK("http://compartments.jensenlab.org/Entity?figures=subcell_cell_%&amp;knowledge=10&amp;textmining=10&amp;experiments=10&amp;predictions=10&amp;type1=9606&amp;type2=-22&amp;id1=ENSP00000269228","link")</f>
        <v>link</v>
      </c>
      <c r="AI138" t="s">
        <v>1403</v>
      </c>
      <c r="AJ138" t="s">
        <v>1404</v>
      </c>
      <c r="AK138" t="str">
        <f>HYPERLINK("http://www.proteinatlas.org/O15118","HPA026618;CAB070132")</f>
        <v>HPA026618;CAB070132</v>
      </c>
      <c r="AM138">
        <v>4864</v>
      </c>
    </row>
    <row r="139" spans="1:39" x14ac:dyDescent="0.35">
      <c r="A139" t="s">
        <v>1405</v>
      </c>
      <c r="B139" t="str">
        <f>HYPERLINK("http://www.uniprot.org/uniprot/O15146","O15146")</f>
        <v>O15146</v>
      </c>
      <c r="C139" t="s">
        <v>1406</v>
      </c>
      <c r="D139" t="s">
        <v>1407</v>
      </c>
      <c r="E139" t="s">
        <v>39</v>
      </c>
      <c r="F139" t="s">
        <v>40</v>
      </c>
      <c r="H139">
        <v>869</v>
      </c>
      <c r="I139">
        <v>1</v>
      </c>
      <c r="J139">
        <v>1</v>
      </c>
      <c r="K139" t="s">
        <v>1408</v>
      </c>
      <c r="L139" t="s">
        <v>57</v>
      </c>
      <c r="N139">
        <v>0.78239999999999998</v>
      </c>
      <c r="O139" s="1">
        <v>1</v>
      </c>
      <c r="P139" t="s">
        <v>1409</v>
      </c>
      <c r="Q139" t="s">
        <v>1410</v>
      </c>
      <c r="S139" t="s">
        <v>166</v>
      </c>
      <c r="T139" t="s">
        <v>1411</v>
      </c>
      <c r="U139" t="s">
        <v>1412</v>
      </c>
      <c r="V139">
        <v>2</v>
      </c>
      <c r="W139">
        <v>222</v>
      </c>
      <c r="AE139" t="s">
        <v>1413</v>
      </c>
      <c r="AF139" t="s">
        <v>1414</v>
      </c>
      <c r="AG139" t="s">
        <v>1415</v>
      </c>
      <c r="AH139" t="str">
        <f>HYPERLINK("http://compartments.jensenlab.org/Entity?figures=subcell_cell_%&amp;knowledge=10&amp;textmining=10&amp;experiments=10&amp;predictions=10&amp;type1=9606&amp;type2=-22&amp;id1=ENSP00000363571","link")</f>
        <v>link</v>
      </c>
      <c r="AJ139" t="s">
        <v>51</v>
      </c>
      <c r="AK139" t="str">
        <f>HYPERLINK("http://www.proteinatlas.org/O15146","no")</f>
        <v>no</v>
      </c>
      <c r="AM139">
        <v>4593</v>
      </c>
    </row>
    <row r="140" spans="1:39" x14ac:dyDescent="0.35">
      <c r="A140" t="s">
        <v>1416</v>
      </c>
      <c r="B140" t="str">
        <f>HYPERLINK("http://www.uniprot.org/uniprot/O15165","O15165")</f>
        <v>O15165</v>
      </c>
      <c r="C140" t="s">
        <v>1417</v>
      </c>
      <c r="D140" t="s">
        <v>1418</v>
      </c>
      <c r="E140" t="s">
        <v>39</v>
      </c>
      <c r="F140" t="s">
        <v>40</v>
      </c>
      <c r="H140">
        <v>306</v>
      </c>
      <c r="I140">
        <v>1</v>
      </c>
      <c r="J140">
        <v>0</v>
      </c>
      <c r="K140" t="s">
        <v>1419</v>
      </c>
      <c r="L140" t="s">
        <v>57</v>
      </c>
      <c r="N140">
        <v>0.5968</v>
      </c>
      <c r="O140" s="1">
        <v>2</v>
      </c>
      <c r="P140" t="s">
        <v>1420</v>
      </c>
      <c r="Q140" t="s">
        <v>1421</v>
      </c>
      <c r="S140" t="s">
        <v>60</v>
      </c>
      <c r="T140" t="s">
        <v>60</v>
      </c>
      <c r="U140" t="s">
        <v>1422</v>
      </c>
      <c r="V140">
        <v>0</v>
      </c>
      <c r="Y140">
        <v>117</v>
      </c>
      <c r="AE140" t="s">
        <v>1423</v>
      </c>
      <c r="AF140" t="s">
        <v>1424</v>
      </c>
      <c r="AG140" t="s">
        <v>1425</v>
      </c>
      <c r="AH140" t="str">
        <f>HYPERLINK("http://compartments.jensenlab.org/Entity?figures=subcell_cell_%&amp;knowledge=10&amp;textmining=10&amp;experiments=10&amp;predictions=10&amp;type1=9606&amp;type2=-22&amp;id1=ENSP00000352420","link")</f>
        <v>link</v>
      </c>
      <c r="AK140" t="str">
        <f>HYPERLINK("http://www.proteinatlas.org/O15165","HPA065246")</f>
        <v>HPA065246</v>
      </c>
      <c r="AM140">
        <v>753</v>
      </c>
    </row>
    <row r="141" spans="1:39" x14ac:dyDescent="0.35">
      <c r="A141" t="s">
        <v>1426</v>
      </c>
      <c r="B141" t="str">
        <f>HYPERLINK("http://www.uniprot.org/uniprot/O15197","O15197")</f>
        <v>O15197</v>
      </c>
      <c r="C141" t="s">
        <v>1427</v>
      </c>
      <c r="D141" t="s">
        <v>1428</v>
      </c>
      <c r="E141" t="s">
        <v>39</v>
      </c>
      <c r="F141" t="s">
        <v>40</v>
      </c>
      <c r="H141">
        <v>1021</v>
      </c>
      <c r="I141">
        <v>1</v>
      </c>
      <c r="J141">
        <v>1</v>
      </c>
      <c r="K141" t="s">
        <v>1429</v>
      </c>
      <c r="L141" t="s">
        <v>57</v>
      </c>
      <c r="N141">
        <v>0.72650000000000003</v>
      </c>
      <c r="O141" s="1">
        <v>2</v>
      </c>
      <c r="P141" t="s">
        <v>1430</v>
      </c>
      <c r="Q141" t="s">
        <v>1431</v>
      </c>
      <c r="S141" t="s">
        <v>166</v>
      </c>
      <c r="T141" t="s">
        <v>1432</v>
      </c>
      <c r="U141" t="s">
        <v>1433</v>
      </c>
      <c r="V141">
        <v>1</v>
      </c>
      <c r="W141" t="s">
        <v>1433</v>
      </c>
      <c r="AE141" t="s">
        <v>1434</v>
      </c>
      <c r="AF141" t="s">
        <v>1435</v>
      </c>
      <c r="AG141" t="s">
        <v>1436</v>
      </c>
      <c r="AH141" t="str">
        <f>HYPERLINK("http://compartments.jensenlab.org/Entity?figures=subcell_cell_%&amp;knowledge=10&amp;textmining=10&amp;experiments=10&amp;predictions=10&amp;type1=9606&amp;type2=-22&amp;id1=ENSP00000376684","link")</f>
        <v>link</v>
      </c>
      <c r="AJ141" t="s">
        <v>902</v>
      </c>
      <c r="AK141" t="str">
        <f>HYPERLINK("http://www.proteinatlas.org/O15197","no")</f>
        <v>no</v>
      </c>
      <c r="AM141">
        <v>2051</v>
      </c>
    </row>
    <row r="142" spans="1:39" x14ac:dyDescent="0.35">
      <c r="A142" t="s">
        <v>1437</v>
      </c>
      <c r="B142" t="str">
        <f>HYPERLINK("http://www.uniprot.org/uniprot/O15218","O15218")</f>
        <v>O15218</v>
      </c>
      <c r="C142" t="s">
        <v>1438</v>
      </c>
      <c r="D142" t="s">
        <v>1439</v>
      </c>
      <c r="E142" t="s">
        <v>39</v>
      </c>
      <c r="F142" t="s">
        <v>55</v>
      </c>
      <c r="H142">
        <v>404</v>
      </c>
      <c r="I142">
        <v>7</v>
      </c>
      <c r="J142">
        <v>0</v>
      </c>
      <c r="K142" t="s">
        <v>1440</v>
      </c>
      <c r="L142" t="s">
        <v>57</v>
      </c>
      <c r="M142" t="s">
        <v>39</v>
      </c>
      <c r="N142">
        <v>0.92900000000000005</v>
      </c>
      <c r="O142" s="1">
        <v>1</v>
      </c>
      <c r="P142" t="s">
        <v>1441</v>
      </c>
      <c r="Q142" t="s">
        <v>1442</v>
      </c>
      <c r="S142" t="s">
        <v>166</v>
      </c>
      <c r="T142" t="s">
        <v>838</v>
      </c>
      <c r="U142" t="s">
        <v>1443</v>
      </c>
      <c r="V142">
        <v>2</v>
      </c>
      <c r="AE142" t="s">
        <v>74</v>
      </c>
      <c r="AF142" t="s">
        <v>967</v>
      </c>
      <c r="AG142" t="s">
        <v>1444</v>
      </c>
      <c r="AH142" t="str">
        <f>HYPERLINK("http://compartments.jensenlab.org/Entity?figures=subcell_cell_%&amp;knowledge=10&amp;textmining=10&amp;experiments=10&amp;predictions=10&amp;type1=9606&amp;type2=-22&amp;id1=ENSP00000300098","link")</f>
        <v>link</v>
      </c>
      <c r="AI142" t="s">
        <v>65</v>
      </c>
      <c r="AJ142" t="s">
        <v>51</v>
      </c>
      <c r="AK142" t="str">
        <f>HYPERLINK("http://www.proteinatlas.org/O15218","HPA027037")</f>
        <v>HPA027037</v>
      </c>
      <c r="AM142">
        <v>11318</v>
      </c>
    </row>
    <row r="143" spans="1:39" x14ac:dyDescent="0.35">
      <c r="A143" t="s">
        <v>1445</v>
      </c>
      <c r="B143" t="str">
        <f>HYPERLINK("http://www.uniprot.org/uniprot/O15244","O15244")</f>
        <v>O15244</v>
      </c>
      <c r="C143" t="s">
        <v>1446</v>
      </c>
      <c r="D143" t="s">
        <v>1447</v>
      </c>
      <c r="E143" t="s">
        <v>39</v>
      </c>
      <c r="F143" t="s">
        <v>40</v>
      </c>
      <c r="H143">
        <v>555</v>
      </c>
      <c r="I143">
        <v>12</v>
      </c>
      <c r="J143">
        <v>0</v>
      </c>
      <c r="K143" t="s">
        <v>1448</v>
      </c>
      <c r="L143" t="s">
        <v>57</v>
      </c>
      <c r="N143">
        <v>0.9022</v>
      </c>
      <c r="O143" s="1">
        <v>1</v>
      </c>
      <c r="P143" t="s">
        <v>1449</v>
      </c>
      <c r="Q143" t="s">
        <v>1450</v>
      </c>
      <c r="S143" t="s">
        <v>45</v>
      </c>
      <c r="T143" t="s">
        <v>121</v>
      </c>
      <c r="U143" t="s">
        <v>1451</v>
      </c>
      <c r="V143">
        <v>3</v>
      </c>
      <c r="W143">
        <v>72</v>
      </c>
      <c r="AE143" t="s">
        <v>48</v>
      </c>
      <c r="AF143" t="s">
        <v>462</v>
      </c>
      <c r="AG143" t="s">
        <v>1452</v>
      </c>
      <c r="AH143" t="str">
        <f>HYPERLINK("http://compartments.jensenlab.org/Entity?figures=subcell_cell_%&amp;knowledge=10&amp;textmining=10&amp;experiments=10&amp;predictions=10&amp;type1=9606&amp;type2=-22&amp;id1=ENSP00000355920","link")</f>
        <v>link</v>
      </c>
      <c r="AJ143" t="s">
        <v>51</v>
      </c>
      <c r="AK143" t="str">
        <f>HYPERLINK("http://www.proteinatlas.org/O15244","HPA008567;CAB068236;CAB068237")</f>
        <v>HPA008567;CAB068236;CAB068237</v>
      </c>
      <c r="AM143">
        <v>6582</v>
      </c>
    </row>
    <row r="144" spans="1:39" x14ac:dyDescent="0.35">
      <c r="A144" t="s">
        <v>1453</v>
      </c>
      <c r="B144" t="str">
        <f>HYPERLINK("http://www.uniprot.org/uniprot/O15245","O15245")</f>
        <v>O15245</v>
      </c>
      <c r="C144" t="s">
        <v>1454</v>
      </c>
      <c r="D144" t="s">
        <v>1455</v>
      </c>
      <c r="E144" t="s">
        <v>39</v>
      </c>
      <c r="F144" t="s">
        <v>55</v>
      </c>
      <c r="H144">
        <v>554</v>
      </c>
      <c r="I144">
        <v>12</v>
      </c>
      <c r="J144">
        <v>0</v>
      </c>
      <c r="K144" t="s">
        <v>1456</v>
      </c>
      <c r="L144" t="s">
        <v>57</v>
      </c>
      <c r="M144" t="s">
        <v>39</v>
      </c>
      <c r="N144">
        <v>0.93989999999999996</v>
      </c>
      <c r="O144" s="1">
        <v>1</v>
      </c>
      <c r="P144" t="s">
        <v>1457</v>
      </c>
      <c r="Q144" t="s">
        <v>1458</v>
      </c>
      <c r="S144" t="s">
        <v>45</v>
      </c>
      <c r="T144" t="s">
        <v>121</v>
      </c>
      <c r="U144" t="s">
        <v>1459</v>
      </c>
      <c r="V144">
        <v>3</v>
      </c>
      <c r="W144">
        <v>71</v>
      </c>
      <c r="AE144" t="s">
        <v>1460</v>
      </c>
      <c r="AF144" t="s">
        <v>1461</v>
      </c>
      <c r="AG144" t="s">
        <v>1462</v>
      </c>
      <c r="AH144" t="str">
        <f>HYPERLINK("http://compartments.jensenlab.org/Entity?figures=subcell_cell_%&amp;knowledge=10&amp;textmining=10&amp;experiments=10&amp;predictions=10&amp;type1=9606&amp;type2=-22&amp;id1=ENSP00000355930","link")</f>
        <v>link</v>
      </c>
      <c r="AI144" t="s">
        <v>65</v>
      </c>
      <c r="AJ144" t="s">
        <v>51</v>
      </c>
      <c r="AK144" t="str">
        <f>HYPERLINK("http://www.proteinatlas.org/O15245","HPA029846")</f>
        <v>HPA029846</v>
      </c>
      <c r="AM144">
        <v>6580</v>
      </c>
    </row>
    <row r="145" spans="1:39" x14ac:dyDescent="0.35">
      <c r="A145" t="s">
        <v>1463</v>
      </c>
      <c r="B145" t="str">
        <f>HYPERLINK("http://www.uniprot.org/uniprot/O15303","O15303")</f>
        <v>O15303</v>
      </c>
      <c r="C145" t="s">
        <v>1464</v>
      </c>
      <c r="D145" t="s">
        <v>1465</v>
      </c>
      <c r="E145" t="s">
        <v>39</v>
      </c>
      <c r="F145" t="s">
        <v>55</v>
      </c>
      <c r="H145">
        <v>877</v>
      </c>
      <c r="I145">
        <v>7</v>
      </c>
      <c r="J145">
        <v>1</v>
      </c>
      <c r="K145" t="s">
        <v>1466</v>
      </c>
      <c r="L145" t="s">
        <v>57</v>
      </c>
      <c r="M145" t="s">
        <v>39</v>
      </c>
      <c r="N145">
        <v>0.84709999999999996</v>
      </c>
      <c r="O145" s="1">
        <v>1</v>
      </c>
      <c r="P145" t="s">
        <v>1467</v>
      </c>
      <c r="Q145" t="s">
        <v>1468</v>
      </c>
      <c r="S145" t="s">
        <v>166</v>
      </c>
      <c r="T145" t="s">
        <v>874</v>
      </c>
      <c r="U145" t="s">
        <v>1469</v>
      </c>
      <c r="V145">
        <v>4</v>
      </c>
      <c r="W145" t="s">
        <v>1470</v>
      </c>
      <c r="AE145" t="s">
        <v>1471</v>
      </c>
      <c r="AF145" t="s">
        <v>1472</v>
      </c>
      <c r="AG145" t="s">
        <v>1473</v>
      </c>
      <c r="AH145" t="str">
        <f>HYPERLINK("http://compartments.jensenlab.org/Entity?figures=subcell_cell_%&amp;knowledge=10&amp;textmining=10&amp;experiments=10&amp;predictions=10&amp;type1=9606&amp;type2=-22&amp;id1=ENSP00000231188","link")</f>
        <v>link</v>
      </c>
      <c r="AI145" t="s">
        <v>65</v>
      </c>
      <c r="AJ145" t="s">
        <v>51</v>
      </c>
      <c r="AK145" t="str">
        <f>HYPERLINK("http://www.proteinatlas.org/O15303","no")</f>
        <v>no</v>
      </c>
      <c r="AM145">
        <v>2916</v>
      </c>
    </row>
    <row r="146" spans="1:39" x14ac:dyDescent="0.35">
      <c r="A146" t="s">
        <v>1474</v>
      </c>
      <c r="B146" t="str">
        <f>HYPERLINK("http://www.uniprot.org/uniprot/O15321","O15321")</f>
        <v>O15321</v>
      </c>
      <c r="C146" t="s">
        <v>1475</v>
      </c>
      <c r="D146" t="s">
        <v>1476</v>
      </c>
      <c r="E146" t="s">
        <v>39</v>
      </c>
      <c r="F146" t="s">
        <v>40</v>
      </c>
      <c r="H146">
        <v>606</v>
      </c>
      <c r="I146">
        <v>9</v>
      </c>
      <c r="J146">
        <v>1</v>
      </c>
      <c r="K146" t="s">
        <v>1477</v>
      </c>
      <c r="L146" t="s">
        <v>118</v>
      </c>
      <c r="N146">
        <v>0.82240000000000002</v>
      </c>
      <c r="O146" s="1">
        <v>1</v>
      </c>
      <c r="P146" t="s">
        <v>1478</v>
      </c>
      <c r="Q146" t="s">
        <v>1479</v>
      </c>
      <c r="S146" t="s">
        <v>91</v>
      </c>
      <c r="T146" t="s">
        <v>1480</v>
      </c>
      <c r="U146" t="s">
        <v>1481</v>
      </c>
      <c r="V146">
        <v>3</v>
      </c>
      <c r="Z146" t="s">
        <v>107</v>
      </c>
      <c r="AA146">
        <v>1</v>
      </c>
      <c r="AB146" t="s">
        <v>1482</v>
      </c>
      <c r="AC146">
        <v>178</v>
      </c>
      <c r="AD146" t="s">
        <v>1483</v>
      </c>
      <c r="AE146" t="s">
        <v>1484</v>
      </c>
      <c r="AF146" t="s">
        <v>1485</v>
      </c>
      <c r="AG146" t="s">
        <v>1486</v>
      </c>
      <c r="AH146" t="str">
        <f>HYPERLINK("http://compartments.jensenlab.org/Entity?figures=subcell_cell_%&amp;knowledge=10&amp;textmining=10&amp;experiments=10&amp;predictions=10&amp;type1=9606&amp;type2=-22&amp;id1=ENSP00000261789","link")</f>
        <v>link</v>
      </c>
      <c r="AI146" t="s">
        <v>1487</v>
      </c>
      <c r="AJ146" t="s">
        <v>1488</v>
      </c>
      <c r="AK146" t="str">
        <f>HYPERLINK("http://www.proteinatlas.org/O15321","HPA059249")</f>
        <v>HPA059249</v>
      </c>
      <c r="AM146">
        <v>10548</v>
      </c>
    </row>
    <row r="147" spans="1:39" x14ac:dyDescent="0.35">
      <c r="A147" t="s">
        <v>1489</v>
      </c>
      <c r="B147" t="str">
        <f>HYPERLINK("http://www.uniprot.org/uniprot/O15354","O15354")</f>
        <v>O15354</v>
      </c>
      <c r="C147" t="s">
        <v>1490</v>
      </c>
      <c r="D147" t="s">
        <v>1491</v>
      </c>
      <c r="E147" t="s">
        <v>39</v>
      </c>
      <c r="F147" t="s">
        <v>40</v>
      </c>
      <c r="H147">
        <v>613</v>
      </c>
      <c r="I147">
        <v>7</v>
      </c>
      <c r="J147">
        <v>1</v>
      </c>
      <c r="K147" t="s">
        <v>1492</v>
      </c>
      <c r="L147" t="s">
        <v>57</v>
      </c>
      <c r="N147">
        <v>0.92610000000000003</v>
      </c>
      <c r="O147" s="1">
        <v>1</v>
      </c>
      <c r="P147" t="s">
        <v>1493</v>
      </c>
      <c r="Q147" t="s">
        <v>1494</v>
      </c>
      <c r="S147" t="s">
        <v>166</v>
      </c>
      <c r="T147" t="s">
        <v>838</v>
      </c>
      <c r="U147" t="s">
        <v>1495</v>
      </c>
      <c r="V147">
        <v>3</v>
      </c>
      <c r="W147" t="s">
        <v>1496</v>
      </c>
      <c r="AE147" t="s">
        <v>1497</v>
      </c>
      <c r="AF147" t="s">
        <v>1498</v>
      </c>
      <c r="AG147" t="s">
        <v>1499</v>
      </c>
      <c r="AH147" t="str">
        <f>HYPERLINK("http://compartments.jensenlab.org/Entity?figures=subcell_cell_%&amp;knowledge=10&amp;textmining=10&amp;experiments=10&amp;predictions=10&amp;type1=9606&amp;type2=-22&amp;id1=ENSP00000306449","link")</f>
        <v>link</v>
      </c>
      <c r="AI147" t="s">
        <v>1500</v>
      </c>
      <c r="AJ147" t="s">
        <v>345</v>
      </c>
      <c r="AK147" t="str">
        <f>HYPERLINK("http://www.proteinatlas.org/O15354","no")</f>
        <v>no</v>
      </c>
      <c r="AM147">
        <v>2861</v>
      </c>
    </row>
    <row r="148" spans="1:39" x14ac:dyDescent="0.35">
      <c r="A148" t="s">
        <v>1501</v>
      </c>
      <c r="B148" t="str">
        <f>HYPERLINK("http://www.uniprot.org/uniprot/O15374","O15374")</f>
        <v>O15374</v>
      </c>
      <c r="C148" t="s">
        <v>1502</v>
      </c>
      <c r="D148" t="s">
        <v>1503</v>
      </c>
      <c r="E148" t="s">
        <v>39</v>
      </c>
      <c r="F148" t="s">
        <v>55</v>
      </c>
      <c r="H148">
        <v>487</v>
      </c>
      <c r="I148">
        <v>12</v>
      </c>
      <c r="J148">
        <v>0</v>
      </c>
      <c r="K148" t="s">
        <v>1504</v>
      </c>
      <c r="L148" t="s">
        <v>57</v>
      </c>
      <c r="M148" t="s">
        <v>39</v>
      </c>
      <c r="N148">
        <v>0.5323</v>
      </c>
      <c r="O148" s="1">
        <v>3</v>
      </c>
      <c r="P148" t="s">
        <v>1505</v>
      </c>
      <c r="Q148" t="s">
        <v>1506</v>
      </c>
      <c r="S148" t="s">
        <v>45</v>
      </c>
      <c r="T148" t="s">
        <v>1507</v>
      </c>
      <c r="U148" t="s">
        <v>1508</v>
      </c>
      <c r="V148">
        <v>1</v>
      </c>
      <c r="W148" t="s">
        <v>1509</v>
      </c>
      <c r="AE148" t="s">
        <v>74</v>
      </c>
      <c r="AF148" t="s">
        <v>1510</v>
      </c>
      <c r="AG148" t="s">
        <v>1511</v>
      </c>
      <c r="AH148" t="str">
        <f>HYPERLINK("http://compartments.jensenlab.org/Entity?figures=subcell_cell_%&amp;knowledge=10&amp;textmining=10&amp;experiments=10&amp;predictions=10&amp;type1=9606&amp;type2=-22&amp;id1=ENSP00000358794","link")</f>
        <v>link</v>
      </c>
      <c r="AI148" t="s">
        <v>65</v>
      </c>
      <c r="AJ148" t="s">
        <v>51</v>
      </c>
      <c r="AK148" t="str">
        <f>HYPERLINK("http://www.proteinatlas.org/O15374","HPA046986")</f>
        <v>HPA046986</v>
      </c>
      <c r="AL148" t="s">
        <v>1512</v>
      </c>
      <c r="AM148">
        <v>9122</v>
      </c>
    </row>
    <row r="149" spans="1:39" x14ac:dyDescent="0.35">
      <c r="A149" t="s">
        <v>1513</v>
      </c>
      <c r="B149" t="str">
        <f>HYPERLINK("http://www.uniprot.org/uniprot/O15375","O15375")</f>
        <v>O15375</v>
      </c>
      <c r="C149" t="s">
        <v>1514</v>
      </c>
      <c r="D149" t="s">
        <v>1515</v>
      </c>
      <c r="E149" t="s">
        <v>39</v>
      </c>
      <c r="F149" t="s">
        <v>55</v>
      </c>
      <c r="H149">
        <v>505</v>
      </c>
      <c r="I149">
        <v>12</v>
      </c>
      <c r="J149">
        <v>0</v>
      </c>
      <c r="K149" t="s">
        <v>1516</v>
      </c>
      <c r="L149" t="s">
        <v>57</v>
      </c>
      <c r="M149" t="s">
        <v>39</v>
      </c>
      <c r="N149">
        <v>0.69440000000000002</v>
      </c>
      <c r="O149" s="1">
        <v>2</v>
      </c>
      <c r="P149" t="s">
        <v>1517</v>
      </c>
      <c r="Q149" t="s">
        <v>1518</v>
      </c>
      <c r="S149" t="s">
        <v>45</v>
      </c>
      <c r="T149" t="s">
        <v>1507</v>
      </c>
      <c r="U149" t="s">
        <v>1519</v>
      </c>
      <c r="V149">
        <v>2</v>
      </c>
      <c r="Y149">
        <v>484</v>
      </c>
      <c r="AE149" t="s">
        <v>74</v>
      </c>
      <c r="AF149" t="s">
        <v>1520</v>
      </c>
      <c r="AG149" t="s">
        <v>1521</v>
      </c>
      <c r="AH149" t="str">
        <f>HYPERLINK("http://compartments.jensenlab.org/Entity?figures=subcell_cell_%&amp;knowledge=10&amp;textmining=10&amp;experiments=10&amp;predictions=10&amp;type1=9606&amp;type2=-22&amp;id1=ENSP00000330141","link")</f>
        <v>link</v>
      </c>
      <c r="AI149" t="s">
        <v>65</v>
      </c>
      <c r="AJ149" t="s">
        <v>51</v>
      </c>
      <c r="AK149" t="str">
        <f>HYPERLINK("http://www.proteinatlas.org/O15375","HPA046944")</f>
        <v>HPA046944</v>
      </c>
      <c r="AL149" t="s">
        <v>1512</v>
      </c>
      <c r="AM149">
        <v>9121</v>
      </c>
    </row>
    <row r="150" spans="1:39" x14ac:dyDescent="0.35">
      <c r="A150" t="s">
        <v>1522</v>
      </c>
      <c r="B150" t="str">
        <f>HYPERLINK("http://www.uniprot.org/uniprot/O15389","O15389")</f>
        <v>O15389</v>
      </c>
      <c r="C150" t="s">
        <v>1523</v>
      </c>
      <c r="D150" t="s">
        <v>1524</v>
      </c>
      <c r="E150" t="s">
        <v>39</v>
      </c>
      <c r="F150" t="s">
        <v>40</v>
      </c>
      <c r="H150">
        <v>551</v>
      </c>
      <c r="I150">
        <v>1</v>
      </c>
      <c r="J150">
        <v>1</v>
      </c>
      <c r="K150" t="s">
        <v>1525</v>
      </c>
      <c r="L150" t="s">
        <v>101</v>
      </c>
      <c r="N150">
        <v>0.88619999999999999</v>
      </c>
      <c r="O150" s="1">
        <v>1</v>
      </c>
      <c r="P150" t="s">
        <v>1526</v>
      </c>
      <c r="Q150" t="s">
        <v>1527</v>
      </c>
      <c r="R150" t="s">
        <v>1528</v>
      </c>
      <c r="S150" t="s">
        <v>91</v>
      </c>
      <c r="T150" t="s">
        <v>555</v>
      </c>
      <c r="U150" t="s">
        <v>1529</v>
      </c>
      <c r="V150">
        <v>9</v>
      </c>
      <c r="Y150">
        <v>47</v>
      </c>
      <c r="Z150" t="s">
        <v>107</v>
      </c>
      <c r="AA150">
        <v>2</v>
      </c>
      <c r="AB150" t="s">
        <v>1530</v>
      </c>
      <c r="AC150" t="s">
        <v>1531</v>
      </c>
      <c r="AD150" t="s">
        <v>1532</v>
      </c>
      <c r="AE150" t="s">
        <v>144</v>
      </c>
      <c r="AF150" t="s">
        <v>1533</v>
      </c>
      <c r="AG150" t="s">
        <v>1534</v>
      </c>
      <c r="AH150" t="str">
        <f>HYPERLINK("http://compartments.jensenlab.org/Entity?figures=subcell_cell_%&amp;knowledge=10&amp;textmining=10&amp;experiments=10&amp;predictions=10&amp;type1=9606&amp;type2=-22&amp;id1=ENSP00000415200","link")</f>
        <v>link</v>
      </c>
      <c r="AI150" t="s">
        <v>65</v>
      </c>
      <c r="AJ150" t="s">
        <v>51</v>
      </c>
      <c r="AK150" t="str">
        <f>HYPERLINK("http://www.proteinatlas.org/O15389","HPA009085;CAB024900;HPA009085")</f>
        <v>HPA009085;CAB024900;HPA009085</v>
      </c>
      <c r="AM150">
        <v>8778</v>
      </c>
    </row>
    <row r="151" spans="1:39" x14ac:dyDescent="0.35">
      <c r="A151" t="s">
        <v>1535</v>
      </c>
      <c r="B151" t="str">
        <f>HYPERLINK("http://www.uniprot.org/uniprot/O15394","O15394")</f>
        <v>O15394</v>
      </c>
      <c r="C151" t="s">
        <v>1536</v>
      </c>
      <c r="D151" t="s">
        <v>1537</v>
      </c>
      <c r="E151" t="s">
        <v>39</v>
      </c>
      <c r="F151" t="s">
        <v>55</v>
      </c>
      <c r="H151">
        <v>837</v>
      </c>
      <c r="I151">
        <v>1</v>
      </c>
      <c r="J151">
        <v>1</v>
      </c>
      <c r="K151" t="s">
        <v>1538</v>
      </c>
      <c r="L151" t="s">
        <v>101</v>
      </c>
      <c r="M151" t="s">
        <v>39</v>
      </c>
      <c r="N151">
        <v>0.94650000000000001</v>
      </c>
      <c r="O151" s="1">
        <v>1</v>
      </c>
      <c r="P151" t="s">
        <v>1539</v>
      </c>
      <c r="Q151" t="s">
        <v>1540</v>
      </c>
      <c r="S151" t="s">
        <v>91</v>
      </c>
      <c r="T151" t="s">
        <v>555</v>
      </c>
      <c r="U151" t="s">
        <v>1541</v>
      </c>
      <c r="V151">
        <v>8</v>
      </c>
      <c r="Y151" t="s">
        <v>1542</v>
      </c>
      <c r="Z151" t="s">
        <v>107</v>
      </c>
      <c r="AA151">
        <v>12</v>
      </c>
      <c r="AB151" t="s">
        <v>1543</v>
      </c>
      <c r="AC151" t="s">
        <v>1544</v>
      </c>
      <c r="AD151" t="s">
        <v>1545</v>
      </c>
      <c r="AE151" t="s">
        <v>332</v>
      </c>
      <c r="AF151" t="s">
        <v>1546</v>
      </c>
      <c r="AG151" t="s">
        <v>1547</v>
      </c>
      <c r="AH151" t="str">
        <f>HYPERLINK("http://compartments.jensenlab.org/Entity?figures=subcell_cell_%&amp;knowledge=10&amp;textmining=10&amp;experiments=10&amp;predictions=10&amp;type1=9606&amp;type2=-22&amp;id1=ENSP00000383392","link")</f>
        <v>link</v>
      </c>
      <c r="AI151" t="s">
        <v>65</v>
      </c>
      <c r="AJ151" t="s">
        <v>51</v>
      </c>
      <c r="AK151" t="str">
        <f>HYPERLINK("http://www.proteinatlas.org/O15394","HPA030900")</f>
        <v>HPA030900</v>
      </c>
      <c r="AM151">
        <v>4685</v>
      </c>
    </row>
    <row r="152" spans="1:39" x14ac:dyDescent="0.35">
      <c r="A152" t="s">
        <v>1548</v>
      </c>
      <c r="B152" t="str">
        <f>HYPERLINK("http://www.uniprot.org/uniprot/O15399","O15399")</f>
        <v>O15399</v>
      </c>
      <c r="C152" t="s">
        <v>1549</v>
      </c>
      <c r="D152" t="s">
        <v>1550</v>
      </c>
      <c r="E152" t="s">
        <v>39</v>
      </c>
      <c r="F152" t="s">
        <v>55</v>
      </c>
      <c r="H152">
        <v>1336</v>
      </c>
      <c r="I152">
        <v>3</v>
      </c>
      <c r="J152">
        <v>1</v>
      </c>
      <c r="K152" t="s">
        <v>1551</v>
      </c>
      <c r="L152" t="s">
        <v>57</v>
      </c>
      <c r="M152" t="s">
        <v>39</v>
      </c>
      <c r="N152">
        <v>0.83430000000000004</v>
      </c>
      <c r="O152" s="1">
        <v>1</v>
      </c>
      <c r="P152" t="s">
        <v>1552</v>
      </c>
      <c r="Q152" t="s">
        <v>1553</v>
      </c>
      <c r="S152" t="s">
        <v>45</v>
      </c>
      <c r="T152" t="s">
        <v>1554</v>
      </c>
      <c r="U152" t="s">
        <v>1555</v>
      </c>
      <c r="V152">
        <v>6</v>
      </c>
      <c r="Y152">
        <v>634</v>
      </c>
      <c r="AE152" t="s">
        <v>619</v>
      </c>
      <c r="AF152" t="s">
        <v>1556</v>
      </c>
      <c r="AG152" t="s">
        <v>1557</v>
      </c>
      <c r="AH152" t="str">
        <f>HYPERLINK("http://compartments.jensenlab.org/Entity?figures=subcell_cell_%&amp;knowledge=10&amp;textmining=10&amp;experiments=10&amp;predictions=10&amp;type1=9606&amp;type2=-22&amp;id1=ENSP00000263269","link")</f>
        <v>link</v>
      </c>
      <c r="AI152" t="s">
        <v>65</v>
      </c>
      <c r="AJ152" t="s">
        <v>51</v>
      </c>
      <c r="AK152" t="str">
        <f>HYPERLINK("http://www.proteinatlas.org/O15399","HPA038269")</f>
        <v>HPA038269</v>
      </c>
      <c r="AL152" t="s">
        <v>1558</v>
      </c>
      <c r="AM152">
        <v>2906</v>
      </c>
    </row>
    <row r="153" spans="1:39" x14ac:dyDescent="0.35">
      <c r="A153" t="s">
        <v>1559</v>
      </c>
      <c r="B153" t="str">
        <f>HYPERLINK("http://www.uniprot.org/uniprot/O15403","O15403")</f>
        <v>O15403</v>
      </c>
      <c r="C153" t="s">
        <v>1560</v>
      </c>
      <c r="D153" t="s">
        <v>1561</v>
      </c>
      <c r="E153" t="s">
        <v>39</v>
      </c>
      <c r="F153" t="s">
        <v>55</v>
      </c>
      <c r="H153">
        <v>523</v>
      </c>
      <c r="I153">
        <v>12</v>
      </c>
      <c r="J153">
        <v>0</v>
      </c>
      <c r="K153" t="s">
        <v>1562</v>
      </c>
      <c r="L153" t="s">
        <v>57</v>
      </c>
      <c r="M153" t="s">
        <v>39</v>
      </c>
      <c r="N153">
        <v>0.61380000000000001</v>
      </c>
      <c r="O153" s="1">
        <v>2</v>
      </c>
      <c r="P153" t="s">
        <v>1563</v>
      </c>
      <c r="Q153" t="s">
        <v>1564</v>
      </c>
      <c r="S153" t="s">
        <v>45</v>
      </c>
      <c r="T153" t="s">
        <v>1507</v>
      </c>
      <c r="U153">
        <v>57</v>
      </c>
      <c r="V153">
        <v>1</v>
      </c>
      <c r="AE153" t="s">
        <v>74</v>
      </c>
      <c r="AF153" t="s">
        <v>1565</v>
      </c>
      <c r="AG153" t="s">
        <v>1566</v>
      </c>
      <c r="AH153" t="str">
        <f>HYPERLINK("http://compartments.jensenlab.org/Entity?figures=subcell_cell_%&amp;knowledge=10&amp;textmining=10&amp;experiments=10&amp;predictions=10&amp;type1=9606&amp;type2=-22&amp;id1=ENSP00000319991","link")</f>
        <v>link</v>
      </c>
      <c r="AI153" t="s">
        <v>65</v>
      </c>
      <c r="AJ153" t="s">
        <v>51</v>
      </c>
      <c r="AK153" t="str">
        <f>HYPERLINK("http://www.proteinatlas.org/O15403","HPA054459")</f>
        <v>HPA054459</v>
      </c>
      <c r="AL153" t="s">
        <v>1512</v>
      </c>
      <c r="AM153">
        <v>9120</v>
      </c>
    </row>
    <row r="154" spans="1:39" x14ac:dyDescent="0.35">
      <c r="A154" t="s">
        <v>1567</v>
      </c>
      <c r="B154" t="str">
        <f>HYPERLINK("http://www.uniprot.org/uniprot/O15431","O15431")</f>
        <v>O15431</v>
      </c>
      <c r="C154" t="s">
        <v>1568</v>
      </c>
      <c r="D154" t="s">
        <v>1569</v>
      </c>
      <c r="E154" t="s">
        <v>39</v>
      </c>
      <c r="F154" t="s">
        <v>55</v>
      </c>
      <c r="H154">
        <v>190</v>
      </c>
      <c r="I154">
        <v>3</v>
      </c>
      <c r="J154">
        <v>0</v>
      </c>
      <c r="K154" t="s">
        <v>1570</v>
      </c>
      <c r="L154" t="s">
        <v>57</v>
      </c>
      <c r="M154" t="s">
        <v>39</v>
      </c>
      <c r="N154">
        <v>0.68600000000000005</v>
      </c>
      <c r="O154" s="1">
        <v>2</v>
      </c>
      <c r="P154" t="s">
        <v>1571</v>
      </c>
      <c r="Q154" t="s">
        <v>1572</v>
      </c>
      <c r="S154" t="s">
        <v>45</v>
      </c>
      <c r="T154" t="s">
        <v>1573</v>
      </c>
      <c r="U154" t="s">
        <v>1574</v>
      </c>
      <c r="V154">
        <v>1</v>
      </c>
      <c r="W154" t="s">
        <v>1574</v>
      </c>
      <c r="AE154" t="s">
        <v>74</v>
      </c>
      <c r="AF154" t="s">
        <v>1575</v>
      </c>
      <c r="AG154" t="s">
        <v>1576</v>
      </c>
      <c r="AH154" t="str">
        <f>HYPERLINK("http://compartments.jensenlab.org/Entity?figures=subcell_cell_%&amp;knowledge=10&amp;textmining=10&amp;experiments=10&amp;predictions=10&amp;type1=9606&amp;type2=-22&amp;id1=ENSP00000363329","link")</f>
        <v>link</v>
      </c>
      <c r="AI154" t="s">
        <v>65</v>
      </c>
      <c r="AJ154" t="s">
        <v>51</v>
      </c>
      <c r="AK154" t="str">
        <f>HYPERLINK("http://www.proteinatlas.org/O15431","HPA013810")</f>
        <v>HPA013810</v>
      </c>
      <c r="AM154">
        <v>1317</v>
      </c>
    </row>
    <row r="155" spans="1:39" x14ac:dyDescent="0.35">
      <c r="A155" t="s">
        <v>1577</v>
      </c>
      <c r="B155" t="str">
        <f>HYPERLINK("http://www.uniprot.org/uniprot/O15438","O15438")</f>
        <v>O15438</v>
      </c>
      <c r="C155" t="s">
        <v>1578</v>
      </c>
      <c r="D155" t="s">
        <v>1579</v>
      </c>
      <c r="E155" t="s">
        <v>39</v>
      </c>
      <c r="F155" t="s">
        <v>40</v>
      </c>
      <c r="H155">
        <v>1527</v>
      </c>
      <c r="I155">
        <v>17</v>
      </c>
      <c r="J155">
        <v>0</v>
      </c>
      <c r="K155" t="s">
        <v>1580</v>
      </c>
      <c r="L155" t="s">
        <v>57</v>
      </c>
      <c r="N155">
        <v>0.79239999999999999</v>
      </c>
      <c r="O155" s="1">
        <v>1</v>
      </c>
      <c r="P155" t="s">
        <v>1581</v>
      </c>
      <c r="Q155" t="s">
        <v>1582</v>
      </c>
      <c r="S155" t="s">
        <v>45</v>
      </c>
      <c r="T155" t="s">
        <v>1583</v>
      </c>
      <c r="U155" t="s">
        <v>1584</v>
      </c>
      <c r="V155">
        <v>3</v>
      </c>
      <c r="W155" t="s">
        <v>1585</v>
      </c>
      <c r="AE155" t="s">
        <v>48</v>
      </c>
      <c r="AF155" t="s">
        <v>1586</v>
      </c>
      <c r="AG155" t="s">
        <v>1587</v>
      </c>
      <c r="AH155" t="str">
        <f>HYPERLINK("http://compartments.jensenlab.org/Entity?figures=subcell_cell_%&amp;knowledge=10&amp;textmining=10&amp;experiments=10&amp;predictions=10&amp;type1=9606&amp;type2=-22&amp;id1=ENSP00000285238","link")</f>
        <v>link</v>
      </c>
      <c r="AJ155" t="s">
        <v>51</v>
      </c>
      <c r="AK155" t="str">
        <f>HYPERLINK("http://www.proteinatlas.org/O15438","CAB037136;HPA048483")</f>
        <v>CAB037136;HPA048483</v>
      </c>
      <c r="AM155">
        <v>8714</v>
      </c>
    </row>
    <row r="156" spans="1:39" x14ac:dyDescent="0.35">
      <c r="A156" t="s">
        <v>1588</v>
      </c>
      <c r="B156" t="str">
        <f>HYPERLINK("http://www.uniprot.org/uniprot/O15439","O15439")</f>
        <v>O15439</v>
      </c>
      <c r="C156" t="s">
        <v>1589</v>
      </c>
      <c r="D156" t="s">
        <v>1590</v>
      </c>
      <c r="E156" t="s">
        <v>39</v>
      </c>
      <c r="F156" t="s">
        <v>40</v>
      </c>
      <c r="H156">
        <v>1325</v>
      </c>
      <c r="I156">
        <v>12</v>
      </c>
      <c r="J156">
        <v>0</v>
      </c>
      <c r="K156" t="s">
        <v>1591</v>
      </c>
      <c r="L156" t="s">
        <v>1592</v>
      </c>
      <c r="N156">
        <v>0.64670000000000005</v>
      </c>
      <c r="O156" s="1">
        <v>2</v>
      </c>
      <c r="P156" t="s">
        <v>1593</v>
      </c>
      <c r="Q156" t="s">
        <v>1594</v>
      </c>
      <c r="S156" t="s">
        <v>45</v>
      </c>
      <c r="T156" t="s">
        <v>1583</v>
      </c>
      <c r="U156" t="s">
        <v>1595</v>
      </c>
      <c r="V156">
        <v>2</v>
      </c>
      <c r="W156" t="s">
        <v>1595</v>
      </c>
      <c r="X156" t="s">
        <v>1596</v>
      </c>
      <c r="Z156" t="s">
        <v>123</v>
      </c>
      <c r="AA156">
        <v>2</v>
      </c>
      <c r="AB156" t="s">
        <v>1597</v>
      </c>
      <c r="AC156" t="s">
        <v>1598</v>
      </c>
      <c r="AD156" t="s">
        <v>1599</v>
      </c>
      <c r="AE156" t="s">
        <v>48</v>
      </c>
      <c r="AF156" t="s">
        <v>1600</v>
      </c>
      <c r="AG156" t="s">
        <v>1601</v>
      </c>
      <c r="AH156" t="str">
        <f>HYPERLINK("http://compartments.jensenlab.org/Entity?figures=subcell_cell_%&amp;knowledge=10&amp;textmining=10&amp;experiments=10&amp;predictions=10&amp;type1=9606&amp;type2=-22&amp;id1=ENSP00000366084","link")</f>
        <v>link</v>
      </c>
      <c r="AI156" t="s">
        <v>65</v>
      </c>
      <c r="AJ156" t="s">
        <v>51</v>
      </c>
      <c r="AK156" t="str">
        <f>HYPERLINK("http://www.proteinatlas.org/O15439","HPA002476")</f>
        <v>HPA002476</v>
      </c>
      <c r="AM156">
        <v>10257</v>
      </c>
    </row>
    <row r="157" spans="1:39" x14ac:dyDescent="0.35">
      <c r="A157" t="s">
        <v>1602</v>
      </c>
      <c r="B157" t="str">
        <f>HYPERLINK("http://www.uniprot.org/uniprot/O15440","O15440")</f>
        <v>O15440</v>
      </c>
      <c r="C157" t="s">
        <v>1603</v>
      </c>
      <c r="D157" t="s">
        <v>1604</v>
      </c>
      <c r="E157" t="s">
        <v>39</v>
      </c>
      <c r="F157" t="s">
        <v>40</v>
      </c>
      <c r="H157">
        <v>1437</v>
      </c>
      <c r="I157">
        <v>12</v>
      </c>
      <c r="J157">
        <v>0</v>
      </c>
      <c r="K157" t="s">
        <v>1605</v>
      </c>
      <c r="L157" t="s">
        <v>1592</v>
      </c>
      <c r="N157">
        <v>0.73250000000000004</v>
      </c>
      <c r="O157" s="1">
        <v>2</v>
      </c>
      <c r="P157" t="s">
        <v>1606</v>
      </c>
      <c r="Q157" t="s">
        <v>1607</v>
      </c>
      <c r="S157" t="s">
        <v>45</v>
      </c>
      <c r="T157" t="s">
        <v>1583</v>
      </c>
      <c r="U157" t="s">
        <v>1608</v>
      </c>
      <c r="V157">
        <v>2</v>
      </c>
      <c r="W157" t="s">
        <v>1609</v>
      </c>
      <c r="Z157" t="s">
        <v>123</v>
      </c>
      <c r="AA157">
        <v>1</v>
      </c>
      <c r="AB157" t="s">
        <v>1610</v>
      </c>
      <c r="AC157">
        <v>897</v>
      </c>
      <c r="AD157" t="s">
        <v>1611</v>
      </c>
      <c r="AE157" t="s">
        <v>48</v>
      </c>
      <c r="AF157" t="s">
        <v>1612</v>
      </c>
      <c r="AG157" t="s">
        <v>1613</v>
      </c>
      <c r="AH157" t="str">
        <f>HYPERLINK("http://compartments.jensenlab.org/Entity?figures=subcell_cell_%&amp;knowledge=10&amp;textmining=10&amp;experiments=10&amp;predictions=10&amp;type1=9606&amp;type2=-22&amp;id1=ENSP00000333926","link")</f>
        <v>link</v>
      </c>
      <c r="AJ157" t="s">
        <v>51</v>
      </c>
      <c r="AK157" t="str">
        <f>HYPERLINK("http://www.proteinatlas.org/O15440","HPA052295")</f>
        <v>HPA052295</v>
      </c>
      <c r="AM157">
        <v>10057</v>
      </c>
    </row>
    <row r="158" spans="1:39" x14ac:dyDescent="0.35">
      <c r="A158" t="s">
        <v>1614</v>
      </c>
      <c r="B158" t="str">
        <f>HYPERLINK("http://www.uniprot.org/uniprot/O15455","O15455")</f>
        <v>O15455</v>
      </c>
      <c r="C158" t="s">
        <v>1615</v>
      </c>
      <c r="D158" t="s">
        <v>1616</v>
      </c>
      <c r="E158" t="s">
        <v>39</v>
      </c>
      <c r="F158" t="s">
        <v>40</v>
      </c>
      <c r="H158">
        <v>904</v>
      </c>
      <c r="I158">
        <v>1</v>
      </c>
      <c r="J158">
        <v>1</v>
      </c>
      <c r="K158" t="s">
        <v>1617</v>
      </c>
      <c r="L158" t="s">
        <v>101</v>
      </c>
      <c r="N158">
        <v>0.84630000000000005</v>
      </c>
      <c r="O158" s="1">
        <v>1</v>
      </c>
      <c r="P158" t="s">
        <v>1618</v>
      </c>
      <c r="Q158" t="s">
        <v>1619</v>
      </c>
      <c r="R158" t="s">
        <v>1620</v>
      </c>
      <c r="S158" t="s">
        <v>166</v>
      </c>
      <c r="T158" t="s">
        <v>848</v>
      </c>
      <c r="U158" t="s">
        <v>1621</v>
      </c>
      <c r="V158">
        <v>15</v>
      </c>
      <c r="W158" t="s">
        <v>1622</v>
      </c>
      <c r="Z158" t="s">
        <v>107</v>
      </c>
      <c r="AA158">
        <v>3</v>
      </c>
      <c r="AB158" t="s">
        <v>1623</v>
      </c>
      <c r="AC158" t="s">
        <v>1624</v>
      </c>
      <c r="AD158" t="s">
        <v>1625</v>
      </c>
      <c r="AE158" t="s">
        <v>1626</v>
      </c>
      <c r="AF158" t="s">
        <v>1627</v>
      </c>
      <c r="AG158" t="s">
        <v>1628</v>
      </c>
      <c r="AH158" t="str">
        <f>HYPERLINK("http://compartments.jensenlab.org/Entity?figures=subcell_cell_%&amp;knowledge=10&amp;textmining=10&amp;experiments=10&amp;predictions=10&amp;type1=9606&amp;type2=-22&amp;id1=ENSP00000296795","link")</f>
        <v>link</v>
      </c>
      <c r="AI158" t="s">
        <v>1629</v>
      </c>
      <c r="AJ158" t="s">
        <v>1630</v>
      </c>
      <c r="AK158" t="str">
        <f>HYPERLINK("http://www.proteinatlas.org/O15455","CAB025658")</f>
        <v>CAB025658</v>
      </c>
      <c r="AM158">
        <v>7098</v>
      </c>
    </row>
    <row r="159" spans="1:39" x14ac:dyDescent="0.35">
      <c r="A159" t="s">
        <v>1631</v>
      </c>
      <c r="B159" t="str">
        <f>HYPERLINK("http://www.uniprot.org/uniprot/O15529","O15529")</f>
        <v>O15529</v>
      </c>
      <c r="C159" t="s">
        <v>1632</v>
      </c>
      <c r="D159" t="s">
        <v>1633</v>
      </c>
      <c r="E159" t="s">
        <v>39</v>
      </c>
      <c r="F159" t="s">
        <v>40</v>
      </c>
      <c r="H159">
        <v>346</v>
      </c>
      <c r="I159">
        <v>7</v>
      </c>
      <c r="J159">
        <v>0</v>
      </c>
      <c r="K159" t="s">
        <v>1634</v>
      </c>
      <c r="L159" t="s">
        <v>57</v>
      </c>
      <c r="N159">
        <v>0.97599999999999998</v>
      </c>
      <c r="O159" s="1">
        <v>1</v>
      </c>
      <c r="P159" t="s">
        <v>1635</v>
      </c>
      <c r="Q159" t="s">
        <v>1636</v>
      </c>
      <c r="S159" t="s">
        <v>166</v>
      </c>
      <c r="T159" t="s">
        <v>838</v>
      </c>
      <c r="U159" t="s">
        <v>1324</v>
      </c>
      <c r="V159">
        <v>1</v>
      </c>
      <c r="W159" t="s">
        <v>1325</v>
      </c>
      <c r="Y159">
        <v>298</v>
      </c>
      <c r="AE159" t="s">
        <v>74</v>
      </c>
      <c r="AF159" t="s">
        <v>910</v>
      </c>
      <c r="AG159" t="s">
        <v>1637</v>
      </c>
      <c r="AH159" t="str">
        <f>HYPERLINK("http://compartments.jensenlab.org/Entity?figures=subcell_cell_%&amp;knowledge=10&amp;textmining=10&amp;experiments=10&amp;predictions=10&amp;type1=9606&amp;type2=-22&amp;id1=ENSP00000410925","link")</f>
        <v>link</v>
      </c>
      <c r="AK159" t="str">
        <f>HYPERLINK("http://www.proteinatlas.org/O15529","HPA044681")</f>
        <v>HPA044681</v>
      </c>
    </row>
    <row r="160" spans="1:39" x14ac:dyDescent="0.35">
      <c r="A160" t="s">
        <v>1638</v>
      </c>
      <c r="B160" t="str">
        <f>HYPERLINK("http://www.uniprot.org/uniprot/O15547","O15547")</f>
        <v>O15547</v>
      </c>
      <c r="C160" t="s">
        <v>1639</v>
      </c>
      <c r="D160" t="s">
        <v>1640</v>
      </c>
      <c r="E160" t="s">
        <v>39</v>
      </c>
      <c r="F160" t="s">
        <v>40</v>
      </c>
      <c r="H160">
        <v>441</v>
      </c>
      <c r="I160">
        <v>2</v>
      </c>
      <c r="J160">
        <v>0</v>
      </c>
      <c r="K160" t="s">
        <v>1641</v>
      </c>
      <c r="L160" t="s">
        <v>57</v>
      </c>
      <c r="N160">
        <v>0.75049999999999994</v>
      </c>
      <c r="O160" s="1">
        <v>1</v>
      </c>
      <c r="P160" t="s">
        <v>1642</v>
      </c>
      <c r="Q160" t="s">
        <v>1643</v>
      </c>
      <c r="S160" t="s">
        <v>45</v>
      </c>
      <c r="T160" t="s">
        <v>1644</v>
      </c>
      <c r="U160" t="s">
        <v>1645</v>
      </c>
      <c r="V160">
        <v>3</v>
      </c>
      <c r="W160" t="s">
        <v>1646</v>
      </c>
      <c r="AE160" t="s">
        <v>48</v>
      </c>
      <c r="AF160" t="s">
        <v>1647</v>
      </c>
      <c r="AG160" t="s">
        <v>1648</v>
      </c>
      <c r="AH160" t="str">
        <f>HYPERLINK("http://compartments.jensenlab.org/Entity?figures=subcell_cell_%&amp;knowledge=10&amp;textmining=10&amp;experiments=10&amp;predictions=10&amp;type1=9606&amp;type2=-22&amp;id1=ENSP00000416193","link")</f>
        <v>link</v>
      </c>
      <c r="AJ160" t="s">
        <v>1649</v>
      </c>
      <c r="AK160" t="str">
        <f>HYPERLINK("http://www.proteinatlas.org/O15547","HPA028776;HPA028777")</f>
        <v>HPA028776;HPA028777</v>
      </c>
      <c r="AM160">
        <v>9127</v>
      </c>
    </row>
    <row r="161" spans="1:39" x14ac:dyDescent="0.35">
      <c r="A161" t="s">
        <v>1650</v>
      </c>
      <c r="B161" t="str">
        <f>HYPERLINK("http://www.uniprot.org/uniprot/O15551","O15551")</f>
        <v>O15551</v>
      </c>
      <c r="C161" t="s">
        <v>1651</v>
      </c>
      <c r="D161" t="s">
        <v>1652</v>
      </c>
      <c r="E161" t="s">
        <v>39</v>
      </c>
      <c r="F161" t="s">
        <v>40</v>
      </c>
      <c r="H161">
        <v>220</v>
      </c>
      <c r="I161">
        <v>4</v>
      </c>
      <c r="J161">
        <v>0</v>
      </c>
      <c r="K161" t="s">
        <v>1653</v>
      </c>
      <c r="L161" t="s">
        <v>57</v>
      </c>
      <c r="N161">
        <v>0.69059999999999999</v>
      </c>
      <c r="O161" s="1">
        <v>2</v>
      </c>
      <c r="P161" t="s">
        <v>1654</v>
      </c>
      <c r="Q161" t="s">
        <v>1655</v>
      </c>
      <c r="S161" t="s">
        <v>91</v>
      </c>
      <c r="T161" t="s">
        <v>537</v>
      </c>
      <c r="V161">
        <v>0</v>
      </c>
      <c r="Y161" t="s">
        <v>1656</v>
      </c>
      <c r="AE161" t="s">
        <v>539</v>
      </c>
      <c r="AF161" t="s">
        <v>1109</v>
      </c>
      <c r="AG161" t="s">
        <v>1657</v>
      </c>
      <c r="AH161" t="str">
        <f>HYPERLINK("http://compartments.jensenlab.org/Entity?figures=subcell_cell_%&amp;knowledge=10&amp;textmining=10&amp;experiments=10&amp;predictions=10&amp;type1=9606&amp;type2=-22&amp;id1=ENSP00000378577","link")</f>
        <v>link</v>
      </c>
      <c r="AI161" t="s">
        <v>65</v>
      </c>
      <c r="AJ161" t="s">
        <v>51</v>
      </c>
      <c r="AK161" t="str">
        <f>HYPERLINK("http://www.proteinatlas.org/O15551","CAB002702;HPA007322;HPA014361")</f>
        <v>CAB002702;HPA007322;HPA014361</v>
      </c>
      <c r="AM161">
        <v>1365</v>
      </c>
    </row>
    <row r="162" spans="1:39" x14ac:dyDescent="0.35">
      <c r="A162" t="s">
        <v>1658</v>
      </c>
      <c r="B162" t="str">
        <f>HYPERLINK("http://www.uniprot.org/uniprot/O15552","O15552")</f>
        <v>O15552</v>
      </c>
      <c r="C162" t="s">
        <v>1659</v>
      </c>
      <c r="D162" t="s">
        <v>1660</v>
      </c>
      <c r="E162" t="s">
        <v>39</v>
      </c>
      <c r="F162" t="s">
        <v>55</v>
      </c>
      <c r="H162">
        <v>330</v>
      </c>
      <c r="I162">
        <v>7</v>
      </c>
      <c r="J162">
        <v>0</v>
      </c>
      <c r="K162" t="s">
        <v>1661</v>
      </c>
      <c r="L162" t="s">
        <v>57</v>
      </c>
      <c r="M162" t="s">
        <v>39</v>
      </c>
      <c r="N162">
        <v>0.96699999999999997</v>
      </c>
      <c r="O162" s="1">
        <v>1</v>
      </c>
      <c r="P162" t="s">
        <v>1662</v>
      </c>
      <c r="Q162" t="s">
        <v>1663</v>
      </c>
      <c r="S162" t="s">
        <v>166</v>
      </c>
      <c r="T162" t="s">
        <v>838</v>
      </c>
      <c r="U162" t="s">
        <v>1664</v>
      </c>
      <c r="V162">
        <v>2</v>
      </c>
      <c r="W162" t="s">
        <v>1665</v>
      </c>
      <c r="AE162" t="s">
        <v>74</v>
      </c>
      <c r="AF162" t="s">
        <v>1666</v>
      </c>
      <c r="AG162" t="s">
        <v>1667</v>
      </c>
      <c r="AH162" t="str">
        <f>HYPERLINK("http://compartments.jensenlab.org/Entity?figures=subcell_cell_%&amp;knowledge=10&amp;textmining=10&amp;experiments=10&amp;predictions=10&amp;type1=9606&amp;type2=-22&amp;id1=ENSP00000246549","link")</f>
        <v>link</v>
      </c>
      <c r="AI162" t="s">
        <v>65</v>
      </c>
      <c r="AJ162" t="s">
        <v>51</v>
      </c>
      <c r="AK162" t="str">
        <f>HYPERLINK("http://www.proteinatlas.org/O15552","HPA023985")</f>
        <v>HPA023985</v>
      </c>
      <c r="AM162">
        <v>2867</v>
      </c>
    </row>
    <row r="163" spans="1:39" x14ac:dyDescent="0.35">
      <c r="A163" t="s">
        <v>1668</v>
      </c>
      <c r="B163" t="str">
        <f>HYPERLINK("http://www.uniprot.org/uniprot/O42043","O42043")</f>
        <v>O42043</v>
      </c>
      <c r="C163" t="s">
        <v>1669</v>
      </c>
      <c r="D163" t="s">
        <v>1670</v>
      </c>
      <c r="E163" t="s">
        <v>39</v>
      </c>
      <c r="F163" t="s">
        <v>40</v>
      </c>
      <c r="H163">
        <v>560</v>
      </c>
      <c r="I163">
        <v>2</v>
      </c>
      <c r="J163">
        <v>0</v>
      </c>
      <c r="K163" t="s">
        <v>1671</v>
      </c>
      <c r="L163" t="s">
        <v>42</v>
      </c>
      <c r="N163">
        <v>0.62870000000000004</v>
      </c>
      <c r="O163" s="1">
        <v>2</v>
      </c>
      <c r="S163" t="s">
        <v>91</v>
      </c>
      <c r="T163" t="s">
        <v>1672</v>
      </c>
      <c r="U163" t="s">
        <v>1673</v>
      </c>
      <c r="V163">
        <v>4</v>
      </c>
      <c r="AE163" t="s">
        <v>1674</v>
      </c>
      <c r="AF163" t="s">
        <v>1675</v>
      </c>
      <c r="AG163" t="s">
        <v>1676</v>
      </c>
      <c r="AK163" t="str">
        <f>HYPERLINK("http://www.proteinatlas.org/O42043","no")</f>
        <v>no</v>
      </c>
    </row>
    <row r="164" spans="1:39" x14ac:dyDescent="0.35">
      <c r="A164" t="s">
        <v>1677</v>
      </c>
      <c r="B164" t="str">
        <f>HYPERLINK("http://www.uniprot.org/uniprot/O43155","O43155")</f>
        <v>O43155</v>
      </c>
      <c r="C164" t="s">
        <v>1678</v>
      </c>
      <c r="D164" t="s">
        <v>1679</v>
      </c>
      <c r="E164" t="s">
        <v>39</v>
      </c>
      <c r="F164" t="s">
        <v>55</v>
      </c>
      <c r="H164">
        <v>660</v>
      </c>
      <c r="I164">
        <v>1</v>
      </c>
      <c r="J164">
        <v>1</v>
      </c>
      <c r="K164" t="s">
        <v>1680</v>
      </c>
      <c r="L164" t="s">
        <v>101</v>
      </c>
      <c r="M164" t="s">
        <v>39</v>
      </c>
      <c r="N164">
        <v>0.97870000000000001</v>
      </c>
      <c r="O164" s="1">
        <v>1</v>
      </c>
      <c r="P164" t="s">
        <v>1681</v>
      </c>
      <c r="Q164" t="s">
        <v>1682</v>
      </c>
      <c r="S164" t="s">
        <v>91</v>
      </c>
      <c r="T164" t="s">
        <v>260</v>
      </c>
      <c r="U164" t="s">
        <v>1683</v>
      </c>
      <c r="V164">
        <v>4</v>
      </c>
      <c r="W164" t="s">
        <v>1684</v>
      </c>
      <c r="Z164" t="s">
        <v>107</v>
      </c>
      <c r="AA164">
        <v>1</v>
      </c>
      <c r="AB164" t="s">
        <v>1685</v>
      </c>
      <c r="AC164">
        <v>202</v>
      </c>
      <c r="AD164" t="s">
        <v>1686</v>
      </c>
      <c r="AE164" t="s">
        <v>144</v>
      </c>
      <c r="AF164" t="s">
        <v>1687</v>
      </c>
      <c r="AG164" t="s">
        <v>1688</v>
      </c>
      <c r="AH164" t="str">
        <f>HYPERLINK("http://compartments.jensenlab.org/Entity?figures=subcell_cell_%&amp;knowledge=10&amp;textmining=10&amp;experiments=10&amp;predictions=10&amp;type1=9606&amp;type2=-22&amp;id1=ENSP00000332879","link")</f>
        <v>link</v>
      </c>
      <c r="AI164" t="s">
        <v>1058</v>
      </c>
      <c r="AJ164" t="s">
        <v>902</v>
      </c>
      <c r="AK164" t="str">
        <f>HYPERLINK("http://www.proteinatlas.org/O43155","no")</f>
        <v>no</v>
      </c>
      <c r="AM164">
        <v>23768</v>
      </c>
    </row>
    <row r="165" spans="1:39" x14ac:dyDescent="0.35">
      <c r="A165" t="s">
        <v>1689</v>
      </c>
      <c r="B165" t="str">
        <f>HYPERLINK("http://www.uniprot.org/uniprot/O43157","O43157")</f>
        <v>O43157</v>
      </c>
      <c r="C165" t="s">
        <v>1690</v>
      </c>
      <c r="D165" t="s">
        <v>1691</v>
      </c>
      <c r="E165" t="s">
        <v>39</v>
      </c>
      <c r="F165" t="s">
        <v>55</v>
      </c>
      <c r="H165">
        <v>2135</v>
      </c>
      <c r="I165">
        <v>1</v>
      </c>
      <c r="J165">
        <v>1</v>
      </c>
      <c r="K165" t="s">
        <v>1692</v>
      </c>
      <c r="L165" t="s">
        <v>101</v>
      </c>
      <c r="M165" t="s">
        <v>39</v>
      </c>
      <c r="N165">
        <v>0.88139999999999996</v>
      </c>
      <c r="O165" s="1">
        <v>1</v>
      </c>
      <c r="P165" t="s">
        <v>1693</v>
      </c>
      <c r="Q165" t="s">
        <v>1694</v>
      </c>
      <c r="S165" t="s">
        <v>166</v>
      </c>
      <c r="T165" t="s">
        <v>1382</v>
      </c>
      <c r="U165" t="s">
        <v>1695</v>
      </c>
      <c r="V165">
        <v>6</v>
      </c>
      <c r="W165" t="s">
        <v>1696</v>
      </c>
      <c r="Y165" t="s">
        <v>1697</v>
      </c>
      <c r="Z165" t="s">
        <v>107</v>
      </c>
      <c r="AA165">
        <v>1</v>
      </c>
      <c r="AB165" t="s">
        <v>1698</v>
      </c>
      <c r="AC165">
        <v>1253</v>
      </c>
      <c r="AD165" t="s">
        <v>1699</v>
      </c>
      <c r="AE165" t="s">
        <v>1700</v>
      </c>
      <c r="AF165" t="s">
        <v>1701</v>
      </c>
      <c r="AG165" t="s">
        <v>1702</v>
      </c>
      <c r="AH165" t="str">
        <f>HYPERLINK("http://compartments.jensenlab.org/Entity?figures=subcell_cell_%&amp;knowledge=10&amp;textmining=10&amp;experiments=10&amp;predictions=10&amp;type1=9606&amp;type2=-22&amp;id1=ENSP00000296440","link")</f>
        <v>link</v>
      </c>
      <c r="AI165" t="s">
        <v>1058</v>
      </c>
      <c r="AK165" t="str">
        <f>HYPERLINK("http://www.proteinatlas.org/O43157","HPA040586")</f>
        <v>HPA040586</v>
      </c>
      <c r="AM165">
        <v>5364</v>
      </c>
    </row>
    <row r="166" spans="1:39" x14ac:dyDescent="0.35">
      <c r="A166" t="s">
        <v>1703</v>
      </c>
      <c r="B166" t="str">
        <f>HYPERLINK("http://www.uniprot.org/uniprot/O43184","O43184")</f>
        <v>O43184</v>
      </c>
      <c r="C166" t="s">
        <v>1704</v>
      </c>
      <c r="D166" t="s">
        <v>1705</v>
      </c>
      <c r="E166" t="s">
        <v>39</v>
      </c>
      <c r="F166" t="s">
        <v>55</v>
      </c>
      <c r="H166">
        <v>909</v>
      </c>
      <c r="I166">
        <v>1</v>
      </c>
      <c r="J166">
        <v>1</v>
      </c>
      <c r="K166" t="s">
        <v>1706</v>
      </c>
      <c r="L166" t="s">
        <v>101</v>
      </c>
      <c r="M166" t="s">
        <v>39</v>
      </c>
      <c r="N166">
        <v>0.92759999999999998</v>
      </c>
      <c r="O166" s="1">
        <v>1</v>
      </c>
      <c r="P166" t="s">
        <v>1707</v>
      </c>
      <c r="Q166" t="s">
        <v>1708</v>
      </c>
      <c r="S166" t="s">
        <v>947</v>
      </c>
      <c r="T166" t="s">
        <v>1208</v>
      </c>
      <c r="U166" t="s">
        <v>1709</v>
      </c>
      <c r="V166">
        <v>5</v>
      </c>
      <c r="W166" t="s">
        <v>1709</v>
      </c>
      <c r="Z166" t="s">
        <v>107</v>
      </c>
      <c r="AA166">
        <v>1</v>
      </c>
      <c r="AB166" t="s">
        <v>1710</v>
      </c>
      <c r="AC166">
        <v>149</v>
      </c>
      <c r="AD166" t="s">
        <v>1711</v>
      </c>
      <c r="AE166" t="s">
        <v>1712</v>
      </c>
      <c r="AF166" t="s">
        <v>1713</v>
      </c>
      <c r="AG166" t="s">
        <v>1714</v>
      </c>
      <c r="AH166" t="str">
        <f>HYPERLINK("http://compartments.jensenlab.org/Entity?figures=subcell_cell_%&amp;knowledge=10&amp;textmining=10&amp;experiments=10&amp;predictions=10&amp;type1=9606&amp;type2=-22&amp;id1=ENSP00000357668","link")</f>
        <v>link</v>
      </c>
      <c r="AI166" t="s">
        <v>1058</v>
      </c>
      <c r="AJ166" t="s">
        <v>1715</v>
      </c>
      <c r="AK166" t="str">
        <f>HYPERLINK("http://www.proteinatlas.org/O43184","HPA030866;HPA030867;HPA030868")</f>
        <v>HPA030866;HPA030867;HPA030868</v>
      </c>
      <c r="AM166">
        <v>8038</v>
      </c>
    </row>
    <row r="167" spans="1:39" x14ac:dyDescent="0.35">
      <c r="A167" t="s">
        <v>1716</v>
      </c>
      <c r="B167" t="str">
        <f>HYPERLINK("http://www.uniprot.org/uniprot/O43193","O43193")</f>
        <v>O43193</v>
      </c>
      <c r="C167" t="s">
        <v>1717</v>
      </c>
      <c r="D167" t="s">
        <v>1718</v>
      </c>
      <c r="E167" t="s">
        <v>39</v>
      </c>
      <c r="F167" t="s">
        <v>55</v>
      </c>
      <c r="H167">
        <v>412</v>
      </c>
      <c r="I167">
        <v>7</v>
      </c>
      <c r="J167">
        <v>0</v>
      </c>
      <c r="K167" t="s">
        <v>1719</v>
      </c>
      <c r="L167" t="s">
        <v>57</v>
      </c>
      <c r="M167" t="s">
        <v>39</v>
      </c>
      <c r="N167">
        <v>0.94289999999999996</v>
      </c>
      <c r="O167" s="1">
        <v>1</v>
      </c>
      <c r="P167" t="s">
        <v>1720</v>
      </c>
      <c r="Q167" t="s">
        <v>1721</v>
      </c>
      <c r="S167" t="s">
        <v>166</v>
      </c>
      <c r="T167" t="s">
        <v>838</v>
      </c>
      <c r="U167" t="s">
        <v>1722</v>
      </c>
      <c r="V167">
        <v>2</v>
      </c>
      <c r="W167">
        <v>192</v>
      </c>
      <c r="AE167" t="s">
        <v>74</v>
      </c>
      <c r="AF167" t="s">
        <v>1723</v>
      </c>
      <c r="AG167" t="s">
        <v>1724</v>
      </c>
      <c r="AH167" t="str">
        <f>HYPERLINK("http://compartments.jensenlab.org/Entity?figures=subcell_cell_%&amp;knowledge=10&amp;textmining=10&amp;experiments=10&amp;predictions=10&amp;type1=9606&amp;type2=-22&amp;id1=ENSP00000218721","link")</f>
        <v>link</v>
      </c>
      <c r="AI167" t="s">
        <v>65</v>
      </c>
      <c r="AJ167" t="s">
        <v>51</v>
      </c>
      <c r="AK167" t="str">
        <f>HYPERLINK("http://www.proteinatlas.org/O43193","no")</f>
        <v>no</v>
      </c>
      <c r="AM167">
        <v>2862</v>
      </c>
    </row>
    <row r="168" spans="1:39" x14ac:dyDescent="0.35">
      <c r="A168" t="s">
        <v>1725</v>
      </c>
      <c r="B168" t="str">
        <f>HYPERLINK("http://www.uniprot.org/uniprot/O43194","O43194")</f>
        <v>O43194</v>
      </c>
      <c r="C168" t="s">
        <v>1726</v>
      </c>
      <c r="D168" t="s">
        <v>1727</v>
      </c>
      <c r="E168" t="s">
        <v>39</v>
      </c>
      <c r="F168" t="s">
        <v>55</v>
      </c>
      <c r="H168">
        <v>453</v>
      </c>
      <c r="I168">
        <v>7</v>
      </c>
      <c r="J168">
        <v>0</v>
      </c>
      <c r="K168" t="s">
        <v>1728</v>
      </c>
      <c r="L168" t="s">
        <v>101</v>
      </c>
      <c r="M168" t="s">
        <v>39</v>
      </c>
      <c r="N168">
        <v>0.96609999999999996</v>
      </c>
      <c r="O168" s="1">
        <v>1</v>
      </c>
      <c r="P168" t="s">
        <v>1729</v>
      </c>
      <c r="Q168" t="s">
        <v>1730</v>
      </c>
      <c r="S168" t="s">
        <v>166</v>
      </c>
      <c r="T168" t="s">
        <v>838</v>
      </c>
      <c r="U168" t="s">
        <v>1731</v>
      </c>
      <c r="V168">
        <v>3</v>
      </c>
      <c r="Z168" t="s">
        <v>107</v>
      </c>
      <c r="AA168">
        <v>3</v>
      </c>
      <c r="AB168" t="s">
        <v>1732</v>
      </c>
      <c r="AC168" t="s">
        <v>1733</v>
      </c>
      <c r="AD168" t="s">
        <v>1734</v>
      </c>
      <c r="AE168" t="s">
        <v>74</v>
      </c>
      <c r="AF168" t="s">
        <v>1735</v>
      </c>
      <c r="AG168" t="s">
        <v>1736</v>
      </c>
      <c r="AH168" t="str">
        <f>HYPERLINK("http://compartments.jensenlab.org/Entity?figures=subcell_cell_%&amp;knowledge=10&amp;textmining=10&amp;experiments=10&amp;predictions=10&amp;type1=9606&amp;type2=-22&amp;id1=ENSP00000327417","link")</f>
        <v>link</v>
      </c>
      <c r="AI168" t="s">
        <v>65</v>
      </c>
      <c r="AJ168" t="s">
        <v>51</v>
      </c>
      <c r="AK168" t="str">
        <f>HYPERLINK("http://www.proteinatlas.org/O43194","HPA022111")</f>
        <v>HPA022111</v>
      </c>
      <c r="AM168">
        <v>2863</v>
      </c>
    </row>
    <row r="169" spans="1:39" x14ac:dyDescent="0.35">
      <c r="A169" t="s">
        <v>1737</v>
      </c>
      <c r="B169" t="str">
        <f>HYPERLINK("http://www.uniprot.org/uniprot/O43246","O43246")</f>
        <v>O43246</v>
      </c>
      <c r="C169" t="s">
        <v>1738</v>
      </c>
      <c r="D169" t="s">
        <v>1739</v>
      </c>
      <c r="E169" t="s">
        <v>39</v>
      </c>
      <c r="F169" t="s">
        <v>40</v>
      </c>
      <c r="H169">
        <v>635</v>
      </c>
      <c r="I169">
        <v>14</v>
      </c>
      <c r="J169">
        <v>0</v>
      </c>
      <c r="K169" t="s">
        <v>1740</v>
      </c>
      <c r="L169" t="s">
        <v>42</v>
      </c>
      <c r="N169">
        <v>0.78039999999999998</v>
      </c>
      <c r="O169" s="1">
        <v>1</v>
      </c>
      <c r="P169" t="s">
        <v>1741</v>
      </c>
      <c r="Q169" t="s">
        <v>1742</v>
      </c>
      <c r="S169" t="s">
        <v>45</v>
      </c>
      <c r="T169" t="s">
        <v>1743</v>
      </c>
      <c r="U169" t="s">
        <v>1744</v>
      </c>
      <c r="V169">
        <v>3</v>
      </c>
      <c r="AE169" t="s">
        <v>48</v>
      </c>
      <c r="AF169" t="s">
        <v>1745</v>
      </c>
      <c r="AG169" t="s">
        <v>1746</v>
      </c>
      <c r="AH169" t="str">
        <f>HYPERLINK("http://compartments.jensenlab.org/Entity?figures=subcell_cell_%&amp;knowledge=10&amp;textmining=10&amp;experiments=10&amp;predictions=10&amp;type1=9606&amp;type2=-22&amp;id1=ENSP00000372390","link")</f>
        <v>link</v>
      </c>
      <c r="AJ169" t="s">
        <v>51</v>
      </c>
      <c r="AK169" t="str">
        <f>HYPERLINK("http://www.proteinatlas.org/O43246","HPA031023")</f>
        <v>HPA031023</v>
      </c>
      <c r="AL169" t="s">
        <v>1747</v>
      </c>
      <c r="AM169">
        <v>6545</v>
      </c>
    </row>
    <row r="170" spans="1:39" x14ac:dyDescent="0.35">
      <c r="A170" t="s">
        <v>1748</v>
      </c>
      <c r="B170" t="str">
        <f>HYPERLINK("http://www.uniprot.org/uniprot/O43280","O43280")</f>
        <v>O43280</v>
      </c>
      <c r="C170" t="s">
        <v>1749</v>
      </c>
      <c r="D170" t="s">
        <v>1750</v>
      </c>
      <c r="E170" t="s">
        <v>39</v>
      </c>
      <c r="F170" t="s">
        <v>239</v>
      </c>
      <c r="H170">
        <v>583</v>
      </c>
      <c r="I170">
        <v>0</v>
      </c>
      <c r="J170">
        <v>1</v>
      </c>
      <c r="K170" t="s">
        <v>1751</v>
      </c>
      <c r="L170" t="s">
        <v>57</v>
      </c>
      <c r="N170">
        <v>0.53690000000000004</v>
      </c>
      <c r="O170" s="1" t="s">
        <v>1752</v>
      </c>
      <c r="P170" t="s">
        <v>1753</v>
      </c>
      <c r="Q170" t="s">
        <v>1754</v>
      </c>
      <c r="U170" t="s">
        <v>1755</v>
      </c>
      <c r="V170">
        <v>5</v>
      </c>
      <c r="AE170" t="s">
        <v>243</v>
      </c>
      <c r="AF170" t="s">
        <v>1756</v>
      </c>
      <c r="AG170" t="s">
        <v>1757</v>
      </c>
      <c r="AH170" t="str">
        <f>HYPERLINK("http://compartments.jensenlab.org/Entity?figures=subcell_cell_%&amp;knowledge=10&amp;textmining=10&amp;experiments=10&amp;predictions=10&amp;type1=9606&amp;type2=-22&amp;id1=ENSP00000264029","link")</f>
        <v>link</v>
      </c>
      <c r="AI170" t="s">
        <v>65</v>
      </c>
      <c r="AJ170" t="s">
        <v>51</v>
      </c>
      <c r="AK170" t="str">
        <f>HYPERLINK("http://www.proteinatlas.org/O43280","HPA039913")</f>
        <v>HPA039913</v>
      </c>
      <c r="AM170">
        <v>11181</v>
      </c>
    </row>
    <row r="171" spans="1:39" x14ac:dyDescent="0.35">
      <c r="A171" t="s">
        <v>1758</v>
      </c>
      <c r="B171" t="str">
        <f>HYPERLINK("http://www.uniprot.org/uniprot/O43291","O43291")</f>
        <v>O43291</v>
      </c>
      <c r="C171" t="s">
        <v>1759</v>
      </c>
      <c r="D171" t="s">
        <v>1760</v>
      </c>
      <c r="E171" t="s">
        <v>39</v>
      </c>
      <c r="F171" t="s">
        <v>40</v>
      </c>
      <c r="H171">
        <v>252</v>
      </c>
      <c r="I171">
        <v>1</v>
      </c>
      <c r="J171">
        <v>1</v>
      </c>
      <c r="K171" t="s">
        <v>1761</v>
      </c>
      <c r="L171" t="s">
        <v>57</v>
      </c>
      <c r="N171">
        <v>0.95209999999999995</v>
      </c>
      <c r="O171" s="1">
        <v>1</v>
      </c>
      <c r="P171" t="s">
        <v>1762</v>
      </c>
      <c r="Q171" t="s">
        <v>1763</v>
      </c>
      <c r="S171" t="s">
        <v>60</v>
      </c>
      <c r="T171" t="s">
        <v>60</v>
      </c>
      <c r="U171" t="s">
        <v>1764</v>
      </c>
      <c r="V171">
        <v>2</v>
      </c>
      <c r="W171" t="s">
        <v>1764</v>
      </c>
      <c r="AE171" t="s">
        <v>144</v>
      </c>
      <c r="AF171" t="s">
        <v>1765</v>
      </c>
      <c r="AG171" t="s">
        <v>1766</v>
      </c>
      <c r="AH171" t="str">
        <f>HYPERLINK("http://compartments.jensenlab.org/Entity?figures=subcell_cell_%&amp;knowledge=10&amp;textmining=10&amp;experiments=10&amp;predictions=10&amp;type1=9606&amp;type2=-22&amp;id1=ENSP00000301244","link")</f>
        <v>link</v>
      </c>
      <c r="AJ171" t="s">
        <v>1767</v>
      </c>
      <c r="AK171" t="str">
        <f>HYPERLINK("http://www.proteinatlas.org/O43291","HPA011101;CAB018969")</f>
        <v>HPA011101;CAB018969</v>
      </c>
      <c r="AM171">
        <v>10653</v>
      </c>
    </row>
    <row r="172" spans="1:39" x14ac:dyDescent="0.35">
      <c r="A172" t="s">
        <v>1768</v>
      </c>
      <c r="B172" t="str">
        <f>HYPERLINK("http://www.uniprot.org/uniprot/O43300","O43300")</f>
        <v>O43300</v>
      </c>
      <c r="C172" t="s">
        <v>1769</v>
      </c>
      <c r="D172" t="s">
        <v>1770</v>
      </c>
      <c r="E172" t="s">
        <v>39</v>
      </c>
      <c r="F172" t="s">
        <v>40</v>
      </c>
      <c r="H172">
        <v>516</v>
      </c>
      <c r="I172">
        <v>1</v>
      </c>
      <c r="J172">
        <v>1</v>
      </c>
      <c r="K172" t="s">
        <v>1771</v>
      </c>
      <c r="L172" t="s">
        <v>57</v>
      </c>
      <c r="N172">
        <v>0.76449999999999996</v>
      </c>
      <c r="O172" s="1">
        <v>1</v>
      </c>
      <c r="P172" t="s">
        <v>1772</v>
      </c>
      <c r="Q172" t="s">
        <v>1773</v>
      </c>
      <c r="S172" t="s">
        <v>91</v>
      </c>
      <c r="T172" t="s">
        <v>260</v>
      </c>
      <c r="U172" t="s">
        <v>1774</v>
      </c>
      <c r="V172">
        <v>4</v>
      </c>
      <c r="AE172" t="s">
        <v>1775</v>
      </c>
      <c r="AF172" t="s">
        <v>1776</v>
      </c>
      <c r="AG172" t="s">
        <v>1777</v>
      </c>
      <c r="AH172" t="str">
        <f>HYPERLINK("http://compartments.jensenlab.org/Entity?figures=subcell_cell_%&amp;knowledge=10&amp;textmining=10&amp;experiments=10&amp;predictions=10&amp;type1=9606&amp;type2=-22&amp;id1=ENSP00000274711","link")</f>
        <v>link</v>
      </c>
      <c r="AI172" t="s">
        <v>65</v>
      </c>
      <c r="AJ172" t="s">
        <v>51</v>
      </c>
      <c r="AK172" t="str">
        <f>HYPERLINK("http://www.proteinatlas.org/O43300","HPA017323")</f>
        <v>HPA017323</v>
      </c>
      <c r="AM172">
        <v>26045</v>
      </c>
    </row>
    <row r="173" spans="1:39" x14ac:dyDescent="0.35">
      <c r="A173" t="s">
        <v>1778</v>
      </c>
      <c r="B173" t="str">
        <f>HYPERLINK("http://www.uniprot.org/uniprot/O43306","O43306")</f>
        <v>O43306</v>
      </c>
      <c r="C173" t="s">
        <v>1779</v>
      </c>
      <c r="D173" t="s">
        <v>1780</v>
      </c>
      <c r="E173" t="s">
        <v>39</v>
      </c>
      <c r="F173" t="s">
        <v>40</v>
      </c>
      <c r="H173">
        <v>1168</v>
      </c>
      <c r="I173">
        <v>12</v>
      </c>
      <c r="J173">
        <v>0</v>
      </c>
      <c r="K173" t="s">
        <v>1781</v>
      </c>
      <c r="L173" t="s">
        <v>101</v>
      </c>
      <c r="N173">
        <v>0.65069999999999995</v>
      </c>
      <c r="O173" s="1">
        <v>2</v>
      </c>
      <c r="P173" t="s">
        <v>1782</v>
      </c>
      <c r="Q173" t="s">
        <v>1783</v>
      </c>
      <c r="S173" t="s">
        <v>947</v>
      </c>
      <c r="T173" t="s">
        <v>1784</v>
      </c>
      <c r="U173" t="s">
        <v>1785</v>
      </c>
      <c r="V173">
        <v>4</v>
      </c>
      <c r="Z173" t="s">
        <v>123</v>
      </c>
      <c r="AA173">
        <v>1</v>
      </c>
      <c r="AB173" t="s">
        <v>1786</v>
      </c>
      <c r="AC173">
        <v>878</v>
      </c>
      <c r="AD173" t="s">
        <v>1787</v>
      </c>
      <c r="AE173" t="s">
        <v>1788</v>
      </c>
      <c r="AF173" t="s">
        <v>1789</v>
      </c>
      <c r="AG173" t="s">
        <v>1790</v>
      </c>
      <c r="AH173" t="str">
        <f>HYPERLINK("http://compartments.jensenlab.org/Entity?figures=subcell_cell_%&amp;knowledge=10&amp;textmining=10&amp;experiments=10&amp;predictions=10&amp;type1=9606&amp;type2=-22&amp;id1=ENSP00000311405","link")</f>
        <v>link</v>
      </c>
      <c r="AJ173" t="s">
        <v>1791</v>
      </c>
      <c r="AK173" t="str">
        <f>HYPERLINK("http://www.proteinatlas.org/O43306","CAB018365")</f>
        <v>CAB018365</v>
      </c>
      <c r="AM173">
        <v>112</v>
      </c>
    </row>
    <row r="174" spans="1:39" x14ac:dyDescent="0.35">
      <c r="A174" t="s">
        <v>1792</v>
      </c>
      <c r="B174" t="str">
        <f>HYPERLINK("http://www.uniprot.org/uniprot/O43315","O43315")</f>
        <v>O43315</v>
      </c>
      <c r="C174" t="s">
        <v>1793</v>
      </c>
      <c r="D174" t="s">
        <v>1794</v>
      </c>
      <c r="E174" t="s">
        <v>39</v>
      </c>
      <c r="F174" t="s">
        <v>40</v>
      </c>
      <c r="H174">
        <v>295</v>
      </c>
      <c r="I174">
        <v>6</v>
      </c>
      <c r="J174">
        <v>0</v>
      </c>
      <c r="K174" t="s">
        <v>1795</v>
      </c>
      <c r="L174" t="s">
        <v>57</v>
      </c>
      <c r="N174">
        <v>0.73450000000000004</v>
      </c>
      <c r="O174" s="1">
        <v>2</v>
      </c>
      <c r="P174" t="s">
        <v>1796</v>
      </c>
      <c r="Q174" t="s">
        <v>1797</v>
      </c>
      <c r="S174" t="s">
        <v>45</v>
      </c>
      <c r="T174" t="s">
        <v>1798</v>
      </c>
      <c r="U174">
        <v>142</v>
      </c>
      <c r="V174">
        <v>1</v>
      </c>
      <c r="W174">
        <v>142</v>
      </c>
      <c r="AE174" t="s">
        <v>48</v>
      </c>
      <c r="AF174" t="s">
        <v>1799</v>
      </c>
      <c r="AG174" t="s">
        <v>1800</v>
      </c>
      <c r="AH174" t="str">
        <f>HYPERLINK("http://compartments.jensenlab.org/Entity?figures=subcell_cell_%&amp;knowledge=10&amp;textmining=10&amp;experiments=10&amp;predictions=10&amp;type1=9606&amp;type2=-22&amp;id1=ENSP00000219919","link")</f>
        <v>link</v>
      </c>
      <c r="AJ174" t="s">
        <v>1801</v>
      </c>
      <c r="AK174" t="str">
        <f>HYPERLINK("http://www.proteinatlas.org/O43315","no")</f>
        <v>no</v>
      </c>
      <c r="AM174">
        <v>366</v>
      </c>
    </row>
    <row r="175" spans="1:39" x14ac:dyDescent="0.35">
      <c r="A175" t="s">
        <v>1802</v>
      </c>
      <c r="B175" t="str">
        <f>HYPERLINK("http://www.uniprot.org/uniprot/O43424","O43424")</f>
        <v>O43424</v>
      </c>
      <c r="C175" t="s">
        <v>1803</v>
      </c>
      <c r="D175" t="s">
        <v>1804</v>
      </c>
      <c r="E175" t="s">
        <v>39</v>
      </c>
      <c r="F175" t="s">
        <v>40</v>
      </c>
      <c r="H175">
        <v>1007</v>
      </c>
      <c r="I175">
        <v>3</v>
      </c>
      <c r="J175">
        <v>1</v>
      </c>
      <c r="K175" t="s">
        <v>1805</v>
      </c>
      <c r="L175" t="s">
        <v>57</v>
      </c>
      <c r="N175">
        <v>0.89219999999999999</v>
      </c>
      <c r="O175" s="1">
        <v>1</v>
      </c>
      <c r="P175" t="s">
        <v>1806</v>
      </c>
      <c r="Q175" t="s">
        <v>1807</v>
      </c>
      <c r="S175" t="s">
        <v>45</v>
      </c>
      <c r="T175" t="s">
        <v>1554</v>
      </c>
      <c r="U175" t="s">
        <v>1808</v>
      </c>
      <c r="V175">
        <v>4</v>
      </c>
      <c r="AE175" t="s">
        <v>619</v>
      </c>
      <c r="AF175" t="s">
        <v>1809</v>
      </c>
      <c r="AG175" t="s">
        <v>1810</v>
      </c>
      <c r="AH175" t="str">
        <f>HYPERLINK("http://compartments.jensenlab.org/Entity?figures=subcell_cell_%&amp;knowledge=10&amp;textmining=10&amp;experiments=10&amp;predictions=10&amp;type1=9606&amp;type2=-22&amp;id1=ENSP00000282020","link")</f>
        <v>link</v>
      </c>
      <c r="AI175" t="s">
        <v>65</v>
      </c>
      <c r="AJ175" t="s">
        <v>1811</v>
      </c>
      <c r="AK175" t="str">
        <f>HYPERLINK("http://www.proteinatlas.org/O43424","HPA056253;HPA058538")</f>
        <v>HPA056253;HPA058538</v>
      </c>
      <c r="AM175">
        <v>2895</v>
      </c>
    </row>
    <row r="176" spans="1:39" x14ac:dyDescent="0.35">
      <c r="A176" t="s">
        <v>1812</v>
      </c>
      <c r="B176" t="str">
        <f>HYPERLINK("http://www.uniprot.org/uniprot/O43490","O43490")</f>
        <v>O43490</v>
      </c>
      <c r="C176" t="s">
        <v>1813</v>
      </c>
      <c r="D176" t="s">
        <v>1814</v>
      </c>
      <c r="E176" t="s">
        <v>39</v>
      </c>
      <c r="F176" t="s">
        <v>55</v>
      </c>
      <c r="H176">
        <v>865</v>
      </c>
      <c r="I176">
        <v>5</v>
      </c>
      <c r="J176">
        <v>1</v>
      </c>
      <c r="K176" t="s">
        <v>1815</v>
      </c>
      <c r="L176" t="s">
        <v>101</v>
      </c>
      <c r="M176" t="s">
        <v>39</v>
      </c>
      <c r="N176">
        <v>0.92020000000000002</v>
      </c>
      <c r="O176" s="1">
        <v>1</v>
      </c>
      <c r="P176" t="s">
        <v>1816</v>
      </c>
      <c r="Q176" t="s">
        <v>1817</v>
      </c>
      <c r="R176" t="s">
        <v>1818</v>
      </c>
      <c r="S176" t="s">
        <v>60</v>
      </c>
      <c r="T176" t="s">
        <v>60</v>
      </c>
      <c r="U176" t="s">
        <v>1819</v>
      </c>
      <c r="V176">
        <v>9</v>
      </c>
      <c r="W176" t="s">
        <v>1819</v>
      </c>
      <c r="Z176" t="s">
        <v>107</v>
      </c>
      <c r="AA176">
        <v>4</v>
      </c>
      <c r="AB176" t="s">
        <v>1820</v>
      </c>
      <c r="AC176" t="s">
        <v>1821</v>
      </c>
      <c r="AD176" t="s">
        <v>1822</v>
      </c>
      <c r="AE176" t="s">
        <v>1823</v>
      </c>
      <c r="AF176" t="s">
        <v>1824</v>
      </c>
      <c r="AG176" t="s">
        <v>1825</v>
      </c>
      <c r="AH176" t="str">
        <f>HYPERLINK("http://compartments.jensenlab.org/Entity?figures=subcell_cell_%&amp;knowledge=10&amp;textmining=10&amp;experiments=10&amp;predictions=10&amp;type1=9606&amp;type2=-22&amp;id1=ENSP00000415481","link")</f>
        <v>link</v>
      </c>
      <c r="AI176" t="s">
        <v>65</v>
      </c>
      <c r="AJ176" t="s">
        <v>902</v>
      </c>
      <c r="AK176" t="str">
        <f>HYPERLINK("http://www.proteinatlas.org/O43490","HPA004922;CAB011525;HPA031053")</f>
        <v>HPA004922;CAB011525;HPA031053</v>
      </c>
      <c r="AM176">
        <v>8842</v>
      </c>
    </row>
    <row r="177" spans="1:39" x14ac:dyDescent="0.35">
      <c r="A177" t="s">
        <v>1826</v>
      </c>
      <c r="B177" t="str">
        <f>HYPERLINK("http://www.uniprot.org/uniprot/O43493","O43493")</f>
        <v>O43493</v>
      </c>
      <c r="C177" t="s">
        <v>1827</v>
      </c>
      <c r="D177" t="s">
        <v>1828</v>
      </c>
      <c r="E177" t="s">
        <v>39</v>
      </c>
      <c r="F177" t="s">
        <v>40</v>
      </c>
      <c r="H177">
        <v>480</v>
      </c>
      <c r="I177">
        <v>1</v>
      </c>
      <c r="J177">
        <v>1</v>
      </c>
      <c r="K177" t="s">
        <v>1829</v>
      </c>
      <c r="L177" t="s">
        <v>57</v>
      </c>
      <c r="N177">
        <v>0.59279999999999999</v>
      </c>
      <c r="O177" s="1">
        <v>2</v>
      </c>
      <c r="P177" t="s">
        <v>1830</v>
      </c>
      <c r="S177" t="s">
        <v>60</v>
      </c>
      <c r="T177" t="s">
        <v>60</v>
      </c>
      <c r="U177" t="s">
        <v>1831</v>
      </c>
      <c r="V177">
        <v>9</v>
      </c>
      <c r="X177">
        <v>41</v>
      </c>
      <c r="AE177" t="s">
        <v>1832</v>
      </c>
      <c r="AF177" t="s">
        <v>1833</v>
      </c>
      <c r="AG177" t="s">
        <v>1834</v>
      </c>
      <c r="AK177" t="str">
        <f>HYPERLINK("http://www.proteinatlas.org/O43493","CAB011489;HPA012609;HPA012723")</f>
        <v>CAB011489;HPA012609;HPA012723</v>
      </c>
      <c r="AM177">
        <v>10618</v>
      </c>
    </row>
    <row r="178" spans="1:39" x14ac:dyDescent="0.35">
      <c r="A178" t="s">
        <v>1835</v>
      </c>
      <c r="B178" t="str">
        <f>HYPERLINK("http://www.uniprot.org/uniprot/O43497","O43497")</f>
        <v>O43497</v>
      </c>
      <c r="C178" t="s">
        <v>1836</v>
      </c>
      <c r="D178" t="s">
        <v>1837</v>
      </c>
      <c r="E178" t="s">
        <v>39</v>
      </c>
      <c r="F178" t="s">
        <v>40</v>
      </c>
      <c r="H178">
        <v>2377</v>
      </c>
      <c r="I178">
        <v>24</v>
      </c>
      <c r="J178">
        <v>0</v>
      </c>
      <c r="K178" t="s">
        <v>1838</v>
      </c>
      <c r="L178" t="s">
        <v>57</v>
      </c>
      <c r="N178">
        <v>0.59079999999999999</v>
      </c>
      <c r="O178" s="1">
        <v>2</v>
      </c>
      <c r="P178" t="s">
        <v>1839</v>
      </c>
      <c r="Q178" t="s">
        <v>1840</v>
      </c>
      <c r="S178" t="s">
        <v>45</v>
      </c>
      <c r="T178" t="s">
        <v>1841</v>
      </c>
      <c r="U178" t="s">
        <v>1842</v>
      </c>
      <c r="V178">
        <v>8</v>
      </c>
      <c r="AE178" t="s">
        <v>48</v>
      </c>
      <c r="AF178" t="s">
        <v>1843</v>
      </c>
      <c r="AG178" t="s">
        <v>1844</v>
      </c>
      <c r="AH178" t="str">
        <f>HYPERLINK("http://compartments.jensenlab.org/Entity?figures=subcell_cell_%&amp;knowledge=10&amp;textmining=10&amp;experiments=10&amp;predictions=10&amp;type1=9606&amp;type2=-22&amp;id1=ENSP00000352011","link")</f>
        <v>link</v>
      </c>
      <c r="AJ178" t="s">
        <v>51</v>
      </c>
      <c r="AK178" t="str">
        <f>HYPERLINK("http://www.proteinatlas.org/O43497","HPA004714")</f>
        <v>HPA004714</v>
      </c>
      <c r="AL178" t="s">
        <v>1845</v>
      </c>
      <c r="AM178">
        <v>8913</v>
      </c>
    </row>
    <row r="179" spans="1:39" x14ac:dyDescent="0.35">
      <c r="A179" t="s">
        <v>1846</v>
      </c>
      <c r="B179" t="str">
        <f>HYPERLINK("http://www.uniprot.org/uniprot/O43506","O43506")</f>
        <v>O43506</v>
      </c>
      <c r="C179" t="s">
        <v>1847</v>
      </c>
      <c r="D179" t="s">
        <v>1848</v>
      </c>
      <c r="E179" t="s">
        <v>39</v>
      </c>
      <c r="F179" t="s">
        <v>40</v>
      </c>
      <c r="H179">
        <v>726</v>
      </c>
      <c r="I179">
        <v>1</v>
      </c>
      <c r="J179">
        <v>1</v>
      </c>
      <c r="K179" t="s">
        <v>1849</v>
      </c>
      <c r="L179" t="s">
        <v>57</v>
      </c>
      <c r="N179">
        <v>0.67269999999999996</v>
      </c>
      <c r="O179" s="1">
        <v>2</v>
      </c>
      <c r="P179" t="s">
        <v>1850</v>
      </c>
      <c r="Q179" t="s">
        <v>1851</v>
      </c>
      <c r="S179" t="s">
        <v>947</v>
      </c>
      <c r="T179" t="s">
        <v>1208</v>
      </c>
      <c r="U179" t="s">
        <v>1852</v>
      </c>
      <c r="V179">
        <v>6</v>
      </c>
      <c r="AE179" t="s">
        <v>144</v>
      </c>
      <c r="AF179" t="s">
        <v>1853</v>
      </c>
      <c r="AG179" t="s">
        <v>1854</v>
      </c>
      <c r="AH179" t="str">
        <f>HYPERLINK("http://compartments.jensenlab.org/Entity?figures=subcell_cell_%&amp;knowledge=10&amp;textmining=10&amp;experiments=10&amp;predictions=10&amp;type1=9606&amp;type2=-22&amp;id1=ENSP00000256389","link")</f>
        <v>link</v>
      </c>
      <c r="AJ179" t="s">
        <v>51</v>
      </c>
      <c r="AK179" t="str">
        <f>HYPERLINK("http://www.proteinatlas.org/O43506","HPA059377")</f>
        <v>HPA059377</v>
      </c>
      <c r="AM179">
        <v>8748</v>
      </c>
    </row>
    <row r="180" spans="1:39" x14ac:dyDescent="0.35">
      <c r="A180" t="s">
        <v>1855</v>
      </c>
      <c r="B180" t="str">
        <f>HYPERLINK("http://www.uniprot.org/uniprot/O43511","O43511")</f>
        <v>O43511</v>
      </c>
      <c r="C180" t="s">
        <v>1856</v>
      </c>
      <c r="D180" t="s">
        <v>1857</v>
      </c>
      <c r="E180" t="s">
        <v>39</v>
      </c>
      <c r="F180" t="s">
        <v>55</v>
      </c>
      <c r="H180">
        <v>780</v>
      </c>
      <c r="I180">
        <v>12</v>
      </c>
      <c r="J180">
        <v>0</v>
      </c>
      <c r="K180" t="s">
        <v>1858</v>
      </c>
      <c r="L180" t="s">
        <v>57</v>
      </c>
      <c r="M180" t="s">
        <v>39</v>
      </c>
      <c r="N180">
        <v>0.70979999999999999</v>
      </c>
      <c r="O180" s="1">
        <v>2</v>
      </c>
      <c r="P180" t="s">
        <v>1859</v>
      </c>
      <c r="Q180" t="s">
        <v>1860</v>
      </c>
      <c r="S180" t="s">
        <v>45</v>
      </c>
      <c r="T180" t="s">
        <v>1861</v>
      </c>
      <c r="U180" t="s">
        <v>1862</v>
      </c>
      <c r="V180">
        <v>3</v>
      </c>
      <c r="AE180" t="s">
        <v>1863</v>
      </c>
      <c r="AF180" t="s">
        <v>1864</v>
      </c>
      <c r="AG180" t="s">
        <v>1865</v>
      </c>
      <c r="AH180" t="str">
        <f>HYPERLINK("http://compartments.jensenlab.org/Entity?figures=subcell_cell_%&amp;knowledge=10&amp;textmining=10&amp;experiments=10&amp;predictions=10&amp;type1=9606&amp;type2=-22&amp;id1=ENSP00000265715","link")</f>
        <v>link</v>
      </c>
      <c r="AI180" t="s">
        <v>65</v>
      </c>
      <c r="AJ180" t="s">
        <v>51</v>
      </c>
      <c r="AK180" t="str">
        <f>HYPERLINK("http://www.proteinatlas.org/O43511","HPA042860")</f>
        <v>HPA042860</v>
      </c>
      <c r="AM180">
        <v>5172</v>
      </c>
    </row>
    <row r="181" spans="1:39" x14ac:dyDescent="0.35">
      <c r="A181" t="s">
        <v>1866</v>
      </c>
      <c r="B181" t="str">
        <f>HYPERLINK("http://www.uniprot.org/uniprot/O43556","O43556")</f>
        <v>O43556</v>
      </c>
      <c r="C181" t="s">
        <v>1867</v>
      </c>
      <c r="D181" t="s">
        <v>1868</v>
      </c>
      <c r="E181" t="s">
        <v>39</v>
      </c>
      <c r="F181" t="s">
        <v>55</v>
      </c>
      <c r="H181">
        <v>437</v>
      </c>
      <c r="I181">
        <v>1</v>
      </c>
      <c r="J181">
        <v>0</v>
      </c>
      <c r="K181" t="s">
        <v>1869</v>
      </c>
      <c r="L181" t="s">
        <v>101</v>
      </c>
      <c r="M181" t="s">
        <v>39</v>
      </c>
      <c r="N181">
        <v>0.58179999999999998</v>
      </c>
      <c r="O181" s="1">
        <v>2</v>
      </c>
      <c r="P181" t="s">
        <v>1870</v>
      </c>
      <c r="Q181" t="s">
        <v>1871</v>
      </c>
      <c r="S181" t="s">
        <v>91</v>
      </c>
      <c r="T181" t="s">
        <v>1872</v>
      </c>
      <c r="U181">
        <v>200</v>
      </c>
      <c r="V181">
        <v>1</v>
      </c>
      <c r="W181">
        <v>200</v>
      </c>
      <c r="Z181" t="s">
        <v>107</v>
      </c>
      <c r="AA181">
        <v>2</v>
      </c>
      <c r="AB181" t="s">
        <v>1873</v>
      </c>
      <c r="AC181">
        <v>200</v>
      </c>
      <c r="AD181" t="s">
        <v>1874</v>
      </c>
      <c r="AE181" t="s">
        <v>1875</v>
      </c>
      <c r="AF181" t="s">
        <v>1876</v>
      </c>
      <c r="AG181" t="s">
        <v>1877</v>
      </c>
      <c r="AH181" t="str">
        <f>HYPERLINK("http://compartments.jensenlab.org/Entity?figures=subcell_cell_%&amp;knowledge=10&amp;textmining=10&amp;experiments=10&amp;predictions=10&amp;type1=9606&amp;type2=-22&amp;id1=ENSP00000265735","link")</f>
        <v>link</v>
      </c>
      <c r="AK181" t="str">
        <f>HYPERLINK("http://www.proteinatlas.org/O43556","no")</f>
        <v>no</v>
      </c>
      <c r="AM181">
        <v>8910</v>
      </c>
    </row>
    <row r="182" spans="1:39" x14ac:dyDescent="0.35">
      <c r="A182" t="s">
        <v>1878</v>
      </c>
      <c r="B182" t="str">
        <f>HYPERLINK("http://www.uniprot.org/uniprot/O43567","O43567")</f>
        <v>O43567</v>
      </c>
      <c r="C182" t="s">
        <v>1879</v>
      </c>
      <c r="D182" t="s">
        <v>1880</v>
      </c>
      <c r="E182" t="s">
        <v>39</v>
      </c>
      <c r="F182" t="s">
        <v>40</v>
      </c>
      <c r="H182">
        <v>381</v>
      </c>
      <c r="I182">
        <v>1</v>
      </c>
      <c r="J182">
        <v>1</v>
      </c>
      <c r="K182" t="s">
        <v>1881</v>
      </c>
      <c r="L182" t="s">
        <v>101</v>
      </c>
      <c r="N182">
        <v>0.73250000000000004</v>
      </c>
      <c r="O182" s="1">
        <v>2</v>
      </c>
      <c r="P182" t="s">
        <v>1882</v>
      </c>
      <c r="Q182" t="s">
        <v>1883</v>
      </c>
      <c r="S182" t="s">
        <v>60</v>
      </c>
      <c r="T182" t="s">
        <v>60</v>
      </c>
      <c r="U182" t="s">
        <v>1884</v>
      </c>
      <c r="V182">
        <v>2</v>
      </c>
      <c r="Z182" t="s">
        <v>107</v>
      </c>
      <c r="AA182">
        <v>3</v>
      </c>
      <c r="AB182" t="s">
        <v>1885</v>
      </c>
      <c r="AC182" t="s">
        <v>1886</v>
      </c>
      <c r="AD182" t="s">
        <v>1887</v>
      </c>
      <c r="AE182" t="s">
        <v>1888</v>
      </c>
      <c r="AF182" t="s">
        <v>1889</v>
      </c>
      <c r="AG182" t="s">
        <v>1890</v>
      </c>
      <c r="AH182" t="str">
        <f>HYPERLINK("http://compartments.jensenlab.org/Entity?figures=subcell_cell_%&amp;knowledge=10&amp;textmining=10&amp;experiments=10&amp;predictions=10&amp;type1=9606&amp;type2=-22&amp;id1=ENSP00000341361","link")</f>
        <v>link</v>
      </c>
      <c r="AI182" t="s">
        <v>1891</v>
      </c>
      <c r="AJ182" t="s">
        <v>1892</v>
      </c>
      <c r="AK182" t="str">
        <f>HYPERLINK("http://www.proteinatlas.org/O43567","HPA008709")</f>
        <v>HPA008709</v>
      </c>
      <c r="AM182">
        <v>11342</v>
      </c>
    </row>
    <row r="183" spans="1:39" x14ac:dyDescent="0.35">
      <c r="A183" t="s">
        <v>1893</v>
      </c>
      <c r="B183" t="str">
        <f>HYPERLINK("http://www.uniprot.org/uniprot/O43570","O43570")</f>
        <v>O43570</v>
      </c>
      <c r="C183" t="s">
        <v>1894</v>
      </c>
      <c r="D183" t="s">
        <v>1895</v>
      </c>
      <c r="E183" t="s">
        <v>39</v>
      </c>
      <c r="F183" t="s">
        <v>40</v>
      </c>
      <c r="H183">
        <v>354</v>
      </c>
      <c r="I183">
        <v>1</v>
      </c>
      <c r="J183">
        <v>1</v>
      </c>
      <c r="K183" t="s">
        <v>1896</v>
      </c>
      <c r="L183" t="s">
        <v>101</v>
      </c>
      <c r="N183">
        <v>0.87029999999999996</v>
      </c>
      <c r="O183" s="1">
        <v>1</v>
      </c>
      <c r="P183" t="s">
        <v>1897</v>
      </c>
      <c r="Q183" t="s">
        <v>1898</v>
      </c>
      <c r="S183" t="s">
        <v>947</v>
      </c>
      <c r="T183" t="s">
        <v>1899</v>
      </c>
      <c r="U183" t="s">
        <v>1900</v>
      </c>
      <c r="V183">
        <v>2</v>
      </c>
      <c r="Z183" t="s">
        <v>107</v>
      </c>
      <c r="AA183">
        <v>4</v>
      </c>
      <c r="AB183" t="s">
        <v>1901</v>
      </c>
      <c r="AC183">
        <v>80</v>
      </c>
      <c r="AD183" t="s">
        <v>1902</v>
      </c>
      <c r="AE183" t="s">
        <v>144</v>
      </c>
      <c r="AF183" t="s">
        <v>1903</v>
      </c>
      <c r="AG183" t="s">
        <v>1904</v>
      </c>
      <c r="AH183" t="str">
        <f>HYPERLINK("http://compartments.jensenlab.org/Entity?figures=subcell_cell_%&amp;knowledge=10&amp;textmining=10&amp;experiments=10&amp;predictions=10&amp;type1=9606&amp;type2=-22&amp;id1=ENSP00000178638","link")</f>
        <v>link</v>
      </c>
      <c r="AJ183" t="s">
        <v>51</v>
      </c>
      <c r="AK183" t="str">
        <f>HYPERLINK("http://www.proteinatlas.org/O43570","HPA008773;CAB025181;CAB062549;CAB068179")</f>
        <v>HPA008773;CAB025181;CAB062549;CAB068179</v>
      </c>
      <c r="AL183" t="s">
        <v>1905</v>
      </c>
      <c r="AM183">
        <v>771</v>
      </c>
    </row>
    <row r="184" spans="1:39" x14ac:dyDescent="0.35">
      <c r="A184" t="s">
        <v>1906</v>
      </c>
      <c r="B184" t="str">
        <f>HYPERLINK("http://www.uniprot.org/uniprot/O43603","O43603")</f>
        <v>O43603</v>
      </c>
      <c r="C184" t="s">
        <v>1907</v>
      </c>
      <c r="D184" t="s">
        <v>1908</v>
      </c>
      <c r="E184" t="s">
        <v>39</v>
      </c>
      <c r="F184" t="s">
        <v>55</v>
      </c>
      <c r="H184">
        <v>387</v>
      </c>
      <c r="I184">
        <v>7</v>
      </c>
      <c r="J184">
        <v>0</v>
      </c>
      <c r="K184" t="s">
        <v>1909</v>
      </c>
      <c r="L184" t="s">
        <v>57</v>
      </c>
      <c r="M184" t="s">
        <v>39</v>
      </c>
      <c r="N184">
        <v>0.9577</v>
      </c>
      <c r="O184" s="1">
        <v>1</v>
      </c>
      <c r="P184" t="s">
        <v>1910</v>
      </c>
      <c r="Q184" t="s">
        <v>1911</v>
      </c>
      <c r="S184" t="s">
        <v>166</v>
      </c>
      <c r="T184" t="s">
        <v>838</v>
      </c>
      <c r="U184" t="s">
        <v>1912</v>
      </c>
      <c r="V184">
        <v>3</v>
      </c>
      <c r="AE184" t="s">
        <v>74</v>
      </c>
      <c r="AF184" t="s">
        <v>1913</v>
      </c>
      <c r="AG184" t="s">
        <v>1914</v>
      </c>
      <c r="AH184" t="str">
        <f>HYPERLINK("http://compartments.jensenlab.org/Entity?figures=subcell_cell_%&amp;knowledge=10&amp;textmining=10&amp;experiments=10&amp;predictions=10&amp;type1=9606&amp;type2=-22&amp;id1=ENSP00000329684","link")</f>
        <v>link</v>
      </c>
      <c r="AI184" t="s">
        <v>65</v>
      </c>
      <c r="AJ184" t="s">
        <v>51</v>
      </c>
      <c r="AK184" t="str">
        <f>HYPERLINK("http://www.proteinatlas.org/O43603","HPA044513")</f>
        <v>HPA044513</v>
      </c>
      <c r="AM184">
        <v>8811</v>
      </c>
    </row>
    <row r="185" spans="1:39" x14ac:dyDescent="0.35">
      <c r="A185" t="s">
        <v>1915</v>
      </c>
      <c r="B185" t="str">
        <f>HYPERLINK("http://www.uniprot.org/uniprot/O43613","O43613")</f>
        <v>O43613</v>
      </c>
      <c r="C185" t="s">
        <v>1916</v>
      </c>
      <c r="D185" t="s">
        <v>1917</v>
      </c>
      <c r="E185" t="s">
        <v>39</v>
      </c>
      <c r="F185" t="s">
        <v>55</v>
      </c>
      <c r="H185">
        <v>425</v>
      </c>
      <c r="I185">
        <v>7</v>
      </c>
      <c r="J185">
        <v>0</v>
      </c>
      <c r="K185" t="s">
        <v>1918</v>
      </c>
      <c r="L185" t="s">
        <v>57</v>
      </c>
      <c r="M185" t="s">
        <v>39</v>
      </c>
      <c r="N185">
        <v>0.91910000000000003</v>
      </c>
      <c r="O185" s="1">
        <v>1</v>
      </c>
      <c r="P185" t="s">
        <v>1919</v>
      </c>
      <c r="Q185" t="s">
        <v>1920</v>
      </c>
      <c r="S185" t="s">
        <v>166</v>
      </c>
      <c r="T185" t="s">
        <v>838</v>
      </c>
      <c r="U185" t="s">
        <v>1921</v>
      </c>
      <c r="V185">
        <v>1</v>
      </c>
      <c r="W185">
        <v>194</v>
      </c>
      <c r="AE185" t="s">
        <v>74</v>
      </c>
      <c r="AF185" t="s">
        <v>910</v>
      </c>
      <c r="AG185" t="s">
        <v>1922</v>
      </c>
      <c r="AH185" t="str">
        <f>HYPERLINK("http://compartments.jensenlab.org/Entity?figures=subcell_cell_%&amp;knowledge=10&amp;textmining=10&amp;experiments=10&amp;predictions=10&amp;type1=9606&amp;type2=-22&amp;id1=ENSP00000362810","link")</f>
        <v>link</v>
      </c>
      <c r="AI185" t="s">
        <v>65</v>
      </c>
      <c r="AJ185" t="s">
        <v>51</v>
      </c>
      <c r="AK185" t="str">
        <f>HYPERLINK("http://www.proteinatlas.org/O43613","HPA014018")</f>
        <v>HPA014018</v>
      </c>
      <c r="AM185">
        <v>3061</v>
      </c>
    </row>
    <row r="186" spans="1:39" x14ac:dyDescent="0.35">
      <c r="A186" t="s">
        <v>1923</v>
      </c>
      <c r="B186" t="str">
        <f>HYPERLINK("http://www.uniprot.org/uniprot/O43614","O43614")</f>
        <v>O43614</v>
      </c>
      <c r="C186" t="s">
        <v>1924</v>
      </c>
      <c r="D186" t="s">
        <v>1925</v>
      </c>
      <c r="E186" t="s">
        <v>39</v>
      </c>
      <c r="F186" t="s">
        <v>55</v>
      </c>
      <c r="H186">
        <v>444</v>
      </c>
      <c r="I186">
        <v>7</v>
      </c>
      <c r="J186">
        <v>0</v>
      </c>
      <c r="K186" t="s">
        <v>1926</v>
      </c>
      <c r="L186" t="s">
        <v>57</v>
      </c>
      <c r="N186">
        <v>0.98599999999999999</v>
      </c>
      <c r="O186" s="1">
        <v>1</v>
      </c>
      <c r="P186" t="s">
        <v>1927</v>
      </c>
      <c r="Q186" t="s">
        <v>1928</v>
      </c>
      <c r="S186" t="s">
        <v>166</v>
      </c>
      <c r="T186" t="s">
        <v>838</v>
      </c>
      <c r="U186" t="s">
        <v>1929</v>
      </c>
      <c r="V186">
        <v>3</v>
      </c>
      <c r="W186" t="s">
        <v>1930</v>
      </c>
      <c r="AE186" t="s">
        <v>74</v>
      </c>
      <c r="AF186" t="s">
        <v>910</v>
      </c>
      <c r="AG186" t="s">
        <v>1931</v>
      </c>
      <c r="AH186" t="str">
        <f>HYPERLINK("http://compartments.jensenlab.org/Entity?figures=subcell_cell_%&amp;knowledge=10&amp;textmining=10&amp;experiments=10&amp;predictions=10&amp;type1=9606&amp;type2=-22&amp;id1=ENSP00000359899","link")</f>
        <v>link</v>
      </c>
      <c r="AI186" t="s">
        <v>65</v>
      </c>
      <c r="AJ186" t="s">
        <v>51</v>
      </c>
      <c r="AK186" t="str">
        <f>HYPERLINK("http://www.proteinatlas.org/O43614","HPA054516")</f>
        <v>HPA054516</v>
      </c>
      <c r="AM186">
        <v>3062</v>
      </c>
    </row>
    <row r="187" spans="1:39" x14ac:dyDescent="0.35">
      <c r="A187" t="s">
        <v>1932</v>
      </c>
      <c r="B187" t="str">
        <f>HYPERLINK("http://www.uniprot.org/uniprot/O43653","O43653")</f>
        <v>O43653</v>
      </c>
      <c r="C187" t="s">
        <v>1933</v>
      </c>
      <c r="D187" t="s">
        <v>1934</v>
      </c>
      <c r="E187" t="s">
        <v>39</v>
      </c>
      <c r="F187" t="s">
        <v>239</v>
      </c>
      <c r="H187">
        <v>123</v>
      </c>
      <c r="I187">
        <v>0</v>
      </c>
      <c r="J187">
        <v>1</v>
      </c>
      <c r="K187" t="s">
        <v>1935</v>
      </c>
      <c r="L187" t="s">
        <v>57</v>
      </c>
      <c r="N187">
        <v>0.73050000000000004</v>
      </c>
      <c r="O187" s="1" t="s">
        <v>241</v>
      </c>
      <c r="P187" t="s">
        <v>1936</v>
      </c>
      <c r="Q187" t="s">
        <v>1937</v>
      </c>
      <c r="S187" t="s">
        <v>60</v>
      </c>
      <c r="T187" t="s">
        <v>60</v>
      </c>
      <c r="U187" t="s">
        <v>1938</v>
      </c>
      <c r="V187">
        <v>3</v>
      </c>
      <c r="W187" t="s">
        <v>1938</v>
      </c>
      <c r="AE187" t="s">
        <v>243</v>
      </c>
      <c r="AF187" t="s">
        <v>1939</v>
      </c>
      <c r="AG187" t="s">
        <v>1940</v>
      </c>
      <c r="AH187" t="str">
        <f>HYPERLINK("http://compartments.jensenlab.org/Entity?figures=subcell_cell_%&amp;knowledge=10&amp;textmining=10&amp;experiments=10&amp;predictions=10&amp;type1=9606&amp;type2=-22&amp;id1=ENSP00000301258","link")</f>
        <v>link</v>
      </c>
      <c r="AI187" t="s">
        <v>65</v>
      </c>
      <c r="AJ187" t="s">
        <v>51</v>
      </c>
      <c r="AK187" t="str">
        <f>HYPERLINK("http://www.proteinatlas.org/O43653","HPA056418")</f>
        <v>HPA056418</v>
      </c>
    </row>
    <row r="188" spans="1:39" x14ac:dyDescent="0.35">
      <c r="A188" t="s">
        <v>1941</v>
      </c>
      <c r="B188" t="str">
        <f>HYPERLINK("http://www.uniprot.org/uniprot/O43657","O43657")</f>
        <v>O43657</v>
      </c>
      <c r="C188" t="s">
        <v>1942</v>
      </c>
      <c r="D188" t="s">
        <v>1943</v>
      </c>
      <c r="E188" t="s">
        <v>39</v>
      </c>
      <c r="F188" t="s">
        <v>40</v>
      </c>
      <c r="H188">
        <v>245</v>
      </c>
      <c r="I188">
        <v>4</v>
      </c>
      <c r="J188">
        <v>0</v>
      </c>
      <c r="K188" t="s">
        <v>1944</v>
      </c>
      <c r="L188" t="s">
        <v>101</v>
      </c>
      <c r="N188">
        <v>0.75649999999999995</v>
      </c>
      <c r="O188" s="1">
        <v>1</v>
      </c>
      <c r="P188" t="s">
        <v>1945</v>
      </c>
      <c r="Q188" t="s">
        <v>1946</v>
      </c>
      <c r="S188" t="s">
        <v>91</v>
      </c>
      <c r="T188" t="s">
        <v>135</v>
      </c>
      <c r="U188">
        <v>134</v>
      </c>
      <c r="V188">
        <v>1</v>
      </c>
      <c r="Z188" t="s">
        <v>123</v>
      </c>
      <c r="AA188">
        <v>2</v>
      </c>
      <c r="AB188" t="s">
        <v>1947</v>
      </c>
      <c r="AC188">
        <v>134</v>
      </c>
      <c r="AD188" t="s">
        <v>1948</v>
      </c>
      <c r="AE188" t="s">
        <v>48</v>
      </c>
      <c r="AF188" t="s">
        <v>83</v>
      </c>
      <c r="AG188" t="s">
        <v>1949</v>
      </c>
      <c r="AH188" t="str">
        <f>HYPERLINK("http://compartments.jensenlab.org/Entity?figures=subcell_cell_%&amp;knowledge=10&amp;textmining=10&amp;experiments=10&amp;predictions=10&amp;type1=9606&amp;type2=-22&amp;id1=ENSP00000362111","link")</f>
        <v>link</v>
      </c>
      <c r="AJ188" t="s">
        <v>51</v>
      </c>
      <c r="AK188" t="str">
        <f>HYPERLINK("http://www.proteinatlas.org/O43657","HPA004109")</f>
        <v>HPA004109</v>
      </c>
      <c r="AM188">
        <v>7105</v>
      </c>
    </row>
    <row r="189" spans="1:39" x14ac:dyDescent="0.35">
      <c r="A189" t="s">
        <v>1950</v>
      </c>
      <c r="B189" t="str">
        <f>HYPERLINK("http://www.uniprot.org/uniprot/O43688","O43688")</f>
        <v>O43688</v>
      </c>
      <c r="C189" t="s">
        <v>1951</v>
      </c>
      <c r="D189" t="s">
        <v>1952</v>
      </c>
      <c r="E189" t="s">
        <v>39</v>
      </c>
      <c r="F189" t="s">
        <v>40</v>
      </c>
      <c r="H189">
        <v>288</v>
      </c>
      <c r="I189">
        <v>6</v>
      </c>
      <c r="J189">
        <v>0</v>
      </c>
      <c r="K189" t="s">
        <v>1953</v>
      </c>
      <c r="L189" t="s">
        <v>118</v>
      </c>
      <c r="N189">
        <v>0.69259999999999999</v>
      </c>
      <c r="O189" s="1">
        <v>2</v>
      </c>
      <c r="P189" t="s">
        <v>1954</v>
      </c>
      <c r="Q189" t="s">
        <v>1955</v>
      </c>
      <c r="S189" t="s">
        <v>947</v>
      </c>
      <c r="T189" t="s">
        <v>1117</v>
      </c>
      <c r="U189">
        <v>139</v>
      </c>
      <c r="V189">
        <v>1</v>
      </c>
      <c r="X189">
        <v>266</v>
      </c>
      <c r="Z189" t="s">
        <v>123</v>
      </c>
      <c r="AA189">
        <v>1</v>
      </c>
      <c r="AB189" t="s">
        <v>1956</v>
      </c>
      <c r="AC189">
        <v>139</v>
      </c>
      <c r="AD189" t="s">
        <v>1957</v>
      </c>
      <c r="AE189" t="s">
        <v>48</v>
      </c>
      <c r="AF189" t="s">
        <v>1958</v>
      </c>
      <c r="AG189" t="s">
        <v>1959</v>
      </c>
      <c r="AH189" t="str">
        <f>HYPERLINK("http://compartments.jensenlab.org/Entity?figures=subcell_cell_%&amp;knowledge=10&amp;textmining=10&amp;experiments=10&amp;predictions=10&amp;type1=9606&amp;type2=-22&amp;id1=ENSP00000388565","link")</f>
        <v>link</v>
      </c>
      <c r="AK189" t="str">
        <f>HYPERLINK("http://www.proteinatlas.org/O43688","HPA055540")</f>
        <v>HPA055540</v>
      </c>
      <c r="AM189">
        <v>8612</v>
      </c>
    </row>
    <row r="190" spans="1:39" x14ac:dyDescent="0.35">
      <c r="A190" t="s">
        <v>1960</v>
      </c>
      <c r="B190" t="str">
        <f>HYPERLINK("http://www.uniprot.org/uniprot/O43699","O43699")</f>
        <v>O43699</v>
      </c>
      <c r="C190" t="s">
        <v>1961</v>
      </c>
      <c r="D190" t="s">
        <v>1962</v>
      </c>
      <c r="E190" t="s">
        <v>39</v>
      </c>
      <c r="F190" t="s">
        <v>55</v>
      </c>
      <c r="H190">
        <v>453</v>
      </c>
      <c r="I190">
        <v>1</v>
      </c>
      <c r="J190">
        <v>1</v>
      </c>
      <c r="K190" t="s">
        <v>1963</v>
      </c>
      <c r="L190" t="s">
        <v>101</v>
      </c>
      <c r="M190" t="s">
        <v>39</v>
      </c>
      <c r="N190">
        <v>0.96319999999999995</v>
      </c>
      <c r="O190" s="1">
        <v>1</v>
      </c>
      <c r="P190" t="s">
        <v>1964</v>
      </c>
      <c r="Q190" t="s">
        <v>1965</v>
      </c>
      <c r="R190" t="s">
        <v>1966</v>
      </c>
      <c r="S190" t="s">
        <v>91</v>
      </c>
      <c r="T190" t="s">
        <v>555</v>
      </c>
      <c r="U190" t="s">
        <v>1967</v>
      </c>
      <c r="V190">
        <v>7</v>
      </c>
      <c r="W190" t="s">
        <v>1967</v>
      </c>
      <c r="Z190" t="s">
        <v>107</v>
      </c>
      <c r="AA190">
        <v>1</v>
      </c>
      <c r="AB190" t="s">
        <v>1968</v>
      </c>
      <c r="AC190">
        <v>258</v>
      </c>
      <c r="AD190" t="s">
        <v>1969</v>
      </c>
      <c r="AE190" t="s">
        <v>1250</v>
      </c>
      <c r="AF190" t="s">
        <v>1970</v>
      </c>
      <c r="AG190" t="s">
        <v>1971</v>
      </c>
      <c r="AH190" t="str">
        <f>HYPERLINK("http://compartments.jensenlab.org/Entity?figures=subcell_cell_%&amp;knowledge=10&amp;textmining=10&amp;experiments=10&amp;predictions=10&amp;type1=9606&amp;type2=-22&amp;id1=ENSP00000401502","link")</f>
        <v>link</v>
      </c>
      <c r="AK190" t="str">
        <f>HYPERLINK("http://www.proteinatlas.org/O43699","HPA009084;HPA018198")</f>
        <v>HPA009084;HPA018198</v>
      </c>
      <c r="AM190">
        <v>946</v>
      </c>
    </row>
    <row r="191" spans="1:39" x14ac:dyDescent="0.35">
      <c r="A191" t="s">
        <v>1972</v>
      </c>
      <c r="B191" t="str">
        <f>HYPERLINK("http://www.uniprot.org/uniprot/O43749","O43749")</f>
        <v>O43749</v>
      </c>
      <c r="C191" t="s">
        <v>1973</v>
      </c>
      <c r="D191" t="s">
        <v>1974</v>
      </c>
      <c r="E191" t="s">
        <v>39</v>
      </c>
      <c r="F191" t="s">
        <v>55</v>
      </c>
      <c r="H191">
        <v>312</v>
      </c>
      <c r="I191">
        <v>7</v>
      </c>
      <c r="J191">
        <v>0</v>
      </c>
      <c r="K191" t="s">
        <v>1975</v>
      </c>
      <c r="L191" t="s">
        <v>57</v>
      </c>
      <c r="M191" t="s">
        <v>39</v>
      </c>
      <c r="N191">
        <v>0.98880000000000001</v>
      </c>
      <c r="O191" s="1">
        <v>1</v>
      </c>
      <c r="P191" t="s">
        <v>1976</v>
      </c>
      <c r="Q191" t="s">
        <v>1977</v>
      </c>
      <c r="S191" t="s">
        <v>166</v>
      </c>
      <c r="T191" t="s">
        <v>167</v>
      </c>
      <c r="U191" t="s">
        <v>1191</v>
      </c>
      <c r="V191">
        <v>1</v>
      </c>
      <c r="AE191" t="s">
        <v>74</v>
      </c>
      <c r="AF191" t="s">
        <v>169</v>
      </c>
      <c r="AG191" t="s">
        <v>1978</v>
      </c>
      <c r="AH191" t="str">
        <f>HYPERLINK("http://compartments.jensenlab.org/Entity?figures=subcell_cell_%&amp;knowledge=10&amp;textmining=10&amp;experiments=10&amp;predictions=10&amp;type1=9606&amp;type2=-22&amp;id1=ENSP00000305424","link")</f>
        <v>link</v>
      </c>
      <c r="AI191" t="s">
        <v>65</v>
      </c>
      <c r="AJ191" t="s">
        <v>51</v>
      </c>
      <c r="AK191" t="str">
        <f>HYPERLINK("http://www.proteinatlas.org/O43749","no")</f>
        <v>no</v>
      </c>
      <c r="AM191">
        <v>4992</v>
      </c>
    </row>
    <row r="192" spans="1:39" x14ac:dyDescent="0.35">
      <c r="A192" t="s">
        <v>1979</v>
      </c>
      <c r="B192" t="str">
        <f>HYPERLINK("http://www.uniprot.org/uniprot/O43826","O43826")</f>
        <v>O43826</v>
      </c>
      <c r="C192" t="s">
        <v>1980</v>
      </c>
      <c r="D192" t="s">
        <v>1981</v>
      </c>
      <c r="E192" t="s">
        <v>39</v>
      </c>
      <c r="F192" t="s">
        <v>40</v>
      </c>
      <c r="H192">
        <v>429</v>
      </c>
      <c r="I192">
        <v>10</v>
      </c>
      <c r="J192">
        <v>0</v>
      </c>
      <c r="K192" t="s">
        <v>1982</v>
      </c>
      <c r="L192" t="s">
        <v>42</v>
      </c>
      <c r="N192">
        <v>0.66069999999999995</v>
      </c>
      <c r="O192" s="1">
        <v>2</v>
      </c>
      <c r="S192" t="s">
        <v>45</v>
      </c>
      <c r="T192" t="s">
        <v>1983</v>
      </c>
      <c r="U192">
        <v>354</v>
      </c>
      <c r="V192">
        <v>1</v>
      </c>
      <c r="AE192" t="s">
        <v>977</v>
      </c>
      <c r="AF192" t="s">
        <v>1984</v>
      </c>
      <c r="AG192" t="s">
        <v>1985</v>
      </c>
      <c r="AK192" t="str">
        <f>HYPERLINK("http://www.proteinatlas.org/O43826","no")</f>
        <v>no</v>
      </c>
      <c r="AM192">
        <v>2542</v>
      </c>
    </row>
    <row r="193" spans="1:39" x14ac:dyDescent="0.35">
      <c r="A193" t="s">
        <v>1986</v>
      </c>
      <c r="B193" t="str">
        <f>HYPERLINK("http://www.uniprot.org/uniprot/O43868","O43868")</f>
        <v>O43868</v>
      </c>
      <c r="C193" t="s">
        <v>1987</v>
      </c>
      <c r="D193" t="s">
        <v>1988</v>
      </c>
      <c r="E193" t="s">
        <v>39</v>
      </c>
      <c r="F193" t="s">
        <v>40</v>
      </c>
      <c r="H193">
        <v>658</v>
      </c>
      <c r="I193">
        <v>13</v>
      </c>
      <c r="J193">
        <v>0</v>
      </c>
      <c r="K193" t="s">
        <v>1989</v>
      </c>
      <c r="L193" t="s">
        <v>42</v>
      </c>
      <c r="N193">
        <v>0.84030000000000005</v>
      </c>
      <c r="O193" s="1">
        <v>1</v>
      </c>
      <c r="P193" t="s">
        <v>1990</v>
      </c>
      <c r="Q193" t="s">
        <v>1991</v>
      </c>
      <c r="S193" t="s">
        <v>45</v>
      </c>
      <c r="T193" t="s">
        <v>926</v>
      </c>
      <c r="U193" t="s">
        <v>1992</v>
      </c>
      <c r="V193">
        <v>5</v>
      </c>
      <c r="W193" t="s">
        <v>1993</v>
      </c>
      <c r="Y193">
        <v>146</v>
      </c>
      <c r="AE193" t="s">
        <v>48</v>
      </c>
      <c r="AF193" t="s">
        <v>1994</v>
      </c>
      <c r="AG193" t="s">
        <v>1995</v>
      </c>
      <c r="AH193" t="str">
        <f>HYPERLINK("http://compartments.jensenlab.org/Entity?figures=subcell_cell_%&amp;knowledge=10&amp;textmining=10&amp;experiments=10&amp;predictions=10&amp;type1=9606&amp;type2=-22&amp;id1=ENSP00000315006","link")</f>
        <v>link</v>
      </c>
      <c r="AJ193" t="s">
        <v>51</v>
      </c>
      <c r="AK193" t="str">
        <f>HYPERLINK("http://www.proteinatlas.org/O43868","HPA046068;HPA055623")</f>
        <v>HPA046068;HPA055623</v>
      </c>
      <c r="AM193">
        <v>9153</v>
      </c>
    </row>
    <row r="194" spans="1:39" x14ac:dyDescent="0.35">
      <c r="A194" t="s">
        <v>1996</v>
      </c>
      <c r="B194" t="str">
        <f>HYPERLINK("http://www.uniprot.org/uniprot/O43869","O43869")</f>
        <v>O43869</v>
      </c>
      <c r="C194" t="s">
        <v>1997</v>
      </c>
      <c r="D194" t="s">
        <v>1998</v>
      </c>
      <c r="E194" t="s">
        <v>39</v>
      </c>
      <c r="F194" t="s">
        <v>55</v>
      </c>
      <c r="H194">
        <v>369</v>
      </c>
      <c r="I194">
        <v>7</v>
      </c>
      <c r="J194">
        <v>0</v>
      </c>
      <c r="K194" t="s">
        <v>1999</v>
      </c>
      <c r="L194" t="s">
        <v>57</v>
      </c>
      <c r="N194">
        <v>0.91020000000000001</v>
      </c>
      <c r="O194" s="1">
        <v>1</v>
      </c>
      <c r="P194" t="s">
        <v>2000</v>
      </c>
      <c r="Q194" t="s">
        <v>2001</v>
      </c>
      <c r="S194" t="s">
        <v>166</v>
      </c>
      <c r="T194" t="s">
        <v>167</v>
      </c>
      <c r="U194">
        <v>56</v>
      </c>
      <c r="V194">
        <v>1</v>
      </c>
      <c r="AE194" t="s">
        <v>74</v>
      </c>
      <c r="AF194" t="s">
        <v>169</v>
      </c>
      <c r="AG194" t="s">
        <v>2002</v>
      </c>
      <c r="AH194" t="str">
        <f>HYPERLINK("http://compartments.jensenlab.org/Entity?figures=subcell_cell_%&amp;knowledge=10&amp;textmining=10&amp;experiments=10&amp;predictions=10&amp;type1=9606&amp;type2=-22&amp;id1=ENSP00000355430","link")</f>
        <v>link</v>
      </c>
      <c r="AI194" t="s">
        <v>65</v>
      </c>
      <c r="AJ194" t="s">
        <v>51</v>
      </c>
      <c r="AK194" t="str">
        <f>HYPERLINK("http://www.proteinatlas.org/O43869","HPA063064")</f>
        <v>HPA063064</v>
      </c>
      <c r="AM194">
        <v>26696</v>
      </c>
    </row>
    <row r="195" spans="1:39" x14ac:dyDescent="0.35">
      <c r="A195" t="s">
        <v>2003</v>
      </c>
      <c r="B195" t="str">
        <f>HYPERLINK("http://www.uniprot.org/uniprot/O43895","O43895")</f>
        <v>O43895</v>
      </c>
      <c r="C195" t="s">
        <v>2004</v>
      </c>
      <c r="D195" t="s">
        <v>2005</v>
      </c>
      <c r="E195" t="s">
        <v>39</v>
      </c>
      <c r="F195" t="s">
        <v>239</v>
      </c>
      <c r="H195">
        <v>674</v>
      </c>
      <c r="I195">
        <v>0</v>
      </c>
      <c r="J195">
        <v>1</v>
      </c>
      <c r="K195" t="s">
        <v>2006</v>
      </c>
      <c r="L195" t="s">
        <v>57</v>
      </c>
      <c r="N195">
        <v>0.7006</v>
      </c>
      <c r="O195" s="1" t="s">
        <v>241</v>
      </c>
      <c r="P195" t="s">
        <v>2007</v>
      </c>
      <c r="Q195" t="s">
        <v>2008</v>
      </c>
      <c r="U195" t="s">
        <v>2009</v>
      </c>
      <c r="V195">
        <v>5</v>
      </c>
      <c r="W195" t="s">
        <v>2009</v>
      </c>
      <c r="AE195" t="s">
        <v>243</v>
      </c>
      <c r="AF195" t="s">
        <v>2010</v>
      </c>
      <c r="AG195" t="s">
        <v>2011</v>
      </c>
      <c r="AH195" t="str">
        <f>HYPERLINK("http://compartments.jensenlab.org/Entity?figures=subcell_cell_%&amp;knowledge=10&amp;textmining=10&amp;experiments=10&amp;predictions=10&amp;type1=9606&amp;type2=-22&amp;id1=ENSP00000360147","link")</f>
        <v>link</v>
      </c>
      <c r="AI195" t="s">
        <v>65</v>
      </c>
      <c r="AJ195" t="s">
        <v>51</v>
      </c>
      <c r="AK195" t="str">
        <f>HYPERLINK("http://www.proteinatlas.org/O43895","HPA000339;CAB025136;CAB025269")</f>
        <v>HPA000339;CAB025136;CAB025269</v>
      </c>
      <c r="AM195">
        <v>7512</v>
      </c>
    </row>
    <row r="196" spans="1:39" x14ac:dyDescent="0.35">
      <c r="A196" t="s">
        <v>2012</v>
      </c>
      <c r="B196" t="str">
        <f>HYPERLINK("http://www.uniprot.org/uniprot/O43921","O43921")</f>
        <v>O43921</v>
      </c>
      <c r="C196" t="s">
        <v>2013</v>
      </c>
      <c r="D196" t="s">
        <v>2014</v>
      </c>
      <c r="E196" t="s">
        <v>39</v>
      </c>
      <c r="F196" t="s">
        <v>239</v>
      </c>
      <c r="H196">
        <v>213</v>
      </c>
      <c r="I196">
        <v>0</v>
      </c>
      <c r="J196">
        <v>1</v>
      </c>
      <c r="K196" t="s">
        <v>2015</v>
      </c>
      <c r="L196" t="s">
        <v>57</v>
      </c>
      <c r="N196">
        <v>0.71860000000000002</v>
      </c>
      <c r="O196" s="1" t="s">
        <v>241</v>
      </c>
      <c r="P196" t="s">
        <v>2016</v>
      </c>
      <c r="Q196" t="s">
        <v>2017</v>
      </c>
      <c r="S196" t="s">
        <v>60</v>
      </c>
      <c r="T196" t="s">
        <v>60</v>
      </c>
      <c r="U196" t="s">
        <v>2018</v>
      </c>
      <c r="V196">
        <v>3</v>
      </c>
      <c r="W196" t="s">
        <v>2018</v>
      </c>
      <c r="AE196" t="s">
        <v>243</v>
      </c>
      <c r="AF196" t="s">
        <v>2019</v>
      </c>
      <c r="AG196" t="s">
        <v>2020</v>
      </c>
      <c r="AH196" t="str">
        <f>HYPERLINK("http://compartments.jensenlab.org/Entity?figures=subcell_cell_%&amp;knowledge=10&amp;textmining=10&amp;experiments=10&amp;predictions=10&amp;type1=9606&amp;type2=-22&amp;id1=ENSP00000215368","link")</f>
        <v>link</v>
      </c>
      <c r="AI196" t="s">
        <v>65</v>
      </c>
      <c r="AJ196" t="s">
        <v>51</v>
      </c>
      <c r="AK196" t="str">
        <f>HYPERLINK("http://www.proteinatlas.org/O43921","CAB005178")</f>
        <v>CAB005178</v>
      </c>
      <c r="AM196">
        <v>1943</v>
      </c>
    </row>
    <row r="197" spans="1:39" x14ac:dyDescent="0.35">
      <c r="A197" t="s">
        <v>2021</v>
      </c>
      <c r="B197" t="str">
        <f>HYPERLINK("http://www.uniprot.org/uniprot/O43934","O43934")</f>
        <v>O43934</v>
      </c>
      <c r="C197" t="s">
        <v>2022</v>
      </c>
      <c r="D197" t="s">
        <v>2023</v>
      </c>
      <c r="E197" t="s">
        <v>39</v>
      </c>
      <c r="F197" t="s">
        <v>40</v>
      </c>
      <c r="H197">
        <v>449</v>
      </c>
      <c r="I197">
        <v>12</v>
      </c>
      <c r="J197">
        <v>0</v>
      </c>
      <c r="K197" t="s">
        <v>2024</v>
      </c>
      <c r="L197" t="s">
        <v>42</v>
      </c>
      <c r="N197">
        <v>0.62280000000000002</v>
      </c>
      <c r="O197" s="1">
        <v>2</v>
      </c>
      <c r="P197" t="s">
        <v>2025</v>
      </c>
      <c r="Q197" t="s">
        <v>2026</v>
      </c>
      <c r="S197" t="s">
        <v>60</v>
      </c>
      <c r="T197" t="s">
        <v>60</v>
      </c>
      <c r="U197" t="s">
        <v>2027</v>
      </c>
      <c r="V197">
        <v>1</v>
      </c>
      <c r="AE197" t="s">
        <v>48</v>
      </c>
      <c r="AF197" t="s">
        <v>1174</v>
      </c>
      <c r="AG197" t="s">
        <v>2028</v>
      </c>
      <c r="AH197" t="str">
        <f>HYPERLINK("http://compartments.jensenlab.org/Entity?figures=subcell_cell_%&amp;knowledge=10&amp;textmining=10&amp;experiments=10&amp;predictions=10&amp;type1=9606&amp;type2=-22&amp;id1=ENSP00000337240","link")</f>
        <v>link</v>
      </c>
      <c r="AJ197" t="s">
        <v>51</v>
      </c>
      <c r="AK197" t="str">
        <f>HYPERLINK("http://www.proteinatlas.org/O43934","HPA022001")</f>
        <v>HPA022001</v>
      </c>
      <c r="AM197">
        <v>79157</v>
      </c>
    </row>
    <row r="198" spans="1:39" x14ac:dyDescent="0.35">
      <c r="A198" t="s">
        <v>2029</v>
      </c>
      <c r="B198" t="str">
        <f>HYPERLINK("http://www.uniprot.org/uniprot/O60235","O60235")</f>
        <v>O60235</v>
      </c>
      <c r="C198" t="s">
        <v>2030</v>
      </c>
      <c r="D198" t="s">
        <v>2031</v>
      </c>
      <c r="E198" t="s">
        <v>39</v>
      </c>
      <c r="F198" t="s">
        <v>55</v>
      </c>
      <c r="H198">
        <v>418</v>
      </c>
      <c r="I198">
        <v>1</v>
      </c>
      <c r="J198">
        <v>0</v>
      </c>
      <c r="K198" t="s">
        <v>2032</v>
      </c>
      <c r="L198" t="s">
        <v>57</v>
      </c>
      <c r="M198" t="s">
        <v>39</v>
      </c>
      <c r="N198">
        <v>0.54600000000000004</v>
      </c>
      <c r="O198" s="1">
        <v>3</v>
      </c>
      <c r="P198" t="s">
        <v>2033</v>
      </c>
      <c r="Q198" t="s">
        <v>2034</v>
      </c>
      <c r="S198" t="s">
        <v>947</v>
      </c>
      <c r="T198">
        <v>3.4</v>
      </c>
      <c r="U198">
        <v>144</v>
      </c>
      <c r="V198">
        <v>1</v>
      </c>
      <c r="W198" t="s">
        <v>2035</v>
      </c>
      <c r="AE198" t="s">
        <v>2036</v>
      </c>
      <c r="AF198" t="s">
        <v>2037</v>
      </c>
      <c r="AG198" t="s">
        <v>2038</v>
      </c>
      <c r="AH198" t="str">
        <f>HYPERLINK("http://compartments.jensenlab.org/Entity?figures=subcell_cell_%&amp;knowledge=10&amp;textmining=10&amp;experiments=10&amp;predictions=10&amp;type1=9606&amp;type2=-22&amp;id1=ENSP00000283916","link")</f>
        <v>link</v>
      </c>
      <c r="AI198" t="s">
        <v>1058</v>
      </c>
      <c r="AJ198" t="s">
        <v>902</v>
      </c>
      <c r="AK198" t="str">
        <f>HYPERLINK("http://www.proteinatlas.org/O60235","HPA052834")</f>
        <v>HPA052834</v>
      </c>
      <c r="AM198">
        <v>9407</v>
      </c>
    </row>
    <row r="199" spans="1:39" x14ac:dyDescent="0.35">
      <c r="A199" t="s">
        <v>2039</v>
      </c>
      <c r="B199" t="str">
        <f>HYPERLINK("http://www.uniprot.org/uniprot/O60241","O60241")</f>
        <v>O60241</v>
      </c>
      <c r="C199" t="s">
        <v>2040</v>
      </c>
      <c r="D199" t="s">
        <v>2041</v>
      </c>
      <c r="E199" t="s">
        <v>39</v>
      </c>
      <c r="F199" t="s">
        <v>55</v>
      </c>
      <c r="H199">
        <v>1585</v>
      </c>
      <c r="I199">
        <v>7</v>
      </c>
      <c r="J199">
        <v>1</v>
      </c>
      <c r="K199" t="s">
        <v>2042</v>
      </c>
      <c r="L199" t="s">
        <v>57</v>
      </c>
      <c r="M199" t="s">
        <v>39</v>
      </c>
      <c r="N199">
        <v>0.98350000000000004</v>
      </c>
      <c r="O199" s="1">
        <v>1</v>
      </c>
      <c r="P199" t="s">
        <v>2043</v>
      </c>
      <c r="Q199" t="s">
        <v>2044</v>
      </c>
      <c r="S199" t="s">
        <v>166</v>
      </c>
      <c r="T199" t="s">
        <v>1149</v>
      </c>
      <c r="U199" t="s">
        <v>2045</v>
      </c>
      <c r="V199">
        <v>8</v>
      </c>
      <c r="Y199" t="s">
        <v>2046</v>
      </c>
      <c r="AE199" t="s">
        <v>74</v>
      </c>
      <c r="AF199" t="s">
        <v>2047</v>
      </c>
      <c r="AG199" t="s">
        <v>2048</v>
      </c>
      <c r="AH199" t="str">
        <f>HYPERLINK("http://compartments.jensenlab.org/Entity?figures=subcell_cell_%&amp;knowledge=10&amp;textmining=10&amp;experiments=10&amp;predictions=10&amp;type1=9606&amp;type2=-22&amp;id1=ENSP00000362762","link")</f>
        <v>link</v>
      </c>
      <c r="AI199" t="s">
        <v>65</v>
      </c>
      <c r="AJ199" t="s">
        <v>51</v>
      </c>
      <c r="AK199" t="str">
        <f>HYPERLINK("http://www.proteinatlas.org/O60241","HPA052612;HPA054617")</f>
        <v>HPA052612;HPA054617</v>
      </c>
      <c r="AM199">
        <v>576</v>
      </c>
    </row>
    <row r="200" spans="1:39" x14ac:dyDescent="0.35">
      <c r="A200" t="s">
        <v>2049</v>
      </c>
      <c r="B200" t="str">
        <f>HYPERLINK("http://www.uniprot.org/uniprot/O60242","O60242")</f>
        <v>O60242</v>
      </c>
      <c r="C200" t="s">
        <v>2050</v>
      </c>
      <c r="D200" t="s">
        <v>2051</v>
      </c>
      <c r="E200" t="s">
        <v>39</v>
      </c>
      <c r="F200" t="s">
        <v>40</v>
      </c>
      <c r="H200">
        <v>1522</v>
      </c>
      <c r="I200">
        <v>7</v>
      </c>
      <c r="J200">
        <v>1</v>
      </c>
      <c r="K200" t="s">
        <v>2052</v>
      </c>
      <c r="L200" t="s">
        <v>57</v>
      </c>
      <c r="N200">
        <v>0.98799999999999999</v>
      </c>
      <c r="O200" s="1">
        <v>1</v>
      </c>
      <c r="P200" t="s">
        <v>2053</v>
      </c>
      <c r="Q200" t="s">
        <v>2054</v>
      </c>
      <c r="S200" t="s">
        <v>166</v>
      </c>
      <c r="T200" t="s">
        <v>1149</v>
      </c>
      <c r="U200" t="s">
        <v>2055</v>
      </c>
      <c r="V200">
        <v>13</v>
      </c>
      <c r="Y200" t="s">
        <v>2056</v>
      </c>
      <c r="AE200" t="s">
        <v>74</v>
      </c>
      <c r="AF200" t="s">
        <v>2057</v>
      </c>
      <c r="AG200" t="s">
        <v>2058</v>
      </c>
      <c r="AH200" t="str">
        <f>HYPERLINK("http://compartments.jensenlab.org/Entity?figures=subcell_cell_%&amp;knowledge=10&amp;textmining=10&amp;experiments=10&amp;predictions=10&amp;type1=9606&amp;type2=-22&amp;id1=ENSP00000359630","link")</f>
        <v>link</v>
      </c>
      <c r="AK200" t="str">
        <f>HYPERLINK("http://www.proteinatlas.org/O60242","HPA015963")</f>
        <v>HPA015963</v>
      </c>
      <c r="AM200">
        <v>577</v>
      </c>
    </row>
    <row r="201" spans="1:39" x14ac:dyDescent="0.35">
      <c r="A201" t="s">
        <v>2059</v>
      </c>
      <c r="B201" t="str">
        <f>HYPERLINK("http://www.uniprot.org/uniprot/O60245","O60245")</f>
        <v>O60245</v>
      </c>
      <c r="C201" t="s">
        <v>2060</v>
      </c>
      <c r="D201" t="s">
        <v>2061</v>
      </c>
      <c r="E201" t="s">
        <v>39</v>
      </c>
      <c r="F201" t="s">
        <v>55</v>
      </c>
      <c r="H201">
        <v>1069</v>
      </c>
      <c r="I201">
        <v>1</v>
      </c>
      <c r="J201">
        <v>1</v>
      </c>
      <c r="K201" t="s">
        <v>2062</v>
      </c>
      <c r="L201" t="s">
        <v>101</v>
      </c>
      <c r="M201" t="s">
        <v>39</v>
      </c>
      <c r="N201">
        <v>0.93479999999999996</v>
      </c>
      <c r="O201" s="1">
        <v>1</v>
      </c>
      <c r="P201" t="s">
        <v>2063</v>
      </c>
      <c r="Q201" t="s">
        <v>2064</v>
      </c>
      <c r="S201" t="s">
        <v>91</v>
      </c>
      <c r="T201" t="s">
        <v>216</v>
      </c>
      <c r="U201" t="s">
        <v>2065</v>
      </c>
      <c r="V201">
        <v>8</v>
      </c>
      <c r="W201" t="s">
        <v>2066</v>
      </c>
      <c r="Z201" t="s">
        <v>107</v>
      </c>
      <c r="AA201">
        <v>1</v>
      </c>
      <c r="AB201" t="s">
        <v>2067</v>
      </c>
      <c r="AC201">
        <v>79</v>
      </c>
      <c r="AD201" t="s">
        <v>2068</v>
      </c>
      <c r="AE201" t="s">
        <v>332</v>
      </c>
      <c r="AF201" t="s">
        <v>2069</v>
      </c>
      <c r="AG201" t="s">
        <v>2070</v>
      </c>
      <c r="AH201" t="str">
        <f>HYPERLINK("http://compartments.jensenlab.org/Entity?figures=subcell_cell_%&amp;knowledge=10&amp;textmining=10&amp;experiments=10&amp;predictions=10&amp;type1=9606&amp;type2=-22&amp;id1=ENSP00000355243","link")</f>
        <v>link</v>
      </c>
      <c r="AK201" t="str">
        <f>HYPERLINK("http://www.proteinatlas.org/O60245","HPA011866")</f>
        <v>HPA011866</v>
      </c>
      <c r="AM201">
        <v>5099</v>
      </c>
    </row>
    <row r="202" spans="1:39" x14ac:dyDescent="0.35">
      <c r="A202" t="s">
        <v>2071</v>
      </c>
      <c r="B202" t="str">
        <f>HYPERLINK("http://www.uniprot.org/uniprot/O60266","O60266")</f>
        <v>O60266</v>
      </c>
      <c r="C202" t="s">
        <v>2072</v>
      </c>
      <c r="D202" t="s">
        <v>2073</v>
      </c>
      <c r="E202" t="s">
        <v>39</v>
      </c>
      <c r="F202" t="s">
        <v>40</v>
      </c>
      <c r="H202">
        <v>1144</v>
      </c>
      <c r="I202">
        <v>12</v>
      </c>
      <c r="J202">
        <v>0</v>
      </c>
      <c r="K202" t="s">
        <v>2074</v>
      </c>
      <c r="L202" t="s">
        <v>101</v>
      </c>
      <c r="N202">
        <v>0.89019999999999999</v>
      </c>
      <c r="O202" s="1">
        <v>1</v>
      </c>
      <c r="P202" t="s">
        <v>2075</v>
      </c>
      <c r="Q202" t="s">
        <v>2076</v>
      </c>
      <c r="S202" t="s">
        <v>947</v>
      </c>
      <c r="T202" t="s">
        <v>1784</v>
      </c>
      <c r="U202" t="s">
        <v>2077</v>
      </c>
      <c r="V202">
        <v>3</v>
      </c>
      <c r="W202" t="s">
        <v>2078</v>
      </c>
      <c r="Z202" t="s">
        <v>123</v>
      </c>
      <c r="AA202">
        <v>2</v>
      </c>
      <c r="AB202" t="s">
        <v>2079</v>
      </c>
      <c r="AC202">
        <v>828</v>
      </c>
      <c r="AD202" t="s">
        <v>2080</v>
      </c>
      <c r="AE202" t="s">
        <v>48</v>
      </c>
      <c r="AF202" t="s">
        <v>2081</v>
      </c>
      <c r="AG202" t="s">
        <v>2082</v>
      </c>
      <c r="AH202" t="str">
        <f>HYPERLINK("http://compartments.jensenlab.org/Entity?figures=subcell_cell_%&amp;knowledge=10&amp;textmining=10&amp;experiments=10&amp;predictions=10&amp;type1=9606&amp;type2=-22&amp;id1=ENSP00000260600","link")</f>
        <v>link</v>
      </c>
      <c r="AJ202" t="s">
        <v>299</v>
      </c>
      <c r="AK202" t="str">
        <f>HYPERLINK("http://www.proteinatlas.org/O60266","CAB010223;HPA051172")</f>
        <v>CAB010223;HPA051172</v>
      </c>
      <c r="AM202">
        <v>109</v>
      </c>
    </row>
    <row r="203" spans="1:39" x14ac:dyDescent="0.35">
      <c r="A203" t="s">
        <v>2083</v>
      </c>
      <c r="B203" t="str">
        <f>HYPERLINK("http://www.uniprot.org/uniprot/O60279","O60279")</f>
        <v>O60279</v>
      </c>
      <c r="C203" t="s">
        <v>2084</v>
      </c>
      <c r="D203" t="s">
        <v>2085</v>
      </c>
      <c r="E203" t="s">
        <v>39</v>
      </c>
      <c r="F203" t="s">
        <v>40</v>
      </c>
      <c r="H203">
        <v>629</v>
      </c>
      <c r="I203">
        <v>1</v>
      </c>
      <c r="J203">
        <v>1</v>
      </c>
      <c r="K203" t="s">
        <v>2086</v>
      </c>
      <c r="L203" t="s">
        <v>101</v>
      </c>
      <c r="N203">
        <v>0.82440000000000002</v>
      </c>
      <c r="O203" s="1">
        <v>1</v>
      </c>
      <c r="P203" t="s">
        <v>2087</v>
      </c>
      <c r="Q203" t="s">
        <v>2088</v>
      </c>
      <c r="S203" t="s">
        <v>60</v>
      </c>
      <c r="T203" t="s">
        <v>60</v>
      </c>
      <c r="U203" t="s">
        <v>2089</v>
      </c>
      <c r="V203">
        <v>4</v>
      </c>
      <c r="Z203" t="s">
        <v>107</v>
      </c>
      <c r="AA203">
        <v>1</v>
      </c>
      <c r="AB203" t="s">
        <v>2090</v>
      </c>
      <c r="AC203">
        <v>354</v>
      </c>
      <c r="AD203" t="s">
        <v>2091</v>
      </c>
      <c r="AE203" t="s">
        <v>144</v>
      </c>
      <c r="AF203" t="s">
        <v>2092</v>
      </c>
      <c r="AG203" t="s">
        <v>2093</v>
      </c>
      <c r="AH203" t="str">
        <f>HYPERLINK("http://compartments.jensenlab.org/Entity?figures=subcell_cell_%&amp;knowledge=10&amp;textmining=10&amp;experiments=10&amp;predictions=10&amp;type1=9606&amp;type2=-22&amp;id1=ENSP00000308727","link")</f>
        <v>link</v>
      </c>
      <c r="AJ203" t="s">
        <v>51</v>
      </c>
      <c r="AK203" t="str">
        <f>HYPERLINK("http://www.proteinatlas.org/O60279","HPA052788")</f>
        <v>HPA052788</v>
      </c>
      <c r="AM203">
        <v>26032</v>
      </c>
    </row>
    <row r="204" spans="1:39" x14ac:dyDescent="0.35">
      <c r="A204" t="s">
        <v>2094</v>
      </c>
      <c r="B204" t="str">
        <f>HYPERLINK("http://www.uniprot.org/uniprot/O60309","O60309")</f>
        <v>O60309</v>
      </c>
      <c r="C204" t="s">
        <v>2095</v>
      </c>
      <c r="D204" t="s">
        <v>2096</v>
      </c>
      <c r="E204" t="s">
        <v>39</v>
      </c>
      <c r="F204" t="s">
        <v>40</v>
      </c>
      <c r="H204">
        <v>1634</v>
      </c>
      <c r="I204">
        <v>1</v>
      </c>
      <c r="J204">
        <v>1</v>
      </c>
      <c r="K204" t="s">
        <v>2097</v>
      </c>
      <c r="L204" t="s">
        <v>57</v>
      </c>
      <c r="N204">
        <v>0.77449999999999997</v>
      </c>
      <c r="O204" s="1">
        <v>1</v>
      </c>
      <c r="P204" t="s">
        <v>2098</v>
      </c>
      <c r="Q204" t="s">
        <v>2099</v>
      </c>
      <c r="S204" t="s">
        <v>91</v>
      </c>
      <c r="T204" t="s">
        <v>527</v>
      </c>
      <c r="U204" t="s">
        <v>528</v>
      </c>
      <c r="V204">
        <v>10</v>
      </c>
      <c r="X204" t="s">
        <v>2100</v>
      </c>
      <c r="Y204">
        <v>19</v>
      </c>
      <c r="AE204" t="s">
        <v>144</v>
      </c>
      <c r="AF204" t="s">
        <v>529</v>
      </c>
      <c r="AG204" t="s">
        <v>2101</v>
      </c>
      <c r="AH204" t="str">
        <f>HYPERLINK("http://compartments.jensenlab.org/Entity?figures=subcell_cell_%&amp;knowledge=10&amp;textmining=10&amp;experiments=10&amp;predictions=10&amp;type1=9606&amp;type2=-22&amp;id1=ENSP00000325713","link")</f>
        <v>link</v>
      </c>
      <c r="AJ204" t="s">
        <v>51</v>
      </c>
      <c r="AK204" t="str">
        <f>HYPERLINK("http://www.proteinatlas.org/O60309","HPA042121;HPA042701;HPA043056;HPA045090")</f>
        <v>HPA042121;HPA042701;HPA043056;HPA045090</v>
      </c>
      <c r="AM204">
        <v>374819</v>
      </c>
    </row>
    <row r="205" spans="1:39" x14ac:dyDescent="0.35">
      <c r="A205" t="s">
        <v>2102</v>
      </c>
      <c r="B205" t="str">
        <f>HYPERLINK("http://www.uniprot.org/uniprot/O60330","O60330")</f>
        <v>O60330</v>
      </c>
      <c r="C205" t="s">
        <v>2103</v>
      </c>
      <c r="D205" t="s">
        <v>2104</v>
      </c>
      <c r="E205" t="s">
        <v>39</v>
      </c>
      <c r="F205" t="s">
        <v>55</v>
      </c>
      <c r="H205">
        <v>932</v>
      </c>
      <c r="I205">
        <v>1</v>
      </c>
      <c r="J205">
        <v>1</v>
      </c>
      <c r="K205" t="s">
        <v>2105</v>
      </c>
      <c r="L205" t="s">
        <v>101</v>
      </c>
      <c r="M205" t="s">
        <v>39</v>
      </c>
      <c r="N205">
        <v>0.88539999999999996</v>
      </c>
      <c r="O205" s="1">
        <v>1</v>
      </c>
      <c r="P205" t="s">
        <v>2106</v>
      </c>
      <c r="Q205" t="s">
        <v>2107</v>
      </c>
      <c r="S205" t="s">
        <v>91</v>
      </c>
      <c r="T205" t="s">
        <v>2108</v>
      </c>
      <c r="U205" t="s">
        <v>2109</v>
      </c>
      <c r="V205">
        <v>3</v>
      </c>
      <c r="Z205" t="s">
        <v>107</v>
      </c>
      <c r="AA205">
        <v>1</v>
      </c>
      <c r="AB205" t="s">
        <v>2110</v>
      </c>
      <c r="AC205">
        <v>419</v>
      </c>
      <c r="AD205" t="s">
        <v>2111</v>
      </c>
      <c r="AE205" t="s">
        <v>332</v>
      </c>
      <c r="AF205" t="s">
        <v>1347</v>
      </c>
      <c r="AG205" t="s">
        <v>2112</v>
      </c>
      <c r="AH205" t="str">
        <f>HYPERLINK("http://compartments.jensenlab.org/Entity?figures=subcell_cell_%&amp;knowledge=10&amp;textmining=10&amp;experiments=10&amp;predictions=10&amp;type1=9606&amp;type2=-22&amp;id1=ENSP00000252085","link")</f>
        <v>link</v>
      </c>
      <c r="AI205" t="s">
        <v>65</v>
      </c>
      <c r="AJ205" t="s">
        <v>51</v>
      </c>
      <c r="AK205" t="str">
        <f>HYPERLINK("http://www.proteinatlas.org/O60330","HPA008755")</f>
        <v>HPA008755</v>
      </c>
      <c r="AM205">
        <v>26025</v>
      </c>
    </row>
    <row r="206" spans="1:39" x14ac:dyDescent="0.35">
      <c r="A206" t="s">
        <v>2113</v>
      </c>
      <c r="B206" t="str">
        <f>HYPERLINK("http://www.uniprot.org/uniprot/O60353","O60353")</f>
        <v>O60353</v>
      </c>
      <c r="C206" t="s">
        <v>2114</v>
      </c>
      <c r="D206" t="s">
        <v>2115</v>
      </c>
      <c r="E206" t="s">
        <v>39</v>
      </c>
      <c r="F206" t="s">
        <v>40</v>
      </c>
      <c r="H206">
        <v>706</v>
      </c>
      <c r="I206">
        <v>7</v>
      </c>
      <c r="J206">
        <v>1</v>
      </c>
      <c r="K206" t="s">
        <v>2116</v>
      </c>
      <c r="L206" t="s">
        <v>57</v>
      </c>
      <c r="N206">
        <v>0.93610000000000004</v>
      </c>
      <c r="O206" s="1">
        <v>1</v>
      </c>
      <c r="P206" t="s">
        <v>2117</v>
      </c>
      <c r="Q206" t="s">
        <v>2118</v>
      </c>
      <c r="S206" t="s">
        <v>166</v>
      </c>
      <c r="T206" t="s">
        <v>827</v>
      </c>
      <c r="U206" t="s">
        <v>2119</v>
      </c>
      <c r="V206">
        <v>2</v>
      </c>
      <c r="W206">
        <v>38</v>
      </c>
      <c r="X206" t="s">
        <v>2120</v>
      </c>
      <c r="AE206" t="s">
        <v>2121</v>
      </c>
      <c r="AF206" t="s">
        <v>2122</v>
      </c>
      <c r="AG206" t="s">
        <v>2123</v>
      </c>
      <c r="AH206" t="str">
        <f>HYPERLINK("http://compartments.jensenlab.org/Entity?figures=subcell_cell_%&amp;knowledge=10&amp;textmining=10&amp;experiments=10&amp;predictions=10&amp;type1=9606&amp;type2=-22&amp;id1=ENSP00000351605","link")</f>
        <v>link</v>
      </c>
      <c r="AI206" t="s">
        <v>65</v>
      </c>
      <c r="AJ206" t="s">
        <v>2124</v>
      </c>
      <c r="AK206" t="str">
        <f>HYPERLINK("http://www.proteinatlas.org/O60353","HPA017991")</f>
        <v>HPA017991</v>
      </c>
      <c r="AM206">
        <v>8323</v>
      </c>
    </row>
    <row r="207" spans="1:39" x14ac:dyDescent="0.35">
      <c r="A207" t="s">
        <v>2125</v>
      </c>
      <c r="B207" t="str">
        <f>HYPERLINK("http://www.uniprot.org/uniprot/O60359","O60359")</f>
        <v>O60359</v>
      </c>
      <c r="C207" t="s">
        <v>2126</v>
      </c>
      <c r="D207" t="s">
        <v>2127</v>
      </c>
      <c r="E207" t="s">
        <v>39</v>
      </c>
      <c r="F207" t="s">
        <v>40</v>
      </c>
      <c r="H207">
        <v>315</v>
      </c>
      <c r="I207">
        <v>4</v>
      </c>
      <c r="J207">
        <v>0</v>
      </c>
      <c r="K207" t="s">
        <v>2128</v>
      </c>
      <c r="L207" t="s">
        <v>42</v>
      </c>
      <c r="N207">
        <v>0.71860000000000002</v>
      </c>
      <c r="O207" s="1">
        <v>2</v>
      </c>
      <c r="P207" t="s">
        <v>2129</v>
      </c>
      <c r="Q207" t="s">
        <v>2130</v>
      </c>
      <c r="S207" t="s">
        <v>45</v>
      </c>
      <c r="T207" t="s">
        <v>341</v>
      </c>
      <c r="U207" t="s">
        <v>2131</v>
      </c>
      <c r="V207">
        <v>1</v>
      </c>
      <c r="Y207" t="s">
        <v>2132</v>
      </c>
      <c r="AE207" t="s">
        <v>48</v>
      </c>
      <c r="AF207" t="s">
        <v>2133</v>
      </c>
      <c r="AG207" t="s">
        <v>2134</v>
      </c>
      <c r="AH207" t="str">
        <f>HYPERLINK("http://compartments.jensenlab.org/Entity?figures=subcell_cell_%&amp;knowledge=10&amp;textmining=10&amp;experiments=10&amp;predictions=10&amp;type1=9606&amp;type2=-22&amp;id1=ENSP00000005284","link")</f>
        <v>link</v>
      </c>
      <c r="AI207" t="s">
        <v>65</v>
      </c>
      <c r="AJ207" t="s">
        <v>51</v>
      </c>
      <c r="AK207" t="str">
        <f>HYPERLINK("http://www.proteinatlas.org/O60359","HPA059010")</f>
        <v>HPA059010</v>
      </c>
      <c r="AM207">
        <v>10368</v>
      </c>
    </row>
    <row r="208" spans="1:39" x14ac:dyDescent="0.35">
      <c r="A208" t="s">
        <v>2135</v>
      </c>
      <c r="B208" t="str">
        <f>HYPERLINK("http://www.uniprot.org/uniprot/O60391","O60391")</f>
        <v>O60391</v>
      </c>
      <c r="C208" t="s">
        <v>2136</v>
      </c>
      <c r="D208" t="s">
        <v>2137</v>
      </c>
      <c r="E208" t="s">
        <v>39</v>
      </c>
      <c r="F208" t="s">
        <v>40</v>
      </c>
      <c r="H208">
        <v>1043</v>
      </c>
      <c r="I208">
        <v>3</v>
      </c>
      <c r="J208">
        <v>1</v>
      </c>
      <c r="K208" t="s">
        <v>2138</v>
      </c>
      <c r="L208" t="s">
        <v>57</v>
      </c>
      <c r="N208">
        <v>0.78839999999999999</v>
      </c>
      <c r="O208" s="1">
        <v>1</v>
      </c>
      <c r="P208" t="s">
        <v>2139</v>
      </c>
      <c r="Q208" t="s">
        <v>2140</v>
      </c>
      <c r="S208" t="s">
        <v>45</v>
      </c>
      <c r="T208" t="s">
        <v>1554</v>
      </c>
      <c r="U208" t="s">
        <v>2141</v>
      </c>
      <c r="V208">
        <v>5</v>
      </c>
      <c r="Y208">
        <v>575</v>
      </c>
      <c r="AE208" t="s">
        <v>2142</v>
      </c>
      <c r="AF208" t="s">
        <v>2143</v>
      </c>
      <c r="AG208" t="s">
        <v>2144</v>
      </c>
      <c r="AH208" t="str">
        <f>HYPERLINK("http://compartments.jensenlab.org/Entity?figures=subcell_cell_%&amp;knowledge=10&amp;textmining=10&amp;experiments=10&amp;predictions=10&amp;type1=9606&amp;type2=-22&amp;id1=ENSP00000234389","link")</f>
        <v>link</v>
      </c>
      <c r="AI208" t="s">
        <v>65</v>
      </c>
      <c r="AJ208" t="s">
        <v>51</v>
      </c>
      <c r="AK208" t="str">
        <f>HYPERLINK("http://www.proteinatlas.org/O60391","no")</f>
        <v>no</v>
      </c>
      <c r="AL208" t="s">
        <v>2145</v>
      </c>
      <c r="AM208">
        <v>116444</v>
      </c>
    </row>
    <row r="209" spans="1:39" x14ac:dyDescent="0.35">
      <c r="A209" t="s">
        <v>2146</v>
      </c>
      <c r="B209" t="str">
        <f>HYPERLINK("http://www.uniprot.org/uniprot/O60403","O60403")</f>
        <v>O60403</v>
      </c>
      <c r="C209" t="s">
        <v>2147</v>
      </c>
      <c r="D209" t="s">
        <v>2148</v>
      </c>
      <c r="E209" t="s">
        <v>39</v>
      </c>
      <c r="F209" t="s">
        <v>55</v>
      </c>
      <c r="H209">
        <v>315</v>
      </c>
      <c r="I209">
        <v>7</v>
      </c>
      <c r="J209">
        <v>0</v>
      </c>
      <c r="K209" t="s">
        <v>2149</v>
      </c>
      <c r="L209" t="s">
        <v>57</v>
      </c>
      <c r="N209">
        <v>0.95409999999999995</v>
      </c>
      <c r="O209" s="1">
        <v>1</v>
      </c>
      <c r="P209" t="s">
        <v>2150</v>
      </c>
      <c r="Q209" t="s">
        <v>2151</v>
      </c>
      <c r="S209" t="s">
        <v>166</v>
      </c>
      <c r="T209" t="s">
        <v>167</v>
      </c>
      <c r="U209">
        <v>5</v>
      </c>
      <c r="V209">
        <v>1</v>
      </c>
      <c r="AE209" t="s">
        <v>74</v>
      </c>
      <c r="AF209" t="s">
        <v>169</v>
      </c>
      <c r="AG209" t="s">
        <v>2152</v>
      </c>
      <c r="AH209" t="str">
        <f>HYPERLINK("http://compartments.jensenlab.org/Entity?figures=subcell_cell_%&amp;knowledge=10&amp;textmining=10&amp;experiments=10&amp;predictions=10&amp;type1=9606&amp;type2=-22&amp;id1=ENSP00000306095","link")</f>
        <v>link</v>
      </c>
      <c r="AI209" t="s">
        <v>65</v>
      </c>
      <c r="AJ209" t="s">
        <v>51</v>
      </c>
      <c r="AK209" t="str">
        <f>HYPERLINK("http://www.proteinatlas.org/O60403","no")</f>
        <v>no</v>
      </c>
      <c r="AM209">
        <v>26538</v>
      </c>
    </row>
    <row r="210" spans="1:39" x14ac:dyDescent="0.35">
      <c r="A210" t="s">
        <v>2153</v>
      </c>
      <c r="B210" t="str">
        <f>HYPERLINK("http://www.uniprot.org/uniprot/O60404","O60404")</f>
        <v>O60404</v>
      </c>
      <c r="C210" t="s">
        <v>2154</v>
      </c>
      <c r="D210" t="s">
        <v>2155</v>
      </c>
      <c r="E210" t="s">
        <v>39</v>
      </c>
      <c r="F210" t="s">
        <v>55</v>
      </c>
      <c r="H210">
        <v>316</v>
      </c>
      <c r="I210">
        <v>7</v>
      </c>
      <c r="J210">
        <v>0</v>
      </c>
      <c r="K210" t="s">
        <v>2156</v>
      </c>
      <c r="L210" t="s">
        <v>57</v>
      </c>
      <c r="M210" t="s">
        <v>39</v>
      </c>
      <c r="N210">
        <v>0.75249999999999995</v>
      </c>
      <c r="O210" s="1">
        <v>1</v>
      </c>
      <c r="P210" t="s">
        <v>2157</v>
      </c>
      <c r="Q210" t="s">
        <v>2158</v>
      </c>
      <c r="S210" t="s">
        <v>166</v>
      </c>
      <c r="T210" t="s">
        <v>167</v>
      </c>
      <c r="V210">
        <v>0</v>
      </c>
      <c r="AE210" t="s">
        <v>74</v>
      </c>
      <c r="AF210" t="s">
        <v>368</v>
      </c>
      <c r="AG210" t="s">
        <v>2159</v>
      </c>
      <c r="AH210" t="str">
        <f>HYPERLINK("http://compartments.jensenlab.org/Entity?figures=subcell_cell_%&amp;knowledge=10&amp;textmining=10&amp;experiments=10&amp;predictions=10&amp;type1=9606&amp;type2=-22&amp;id1=ENSP00000307130","link")</f>
        <v>link</v>
      </c>
      <c r="AI210" t="s">
        <v>65</v>
      </c>
      <c r="AJ210" t="s">
        <v>51</v>
      </c>
      <c r="AK210" t="str">
        <f>HYPERLINK("http://www.proteinatlas.org/O60404","no")</f>
        <v>no</v>
      </c>
      <c r="AM210">
        <v>26532</v>
      </c>
    </row>
    <row r="211" spans="1:39" x14ac:dyDescent="0.35">
      <c r="A211" t="s">
        <v>2160</v>
      </c>
      <c r="B211" t="str">
        <f>HYPERLINK("http://www.uniprot.org/uniprot/O60412","O60412")</f>
        <v>O60412</v>
      </c>
      <c r="C211" t="s">
        <v>2161</v>
      </c>
      <c r="D211" t="s">
        <v>2162</v>
      </c>
      <c r="E211" t="s">
        <v>39</v>
      </c>
      <c r="F211" t="s">
        <v>55</v>
      </c>
      <c r="H211">
        <v>319</v>
      </c>
      <c r="I211">
        <v>7</v>
      </c>
      <c r="J211">
        <v>0</v>
      </c>
      <c r="K211" t="s">
        <v>2163</v>
      </c>
      <c r="L211" t="s">
        <v>57</v>
      </c>
      <c r="M211" t="s">
        <v>39</v>
      </c>
      <c r="N211">
        <v>0.97809999999999997</v>
      </c>
      <c r="O211" s="1">
        <v>1</v>
      </c>
      <c r="P211" t="s">
        <v>2164</v>
      </c>
      <c r="Q211" t="s">
        <v>2165</v>
      </c>
      <c r="S211" t="s">
        <v>166</v>
      </c>
      <c r="T211" t="s">
        <v>167</v>
      </c>
      <c r="U211" t="s">
        <v>1191</v>
      </c>
      <c r="V211">
        <v>1</v>
      </c>
      <c r="AE211" t="s">
        <v>74</v>
      </c>
      <c r="AF211" t="s">
        <v>169</v>
      </c>
      <c r="AG211" t="s">
        <v>2166</v>
      </c>
      <c r="AH211" t="str">
        <f>HYPERLINK("http://compartments.jensenlab.org/Entity?figures=subcell_cell_%&amp;knowledge=10&amp;textmining=10&amp;experiments=10&amp;predictions=10&amp;type1=9606&amp;type2=-22&amp;id1=ENSP00000248072","link")</f>
        <v>link</v>
      </c>
      <c r="AI211" t="s">
        <v>65</v>
      </c>
      <c r="AJ211" t="s">
        <v>51</v>
      </c>
      <c r="AK211" t="str">
        <f>HYPERLINK("http://www.proteinatlas.org/O60412","HPA047295")</f>
        <v>HPA047295</v>
      </c>
      <c r="AM211">
        <v>26658</v>
      </c>
    </row>
    <row r="212" spans="1:39" x14ac:dyDescent="0.35">
      <c r="A212" t="s">
        <v>2167</v>
      </c>
      <c r="B212" t="str">
        <f>HYPERLINK("http://www.uniprot.org/uniprot/O60431","O60431")</f>
        <v>O60431</v>
      </c>
      <c r="C212" t="s">
        <v>2168</v>
      </c>
      <c r="D212" t="s">
        <v>2169</v>
      </c>
      <c r="E212" t="s">
        <v>39</v>
      </c>
      <c r="F212" t="s">
        <v>55</v>
      </c>
      <c r="H212">
        <v>355</v>
      </c>
      <c r="I212">
        <v>7</v>
      </c>
      <c r="J212">
        <v>0</v>
      </c>
      <c r="K212" t="s">
        <v>2170</v>
      </c>
      <c r="L212" t="s">
        <v>57</v>
      </c>
      <c r="N212">
        <v>0.7026</v>
      </c>
      <c r="O212" s="1">
        <v>2</v>
      </c>
      <c r="P212" t="s">
        <v>2171</v>
      </c>
      <c r="Q212" t="s">
        <v>2172</v>
      </c>
      <c r="S212" t="s">
        <v>166</v>
      </c>
      <c r="T212" t="s">
        <v>167</v>
      </c>
      <c r="U212">
        <v>65</v>
      </c>
      <c r="V212">
        <v>0</v>
      </c>
      <c r="AE212" t="s">
        <v>74</v>
      </c>
      <c r="AF212" t="s">
        <v>2173</v>
      </c>
      <c r="AG212" t="s">
        <v>2174</v>
      </c>
      <c r="AH212" t="str">
        <f>HYPERLINK("http://compartments.jensenlab.org/Entity?figures=subcell_cell_%&amp;knowledge=10&amp;textmining=10&amp;experiments=10&amp;predictions=10&amp;type1=9606&amp;type2=-22&amp;id1=ENSP00000209540","link")</f>
        <v>link</v>
      </c>
      <c r="AI212" t="s">
        <v>65</v>
      </c>
      <c r="AJ212" t="s">
        <v>51</v>
      </c>
      <c r="AK212" t="str">
        <f>HYPERLINK("http://www.proteinatlas.org/O60431","no")</f>
        <v>no</v>
      </c>
      <c r="AM212">
        <v>126370</v>
      </c>
    </row>
    <row r="213" spans="1:39" x14ac:dyDescent="0.35">
      <c r="A213" t="s">
        <v>2175</v>
      </c>
      <c r="B213" t="str">
        <f>HYPERLINK("http://www.uniprot.org/uniprot/O60449","O60449")</f>
        <v>O60449</v>
      </c>
      <c r="C213" t="s">
        <v>2176</v>
      </c>
      <c r="D213" t="s">
        <v>2177</v>
      </c>
      <c r="E213" t="s">
        <v>39</v>
      </c>
      <c r="F213" t="s">
        <v>40</v>
      </c>
      <c r="H213">
        <v>1722</v>
      </c>
      <c r="I213">
        <v>1</v>
      </c>
      <c r="J213">
        <v>1</v>
      </c>
      <c r="K213" t="s">
        <v>2178</v>
      </c>
      <c r="L213" t="s">
        <v>101</v>
      </c>
      <c r="N213">
        <v>0.95209999999999995</v>
      </c>
      <c r="O213" s="1">
        <v>1</v>
      </c>
      <c r="R213" t="s">
        <v>2179</v>
      </c>
      <c r="S213" t="s">
        <v>166</v>
      </c>
      <c r="T213" t="s">
        <v>2180</v>
      </c>
      <c r="U213" t="s">
        <v>2181</v>
      </c>
      <c r="V213">
        <v>18</v>
      </c>
      <c r="W213" t="s">
        <v>2181</v>
      </c>
      <c r="Z213" t="s">
        <v>107</v>
      </c>
      <c r="AA213">
        <v>29</v>
      </c>
      <c r="AB213" t="s">
        <v>2182</v>
      </c>
      <c r="AC213" t="s">
        <v>2183</v>
      </c>
      <c r="AD213" t="s">
        <v>2184</v>
      </c>
      <c r="AE213" t="s">
        <v>144</v>
      </c>
      <c r="AF213" t="s">
        <v>2185</v>
      </c>
      <c r="AG213" t="s">
        <v>2186</v>
      </c>
      <c r="AK213" t="str">
        <f>HYPERLINK("http://www.proteinatlas.org/O60449","no")</f>
        <v>no</v>
      </c>
      <c r="AM213" t="s">
        <v>2187</v>
      </c>
    </row>
    <row r="214" spans="1:39" x14ac:dyDescent="0.35">
      <c r="A214" t="s">
        <v>2188</v>
      </c>
      <c r="B214" t="str">
        <f>HYPERLINK("http://www.uniprot.org/uniprot/O60462","O60462")</f>
        <v>O60462</v>
      </c>
      <c r="C214" t="s">
        <v>2189</v>
      </c>
      <c r="D214" t="s">
        <v>2190</v>
      </c>
      <c r="E214" t="s">
        <v>39</v>
      </c>
      <c r="F214" t="s">
        <v>40</v>
      </c>
      <c r="H214">
        <v>931</v>
      </c>
      <c r="I214">
        <v>1</v>
      </c>
      <c r="J214">
        <v>1</v>
      </c>
      <c r="K214" t="s">
        <v>2191</v>
      </c>
      <c r="L214" t="s">
        <v>101</v>
      </c>
      <c r="N214">
        <v>0.92610000000000003</v>
      </c>
      <c r="O214" s="1">
        <v>1</v>
      </c>
      <c r="P214" t="s">
        <v>2192</v>
      </c>
      <c r="Q214" t="s">
        <v>2193</v>
      </c>
      <c r="S214" t="s">
        <v>166</v>
      </c>
      <c r="T214" t="s">
        <v>1243</v>
      </c>
      <c r="U214" t="s">
        <v>2194</v>
      </c>
      <c r="V214">
        <v>4</v>
      </c>
      <c r="W214" t="s">
        <v>2194</v>
      </c>
      <c r="Z214" t="s">
        <v>107</v>
      </c>
      <c r="AA214">
        <v>3</v>
      </c>
      <c r="AB214" t="s">
        <v>2195</v>
      </c>
      <c r="AC214" t="s">
        <v>2196</v>
      </c>
      <c r="AD214" t="s">
        <v>2197</v>
      </c>
      <c r="AE214" t="s">
        <v>1434</v>
      </c>
      <c r="AF214" t="s">
        <v>2198</v>
      </c>
      <c r="AG214" t="s">
        <v>2199</v>
      </c>
      <c r="AH214" t="str">
        <f>HYPERLINK("http://compartments.jensenlab.org/Entity?figures=subcell_cell_%&amp;knowledge=10&amp;textmining=10&amp;experiments=10&amp;predictions=10&amp;type1=9606&amp;type2=-22&amp;id1=ENSP00000272849","link")</f>
        <v>link</v>
      </c>
      <c r="AK214" t="str">
        <f>HYPERLINK("http://www.proteinatlas.org/O60462","HPA039980")</f>
        <v>HPA039980</v>
      </c>
      <c r="AM214">
        <v>8828</v>
      </c>
    </row>
    <row r="215" spans="1:39" x14ac:dyDescent="0.35">
      <c r="A215" t="s">
        <v>2200</v>
      </c>
      <c r="B215" t="str">
        <f>HYPERLINK("http://www.uniprot.org/uniprot/O60469","O60469")</f>
        <v>O60469</v>
      </c>
      <c r="C215" t="s">
        <v>2201</v>
      </c>
      <c r="D215" t="s">
        <v>2202</v>
      </c>
      <c r="E215" t="s">
        <v>39</v>
      </c>
      <c r="F215" t="s">
        <v>40</v>
      </c>
      <c r="H215">
        <v>2012</v>
      </c>
      <c r="I215">
        <v>1</v>
      </c>
      <c r="J215">
        <v>1</v>
      </c>
      <c r="K215" t="s">
        <v>2203</v>
      </c>
      <c r="L215" t="s">
        <v>57</v>
      </c>
      <c r="N215">
        <v>0.99399999999999999</v>
      </c>
      <c r="O215" s="1">
        <v>1</v>
      </c>
      <c r="P215" t="s">
        <v>2204</v>
      </c>
      <c r="Q215" t="s">
        <v>2205</v>
      </c>
      <c r="S215" t="s">
        <v>91</v>
      </c>
      <c r="T215" t="s">
        <v>555</v>
      </c>
      <c r="U215" t="s">
        <v>2206</v>
      </c>
      <c r="V215">
        <v>19</v>
      </c>
      <c r="W215" t="s">
        <v>2207</v>
      </c>
      <c r="AE215" t="s">
        <v>1250</v>
      </c>
      <c r="AF215" t="s">
        <v>2208</v>
      </c>
      <c r="AG215" t="s">
        <v>2209</v>
      </c>
      <c r="AH215" t="str">
        <f>HYPERLINK("http://compartments.jensenlab.org/Entity?figures=subcell_cell_%&amp;knowledge=10&amp;textmining=10&amp;experiments=10&amp;predictions=10&amp;type1=9606&amp;type2=-22&amp;id1=ENSP00000383303","link")</f>
        <v>link</v>
      </c>
      <c r="AI215" t="s">
        <v>65</v>
      </c>
      <c r="AJ215" t="s">
        <v>902</v>
      </c>
      <c r="AK215" t="str">
        <f>HYPERLINK("http://www.proteinatlas.org/O60469","HPA019324")</f>
        <v>HPA019324</v>
      </c>
      <c r="AM215">
        <v>1826</v>
      </c>
    </row>
    <row r="216" spans="1:39" x14ac:dyDescent="0.35">
      <c r="A216" t="s">
        <v>2210</v>
      </c>
      <c r="B216" t="str">
        <f>HYPERLINK("http://www.uniprot.org/uniprot/O60478","O60478")</f>
        <v>O60478</v>
      </c>
      <c r="C216" t="s">
        <v>2211</v>
      </c>
      <c r="D216" t="s">
        <v>2212</v>
      </c>
      <c r="E216" t="s">
        <v>39</v>
      </c>
      <c r="F216" t="s">
        <v>40</v>
      </c>
      <c r="H216">
        <v>399</v>
      </c>
      <c r="I216">
        <v>7</v>
      </c>
      <c r="J216">
        <v>0</v>
      </c>
      <c r="K216" t="s">
        <v>2213</v>
      </c>
      <c r="L216" t="s">
        <v>57</v>
      </c>
      <c r="N216">
        <v>0.72060000000000002</v>
      </c>
      <c r="O216" s="1">
        <v>2</v>
      </c>
      <c r="P216" t="s">
        <v>2214</v>
      </c>
      <c r="Q216" t="s">
        <v>2215</v>
      </c>
      <c r="S216" t="s">
        <v>60</v>
      </c>
      <c r="T216" t="s">
        <v>60</v>
      </c>
      <c r="U216" t="s">
        <v>2216</v>
      </c>
      <c r="V216">
        <v>3</v>
      </c>
      <c r="W216" t="s">
        <v>2217</v>
      </c>
      <c r="AE216" t="s">
        <v>2218</v>
      </c>
      <c r="AF216" t="s">
        <v>2219</v>
      </c>
      <c r="AG216" t="s">
        <v>2220</v>
      </c>
      <c r="AH216" t="str">
        <f>HYPERLINK("http://compartments.jensenlab.org/Entity?figures=subcell_cell_%&amp;knowledge=10&amp;textmining=10&amp;experiments=10&amp;predictions=10&amp;type1=9606&amp;type2=-22&amp;id1=ENSP00000355551","link")</f>
        <v>link</v>
      </c>
      <c r="AJ216" t="s">
        <v>51</v>
      </c>
      <c r="AK216" t="str">
        <f>HYPERLINK("http://www.proteinatlas.org/O60478","HPA026422")</f>
        <v>HPA026422</v>
      </c>
      <c r="AM216">
        <v>7107</v>
      </c>
    </row>
    <row r="217" spans="1:39" x14ac:dyDescent="0.35">
      <c r="A217" t="s">
        <v>2221</v>
      </c>
      <c r="B217" t="str">
        <f>HYPERLINK("http://www.uniprot.org/uniprot/O60486","O60486")</f>
        <v>O60486</v>
      </c>
      <c r="C217" t="s">
        <v>2222</v>
      </c>
      <c r="D217" t="s">
        <v>2223</v>
      </c>
      <c r="E217" t="s">
        <v>39</v>
      </c>
      <c r="F217" t="s">
        <v>40</v>
      </c>
      <c r="H217">
        <v>1568</v>
      </c>
      <c r="I217">
        <v>1</v>
      </c>
      <c r="J217">
        <v>1</v>
      </c>
      <c r="K217" t="s">
        <v>2224</v>
      </c>
      <c r="L217" t="s">
        <v>101</v>
      </c>
      <c r="N217">
        <v>0.9042</v>
      </c>
      <c r="O217" s="1">
        <v>1</v>
      </c>
      <c r="P217" t="s">
        <v>2225</v>
      </c>
      <c r="Q217" t="s">
        <v>2226</v>
      </c>
      <c r="R217" t="s">
        <v>2227</v>
      </c>
      <c r="S217" t="s">
        <v>166</v>
      </c>
      <c r="T217" t="s">
        <v>1382</v>
      </c>
      <c r="U217" t="s">
        <v>2228</v>
      </c>
      <c r="V217">
        <v>24</v>
      </c>
      <c r="Y217">
        <v>1188</v>
      </c>
      <c r="Z217" t="s">
        <v>107</v>
      </c>
      <c r="AA217">
        <v>17</v>
      </c>
      <c r="AB217" t="s">
        <v>2229</v>
      </c>
      <c r="AC217" t="s">
        <v>2230</v>
      </c>
      <c r="AD217" t="s">
        <v>2231</v>
      </c>
      <c r="AE217" t="s">
        <v>144</v>
      </c>
      <c r="AF217" t="s">
        <v>2232</v>
      </c>
      <c r="AG217" t="s">
        <v>2233</v>
      </c>
      <c r="AH217" t="str">
        <f>HYPERLINK("http://compartments.jensenlab.org/Entity?figures=subcell_cell_%&amp;knowledge=10&amp;textmining=10&amp;experiments=10&amp;predictions=10&amp;type1=9606&amp;type2=-22&amp;id1=ENSP00000258526","link")</f>
        <v>link</v>
      </c>
      <c r="AJ217" t="s">
        <v>113</v>
      </c>
      <c r="AK217" t="str">
        <f>HYPERLINK("http://www.proteinatlas.org/O60486","CAB026155")</f>
        <v>CAB026155</v>
      </c>
      <c r="AM217">
        <v>10154</v>
      </c>
    </row>
    <row r="218" spans="1:39" x14ac:dyDescent="0.35">
      <c r="A218" t="s">
        <v>2234</v>
      </c>
      <c r="B218" t="str">
        <f>HYPERLINK("http://www.uniprot.org/uniprot/O60487","O60487")</f>
        <v>O60487</v>
      </c>
      <c r="C218" t="s">
        <v>2235</v>
      </c>
      <c r="D218" t="s">
        <v>2236</v>
      </c>
      <c r="E218" t="s">
        <v>39</v>
      </c>
      <c r="F218" t="s">
        <v>40</v>
      </c>
      <c r="H218">
        <v>215</v>
      </c>
      <c r="I218">
        <v>1</v>
      </c>
      <c r="J218">
        <v>1</v>
      </c>
      <c r="K218" t="s">
        <v>2237</v>
      </c>
      <c r="L218" t="s">
        <v>101</v>
      </c>
      <c r="N218">
        <v>0.80640000000000001</v>
      </c>
      <c r="O218" s="1">
        <v>1</v>
      </c>
      <c r="P218" t="s">
        <v>2238</v>
      </c>
      <c r="Q218" t="s">
        <v>2239</v>
      </c>
      <c r="S218" t="s">
        <v>91</v>
      </c>
      <c r="T218" t="s">
        <v>2240</v>
      </c>
      <c r="U218" t="s">
        <v>2241</v>
      </c>
      <c r="V218">
        <v>2</v>
      </c>
      <c r="Z218" t="s">
        <v>107</v>
      </c>
      <c r="AA218">
        <v>2</v>
      </c>
      <c r="AB218" t="s">
        <v>2242</v>
      </c>
      <c r="AC218" t="s">
        <v>2241</v>
      </c>
      <c r="AD218" t="s">
        <v>2243</v>
      </c>
      <c r="AE218" t="s">
        <v>144</v>
      </c>
      <c r="AF218" t="s">
        <v>2244</v>
      </c>
      <c r="AG218" t="s">
        <v>2245</v>
      </c>
      <c r="AH218" t="str">
        <f>HYPERLINK("http://compartments.jensenlab.org/Entity?figures=subcell_cell_%&amp;knowledge=10&amp;textmining=10&amp;experiments=10&amp;predictions=10&amp;type1=9606&amp;type2=-22&amp;id1=ENSP00000278937","link")</f>
        <v>link</v>
      </c>
      <c r="AJ218" t="s">
        <v>1811</v>
      </c>
      <c r="AK218" t="str">
        <f>HYPERLINK("http://www.proteinatlas.org/O60487","HPA060740")</f>
        <v>HPA060740</v>
      </c>
      <c r="AM218">
        <v>10205</v>
      </c>
    </row>
    <row r="219" spans="1:39" x14ac:dyDescent="0.35">
      <c r="A219" t="s">
        <v>2246</v>
      </c>
      <c r="B219" t="str">
        <f>HYPERLINK("http://www.uniprot.org/uniprot/O60500","O60500")</f>
        <v>O60500</v>
      </c>
      <c r="C219" t="s">
        <v>2247</v>
      </c>
      <c r="D219" t="s">
        <v>2248</v>
      </c>
      <c r="E219" t="s">
        <v>39</v>
      </c>
      <c r="F219" t="s">
        <v>40</v>
      </c>
      <c r="H219">
        <v>1241</v>
      </c>
      <c r="I219">
        <v>1</v>
      </c>
      <c r="J219">
        <v>1</v>
      </c>
      <c r="K219" t="s">
        <v>2249</v>
      </c>
      <c r="L219" t="s">
        <v>57</v>
      </c>
      <c r="N219">
        <v>0.93010000000000004</v>
      </c>
      <c r="O219" s="1">
        <v>1</v>
      </c>
      <c r="P219" t="s">
        <v>2250</v>
      </c>
      <c r="Q219" t="s">
        <v>2251</v>
      </c>
      <c r="S219" t="s">
        <v>60</v>
      </c>
      <c r="T219" t="s">
        <v>60</v>
      </c>
      <c r="U219" t="s">
        <v>2252</v>
      </c>
      <c r="V219">
        <v>10</v>
      </c>
      <c r="W219" t="s">
        <v>2253</v>
      </c>
      <c r="Y219">
        <v>375</v>
      </c>
      <c r="AE219" t="s">
        <v>332</v>
      </c>
      <c r="AF219" t="s">
        <v>2254</v>
      </c>
      <c r="AG219" t="s">
        <v>2255</v>
      </c>
      <c r="AH219" t="str">
        <f>HYPERLINK("http://compartments.jensenlab.org/Entity?figures=subcell_cell_%&amp;knowledge=10&amp;textmining=10&amp;experiments=10&amp;predictions=10&amp;type1=9606&amp;type2=-22&amp;id1=ENSP00000368190","link")</f>
        <v>link</v>
      </c>
      <c r="AI219" t="s">
        <v>65</v>
      </c>
      <c r="AJ219" t="s">
        <v>2256</v>
      </c>
      <c r="AK219" t="str">
        <f>HYPERLINK("http://www.proteinatlas.org/O60500","CAB035555")</f>
        <v>CAB035555</v>
      </c>
      <c r="AM219">
        <v>4868</v>
      </c>
    </row>
    <row r="220" spans="1:39" x14ac:dyDescent="0.35">
      <c r="A220" t="s">
        <v>2257</v>
      </c>
      <c r="B220" t="str">
        <f>HYPERLINK("http://www.uniprot.org/uniprot/O60503","O60503")</f>
        <v>O60503</v>
      </c>
      <c r="C220" t="s">
        <v>2258</v>
      </c>
      <c r="D220" t="s">
        <v>2259</v>
      </c>
      <c r="E220" t="s">
        <v>39</v>
      </c>
      <c r="F220" t="s">
        <v>40</v>
      </c>
      <c r="H220">
        <v>1353</v>
      </c>
      <c r="I220">
        <v>12</v>
      </c>
      <c r="J220">
        <v>0</v>
      </c>
      <c r="K220" t="s">
        <v>2260</v>
      </c>
      <c r="L220" t="s">
        <v>101</v>
      </c>
      <c r="N220">
        <v>0.67859999999999998</v>
      </c>
      <c r="O220" s="1">
        <v>2</v>
      </c>
      <c r="P220" t="s">
        <v>2261</v>
      </c>
      <c r="Q220" t="s">
        <v>2262</v>
      </c>
      <c r="S220" t="s">
        <v>947</v>
      </c>
      <c r="T220" t="s">
        <v>1784</v>
      </c>
      <c r="U220" t="s">
        <v>2263</v>
      </c>
      <c r="V220">
        <v>3</v>
      </c>
      <c r="W220" t="s">
        <v>2264</v>
      </c>
      <c r="Z220" t="s">
        <v>123</v>
      </c>
      <c r="AA220">
        <v>3</v>
      </c>
      <c r="AB220" t="s">
        <v>2265</v>
      </c>
      <c r="AC220" t="s">
        <v>2266</v>
      </c>
      <c r="AD220" t="s">
        <v>2267</v>
      </c>
      <c r="AE220" t="s">
        <v>48</v>
      </c>
      <c r="AF220" t="s">
        <v>2268</v>
      </c>
      <c r="AG220" t="s">
        <v>2269</v>
      </c>
      <c r="AH220" t="str">
        <f>HYPERLINK("http://compartments.jensenlab.org/Entity?figures=subcell_cell_%&amp;knowledge=10&amp;textmining=10&amp;experiments=10&amp;predictions=10&amp;type1=9606&amp;type2=-22&amp;id1=ENSP00000294016","link")</f>
        <v>link</v>
      </c>
      <c r="AJ220" t="s">
        <v>113</v>
      </c>
      <c r="AK220" t="str">
        <f>HYPERLINK("http://www.proteinatlas.org/O60503","HPA041328;HPA044225")</f>
        <v>HPA041328;HPA044225</v>
      </c>
      <c r="AM220">
        <v>115</v>
      </c>
    </row>
    <row r="221" spans="1:39" x14ac:dyDescent="0.35">
      <c r="A221" t="s">
        <v>2270</v>
      </c>
      <c r="B221" t="str">
        <f>HYPERLINK("http://www.uniprot.org/uniprot/O60602","O60602")</f>
        <v>O60602</v>
      </c>
      <c r="C221" t="s">
        <v>2271</v>
      </c>
      <c r="D221" t="s">
        <v>2272</v>
      </c>
      <c r="E221" t="s">
        <v>39</v>
      </c>
      <c r="F221" t="s">
        <v>40</v>
      </c>
      <c r="H221">
        <v>858</v>
      </c>
      <c r="I221">
        <v>1</v>
      </c>
      <c r="J221">
        <v>1</v>
      </c>
      <c r="K221" t="s">
        <v>2273</v>
      </c>
      <c r="L221" t="s">
        <v>57</v>
      </c>
      <c r="N221">
        <v>0.7006</v>
      </c>
      <c r="O221" s="1">
        <v>2</v>
      </c>
      <c r="P221" t="s">
        <v>2274</v>
      </c>
      <c r="Q221" t="s">
        <v>2275</v>
      </c>
      <c r="S221" t="s">
        <v>166</v>
      </c>
      <c r="T221" t="s">
        <v>848</v>
      </c>
      <c r="U221" t="s">
        <v>2276</v>
      </c>
      <c r="V221">
        <v>7</v>
      </c>
      <c r="AE221" t="s">
        <v>144</v>
      </c>
      <c r="AF221" t="s">
        <v>2277</v>
      </c>
      <c r="AG221" t="s">
        <v>2278</v>
      </c>
      <c r="AH221" t="str">
        <f>HYPERLINK("http://compartments.jensenlab.org/Entity?figures=subcell_cell_%&amp;knowledge=10&amp;textmining=10&amp;experiments=10&amp;predictions=10&amp;type1=9606&amp;type2=-22&amp;id1=ENSP00000355846","link")</f>
        <v>link</v>
      </c>
      <c r="AK221" t="str">
        <f>HYPERLINK("http://www.proteinatlas.org/O60602","CAB009013;HPA015573")</f>
        <v>CAB009013;HPA015573</v>
      </c>
      <c r="AM221">
        <v>7100</v>
      </c>
    </row>
    <row r="222" spans="1:39" x14ac:dyDescent="0.35">
      <c r="A222" t="s">
        <v>2279</v>
      </c>
      <c r="B222" t="str">
        <f>HYPERLINK("http://www.uniprot.org/uniprot/O60603","O60603")</f>
        <v>O60603</v>
      </c>
      <c r="C222" t="s">
        <v>2280</v>
      </c>
      <c r="D222" t="s">
        <v>2281</v>
      </c>
      <c r="E222" t="s">
        <v>39</v>
      </c>
      <c r="F222" t="s">
        <v>40</v>
      </c>
      <c r="H222">
        <v>784</v>
      </c>
      <c r="I222">
        <v>1</v>
      </c>
      <c r="J222">
        <v>1</v>
      </c>
      <c r="K222" t="s">
        <v>2282</v>
      </c>
      <c r="L222" t="s">
        <v>101</v>
      </c>
      <c r="N222">
        <v>0.87029999999999996</v>
      </c>
      <c r="O222" s="1">
        <v>1</v>
      </c>
      <c r="P222" t="s">
        <v>2283</v>
      </c>
      <c r="Q222" t="s">
        <v>2284</v>
      </c>
      <c r="R222" t="s">
        <v>2285</v>
      </c>
      <c r="S222" t="s">
        <v>166</v>
      </c>
      <c r="T222" t="s">
        <v>848</v>
      </c>
      <c r="U222" t="s">
        <v>2286</v>
      </c>
      <c r="V222">
        <v>4</v>
      </c>
      <c r="W222" t="s">
        <v>2286</v>
      </c>
      <c r="X222">
        <v>244</v>
      </c>
      <c r="Y222" t="s">
        <v>2287</v>
      </c>
      <c r="Z222" t="s">
        <v>107</v>
      </c>
      <c r="AA222">
        <v>3</v>
      </c>
      <c r="AB222" t="s">
        <v>2288</v>
      </c>
      <c r="AC222" t="s">
        <v>2289</v>
      </c>
      <c r="AD222" t="s">
        <v>2290</v>
      </c>
      <c r="AE222" t="s">
        <v>144</v>
      </c>
      <c r="AF222" t="s">
        <v>2291</v>
      </c>
      <c r="AG222" t="s">
        <v>2292</v>
      </c>
      <c r="AH222" t="str">
        <f>HYPERLINK("http://compartments.jensenlab.org/Entity?figures=subcell_cell_%&amp;knowledge=10&amp;textmining=10&amp;experiments=10&amp;predictions=10&amp;type1=9606&amp;type2=-22&amp;id1=ENSP00000260010","link")</f>
        <v>link</v>
      </c>
      <c r="AI222" t="s">
        <v>65</v>
      </c>
      <c r="AJ222" t="s">
        <v>2124</v>
      </c>
      <c r="AK222" t="str">
        <f>HYPERLINK("http://www.proteinatlas.org/O60603","no")</f>
        <v>no</v>
      </c>
      <c r="AL222" t="s">
        <v>2293</v>
      </c>
      <c r="AM222">
        <v>7097</v>
      </c>
    </row>
    <row r="223" spans="1:39" x14ac:dyDescent="0.35">
      <c r="A223" t="s">
        <v>2294</v>
      </c>
      <c r="B223" t="str">
        <f>HYPERLINK("http://www.uniprot.org/uniprot/O60609","O60609")</f>
        <v>O60609</v>
      </c>
      <c r="C223" t="s">
        <v>2295</v>
      </c>
      <c r="D223" t="s">
        <v>2296</v>
      </c>
      <c r="E223" t="s">
        <v>39</v>
      </c>
      <c r="F223" t="s">
        <v>239</v>
      </c>
      <c r="H223">
        <v>400</v>
      </c>
      <c r="I223">
        <v>0</v>
      </c>
      <c r="J223">
        <v>1</v>
      </c>
      <c r="K223" t="s">
        <v>2297</v>
      </c>
      <c r="L223" t="s">
        <v>57</v>
      </c>
      <c r="N223">
        <v>0.73450000000000004</v>
      </c>
      <c r="O223" s="1" t="s">
        <v>241</v>
      </c>
      <c r="P223" t="s">
        <v>2298</v>
      </c>
      <c r="Q223" t="s">
        <v>2299</v>
      </c>
      <c r="S223" t="s">
        <v>60</v>
      </c>
      <c r="T223" t="s">
        <v>60</v>
      </c>
      <c r="U223" t="s">
        <v>2300</v>
      </c>
      <c r="V223">
        <v>3</v>
      </c>
      <c r="W223" t="s">
        <v>2300</v>
      </c>
      <c r="AE223" t="s">
        <v>243</v>
      </c>
      <c r="AF223" t="s">
        <v>2301</v>
      </c>
      <c r="AG223" t="s">
        <v>2302</v>
      </c>
      <c r="AH223" t="str">
        <f>HYPERLINK("http://compartments.jensenlab.org/Entity?figures=subcell_cell_%&amp;knowledge=10&amp;textmining=10&amp;experiments=10&amp;predictions=10&amp;type1=9606&amp;type2=-22&amp;id1=ENSP00000274721","link")</f>
        <v>link</v>
      </c>
      <c r="AI223" t="s">
        <v>65</v>
      </c>
      <c r="AJ223" t="s">
        <v>299</v>
      </c>
      <c r="AK223" t="str">
        <f>HYPERLINK("http://www.proteinatlas.org/O60609","HPA020731")</f>
        <v>HPA020731</v>
      </c>
      <c r="AM223">
        <v>2676</v>
      </c>
    </row>
    <row r="224" spans="1:39" x14ac:dyDescent="0.35">
      <c r="A224" t="s">
        <v>2303</v>
      </c>
      <c r="B224" t="str">
        <f>HYPERLINK("http://www.uniprot.org/uniprot/O60635","O60635")</f>
        <v>O60635</v>
      </c>
      <c r="C224" t="s">
        <v>2304</v>
      </c>
      <c r="D224" t="s">
        <v>2305</v>
      </c>
      <c r="E224" t="s">
        <v>39</v>
      </c>
      <c r="F224" t="s">
        <v>40</v>
      </c>
      <c r="H224">
        <v>241</v>
      </c>
      <c r="I224">
        <v>4</v>
      </c>
      <c r="J224">
        <v>0</v>
      </c>
      <c r="K224" t="s">
        <v>2306</v>
      </c>
      <c r="L224" t="s">
        <v>101</v>
      </c>
      <c r="N224">
        <v>0.77249999999999996</v>
      </c>
      <c r="O224" s="1">
        <v>1</v>
      </c>
      <c r="P224" t="s">
        <v>2307</v>
      </c>
      <c r="Q224" t="s">
        <v>2308</v>
      </c>
      <c r="S224" t="s">
        <v>91</v>
      </c>
      <c r="T224" t="s">
        <v>135</v>
      </c>
      <c r="U224" t="s">
        <v>2309</v>
      </c>
      <c r="V224">
        <v>4</v>
      </c>
      <c r="Z224" t="s">
        <v>123</v>
      </c>
      <c r="AA224">
        <v>1</v>
      </c>
      <c r="AB224" t="s">
        <v>2310</v>
      </c>
      <c r="AC224">
        <v>141</v>
      </c>
      <c r="AD224" t="s">
        <v>2311</v>
      </c>
      <c r="AE224" t="s">
        <v>2218</v>
      </c>
      <c r="AF224" t="s">
        <v>2312</v>
      </c>
      <c r="AG224" t="s">
        <v>2313</v>
      </c>
      <c r="AH224" t="str">
        <f>HYPERLINK("http://compartments.jensenlab.org/Entity?figures=subcell_cell_%&amp;knowledge=10&amp;textmining=10&amp;experiments=10&amp;predictions=10&amp;type1=9606&amp;type2=-22&amp;id1=ENSP00000361072","link")</f>
        <v>link</v>
      </c>
      <c r="AK224" t="str">
        <f>HYPERLINK("http://www.proteinatlas.org/O60635","HPA011909")</f>
        <v>HPA011909</v>
      </c>
      <c r="AM224">
        <v>10103</v>
      </c>
    </row>
    <row r="225" spans="1:39" x14ac:dyDescent="0.35">
      <c r="A225" t="s">
        <v>2314</v>
      </c>
      <c r="B225" t="str">
        <f>HYPERLINK("http://www.uniprot.org/uniprot/O60636","O60636")</f>
        <v>O60636</v>
      </c>
      <c r="C225" t="s">
        <v>2315</v>
      </c>
      <c r="D225" t="s">
        <v>2316</v>
      </c>
      <c r="E225" t="s">
        <v>39</v>
      </c>
      <c r="F225" t="s">
        <v>40</v>
      </c>
      <c r="H225">
        <v>221</v>
      </c>
      <c r="I225">
        <v>4</v>
      </c>
      <c r="J225">
        <v>0</v>
      </c>
      <c r="K225" t="s">
        <v>2317</v>
      </c>
      <c r="L225" t="s">
        <v>101</v>
      </c>
      <c r="N225">
        <v>0.74050000000000005</v>
      </c>
      <c r="O225" s="1">
        <v>2</v>
      </c>
      <c r="P225" t="s">
        <v>2318</v>
      </c>
      <c r="Q225" t="s">
        <v>2319</v>
      </c>
      <c r="S225" t="s">
        <v>91</v>
      </c>
      <c r="T225" t="s">
        <v>135</v>
      </c>
      <c r="U225">
        <v>139</v>
      </c>
      <c r="V225">
        <v>1</v>
      </c>
      <c r="Z225" t="s">
        <v>123</v>
      </c>
      <c r="AA225">
        <v>2</v>
      </c>
      <c r="AB225" t="s">
        <v>2320</v>
      </c>
      <c r="AC225">
        <v>139</v>
      </c>
      <c r="AD225" t="s">
        <v>2321</v>
      </c>
      <c r="AE225" t="s">
        <v>48</v>
      </c>
      <c r="AF225" t="s">
        <v>472</v>
      </c>
      <c r="AG225" t="s">
        <v>2322</v>
      </c>
      <c r="AH225" t="str">
        <f>HYPERLINK("http://compartments.jensenlab.org/Entity?figures=subcell_cell_%&amp;knowledge=10&amp;textmining=10&amp;experiments=10&amp;predictions=10&amp;type1=9606&amp;type2=-22&amp;id1=ENSP00000358529","link")</f>
        <v>link</v>
      </c>
      <c r="AJ225" t="s">
        <v>51</v>
      </c>
      <c r="AK225" t="str">
        <f>HYPERLINK("http://www.proteinatlas.org/O60636","HPA015640")</f>
        <v>HPA015640</v>
      </c>
      <c r="AM225">
        <v>10100</v>
      </c>
    </row>
    <row r="226" spans="1:39" x14ac:dyDescent="0.35">
      <c r="A226" t="s">
        <v>2323</v>
      </c>
      <c r="B226" t="str">
        <f>HYPERLINK("http://www.uniprot.org/uniprot/O60637","O60637")</f>
        <v>O60637</v>
      </c>
      <c r="C226" t="s">
        <v>2324</v>
      </c>
      <c r="D226" t="s">
        <v>2325</v>
      </c>
      <c r="E226" t="s">
        <v>39</v>
      </c>
      <c r="F226" t="s">
        <v>40</v>
      </c>
      <c r="H226">
        <v>253</v>
      </c>
      <c r="I226">
        <v>4</v>
      </c>
      <c r="J226">
        <v>0</v>
      </c>
      <c r="K226" t="s">
        <v>2326</v>
      </c>
      <c r="L226" t="s">
        <v>101</v>
      </c>
      <c r="N226">
        <v>0.82440000000000002</v>
      </c>
      <c r="O226" s="1">
        <v>1</v>
      </c>
      <c r="P226" t="s">
        <v>2327</v>
      </c>
      <c r="Q226" t="s">
        <v>2328</v>
      </c>
      <c r="S226" t="s">
        <v>91</v>
      </c>
      <c r="T226" t="s">
        <v>135</v>
      </c>
      <c r="U226" t="s">
        <v>2329</v>
      </c>
      <c r="V226">
        <v>4</v>
      </c>
      <c r="Z226" t="s">
        <v>123</v>
      </c>
      <c r="AA226">
        <v>9</v>
      </c>
      <c r="AB226" t="s">
        <v>2330</v>
      </c>
      <c r="AC226" t="s">
        <v>2329</v>
      </c>
      <c r="AD226" t="s">
        <v>2331</v>
      </c>
      <c r="AE226" t="s">
        <v>48</v>
      </c>
      <c r="AF226" t="s">
        <v>2332</v>
      </c>
      <c r="AG226" t="s">
        <v>2333</v>
      </c>
      <c r="AH226" t="str">
        <f>HYPERLINK("http://compartments.jensenlab.org/Entity?figures=subcell_cell_%&amp;knowledge=10&amp;textmining=10&amp;experiments=10&amp;predictions=10&amp;type1=9606&amp;type2=-22&amp;id1=ENSP00000267970","link")</f>
        <v>link</v>
      </c>
      <c r="AJ226" t="s">
        <v>51</v>
      </c>
      <c r="AK226" t="str">
        <f>HYPERLINK("http://www.proteinatlas.org/O60637","HPA015996")</f>
        <v>HPA015996</v>
      </c>
      <c r="AM226">
        <v>10099</v>
      </c>
    </row>
    <row r="227" spans="1:39" x14ac:dyDescent="0.35">
      <c r="A227" t="s">
        <v>2334</v>
      </c>
      <c r="B227" t="str">
        <f>HYPERLINK("http://www.uniprot.org/uniprot/O60669","O60669")</f>
        <v>O60669</v>
      </c>
      <c r="C227" t="s">
        <v>2335</v>
      </c>
      <c r="D227" t="s">
        <v>2336</v>
      </c>
      <c r="E227" t="s">
        <v>39</v>
      </c>
      <c r="F227" t="s">
        <v>55</v>
      </c>
      <c r="H227">
        <v>478</v>
      </c>
      <c r="I227">
        <v>12</v>
      </c>
      <c r="J227">
        <v>0</v>
      </c>
      <c r="K227" t="s">
        <v>2337</v>
      </c>
      <c r="L227" t="s">
        <v>57</v>
      </c>
      <c r="M227" t="s">
        <v>39</v>
      </c>
      <c r="N227">
        <v>0.45200000000000001</v>
      </c>
      <c r="O227" s="1">
        <v>3</v>
      </c>
      <c r="P227" t="s">
        <v>2338</v>
      </c>
      <c r="Q227" t="s">
        <v>2339</v>
      </c>
      <c r="S227" t="s">
        <v>45</v>
      </c>
      <c r="T227" t="s">
        <v>1507</v>
      </c>
      <c r="U227" t="s">
        <v>2340</v>
      </c>
      <c r="V227">
        <v>0</v>
      </c>
      <c r="W227" t="s">
        <v>2340</v>
      </c>
      <c r="AE227" t="s">
        <v>74</v>
      </c>
      <c r="AF227" t="s">
        <v>2341</v>
      </c>
      <c r="AG227" t="s">
        <v>2342</v>
      </c>
      <c r="AH227" t="str">
        <f>HYPERLINK("http://compartments.jensenlab.org/Entity?figures=subcell_cell_%&amp;knowledge=10&amp;textmining=10&amp;experiments=10&amp;predictions=10&amp;type1=9606&amp;type2=-22&amp;id1=ENSP00000261187","link")</f>
        <v>link</v>
      </c>
      <c r="AI227" t="s">
        <v>65</v>
      </c>
      <c r="AJ227" t="s">
        <v>51</v>
      </c>
      <c r="AK227" t="str">
        <f>HYPERLINK("http://www.proteinatlas.org/O60669","HPA005911")</f>
        <v>HPA005911</v>
      </c>
      <c r="AL227" t="s">
        <v>1512</v>
      </c>
      <c r="AM227">
        <v>9194</v>
      </c>
    </row>
    <row r="228" spans="1:39" x14ac:dyDescent="0.35">
      <c r="A228" t="s">
        <v>2343</v>
      </c>
      <c r="B228" t="str">
        <f>HYPERLINK("http://www.uniprot.org/uniprot/O60706","O60706")</f>
        <v>O60706</v>
      </c>
      <c r="C228" t="s">
        <v>2344</v>
      </c>
      <c r="D228" t="s">
        <v>2345</v>
      </c>
      <c r="E228" t="s">
        <v>39</v>
      </c>
      <c r="F228" t="s">
        <v>40</v>
      </c>
      <c r="H228">
        <v>1549</v>
      </c>
      <c r="I228">
        <v>15</v>
      </c>
      <c r="J228">
        <v>0</v>
      </c>
      <c r="K228" t="s">
        <v>2346</v>
      </c>
      <c r="L228" t="s">
        <v>57</v>
      </c>
      <c r="N228">
        <v>0.81840000000000002</v>
      </c>
      <c r="O228" s="1">
        <v>1</v>
      </c>
      <c r="P228" t="s">
        <v>2347</v>
      </c>
      <c r="Q228" t="s">
        <v>2348</v>
      </c>
      <c r="S228" t="s">
        <v>45</v>
      </c>
      <c r="T228" t="s">
        <v>1583</v>
      </c>
      <c r="U228" t="s">
        <v>2349</v>
      </c>
      <c r="V228">
        <v>6</v>
      </c>
      <c r="AE228" t="s">
        <v>48</v>
      </c>
      <c r="AF228" t="s">
        <v>2350</v>
      </c>
      <c r="AG228" t="s">
        <v>2351</v>
      </c>
      <c r="AH228" t="str">
        <f>HYPERLINK("http://compartments.jensenlab.org/Entity?figures=subcell_cell_%&amp;knowledge=10&amp;textmining=10&amp;experiments=10&amp;predictions=10&amp;type1=9606&amp;type2=-22&amp;id1=ENSP00000261201","link")</f>
        <v>link</v>
      </c>
      <c r="AK228" t="str">
        <f>HYPERLINK("http://www.proteinatlas.org/O60706","HPA007279")</f>
        <v>HPA007279</v>
      </c>
      <c r="AL228" t="s">
        <v>2352</v>
      </c>
      <c r="AM228">
        <v>10060</v>
      </c>
    </row>
    <row r="229" spans="1:39" x14ac:dyDescent="0.35">
      <c r="A229" t="s">
        <v>2353</v>
      </c>
      <c r="B229" t="str">
        <f>HYPERLINK("http://www.uniprot.org/uniprot/O60755","O60755")</f>
        <v>O60755</v>
      </c>
      <c r="C229" t="s">
        <v>2354</v>
      </c>
      <c r="D229" t="s">
        <v>2355</v>
      </c>
      <c r="E229" t="s">
        <v>39</v>
      </c>
      <c r="F229" t="s">
        <v>55</v>
      </c>
      <c r="H229">
        <v>368</v>
      </c>
      <c r="I229">
        <v>7</v>
      </c>
      <c r="J229">
        <v>0</v>
      </c>
      <c r="K229" t="s">
        <v>2356</v>
      </c>
      <c r="L229" t="s">
        <v>57</v>
      </c>
      <c r="M229" t="s">
        <v>39</v>
      </c>
      <c r="N229">
        <v>0.88590000000000002</v>
      </c>
      <c r="O229" s="1">
        <v>1</v>
      </c>
      <c r="P229" t="s">
        <v>2357</v>
      </c>
      <c r="Q229" t="s">
        <v>2358</v>
      </c>
      <c r="S229" t="s">
        <v>166</v>
      </c>
      <c r="T229" t="s">
        <v>838</v>
      </c>
      <c r="U229">
        <v>6</v>
      </c>
      <c r="V229">
        <v>1</v>
      </c>
      <c r="AE229" t="s">
        <v>74</v>
      </c>
      <c r="AF229" t="s">
        <v>2359</v>
      </c>
      <c r="AG229" t="s">
        <v>2360</v>
      </c>
      <c r="AH229" t="str">
        <f>HYPERLINK("http://compartments.jensenlab.org/Entity?figures=subcell_cell_%&amp;knowledge=10&amp;textmining=10&amp;experiments=10&amp;predictions=10&amp;type1=9606&amp;type2=-22&amp;id1=ENSP00000249041","link")</f>
        <v>link</v>
      </c>
      <c r="AI229" t="s">
        <v>65</v>
      </c>
      <c r="AJ229" t="s">
        <v>51</v>
      </c>
      <c r="AK229" t="str">
        <f>HYPERLINK("http://www.proteinatlas.org/O60755","no")</f>
        <v>no</v>
      </c>
      <c r="AM229">
        <v>8484</v>
      </c>
    </row>
    <row r="230" spans="1:39" x14ac:dyDescent="0.35">
      <c r="A230" t="s">
        <v>2361</v>
      </c>
      <c r="B230" t="str">
        <f>HYPERLINK("http://www.uniprot.org/uniprot/O60779","O60779")</f>
        <v>O60779</v>
      </c>
      <c r="C230" t="s">
        <v>2362</v>
      </c>
      <c r="D230" t="s">
        <v>2363</v>
      </c>
      <c r="E230" t="s">
        <v>39</v>
      </c>
      <c r="F230" t="s">
        <v>40</v>
      </c>
      <c r="H230">
        <v>497</v>
      </c>
      <c r="I230">
        <v>12</v>
      </c>
      <c r="J230">
        <v>0</v>
      </c>
      <c r="K230" t="s">
        <v>2364</v>
      </c>
      <c r="L230" t="s">
        <v>101</v>
      </c>
      <c r="N230">
        <v>0.61080000000000001</v>
      </c>
      <c r="O230" s="1">
        <v>2</v>
      </c>
      <c r="P230" t="s">
        <v>2365</v>
      </c>
      <c r="Q230" t="s">
        <v>2366</v>
      </c>
      <c r="S230" t="s">
        <v>45</v>
      </c>
      <c r="T230" t="s">
        <v>2367</v>
      </c>
      <c r="U230" t="s">
        <v>2368</v>
      </c>
      <c r="V230">
        <v>2</v>
      </c>
      <c r="Y230" t="s">
        <v>2369</v>
      </c>
      <c r="Z230" t="s">
        <v>123</v>
      </c>
      <c r="AA230">
        <v>2</v>
      </c>
      <c r="AB230" t="s">
        <v>2370</v>
      </c>
      <c r="AC230">
        <v>63</v>
      </c>
      <c r="AD230" t="s">
        <v>2371</v>
      </c>
      <c r="AE230" t="s">
        <v>48</v>
      </c>
      <c r="AF230" t="s">
        <v>2372</v>
      </c>
      <c r="AG230" t="s">
        <v>2373</v>
      </c>
      <c r="AH230" t="str">
        <f>HYPERLINK("http://compartments.jensenlab.org/Entity?figures=subcell_cell_%&amp;knowledge=10&amp;textmining=10&amp;experiments=10&amp;predictions=10&amp;type1=9606&amp;type2=-22&amp;id1=ENSP00000236137","link")</f>
        <v>link</v>
      </c>
      <c r="AJ230" t="s">
        <v>51</v>
      </c>
      <c r="AK230" t="str">
        <f>HYPERLINK("http://www.proteinatlas.org/O60779","HPA006119;HPA016599")</f>
        <v>HPA006119;HPA016599</v>
      </c>
      <c r="AL230" t="s">
        <v>2374</v>
      </c>
      <c r="AM230">
        <v>10560</v>
      </c>
    </row>
    <row r="231" spans="1:39" x14ac:dyDescent="0.35">
      <c r="A231" t="s">
        <v>2375</v>
      </c>
      <c r="B231" t="str">
        <f>HYPERLINK("http://www.uniprot.org/uniprot/O60883","O60883")</f>
        <v>O60883</v>
      </c>
      <c r="C231" t="s">
        <v>2376</v>
      </c>
      <c r="D231" t="s">
        <v>2377</v>
      </c>
      <c r="E231" t="s">
        <v>39</v>
      </c>
      <c r="F231" t="s">
        <v>55</v>
      </c>
      <c r="H231">
        <v>481</v>
      </c>
      <c r="I231">
        <v>7</v>
      </c>
      <c r="J231">
        <v>1</v>
      </c>
      <c r="K231" t="s">
        <v>2378</v>
      </c>
      <c r="L231" t="s">
        <v>57</v>
      </c>
      <c r="M231" t="s">
        <v>39</v>
      </c>
      <c r="N231">
        <v>0.87170000000000003</v>
      </c>
      <c r="O231" s="1">
        <v>1</v>
      </c>
      <c r="P231" t="s">
        <v>2379</v>
      </c>
      <c r="Q231" t="s">
        <v>2380</v>
      </c>
      <c r="S231" t="s">
        <v>166</v>
      </c>
      <c r="T231" t="s">
        <v>838</v>
      </c>
      <c r="U231" t="s">
        <v>2381</v>
      </c>
      <c r="V231">
        <v>1</v>
      </c>
      <c r="AE231" t="s">
        <v>74</v>
      </c>
      <c r="AF231" t="s">
        <v>2382</v>
      </c>
      <c r="AG231" t="s">
        <v>2383</v>
      </c>
      <c r="AH231" t="str">
        <f>HYPERLINK("http://compartments.jensenlab.org/Entity?figures=subcell_cell_%&amp;knowledge=10&amp;textmining=10&amp;experiments=10&amp;predictions=10&amp;type1=9606&amp;type2=-22&amp;id1=ENSP00000356251","link")</f>
        <v>link</v>
      </c>
      <c r="AI231" t="s">
        <v>65</v>
      </c>
      <c r="AJ231" t="s">
        <v>51</v>
      </c>
      <c r="AK231" t="str">
        <f>HYPERLINK("http://www.proteinatlas.org/O60883","no")</f>
        <v>no</v>
      </c>
      <c r="AM231">
        <v>9283</v>
      </c>
    </row>
    <row r="232" spans="1:39" x14ac:dyDescent="0.35">
      <c r="A232" t="s">
        <v>2384</v>
      </c>
      <c r="B232" t="str">
        <f>HYPERLINK("http://www.uniprot.org/uniprot/O60895","O60895")</f>
        <v>O60895</v>
      </c>
      <c r="C232" t="s">
        <v>2385</v>
      </c>
      <c r="D232" t="s">
        <v>2386</v>
      </c>
      <c r="E232" t="s">
        <v>39</v>
      </c>
      <c r="F232" t="s">
        <v>40</v>
      </c>
      <c r="H232">
        <v>175</v>
      </c>
      <c r="I232">
        <v>1</v>
      </c>
      <c r="J232">
        <v>1</v>
      </c>
      <c r="K232" t="s">
        <v>2387</v>
      </c>
      <c r="L232" t="s">
        <v>57</v>
      </c>
      <c r="N232">
        <v>0.83830000000000005</v>
      </c>
      <c r="O232" s="1">
        <v>1</v>
      </c>
      <c r="P232" t="s">
        <v>2388</v>
      </c>
      <c r="Q232" t="s">
        <v>2389</v>
      </c>
      <c r="S232" t="s">
        <v>166</v>
      </c>
      <c r="T232" t="s">
        <v>2390</v>
      </c>
      <c r="U232">
        <v>130</v>
      </c>
      <c r="V232">
        <v>1</v>
      </c>
      <c r="W232">
        <v>130</v>
      </c>
      <c r="Y232">
        <v>83</v>
      </c>
      <c r="AE232" t="s">
        <v>144</v>
      </c>
      <c r="AF232" t="s">
        <v>2391</v>
      </c>
      <c r="AG232" t="s">
        <v>2392</v>
      </c>
      <c r="AH232" t="str">
        <f>HYPERLINK("http://compartments.jensenlab.org/Entity?figures=subcell_cell_%&amp;knowledge=10&amp;textmining=10&amp;experiments=10&amp;predictions=10&amp;type1=9606&amp;type2=-22&amp;id1=ENSP00000253796","link")</f>
        <v>link</v>
      </c>
      <c r="AJ232" t="s">
        <v>2393</v>
      </c>
      <c r="AK232" t="str">
        <f>HYPERLINK("http://www.proteinatlas.org/O60895","no")</f>
        <v>no</v>
      </c>
      <c r="AL232" t="s">
        <v>2394</v>
      </c>
      <c r="AM232">
        <v>10266</v>
      </c>
    </row>
    <row r="233" spans="1:39" x14ac:dyDescent="0.35">
      <c r="A233" t="s">
        <v>2395</v>
      </c>
      <c r="B233" t="str">
        <f>HYPERLINK("http://www.uniprot.org/uniprot/O60896","O60896")</f>
        <v>O60896</v>
      </c>
      <c r="C233" t="s">
        <v>2396</v>
      </c>
      <c r="D233" t="s">
        <v>2397</v>
      </c>
      <c r="E233" t="s">
        <v>39</v>
      </c>
      <c r="F233" t="s">
        <v>55</v>
      </c>
      <c r="H233">
        <v>148</v>
      </c>
      <c r="I233">
        <v>1</v>
      </c>
      <c r="J233">
        <v>1</v>
      </c>
      <c r="K233" t="s">
        <v>2398</v>
      </c>
      <c r="L233" t="s">
        <v>101</v>
      </c>
      <c r="M233" t="s">
        <v>39</v>
      </c>
      <c r="N233">
        <v>0.75570000000000004</v>
      </c>
      <c r="O233" s="1">
        <v>1</v>
      </c>
      <c r="P233" t="s">
        <v>2399</v>
      </c>
      <c r="Q233" t="s">
        <v>2400</v>
      </c>
      <c r="S233" t="s">
        <v>166</v>
      </c>
      <c r="T233" t="s">
        <v>2390</v>
      </c>
      <c r="U233" t="s">
        <v>2401</v>
      </c>
      <c r="V233">
        <v>4</v>
      </c>
      <c r="W233" t="s">
        <v>2401</v>
      </c>
      <c r="Z233" t="s">
        <v>107</v>
      </c>
      <c r="AA233">
        <v>1</v>
      </c>
      <c r="AB233" t="s">
        <v>2402</v>
      </c>
      <c r="AC233">
        <v>103</v>
      </c>
      <c r="AD233" t="s">
        <v>2403</v>
      </c>
      <c r="AE233" t="s">
        <v>2404</v>
      </c>
      <c r="AF233" t="s">
        <v>2405</v>
      </c>
      <c r="AG233" t="s">
        <v>2406</v>
      </c>
      <c r="AH233" t="str">
        <f>HYPERLINK("http://compartments.jensenlab.org/Entity?figures=subcell_cell_%&amp;knowledge=10&amp;textmining=10&amp;experiments=10&amp;predictions=10&amp;type1=9606&amp;type2=-22&amp;id1=ENSP00000242249","link")</f>
        <v>link</v>
      </c>
      <c r="AJ233" t="s">
        <v>2393</v>
      </c>
      <c r="AK233" t="str">
        <f>HYPERLINK("http://www.proteinatlas.org/O60896","no")</f>
        <v>no</v>
      </c>
      <c r="AL233" t="s">
        <v>2394</v>
      </c>
      <c r="AM233">
        <v>10268</v>
      </c>
    </row>
    <row r="234" spans="1:39" x14ac:dyDescent="0.35">
      <c r="A234" t="s">
        <v>2407</v>
      </c>
      <c r="B234" t="str">
        <f>HYPERLINK("http://www.uniprot.org/uniprot/O60931","O60931")</f>
        <v>O60931</v>
      </c>
      <c r="C234" t="s">
        <v>2408</v>
      </c>
      <c r="D234" t="s">
        <v>2409</v>
      </c>
      <c r="E234" t="s">
        <v>39</v>
      </c>
      <c r="F234" t="s">
        <v>40</v>
      </c>
      <c r="H234">
        <v>367</v>
      </c>
      <c r="I234">
        <v>7</v>
      </c>
      <c r="J234">
        <v>0</v>
      </c>
      <c r="K234" t="s">
        <v>2410</v>
      </c>
      <c r="L234" t="s">
        <v>101</v>
      </c>
      <c r="N234">
        <v>0.77049999999999996</v>
      </c>
      <c r="O234" s="1">
        <v>1</v>
      </c>
      <c r="P234" t="s">
        <v>2411</v>
      </c>
      <c r="Q234" t="s">
        <v>2412</v>
      </c>
      <c r="S234" t="s">
        <v>60</v>
      </c>
      <c r="T234" t="s">
        <v>60</v>
      </c>
      <c r="U234" t="s">
        <v>2413</v>
      </c>
      <c r="V234">
        <v>7</v>
      </c>
      <c r="W234" t="s">
        <v>2413</v>
      </c>
      <c r="Z234" t="s">
        <v>123</v>
      </c>
      <c r="AA234">
        <v>1</v>
      </c>
      <c r="AB234" t="s">
        <v>2414</v>
      </c>
      <c r="AC234" t="s">
        <v>2415</v>
      </c>
      <c r="AD234" t="s">
        <v>2416</v>
      </c>
      <c r="AE234" t="s">
        <v>2417</v>
      </c>
      <c r="AF234" t="s">
        <v>2418</v>
      </c>
      <c r="AG234" t="s">
        <v>2419</v>
      </c>
      <c r="AH234" t="str">
        <f>HYPERLINK("http://compartments.jensenlab.org/Entity?figures=subcell_cell_%&amp;knowledge=10&amp;textmining=10&amp;experiments=10&amp;predictions=10&amp;type1=9606&amp;type2=-22&amp;id1=ENSP00000046640","link")</f>
        <v>link</v>
      </c>
      <c r="AK234" t="str">
        <f>HYPERLINK("http://www.proteinatlas.org/O60931","HPA046947")</f>
        <v>HPA046947</v>
      </c>
      <c r="AL234" t="s">
        <v>2420</v>
      </c>
      <c r="AM234">
        <v>1497</v>
      </c>
    </row>
    <row r="235" spans="1:39" x14ac:dyDescent="0.35">
      <c r="A235" t="s">
        <v>2421</v>
      </c>
      <c r="B235" t="str">
        <f>HYPERLINK("http://www.uniprot.org/uniprot/O60939","O60939")</f>
        <v>O60939</v>
      </c>
      <c r="C235" t="s">
        <v>2422</v>
      </c>
      <c r="D235" t="s">
        <v>2423</v>
      </c>
      <c r="E235" t="s">
        <v>39</v>
      </c>
      <c r="F235" t="s">
        <v>55</v>
      </c>
      <c r="H235">
        <v>215</v>
      </c>
      <c r="I235">
        <v>1</v>
      </c>
      <c r="J235">
        <v>1</v>
      </c>
      <c r="K235" t="s">
        <v>2424</v>
      </c>
      <c r="L235" t="s">
        <v>101</v>
      </c>
      <c r="M235" t="s">
        <v>39</v>
      </c>
      <c r="N235">
        <v>0.83720000000000006</v>
      </c>
      <c r="O235" s="1">
        <v>1</v>
      </c>
      <c r="P235" t="s">
        <v>2425</v>
      </c>
      <c r="Q235" t="s">
        <v>2426</v>
      </c>
      <c r="S235" t="s">
        <v>45</v>
      </c>
      <c r="T235" t="s">
        <v>2427</v>
      </c>
      <c r="U235" t="s">
        <v>2428</v>
      </c>
      <c r="V235">
        <v>3</v>
      </c>
      <c r="Z235" t="s">
        <v>107</v>
      </c>
      <c r="AA235">
        <v>1</v>
      </c>
      <c r="AB235" t="s">
        <v>2429</v>
      </c>
      <c r="AC235">
        <v>42</v>
      </c>
      <c r="AD235" t="s">
        <v>2430</v>
      </c>
      <c r="AE235" t="s">
        <v>144</v>
      </c>
      <c r="AF235" t="s">
        <v>2431</v>
      </c>
      <c r="AG235" t="s">
        <v>2432</v>
      </c>
      <c r="AH235" t="str">
        <f>HYPERLINK("http://compartments.jensenlab.org/Entity?figures=subcell_cell_%&amp;knowledge=10&amp;textmining=10&amp;experiments=10&amp;predictions=10&amp;type1=9606&amp;type2=-22&amp;id1=ENSP00000278947","link")</f>
        <v>link</v>
      </c>
      <c r="AI235" t="s">
        <v>65</v>
      </c>
      <c r="AJ235" t="s">
        <v>51</v>
      </c>
      <c r="AK235" t="str">
        <f>HYPERLINK("http://www.proteinatlas.org/O60939","HPA012585")</f>
        <v>HPA012585</v>
      </c>
      <c r="AL235" t="s">
        <v>2433</v>
      </c>
      <c r="AM235">
        <v>6327</v>
      </c>
    </row>
    <row r="236" spans="1:39" x14ac:dyDescent="0.35">
      <c r="A236" t="s">
        <v>2434</v>
      </c>
      <c r="B236" t="str">
        <f>HYPERLINK("http://www.uniprot.org/uniprot/O71037","O71037")</f>
        <v>O71037</v>
      </c>
      <c r="C236" t="s">
        <v>2435</v>
      </c>
      <c r="D236" t="s">
        <v>2436</v>
      </c>
      <c r="E236" t="s">
        <v>39</v>
      </c>
      <c r="F236" t="s">
        <v>40</v>
      </c>
      <c r="H236">
        <v>699</v>
      </c>
      <c r="I236">
        <v>1</v>
      </c>
      <c r="J236">
        <v>1</v>
      </c>
      <c r="K236" t="s">
        <v>2437</v>
      </c>
      <c r="L236" t="s">
        <v>57</v>
      </c>
      <c r="N236">
        <v>0.88419999999999999</v>
      </c>
      <c r="O236" s="1">
        <v>1</v>
      </c>
      <c r="S236" t="s">
        <v>91</v>
      </c>
      <c r="T236" t="s">
        <v>2438</v>
      </c>
      <c r="U236" t="s">
        <v>2439</v>
      </c>
      <c r="V236">
        <v>11</v>
      </c>
      <c r="AE236" t="s">
        <v>1674</v>
      </c>
      <c r="AF236" t="s">
        <v>2440</v>
      </c>
      <c r="AG236" t="s">
        <v>2441</v>
      </c>
      <c r="AK236" t="str">
        <f>HYPERLINK("http://www.proteinatlas.org/O71037","no")</f>
        <v>no</v>
      </c>
    </row>
    <row r="237" spans="1:39" x14ac:dyDescent="0.35">
      <c r="A237" t="s">
        <v>2442</v>
      </c>
      <c r="B237" t="str">
        <f>HYPERLINK("http://www.uniprot.org/uniprot/O75015","O75015")</f>
        <v>O75015</v>
      </c>
      <c r="C237" t="s">
        <v>2443</v>
      </c>
      <c r="D237" t="s">
        <v>2444</v>
      </c>
      <c r="E237" t="s">
        <v>39</v>
      </c>
      <c r="F237" t="s">
        <v>239</v>
      </c>
      <c r="H237">
        <v>233</v>
      </c>
      <c r="I237">
        <v>0</v>
      </c>
      <c r="J237">
        <v>1</v>
      </c>
      <c r="K237" t="s">
        <v>2445</v>
      </c>
      <c r="L237" t="s">
        <v>996</v>
      </c>
      <c r="N237">
        <v>0.80640000000000001</v>
      </c>
      <c r="O237" s="1" t="s">
        <v>997</v>
      </c>
      <c r="P237" t="s">
        <v>2446</v>
      </c>
      <c r="Q237" t="s">
        <v>2447</v>
      </c>
      <c r="R237" t="s">
        <v>2448</v>
      </c>
      <c r="S237" t="s">
        <v>166</v>
      </c>
      <c r="T237" t="s">
        <v>478</v>
      </c>
      <c r="U237" t="s">
        <v>2449</v>
      </c>
      <c r="V237">
        <v>6</v>
      </c>
      <c r="W237" t="s">
        <v>2449</v>
      </c>
      <c r="Y237" t="s">
        <v>2450</v>
      </c>
      <c r="Z237" t="s">
        <v>107</v>
      </c>
      <c r="AA237">
        <v>3</v>
      </c>
      <c r="AB237" t="s">
        <v>2451</v>
      </c>
      <c r="AC237">
        <v>82</v>
      </c>
      <c r="AD237" t="s">
        <v>2452</v>
      </c>
      <c r="AE237" t="s">
        <v>2453</v>
      </c>
      <c r="AF237" t="s">
        <v>2454</v>
      </c>
      <c r="AG237" t="s">
        <v>2455</v>
      </c>
      <c r="AH237" t="str">
        <f>HYPERLINK("http://compartments.jensenlab.org/Entity?figures=subcell_cell_%&amp;knowledge=10&amp;textmining=10&amp;experiments=10&amp;predictions=10&amp;type1=9606&amp;type2=-22&amp;id1=ENSP00000294800","link")</f>
        <v>link</v>
      </c>
      <c r="AI237" t="s">
        <v>1058</v>
      </c>
      <c r="AJ237" t="s">
        <v>902</v>
      </c>
      <c r="AK237" t="str">
        <f>HYPERLINK("http://www.proteinatlas.org/O75015","no")</f>
        <v>no</v>
      </c>
      <c r="AL237" t="s">
        <v>2456</v>
      </c>
      <c r="AM237">
        <v>2215</v>
      </c>
    </row>
    <row r="238" spans="1:39" x14ac:dyDescent="0.35">
      <c r="A238" t="s">
        <v>2457</v>
      </c>
      <c r="B238" t="str">
        <f>HYPERLINK("http://www.uniprot.org/uniprot/O75019","O75019")</f>
        <v>O75019</v>
      </c>
      <c r="C238" t="s">
        <v>2458</v>
      </c>
      <c r="D238" t="s">
        <v>2459</v>
      </c>
      <c r="E238" t="s">
        <v>39</v>
      </c>
      <c r="F238" t="s">
        <v>40</v>
      </c>
      <c r="H238">
        <v>489</v>
      </c>
      <c r="I238">
        <v>1</v>
      </c>
      <c r="J238">
        <v>1</v>
      </c>
      <c r="K238" t="s">
        <v>2460</v>
      </c>
      <c r="L238" t="s">
        <v>57</v>
      </c>
      <c r="N238">
        <v>0.62280000000000002</v>
      </c>
      <c r="O238" s="1">
        <v>2</v>
      </c>
      <c r="P238" t="s">
        <v>2461</v>
      </c>
      <c r="Q238" t="s">
        <v>2462</v>
      </c>
      <c r="R238" t="s">
        <v>2463</v>
      </c>
      <c r="S238" t="s">
        <v>166</v>
      </c>
      <c r="T238" t="s">
        <v>418</v>
      </c>
      <c r="U238" t="s">
        <v>2464</v>
      </c>
      <c r="V238">
        <v>6</v>
      </c>
      <c r="AE238" t="s">
        <v>144</v>
      </c>
      <c r="AF238" t="s">
        <v>2465</v>
      </c>
      <c r="AG238" t="s">
        <v>2466</v>
      </c>
      <c r="AH238" t="str">
        <f>HYPERLINK("http://compartments.jensenlab.org/Entity?figures=subcell_cell_%&amp;knowledge=10&amp;textmining=10&amp;experiments=10&amp;predictions=10&amp;type1=9606&amp;type2=-22&amp;id1=ENSP00000251372","link")</f>
        <v>link</v>
      </c>
      <c r="AJ238" t="s">
        <v>51</v>
      </c>
      <c r="AK238" t="str">
        <f>HYPERLINK("http://www.proteinatlas.org/O75019","no")</f>
        <v>no</v>
      </c>
      <c r="AM238">
        <v>11024</v>
      </c>
    </row>
    <row r="239" spans="1:39" x14ac:dyDescent="0.35">
      <c r="A239" t="s">
        <v>2467</v>
      </c>
      <c r="B239" t="str">
        <f>HYPERLINK("http://www.uniprot.org/uniprot/O75022","O75022")</f>
        <v>O75022</v>
      </c>
      <c r="C239" t="s">
        <v>2468</v>
      </c>
      <c r="D239" t="s">
        <v>2469</v>
      </c>
      <c r="E239" t="s">
        <v>39</v>
      </c>
      <c r="F239" t="s">
        <v>40</v>
      </c>
      <c r="H239">
        <v>631</v>
      </c>
      <c r="I239">
        <v>1</v>
      </c>
      <c r="J239">
        <v>1</v>
      </c>
      <c r="K239" t="s">
        <v>2470</v>
      </c>
      <c r="L239" t="s">
        <v>57</v>
      </c>
      <c r="N239">
        <v>0.92610000000000003</v>
      </c>
      <c r="O239" s="1">
        <v>1</v>
      </c>
      <c r="P239" t="s">
        <v>2471</v>
      </c>
      <c r="Q239" t="s">
        <v>2472</v>
      </c>
      <c r="R239" t="s">
        <v>2473</v>
      </c>
      <c r="S239" t="s">
        <v>166</v>
      </c>
      <c r="T239" t="s">
        <v>418</v>
      </c>
      <c r="U239" t="s">
        <v>2474</v>
      </c>
      <c r="V239">
        <v>4</v>
      </c>
      <c r="W239" t="s">
        <v>2475</v>
      </c>
      <c r="AE239" t="s">
        <v>332</v>
      </c>
      <c r="AF239" t="s">
        <v>2476</v>
      </c>
      <c r="AG239" t="s">
        <v>2477</v>
      </c>
      <c r="AH239" t="str">
        <f>HYPERLINK("http://compartments.jensenlab.org/Entity?figures=subcell_cell_%&amp;knowledge=10&amp;textmining=10&amp;experiments=10&amp;predictions=10&amp;type1=9606&amp;type2=-22&amp;id1=ENSP00000245620","link")</f>
        <v>link</v>
      </c>
      <c r="AK239" t="str">
        <f>HYPERLINK("http://www.proteinatlas.org/O75022","no")</f>
        <v>no</v>
      </c>
      <c r="AM239" s="4">
        <v>103000000</v>
      </c>
    </row>
    <row r="240" spans="1:39" x14ac:dyDescent="0.35">
      <c r="A240" t="s">
        <v>2478</v>
      </c>
      <c r="B240" t="str">
        <f>HYPERLINK("http://www.uniprot.org/uniprot/O75023","O75023")</f>
        <v>O75023</v>
      </c>
      <c r="C240" t="s">
        <v>2479</v>
      </c>
      <c r="D240" t="s">
        <v>2480</v>
      </c>
      <c r="E240" t="s">
        <v>39</v>
      </c>
      <c r="F240" t="s">
        <v>40</v>
      </c>
      <c r="H240">
        <v>590</v>
      </c>
      <c r="I240">
        <v>1</v>
      </c>
      <c r="J240">
        <v>1</v>
      </c>
      <c r="K240" t="s">
        <v>2481</v>
      </c>
      <c r="L240" t="s">
        <v>57</v>
      </c>
      <c r="N240">
        <v>0.92420000000000002</v>
      </c>
      <c r="O240" s="1">
        <v>1</v>
      </c>
      <c r="P240" t="s">
        <v>2482</v>
      </c>
      <c r="Q240" t="s">
        <v>2483</v>
      </c>
      <c r="R240" t="s">
        <v>2484</v>
      </c>
      <c r="S240" t="s">
        <v>166</v>
      </c>
      <c r="T240" t="s">
        <v>418</v>
      </c>
      <c r="U240" t="s">
        <v>2485</v>
      </c>
      <c r="V240">
        <v>4</v>
      </c>
      <c r="AE240" t="s">
        <v>144</v>
      </c>
      <c r="AF240" t="s">
        <v>2465</v>
      </c>
      <c r="AG240" t="s">
        <v>2486</v>
      </c>
      <c r="AH240" t="str">
        <f>HYPERLINK("http://compartments.jensenlab.org/Entity?figures=subcell_cell_%&amp;knowledge=10&amp;textmining=10&amp;experiments=10&amp;predictions=10&amp;type1=9606&amp;type2=-22&amp;id1=ENSP00000320390","link")</f>
        <v>link</v>
      </c>
      <c r="AJ240" t="s">
        <v>51</v>
      </c>
      <c r="AK240" t="str">
        <f>HYPERLINK("http://www.proteinatlas.org/O75023","HPA012069")</f>
        <v>HPA012069</v>
      </c>
      <c r="AM240">
        <v>10990</v>
      </c>
    </row>
    <row r="241" spans="1:39" x14ac:dyDescent="0.35">
      <c r="A241" t="s">
        <v>2487</v>
      </c>
      <c r="B241" t="str">
        <f>HYPERLINK("http://www.uniprot.org/uniprot/O75051","O75051")</f>
        <v>O75051</v>
      </c>
      <c r="C241" t="s">
        <v>2488</v>
      </c>
      <c r="D241" t="s">
        <v>2489</v>
      </c>
      <c r="E241" t="s">
        <v>39</v>
      </c>
      <c r="F241" t="s">
        <v>55</v>
      </c>
      <c r="H241">
        <v>1894</v>
      </c>
      <c r="I241">
        <v>1</v>
      </c>
      <c r="J241">
        <v>1</v>
      </c>
      <c r="K241" t="s">
        <v>2490</v>
      </c>
      <c r="L241" t="s">
        <v>101</v>
      </c>
      <c r="N241">
        <v>0.996</v>
      </c>
      <c r="O241" s="1">
        <v>1</v>
      </c>
      <c r="P241" t="s">
        <v>2491</v>
      </c>
      <c r="Q241" t="s">
        <v>2492</v>
      </c>
      <c r="S241" t="s">
        <v>166</v>
      </c>
      <c r="T241" t="s">
        <v>1382</v>
      </c>
      <c r="U241" t="s">
        <v>2493</v>
      </c>
      <c r="V241">
        <v>14</v>
      </c>
      <c r="W241" t="s">
        <v>2494</v>
      </c>
      <c r="Y241">
        <v>845</v>
      </c>
      <c r="Z241" t="s">
        <v>107</v>
      </c>
      <c r="AA241">
        <v>1</v>
      </c>
      <c r="AB241" t="s">
        <v>2495</v>
      </c>
      <c r="AC241">
        <v>76</v>
      </c>
      <c r="AD241" t="s">
        <v>2496</v>
      </c>
      <c r="AE241" t="s">
        <v>332</v>
      </c>
      <c r="AF241" t="s">
        <v>2497</v>
      </c>
      <c r="AG241" t="s">
        <v>2498</v>
      </c>
      <c r="AH241" t="str">
        <f>HYPERLINK("http://compartments.jensenlab.org/Entity?figures=subcell_cell_%&amp;knowledge=10&amp;textmining=10&amp;experiments=10&amp;predictions=10&amp;type1=9606&amp;type2=-22&amp;id1=ENSP00000356000","link")</f>
        <v>link</v>
      </c>
      <c r="AI241" t="s">
        <v>65</v>
      </c>
      <c r="AJ241" t="s">
        <v>113</v>
      </c>
      <c r="AK241" t="str">
        <f>HYPERLINK("http://www.proteinatlas.org/O75051","CAB009763")</f>
        <v>CAB009763</v>
      </c>
      <c r="AM241">
        <v>5362</v>
      </c>
    </row>
    <row r="242" spans="1:39" x14ac:dyDescent="0.35">
      <c r="A242" t="s">
        <v>2499</v>
      </c>
      <c r="B242" t="str">
        <f>HYPERLINK("http://www.uniprot.org/uniprot/O75054","O75054")</f>
        <v>O75054</v>
      </c>
      <c r="C242" t="s">
        <v>2500</v>
      </c>
      <c r="D242" t="s">
        <v>2501</v>
      </c>
      <c r="E242" t="s">
        <v>39</v>
      </c>
      <c r="F242" t="s">
        <v>40</v>
      </c>
      <c r="H242">
        <v>1194</v>
      </c>
      <c r="I242">
        <v>1</v>
      </c>
      <c r="J242">
        <v>1</v>
      </c>
      <c r="K242" t="s">
        <v>2502</v>
      </c>
      <c r="L242" t="s">
        <v>101</v>
      </c>
      <c r="N242">
        <v>0.85629999999999995</v>
      </c>
      <c r="O242" s="1">
        <v>1</v>
      </c>
      <c r="P242" t="s">
        <v>2503</v>
      </c>
      <c r="Q242" t="s">
        <v>2504</v>
      </c>
      <c r="S242" t="s">
        <v>166</v>
      </c>
      <c r="T242" t="s">
        <v>2505</v>
      </c>
      <c r="U242" t="s">
        <v>2506</v>
      </c>
      <c r="V242">
        <v>10</v>
      </c>
      <c r="Y242">
        <v>854</v>
      </c>
      <c r="Z242" t="s">
        <v>107</v>
      </c>
      <c r="AA242">
        <v>20</v>
      </c>
      <c r="AB242" t="s">
        <v>2507</v>
      </c>
      <c r="AC242" t="s">
        <v>2508</v>
      </c>
      <c r="AD242" t="s">
        <v>2509</v>
      </c>
      <c r="AE242" t="s">
        <v>144</v>
      </c>
      <c r="AF242" t="s">
        <v>2510</v>
      </c>
      <c r="AG242" t="s">
        <v>2511</v>
      </c>
      <c r="AH242" t="str">
        <f>HYPERLINK("http://compartments.jensenlab.org/Entity?figures=subcell_cell_%&amp;knowledge=10&amp;textmining=10&amp;experiments=10&amp;predictions=10&amp;type1=9606&amp;type2=-22&amp;id1=ENSP00000358498","link")</f>
        <v>link</v>
      </c>
      <c r="AK242" t="str">
        <f>HYPERLINK("http://www.proteinatlas.org/O75054","HPA036305;HPA036306")</f>
        <v>HPA036305;HPA036306</v>
      </c>
      <c r="AM242">
        <v>3321</v>
      </c>
    </row>
    <row r="243" spans="1:39" x14ac:dyDescent="0.35">
      <c r="A243" t="s">
        <v>2512</v>
      </c>
      <c r="B243" t="str">
        <f>HYPERLINK("http://www.uniprot.org/uniprot/O75074","O75074")</f>
        <v>O75074</v>
      </c>
      <c r="C243" t="s">
        <v>2513</v>
      </c>
      <c r="D243" t="s">
        <v>2514</v>
      </c>
      <c r="E243" t="s">
        <v>39</v>
      </c>
      <c r="F243" t="s">
        <v>40</v>
      </c>
      <c r="H243">
        <v>770</v>
      </c>
      <c r="I243">
        <v>1</v>
      </c>
      <c r="J243">
        <v>1</v>
      </c>
      <c r="K243" t="s">
        <v>2515</v>
      </c>
      <c r="L243" t="s">
        <v>57</v>
      </c>
      <c r="N243">
        <v>0.75849999999999995</v>
      </c>
      <c r="O243" s="1">
        <v>1</v>
      </c>
      <c r="P243" t="s">
        <v>2516</v>
      </c>
      <c r="Q243" t="s">
        <v>2517</v>
      </c>
      <c r="S243" t="s">
        <v>166</v>
      </c>
      <c r="T243" t="s">
        <v>2518</v>
      </c>
      <c r="U243" t="s">
        <v>2519</v>
      </c>
      <c r="V243">
        <v>3</v>
      </c>
      <c r="Y243" t="s">
        <v>2520</v>
      </c>
      <c r="AE243" t="s">
        <v>2521</v>
      </c>
      <c r="AF243" t="s">
        <v>2522</v>
      </c>
      <c r="AG243" t="s">
        <v>2523</v>
      </c>
      <c r="AH243" t="str">
        <f>HYPERLINK("http://compartments.jensenlab.org/Entity?figures=subcell_cell_%&amp;knowledge=10&amp;textmining=10&amp;experiments=10&amp;predictions=10&amp;type1=9606&amp;type2=-22&amp;id1=ENSP00000253193","link")</f>
        <v>link</v>
      </c>
      <c r="AJ243" t="s">
        <v>51</v>
      </c>
      <c r="AK243" t="str">
        <f>HYPERLINK("http://www.proteinatlas.org/O75074","no")</f>
        <v>no</v>
      </c>
      <c r="AM243">
        <v>4037</v>
      </c>
    </row>
    <row r="244" spans="1:39" x14ac:dyDescent="0.35">
      <c r="A244" t="s">
        <v>2524</v>
      </c>
      <c r="B244" t="str">
        <f>HYPERLINK("http://www.uniprot.org/uniprot/O75077","O75077")</f>
        <v>O75077</v>
      </c>
      <c r="C244" t="s">
        <v>2525</v>
      </c>
      <c r="D244" t="s">
        <v>2526</v>
      </c>
      <c r="E244" t="s">
        <v>39</v>
      </c>
      <c r="F244" t="s">
        <v>40</v>
      </c>
      <c r="H244">
        <v>832</v>
      </c>
      <c r="I244">
        <v>1</v>
      </c>
      <c r="J244">
        <v>1</v>
      </c>
      <c r="K244" t="s">
        <v>2527</v>
      </c>
      <c r="L244" t="s">
        <v>57</v>
      </c>
      <c r="N244">
        <v>0.85829999999999995</v>
      </c>
      <c r="O244" s="1">
        <v>1</v>
      </c>
      <c r="P244" t="s">
        <v>2528</v>
      </c>
      <c r="Q244" t="s">
        <v>2529</v>
      </c>
      <c r="S244" t="s">
        <v>947</v>
      </c>
      <c r="T244" t="s">
        <v>1208</v>
      </c>
      <c r="U244" t="s">
        <v>2530</v>
      </c>
      <c r="V244">
        <v>8</v>
      </c>
      <c r="W244" t="s">
        <v>2531</v>
      </c>
      <c r="AE244" t="s">
        <v>1250</v>
      </c>
      <c r="AF244" t="s">
        <v>2532</v>
      </c>
      <c r="AG244" t="s">
        <v>2533</v>
      </c>
      <c r="AH244" t="str">
        <f>HYPERLINK("http://compartments.jensenlab.org/Entity?figures=subcell_cell_%&amp;knowledge=10&amp;textmining=10&amp;experiments=10&amp;predictions=10&amp;type1=9606&amp;type2=-22&amp;id1=ENSP00000264377","link")</f>
        <v>link</v>
      </c>
      <c r="AI244" t="s">
        <v>1058</v>
      </c>
      <c r="AJ244" t="s">
        <v>902</v>
      </c>
      <c r="AK244" t="str">
        <f>HYPERLINK("http://www.proteinatlas.org/O75077","HPA012130;CAB033276")</f>
        <v>HPA012130;CAB033276</v>
      </c>
      <c r="AM244">
        <v>8745</v>
      </c>
    </row>
    <row r="245" spans="1:39" x14ac:dyDescent="0.35">
      <c r="A245" t="s">
        <v>2534</v>
      </c>
      <c r="B245" t="str">
        <f>HYPERLINK("http://www.uniprot.org/uniprot/O75078","O75078")</f>
        <v>O75078</v>
      </c>
      <c r="C245" t="s">
        <v>2535</v>
      </c>
      <c r="D245" t="s">
        <v>2536</v>
      </c>
      <c r="E245" t="s">
        <v>39</v>
      </c>
      <c r="F245" t="s">
        <v>40</v>
      </c>
      <c r="H245">
        <v>769</v>
      </c>
      <c r="I245">
        <v>1</v>
      </c>
      <c r="J245">
        <v>1</v>
      </c>
      <c r="K245" t="s">
        <v>2537</v>
      </c>
      <c r="L245" t="s">
        <v>57</v>
      </c>
      <c r="N245">
        <v>0.74250000000000005</v>
      </c>
      <c r="O245" s="1">
        <v>2</v>
      </c>
      <c r="P245" t="s">
        <v>2538</v>
      </c>
      <c r="Q245" t="s">
        <v>2539</v>
      </c>
      <c r="S245" t="s">
        <v>947</v>
      </c>
      <c r="T245" t="s">
        <v>1208</v>
      </c>
      <c r="U245" t="s">
        <v>2540</v>
      </c>
      <c r="V245">
        <v>4</v>
      </c>
      <c r="AE245" t="s">
        <v>144</v>
      </c>
      <c r="AF245" t="s">
        <v>2541</v>
      </c>
      <c r="AG245" t="s">
        <v>2542</v>
      </c>
      <c r="AH245" t="str">
        <f>HYPERLINK("http://compartments.jensenlab.org/Entity?figures=subcell_cell_%&amp;knowledge=10&amp;textmining=10&amp;experiments=10&amp;predictions=10&amp;type1=9606&amp;type2=-22&amp;id1=ENSP00000200557","link")</f>
        <v>link</v>
      </c>
      <c r="AJ245" t="s">
        <v>51</v>
      </c>
      <c r="AK245" t="str">
        <f>HYPERLINK("http://www.proteinatlas.org/O75078","HPA053299")</f>
        <v>HPA053299</v>
      </c>
      <c r="AM245">
        <v>4185</v>
      </c>
    </row>
    <row r="246" spans="1:39" x14ac:dyDescent="0.35">
      <c r="A246" t="s">
        <v>2543</v>
      </c>
      <c r="B246" t="str">
        <f>HYPERLINK("http://www.uniprot.org/uniprot/O75084","O75084")</f>
        <v>O75084</v>
      </c>
      <c r="C246" t="s">
        <v>2544</v>
      </c>
      <c r="D246" t="s">
        <v>2545</v>
      </c>
      <c r="E246" t="s">
        <v>39</v>
      </c>
      <c r="F246" t="s">
        <v>40</v>
      </c>
      <c r="H246">
        <v>574</v>
      </c>
      <c r="I246">
        <v>7</v>
      </c>
      <c r="J246">
        <v>1</v>
      </c>
      <c r="K246" t="s">
        <v>2546</v>
      </c>
      <c r="L246" t="s">
        <v>57</v>
      </c>
      <c r="N246">
        <v>0.81040000000000001</v>
      </c>
      <c r="O246" s="1">
        <v>1</v>
      </c>
      <c r="P246" t="s">
        <v>2547</v>
      </c>
      <c r="Q246" t="s">
        <v>2548</v>
      </c>
      <c r="S246" t="s">
        <v>166</v>
      </c>
      <c r="T246" t="s">
        <v>827</v>
      </c>
      <c r="U246" t="s">
        <v>2549</v>
      </c>
      <c r="V246">
        <v>2</v>
      </c>
      <c r="X246" t="s">
        <v>2550</v>
      </c>
      <c r="AE246" t="s">
        <v>1863</v>
      </c>
      <c r="AF246" t="s">
        <v>2551</v>
      </c>
      <c r="AG246" t="s">
        <v>2552</v>
      </c>
      <c r="AH246" t="str">
        <f>HYPERLINK("http://compartments.jensenlab.org/Entity?figures=subcell_cell_%&amp;knowledge=10&amp;textmining=10&amp;experiments=10&amp;predictions=10&amp;type1=9606&amp;type2=-22&amp;id1=ENSP00000286201","link")</f>
        <v>link</v>
      </c>
      <c r="AI246" t="s">
        <v>65</v>
      </c>
      <c r="AJ246" t="s">
        <v>2124</v>
      </c>
      <c r="AK246" t="str">
        <f>HYPERLINK("http://www.proteinatlas.org/O75084","no")</f>
        <v>no</v>
      </c>
      <c r="AM246">
        <v>8324</v>
      </c>
    </row>
    <row r="247" spans="1:39" x14ac:dyDescent="0.35">
      <c r="A247" t="s">
        <v>2553</v>
      </c>
      <c r="B247" t="str">
        <f>HYPERLINK("http://www.uniprot.org/uniprot/O75096","O75096")</f>
        <v>O75096</v>
      </c>
      <c r="C247" t="s">
        <v>2554</v>
      </c>
      <c r="D247" t="s">
        <v>2555</v>
      </c>
      <c r="E247" t="s">
        <v>39</v>
      </c>
      <c r="F247" t="s">
        <v>40</v>
      </c>
      <c r="H247">
        <v>1905</v>
      </c>
      <c r="I247">
        <v>1</v>
      </c>
      <c r="J247">
        <v>1</v>
      </c>
      <c r="K247" t="s">
        <v>2556</v>
      </c>
      <c r="L247" t="s">
        <v>101</v>
      </c>
      <c r="N247">
        <v>0.85229999999999995</v>
      </c>
      <c r="O247" s="1">
        <v>1</v>
      </c>
      <c r="P247" t="s">
        <v>2557</v>
      </c>
      <c r="Q247" t="s">
        <v>2558</v>
      </c>
      <c r="S247" t="s">
        <v>166</v>
      </c>
      <c r="T247" t="s">
        <v>2518</v>
      </c>
      <c r="U247" t="s">
        <v>2559</v>
      </c>
      <c r="V247">
        <v>7</v>
      </c>
      <c r="Y247" t="s">
        <v>2560</v>
      </c>
      <c r="Z247" t="s">
        <v>107</v>
      </c>
      <c r="AA247">
        <v>3</v>
      </c>
      <c r="AB247" t="s">
        <v>2561</v>
      </c>
      <c r="AC247" t="s">
        <v>2562</v>
      </c>
      <c r="AD247" t="s">
        <v>2563</v>
      </c>
      <c r="AE247" t="s">
        <v>144</v>
      </c>
      <c r="AF247" t="s">
        <v>2564</v>
      </c>
      <c r="AG247" t="s">
        <v>2565</v>
      </c>
      <c r="AH247" t="str">
        <f>HYPERLINK("http://compartments.jensenlab.org/Entity?figures=subcell_cell_%&amp;knowledge=10&amp;textmining=10&amp;experiments=10&amp;predictions=10&amp;type1=9606&amp;type2=-22&amp;id1=ENSP00000367888","link")</f>
        <v>link</v>
      </c>
      <c r="AJ247" t="s">
        <v>51</v>
      </c>
      <c r="AK247" t="str">
        <f>HYPERLINK("http://www.proteinatlas.org/O75096","HPA011934;HPA012300")</f>
        <v>HPA011934;HPA012300</v>
      </c>
      <c r="AM247">
        <v>4038</v>
      </c>
    </row>
    <row r="248" spans="1:39" x14ac:dyDescent="0.35">
      <c r="A248" t="s">
        <v>2566</v>
      </c>
      <c r="B248" t="str">
        <f>HYPERLINK("http://www.uniprot.org/uniprot/O75121","O75121")</f>
        <v>O75121</v>
      </c>
      <c r="C248" t="s">
        <v>2567</v>
      </c>
      <c r="D248" t="s">
        <v>2568</v>
      </c>
      <c r="E248" t="s">
        <v>39</v>
      </c>
      <c r="F248" t="s">
        <v>55</v>
      </c>
      <c r="H248">
        <v>409</v>
      </c>
      <c r="I248">
        <v>1</v>
      </c>
      <c r="J248">
        <v>1</v>
      </c>
      <c r="K248" t="s">
        <v>2569</v>
      </c>
      <c r="L248" t="s">
        <v>101</v>
      </c>
      <c r="M248" t="s">
        <v>39</v>
      </c>
      <c r="N248">
        <v>0.81459999999999999</v>
      </c>
      <c r="O248" s="1">
        <v>1</v>
      </c>
      <c r="P248" t="s">
        <v>2570</v>
      </c>
      <c r="Q248" t="s">
        <v>2571</v>
      </c>
      <c r="S248" t="s">
        <v>60</v>
      </c>
      <c r="T248" t="s">
        <v>60</v>
      </c>
      <c r="U248" t="s">
        <v>2572</v>
      </c>
      <c r="V248">
        <v>5</v>
      </c>
      <c r="Z248" t="s">
        <v>107</v>
      </c>
      <c r="AA248">
        <v>1</v>
      </c>
      <c r="AB248" t="s">
        <v>2573</v>
      </c>
      <c r="AC248">
        <v>111</v>
      </c>
      <c r="AD248" t="s">
        <v>2574</v>
      </c>
      <c r="AE248" t="s">
        <v>332</v>
      </c>
      <c r="AF248" t="s">
        <v>2575</v>
      </c>
      <c r="AG248" t="s">
        <v>2576</v>
      </c>
      <c r="AH248" t="str">
        <f>HYPERLINK("http://compartments.jensenlab.org/Entity?figures=subcell_cell_%&amp;knowledge=10&amp;textmining=10&amp;experiments=10&amp;predictions=10&amp;type1=9606&amp;type2=-22&amp;id1=ENSP00000354583","link")</f>
        <v>link</v>
      </c>
      <c r="AI248" t="s">
        <v>65</v>
      </c>
      <c r="AJ248" t="s">
        <v>51</v>
      </c>
      <c r="AK248" t="str">
        <f>HYPERLINK("http://www.proteinatlas.org/O75121","HPA017986")</f>
        <v>HPA017986</v>
      </c>
      <c r="AM248">
        <v>9848</v>
      </c>
    </row>
    <row r="249" spans="1:39" x14ac:dyDescent="0.35">
      <c r="A249" t="s">
        <v>2577</v>
      </c>
      <c r="B249" t="str">
        <f>HYPERLINK("http://www.uniprot.org/uniprot/O75129","O75129")</f>
        <v>O75129</v>
      </c>
      <c r="C249" t="s">
        <v>2578</v>
      </c>
      <c r="D249" t="s">
        <v>2579</v>
      </c>
      <c r="E249" t="s">
        <v>39</v>
      </c>
      <c r="F249" t="s">
        <v>40</v>
      </c>
      <c r="H249">
        <v>1339</v>
      </c>
      <c r="I249">
        <v>2</v>
      </c>
      <c r="J249">
        <v>1</v>
      </c>
      <c r="K249" t="s">
        <v>2580</v>
      </c>
      <c r="L249" t="s">
        <v>57</v>
      </c>
      <c r="N249">
        <v>0.82830000000000004</v>
      </c>
      <c r="O249" s="1">
        <v>1</v>
      </c>
      <c r="P249" t="s">
        <v>2581</v>
      </c>
      <c r="Q249" t="s">
        <v>2582</v>
      </c>
      <c r="S249" t="s">
        <v>60</v>
      </c>
      <c r="T249" t="s">
        <v>60</v>
      </c>
      <c r="U249" t="s">
        <v>2583</v>
      </c>
      <c r="V249">
        <v>6</v>
      </c>
      <c r="Y249" t="s">
        <v>2584</v>
      </c>
      <c r="AE249" t="s">
        <v>48</v>
      </c>
      <c r="AF249" t="s">
        <v>2585</v>
      </c>
      <c r="AG249" t="s">
        <v>2586</v>
      </c>
      <c r="AH249" t="str">
        <f>HYPERLINK("http://compartments.jensenlab.org/Entity?figures=subcell_cell_%&amp;knowledge=10&amp;textmining=10&amp;experiments=10&amp;predictions=10&amp;type1=9606&amp;type2=-22&amp;id1=ENSP00000314038","link")</f>
        <v>link</v>
      </c>
      <c r="AK249" t="str">
        <f>HYPERLINK("http://www.proteinatlas.org/O75129","HPA027035")</f>
        <v>HPA027035</v>
      </c>
      <c r="AM249">
        <v>23245</v>
      </c>
    </row>
    <row r="250" spans="1:39" x14ac:dyDescent="0.35">
      <c r="A250" t="s">
        <v>2587</v>
      </c>
      <c r="B250" t="str">
        <f>HYPERLINK("http://www.uniprot.org/uniprot/O75144","O75144")</f>
        <v>O75144</v>
      </c>
      <c r="C250" t="s">
        <v>2588</v>
      </c>
      <c r="D250" t="s">
        <v>2589</v>
      </c>
      <c r="E250" t="s">
        <v>39</v>
      </c>
      <c r="F250" t="s">
        <v>40</v>
      </c>
      <c r="H250">
        <v>302</v>
      </c>
      <c r="I250">
        <v>1</v>
      </c>
      <c r="J250">
        <v>1</v>
      </c>
      <c r="K250" t="s">
        <v>2590</v>
      </c>
      <c r="L250" t="s">
        <v>101</v>
      </c>
      <c r="N250">
        <v>0.94010000000000005</v>
      </c>
      <c r="O250" s="1">
        <v>1</v>
      </c>
      <c r="P250" t="s">
        <v>2591</v>
      </c>
      <c r="Q250" t="s">
        <v>2592</v>
      </c>
      <c r="R250" t="s">
        <v>2593</v>
      </c>
      <c r="S250" t="s">
        <v>91</v>
      </c>
      <c r="T250" t="s">
        <v>1012</v>
      </c>
      <c r="U250" t="s">
        <v>2594</v>
      </c>
      <c r="V250">
        <v>6</v>
      </c>
      <c r="W250" t="s">
        <v>2594</v>
      </c>
      <c r="Z250" t="s">
        <v>107</v>
      </c>
      <c r="AA250">
        <v>10</v>
      </c>
      <c r="AB250" t="s">
        <v>2595</v>
      </c>
      <c r="AC250" t="s">
        <v>2596</v>
      </c>
      <c r="AD250" t="s">
        <v>2597</v>
      </c>
      <c r="AE250" t="s">
        <v>144</v>
      </c>
      <c r="AF250" t="s">
        <v>2598</v>
      </c>
      <c r="AG250" t="s">
        <v>2599</v>
      </c>
      <c r="AH250" t="str">
        <f>HYPERLINK("http://compartments.jensenlab.org/Entity?figures=subcell_cell_%&amp;knowledge=10&amp;textmining=10&amp;experiments=10&amp;predictions=10&amp;type1=9606&amp;type2=-22&amp;id1=ENSP00000384432","link")</f>
        <v>link</v>
      </c>
      <c r="AJ250" t="s">
        <v>51</v>
      </c>
      <c r="AK250" t="str">
        <f>HYPERLINK("http://www.proteinatlas.org/O75144","CAB026037")</f>
        <v>CAB026037</v>
      </c>
      <c r="AM250" t="s">
        <v>2600</v>
      </c>
    </row>
    <row r="251" spans="1:39" x14ac:dyDescent="0.35">
      <c r="A251" t="s">
        <v>2601</v>
      </c>
      <c r="B251" t="str">
        <f>HYPERLINK("http://www.uniprot.org/uniprot/O75197","O75197")</f>
        <v>O75197</v>
      </c>
      <c r="C251" t="s">
        <v>2602</v>
      </c>
      <c r="D251" t="s">
        <v>2603</v>
      </c>
      <c r="E251" t="s">
        <v>39</v>
      </c>
      <c r="F251" t="s">
        <v>40</v>
      </c>
      <c r="H251">
        <v>1615</v>
      </c>
      <c r="I251">
        <v>1</v>
      </c>
      <c r="J251">
        <v>1</v>
      </c>
      <c r="K251" t="s">
        <v>2604</v>
      </c>
      <c r="L251" t="s">
        <v>101</v>
      </c>
      <c r="N251">
        <v>0.84830000000000005</v>
      </c>
      <c r="O251" s="1">
        <v>1</v>
      </c>
      <c r="P251" t="s">
        <v>2605</v>
      </c>
      <c r="Q251" t="s">
        <v>2606</v>
      </c>
      <c r="S251" t="s">
        <v>166</v>
      </c>
      <c r="T251" t="s">
        <v>2518</v>
      </c>
      <c r="U251" t="s">
        <v>2607</v>
      </c>
      <c r="V251">
        <v>7</v>
      </c>
      <c r="X251" t="s">
        <v>2608</v>
      </c>
      <c r="Y251" t="s">
        <v>2609</v>
      </c>
      <c r="Z251" t="s">
        <v>107</v>
      </c>
      <c r="AA251">
        <v>2</v>
      </c>
      <c r="AB251" t="s">
        <v>2610</v>
      </c>
      <c r="AC251">
        <v>138</v>
      </c>
      <c r="AD251" t="s">
        <v>2611</v>
      </c>
      <c r="AE251" t="s">
        <v>2612</v>
      </c>
      <c r="AF251" t="s">
        <v>2613</v>
      </c>
      <c r="AG251" t="s">
        <v>2614</v>
      </c>
      <c r="AH251" t="str">
        <f>HYPERLINK("http://compartments.jensenlab.org/Entity?figures=subcell_cell_%&amp;knowledge=10&amp;textmining=10&amp;experiments=10&amp;predictions=10&amp;type1=9606&amp;type2=-22&amp;id1=ENSP00000294304","link")</f>
        <v>link</v>
      </c>
      <c r="AJ251" t="s">
        <v>2615</v>
      </c>
      <c r="AK251" t="str">
        <f>HYPERLINK("http://www.proteinatlas.org/O75197","CAB013001;HPA030505;HPA030506")</f>
        <v>CAB013001;HPA030505;HPA030506</v>
      </c>
      <c r="AM251">
        <v>4041</v>
      </c>
    </row>
    <row r="252" spans="1:39" x14ac:dyDescent="0.35">
      <c r="A252" t="s">
        <v>2616</v>
      </c>
      <c r="B252" t="str">
        <f>HYPERLINK("http://www.uniprot.org/uniprot/O75309","O75309")</f>
        <v>O75309</v>
      </c>
      <c r="C252" t="s">
        <v>2617</v>
      </c>
      <c r="D252" t="s">
        <v>2618</v>
      </c>
      <c r="E252" t="s">
        <v>39</v>
      </c>
      <c r="F252" t="s">
        <v>40</v>
      </c>
      <c r="H252">
        <v>829</v>
      </c>
      <c r="I252">
        <v>1</v>
      </c>
      <c r="J252">
        <v>1</v>
      </c>
      <c r="K252" t="s">
        <v>2619</v>
      </c>
      <c r="L252" t="s">
        <v>57</v>
      </c>
      <c r="N252">
        <v>0.77839999999999998</v>
      </c>
      <c r="O252" s="1">
        <v>1</v>
      </c>
      <c r="P252" t="s">
        <v>2620</v>
      </c>
      <c r="Q252" t="s">
        <v>2621</v>
      </c>
      <c r="S252" t="s">
        <v>91</v>
      </c>
      <c r="T252" t="s">
        <v>2622</v>
      </c>
      <c r="U252" t="s">
        <v>2623</v>
      </c>
      <c r="V252">
        <v>3</v>
      </c>
      <c r="AE252" t="s">
        <v>332</v>
      </c>
      <c r="AF252" t="s">
        <v>2624</v>
      </c>
      <c r="AG252" t="s">
        <v>2625</v>
      </c>
      <c r="AH252" t="str">
        <f>HYPERLINK("http://compartments.jensenlab.org/Entity?figures=subcell_cell_%&amp;knowledge=10&amp;textmining=10&amp;experiments=10&amp;predictions=10&amp;type1=9606&amp;type2=-22&amp;id1=ENSP00000299752","link")</f>
        <v>link</v>
      </c>
      <c r="AI252" t="s">
        <v>65</v>
      </c>
      <c r="AJ252" t="s">
        <v>51</v>
      </c>
      <c r="AK252" t="str">
        <f>HYPERLINK("http://www.proteinatlas.org/O75309","CAB013526;HPA036260")</f>
        <v>CAB013526;HPA036260</v>
      </c>
      <c r="AM252">
        <v>1014</v>
      </c>
    </row>
    <row r="253" spans="1:39" x14ac:dyDescent="0.35">
      <c r="A253" t="s">
        <v>2626</v>
      </c>
      <c r="B253" t="str">
        <f>HYPERLINK("http://www.uniprot.org/uniprot/O75311","O75311")</f>
        <v>O75311</v>
      </c>
      <c r="C253" t="s">
        <v>2627</v>
      </c>
      <c r="D253" t="s">
        <v>2628</v>
      </c>
      <c r="E253" t="s">
        <v>39</v>
      </c>
      <c r="F253" t="s">
        <v>55</v>
      </c>
      <c r="H253">
        <v>464</v>
      </c>
      <c r="I253">
        <v>4</v>
      </c>
      <c r="J253">
        <v>1</v>
      </c>
      <c r="K253" t="s">
        <v>2629</v>
      </c>
      <c r="L253" t="s">
        <v>57</v>
      </c>
      <c r="N253">
        <v>0.77839999999999998</v>
      </c>
      <c r="O253" s="1">
        <v>1</v>
      </c>
      <c r="P253" t="s">
        <v>2630</v>
      </c>
      <c r="Q253" t="s">
        <v>2631</v>
      </c>
      <c r="S253" t="s">
        <v>45</v>
      </c>
      <c r="T253" t="s">
        <v>195</v>
      </c>
      <c r="U253" t="s">
        <v>2632</v>
      </c>
      <c r="V253">
        <v>1</v>
      </c>
      <c r="W253" t="s">
        <v>2632</v>
      </c>
      <c r="AE253" t="s">
        <v>619</v>
      </c>
      <c r="AF253" t="s">
        <v>2633</v>
      </c>
      <c r="AG253" t="s">
        <v>2634</v>
      </c>
      <c r="AH253" t="str">
        <f>HYPERLINK("http://compartments.jensenlab.org/Entity?figures=subcell_cell_%&amp;knowledge=10&amp;textmining=10&amp;experiments=10&amp;predictions=10&amp;type1=9606&amp;type2=-22&amp;id1=ENSP00000274093","link")</f>
        <v>link</v>
      </c>
      <c r="AI253" t="s">
        <v>65</v>
      </c>
      <c r="AJ253" t="s">
        <v>51</v>
      </c>
      <c r="AK253" t="str">
        <f>HYPERLINK("http://www.proteinatlas.org/O75311","HPA014805")</f>
        <v>HPA014805</v>
      </c>
      <c r="AL253" t="s">
        <v>2635</v>
      </c>
      <c r="AM253">
        <v>8001</v>
      </c>
    </row>
    <row r="254" spans="1:39" x14ac:dyDescent="0.35">
      <c r="A254" t="s">
        <v>2636</v>
      </c>
      <c r="B254" t="str">
        <f>HYPERLINK("http://www.uniprot.org/uniprot/O75325","O75325")</f>
        <v>O75325</v>
      </c>
      <c r="C254" t="s">
        <v>2637</v>
      </c>
      <c r="D254" t="s">
        <v>2638</v>
      </c>
      <c r="E254" t="s">
        <v>39</v>
      </c>
      <c r="F254" t="s">
        <v>40</v>
      </c>
      <c r="H254">
        <v>713</v>
      </c>
      <c r="I254">
        <v>1</v>
      </c>
      <c r="J254">
        <v>1</v>
      </c>
      <c r="K254" t="s">
        <v>2639</v>
      </c>
      <c r="L254" t="s">
        <v>57</v>
      </c>
      <c r="N254">
        <v>0.77639999999999998</v>
      </c>
      <c r="O254" s="1">
        <v>1</v>
      </c>
      <c r="P254" t="s">
        <v>2640</v>
      </c>
      <c r="Q254" t="s">
        <v>2641</v>
      </c>
      <c r="S254" t="s">
        <v>91</v>
      </c>
      <c r="T254" t="s">
        <v>260</v>
      </c>
      <c r="U254" t="s">
        <v>2642</v>
      </c>
      <c r="V254">
        <v>4</v>
      </c>
      <c r="Y254">
        <v>669</v>
      </c>
      <c r="AE254" t="s">
        <v>144</v>
      </c>
      <c r="AF254" t="s">
        <v>2643</v>
      </c>
      <c r="AG254" t="s">
        <v>2644</v>
      </c>
      <c r="AH254" t="str">
        <f>HYPERLINK("http://compartments.jensenlab.org/Entity?figures=subcell_cell_%&amp;knowledge=10&amp;textmining=10&amp;experiments=10&amp;predictions=10&amp;type1=9606&amp;type2=-22&amp;id1=ENSP00000356143","link")</f>
        <v>link</v>
      </c>
      <c r="AJ254" t="s">
        <v>51</v>
      </c>
      <c r="AK254" t="str">
        <f>HYPERLINK("http://www.proteinatlas.org/O75325","HPA029124")</f>
        <v>HPA029124</v>
      </c>
      <c r="AM254">
        <v>10446</v>
      </c>
    </row>
    <row r="255" spans="1:39" x14ac:dyDescent="0.35">
      <c r="A255" t="s">
        <v>2645</v>
      </c>
      <c r="B255" t="str">
        <f>HYPERLINK("http://www.uniprot.org/uniprot/O75326","O75326")</f>
        <v>O75326</v>
      </c>
      <c r="C255" t="s">
        <v>2646</v>
      </c>
      <c r="D255" t="s">
        <v>2647</v>
      </c>
      <c r="E255" t="s">
        <v>39</v>
      </c>
      <c r="F255" t="s">
        <v>239</v>
      </c>
      <c r="H255">
        <v>666</v>
      </c>
      <c r="I255">
        <v>0</v>
      </c>
      <c r="J255">
        <v>1</v>
      </c>
      <c r="K255" t="s">
        <v>2648</v>
      </c>
      <c r="L255" t="s">
        <v>996</v>
      </c>
      <c r="N255">
        <v>0.74450000000000005</v>
      </c>
      <c r="O255" s="1" t="s">
        <v>241</v>
      </c>
      <c r="P255" t="s">
        <v>2649</v>
      </c>
      <c r="Q255" t="s">
        <v>2650</v>
      </c>
      <c r="R255" t="s">
        <v>2651</v>
      </c>
      <c r="U255" t="s">
        <v>2652</v>
      </c>
      <c r="V255">
        <v>5</v>
      </c>
      <c r="W255" t="s">
        <v>2652</v>
      </c>
      <c r="X255" t="s">
        <v>2653</v>
      </c>
      <c r="Z255" t="s">
        <v>107</v>
      </c>
      <c r="AA255">
        <v>6</v>
      </c>
      <c r="AB255" t="s">
        <v>2654</v>
      </c>
      <c r="AC255" t="s">
        <v>2655</v>
      </c>
      <c r="AD255" t="s">
        <v>2656</v>
      </c>
      <c r="AE255" t="s">
        <v>2657</v>
      </c>
      <c r="AF255" t="s">
        <v>2658</v>
      </c>
      <c r="AG255" t="s">
        <v>2659</v>
      </c>
      <c r="AH255" t="str">
        <f>HYPERLINK("http://compartments.jensenlab.org/Entity?figures=subcell_cell_%&amp;knowledge=10&amp;textmining=10&amp;experiments=10&amp;predictions=10&amp;type1=9606&amp;type2=-22&amp;id1=ENSP00000261918","link")</f>
        <v>link</v>
      </c>
      <c r="AI255" t="s">
        <v>65</v>
      </c>
      <c r="AJ255" t="s">
        <v>51</v>
      </c>
      <c r="AK255" t="str">
        <f>HYPERLINK("http://www.proteinatlas.org/O75326","HPA042273")</f>
        <v>HPA042273</v>
      </c>
      <c r="AM255">
        <v>8482</v>
      </c>
    </row>
    <row r="256" spans="1:39" x14ac:dyDescent="0.35">
      <c r="A256" t="s">
        <v>2660</v>
      </c>
      <c r="B256" t="str">
        <f>HYPERLINK("http://www.uniprot.org/uniprot/O75355","O75355")</f>
        <v>O75355</v>
      </c>
      <c r="C256" t="s">
        <v>2661</v>
      </c>
      <c r="D256" t="s">
        <v>2662</v>
      </c>
      <c r="E256" t="s">
        <v>39</v>
      </c>
      <c r="F256" t="s">
        <v>40</v>
      </c>
      <c r="H256">
        <v>529</v>
      </c>
      <c r="I256">
        <v>2</v>
      </c>
      <c r="J256">
        <v>0</v>
      </c>
      <c r="K256" t="s">
        <v>2663</v>
      </c>
      <c r="L256" t="s">
        <v>57</v>
      </c>
      <c r="N256">
        <v>0.73850000000000005</v>
      </c>
      <c r="O256" s="1">
        <v>2</v>
      </c>
      <c r="P256" t="s">
        <v>2664</v>
      </c>
      <c r="Q256" t="s">
        <v>2665</v>
      </c>
      <c r="S256" t="s">
        <v>947</v>
      </c>
      <c r="T256" t="s">
        <v>2666</v>
      </c>
      <c r="U256" t="s">
        <v>2667</v>
      </c>
      <c r="V256">
        <v>7</v>
      </c>
      <c r="Y256">
        <v>203</v>
      </c>
      <c r="AE256" t="s">
        <v>48</v>
      </c>
      <c r="AF256" t="s">
        <v>2668</v>
      </c>
      <c r="AG256" t="s">
        <v>2669</v>
      </c>
      <c r="AH256" t="str">
        <f>HYPERLINK("http://compartments.jensenlab.org/Entity?figures=subcell_cell_%&amp;knowledge=10&amp;textmining=10&amp;experiments=10&amp;predictions=10&amp;type1=9606&amp;type2=-22&amp;id1=ENSP00000301825","link")</f>
        <v>link</v>
      </c>
      <c r="AJ256" t="s">
        <v>51</v>
      </c>
      <c r="AK256" t="str">
        <f>HYPERLINK("http://www.proteinatlas.org/O75355","no")</f>
        <v>no</v>
      </c>
      <c r="AM256">
        <v>956</v>
      </c>
    </row>
    <row r="257" spans="1:39" x14ac:dyDescent="0.35">
      <c r="A257" t="s">
        <v>2670</v>
      </c>
      <c r="B257" t="str">
        <f>HYPERLINK("http://www.uniprot.org/uniprot/O75387","O75387")</f>
        <v>O75387</v>
      </c>
      <c r="C257" t="s">
        <v>2671</v>
      </c>
      <c r="D257" t="s">
        <v>2672</v>
      </c>
      <c r="E257" t="s">
        <v>39</v>
      </c>
      <c r="F257" t="s">
        <v>40</v>
      </c>
      <c r="H257">
        <v>559</v>
      </c>
      <c r="I257">
        <v>12</v>
      </c>
      <c r="J257">
        <v>0</v>
      </c>
      <c r="K257" t="s">
        <v>2673</v>
      </c>
      <c r="L257" t="s">
        <v>118</v>
      </c>
      <c r="N257">
        <v>0.85429999999999995</v>
      </c>
      <c r="O257" s="1">
        <v>1</v>
      </c>
      <c r="P257" t="s">
        <v>2674</v>
      </c>
      <c r="Q257" t="s">
        <v>2675</v>
      </c>
      <c r="S257" t="s">
        <v>45</v>
      </c>
      <c r="T257" t="s">
        <v>2676</v>
      </c>
      <c r="U257" t="s">
        <v>2677</v>
      </c>
      <c r="V257">
        <v>1</v>
      </c>
      <c r="W257" t="s">
        <v>2677</v>
      </c>
      <c r="Z257" t="s">
        <v>123</v>
      </c>
      <c r="AA257">
        <v>3</v>
      </c>
      <c r="AB257" t="s">
        <v>2678</v>
      </c>
      <c r="AC257">
        <v>57</v>
      </c>
      <c r="AD257" t="s">
        <v>2679</v>
      </c>
      <c r="AE257" t="s">
        <v>48</v>
      </c>
      <c r="AF257" t="s">
        <v>2680</v>
      </c>
      <c r="AG257" t="s">
        <v>2681</v>
      </c>
      <c r="AH257" t="str">
        <f>HYPERLINK("http://compartments.jensenlab.org/Entity?figures=subcell_cell_%&amp;knowledge=10&amp;textmining=10&amp;experiments=10&amp;predictions=10&amp;type1=9606&amp;type2=-22&amp;id1=ENSP00000278426","link")</f>
        <v>link</v>
      </c>
      <c r="AI257" t="s">
        <v>65</v>
      </c>
      <c r="AJ257" t="s">
        <v>51</v>
      </c>
      <c r="AK257" t="str">
        <f>HYPERLINK("http://www.proteinatlas.org/O75387","HPA018813;HPA018826")</f>
        <v>HPA018813;HPA018826</v>
      </c>
      <c r="AM257">
        <v>8501</v>
      </c>
    </row>
    <row r="258" spans="1:39" x14ac:dyDescent="0.35">
      <c r="A258" t="s">
        <v>2682</v>
      </c>
      <c r="B258" t="str">
        <f>HYPERLINK("http://www.uniprot.org/uniprot/O75388","O75388")</f>
        <v>O75388</v>
      </c>
      <c r="C258" t="s">
        <v>2683</v>
      </c>
      <c r="D258" t="s">
        <v>2684</v>
      </c>
      <c r="E258" t="s">
        <v>39</v>
      </c>
      <c r="F258" t="s">
        <v>55</v>
      </c>
      <c r="H258">
        <v>356</v>
      </c>
      <c r="I258">
        <v>7</v>
      </c>
      <c r="J258">
        <v>0</v>
      </c>
      <c r="K258" t="s">
        <v>2685</v>
      </c>
      <c r="L258" t="s">
        <v>57</v>
      </c>
      <c r="M258" t="s">
        <v>39</v>
      </c>
      <c r="N258">
        <v>0.90720000000000001</v>
      </c>
      <c r="O258" s="1">
        <v>1</v>
      </c>
      <c r="P258" t="s">
        <v>2686</v>
      </c>
      <c r="Q258" t="s">
        <v>2687</v>
      </c>
      <c r="S258" t="s">
        <v>166</v>
      </c>
      <c r="T258" t="s">
        <v>838</v>
      </c>
      <c r="U258" t="s">
        <v>2688</v>
      </c>
      <c r="V258">
        <v>2</v>
      </c>
      <c r="W258">
        <v>199</v>
      </c>
      <c r="AE258" t="s">
        <v>74</v>
      </c>
      <c r="AF258" t="s">
        <v>967</v>
      </c>
      <c r="AG258" t="s">
        <v>2689</v>
      </c>
      <c r="AH258" t="str">
        <f>HYPERLINK("http://compartments.jensenlab.org/Entity?figures=subcell_cell_%&amp;knowledge=10&amp;textmining=10&amp;experiments=10&amp;predictions=10&amp;type1=9606&amp;type2=-22&amp;id1=ENSP00000270590","link")</f>
        <v>link</v>
      </c>
      <c r="AI258" t="s">
        <v>65</v>
      </c>
      <c r="AJ258" t="s">
        <v>51</v>
      </c>
      <c r="AK258" t="str">
        <f>HYPERLINK("http://www.proteinatlas.org/O75388","HPA030330")</f>
        <v>HPA030330</v>
      </c>
      <c r="AM258">
        <v>2854</v>
      </c>
    </row>
    <row r="259" spans="1:39" x14ac:dyDescent="0.35">
      <c r="A259" t="s">
        <v>2690</v>
      </c>
      <c r="B259" t="str">
        <f>HYPERLINK("http://www.uniprot.org/uniprot/O75443","O75443")</f>
        <v>O75443</v>
      </c>
      <c r="C259" t="s">
        <v>2691</v>
      </c>
      <c r="D259" t="s">
        <v>2692</v>
      </c>
      <c r="E259" t="s">
        <v>39</v>
      </c>
      <c r="F259" t="s">
        <v>239</v>
      </c>
      <c r="H259">
        <v>2155</v>
      </c>
      <c r="I259">
        <v>0</v>
      </c>
      <c r="J259">
        <v>1</v>
      </c>
      <c r="K259" t="s">
        <v>2693</v>
      </c>
      <c r="L259" t="s">
        <v>57</v>
      </c>
      <c r="N259">
        <v>0.78239999999999998</v>
      </c>
      <c r="O259" s="1" t="s">
        <v>997</v>
      </c>
      <c r="P259" t="s">
        <v>2694</v>
      </c>
      <c r="Q259" t="s">
        <v>2695</v>
      </c>
      <c r="S259" t="s">
        <v>60</v>
      </c>
      <c r="T259" t="s">
        <v>60</v>
      </c>
      <c r="U259" t="s">
        <v>2696</v>
      </c>
      <c r="V259">
        <v>31</v>
      </c>
      <c r="W259" t="s">
        <v>2697</v>
      </c>
      <c r="Y259" t="s">
        <v>2698</v>
      </c>
      <c r="AE259" t="s">
        <v>2699</v>
      </c>
      <c r="AF259" t="s">
        <v>2700</v>
      </c>
      <c r="AG259" t="s">
        <v>2701</v>
      </c>
      <c r="AH259" t="str">
        <f>HYPERLINK("http://compartments.jensenlab.org/Entity?figures=subcell_cell_%&amp;knowledge=10&amp;textmining=10&amp;experiments=10&amp;predictions=10&amp;type1=9606&amp;type2=-22&amp;id1=ENSP00000264037","link")</f>
        <v>link</v>
      </c>
      <c r="AI259" t="s">
        <v>1058</v>
      </c>
      <c r="AJ259" t="s">
        <v>902</v>
      </c>
      <c r="AK259" t="str">
        <f>HYPERLINK("http://www.proteinatlas.org/O75443","HPA018870")</f>
        <v>HPA018870</v>
      </c>
      <c r="AM259">
        <v>7007</v>
      </c>
    </row>
    <row r="260" spans="1:39" x14ac:dyDescent="0.35">
      <c r="A260" t="s">
        <v>2702</v>
      </c>
      <c r="B260" t="str">
        <f>HYPERLINK("http://www.uniprot.org/uniprot/O75445","O75445")</f>
        <v>O75445</v>
      </c>
      <c r="C260" t="s">
        <v>2703</v>
      </c>
      <c r="D260" t="s">
        <v>2704</v>
      </c>
      <c r="E260" t="s">
        <v>39</v>
      </c>
      <c r="F260" t="s">
        <v>40</v>
      </c>
      <c r="H260">
        <v>5202</v>
      </c>
      <c r="I260">
        <v>1</v>
      </c>
      <c r="J260">
        <v>1</v>
      </c>
      <c r="K260" t="s">
        <v>2705</v>
      </c>
      <c r="L260" t="s">
        <v>57</v>
      </c>
      <c r="N260">
        <v>0.95609999999999995</v>
      </c>
      <c r="O260" s="1">
        <v>1</v>
      </c>
      <c r="P260" t="s">
        <v>2706</v>
      </c>
      <c r="Q260" t="s">
        <v>2707</v>
      </c>
      <c r="S260" t="s">
        <v>60</v>
      </c>
      <c r="T260" t="s">
        <v>60</v>
      </c>
      <c r="U260" t="s">
        <v>2708</v>
      </c>
      <c r="V260">
        <v>68</v>
      </c>
      <c r="Y260" t="s">
        <v>2709</v>
      </c>
      <c r="AE260" t="s">
        <v>2710</v>
      </c>
      <c r="AF260" t="s">
        <v>2711</v>
      </c>
      <c r="AG260" t="s">
        <v>2712</v>
      </c>
      <c r="AH260" t="str">
        <f>HYPERLINK("http://compartments.jensenlab.org/Entity?figures=subcell_cell_%&amp;knowledge=10&amp;textmining=10&amp;experiments=10&amp;predictions=10&amp;type1=9606&amp;type2=-22&amp;id1=ENSP00000305941","link")</f>
        <v>link</v>
      </c>
      <c r="AI260" t="s">
        <v>1058</v>
      </c>
      <c r="AJ260" t="s">
        <v>1767</v>
      </c>
      <c r="AK260" t="str">
        <f>HYPERLINK("http://www.proteinatlas.org/O75445","no")</f>
        <v>no</v>
      </c>
      <c r="AM260">
        <v>7399</v>
      </c>
    </row>
    <row r="261" spans="1:39" x14ac:dyDescent="0.35">
      <c r="A261" t="s">
        <v>2713</v>
      </c>
      <c r="B261" t="str">
        <f>HYPERLINK("http://www.uniprot.org/uniprot/O75473","O75473")</f>
        <v>O75473</v>
      </c>
      <c r="C261" t="s">
        <v>2714</v>
      </c>
      <c r="D261" t="s">
        <v>2715</v>
      </c>
      <c r="E261" t="s">
        <v>39</v>
      </c>
      <c r="F261" t="s">
        <v>55</v>
      </c>
      <c r="H261">
        <v>907</v>
      </c>
      <c r="I261">
        <v>7</v>
      </c>
      <c r="J261">
        <v>1</v>
      </c>
      <c r="K261" t="s">
        <v>2716</v>
      </c>
      <c r="L261" t="s">
        <v>57</v>
      </c>
      <c r="M261" t="s">
        <v>39</v>
      </c>
      <c r="N261">
        <v>0.92120000000000002</v>
      </c>
      <c r="O261" s="1">
        <v>1</v>
      </c>
      <c r="P261" t="s">
        <v>2717</v>
      </c>
      <c r="Q261" t="s">
        <v>2718</v>
      </c>
      <c r="S261" t="s">
        <v>166</v>
      </c>
      <c r="T261" t="s">
        <v>838</v>
      </c>
      <c r="U261" t="s">
        <v>2719</v>
      </c>
      <c r="V261">
        <v>5</v>
      </c>
      <c r="W261">
        <v>792</v>
      </c>
      <c r="AE261" t="s">
        <v>1130</v>
      </c>
      <c r="AF261" t="s">
        <v>2720</v>
      </c>
      <c r="AG261" t="s">
        <v>2721</v>
      </c>
      <c r="AH261" t="str">
        <f>HYPERLINK("http://compartments.jensenlab.org/Entity?figures=subcell_cell_%&amp;knowledge=10&amp;textmining=10&amp;experiments=10&amp;predictions=10&amp;type1=9606&amp;type2=-22&amp;id1=ENSP00000266674","link")</f>
        <v>link</v>
      </c>
      <c r="AI261" t="s">
        <v>65</v>
      </c>
      <c r="AJ261" t="s">
        <v>51</v>
      </c>
      <c r="AK261" t="str">
        <f>HYPERLINK("http://www.proteinatlas.org/O75473","HPA012530")</f>
        <v>HPA012530</v>
      </c>
      <c r="AM261">
        <v>8549</v>
      </c>
    </row>
    <row r="262" spans="1:39" x14ac:dyDescent="0.35">
      <c r="A262" t="s">
        <v>2722</v>
      </c>
      <c r="B262" t="str">
        <f>HYPERLINK("http://www.uniprot.org/uniprot/O75487","O75487")</f>
        <v>O75487</v>
      </c>
      <c r="C262" t="s">
        <v>2723</v>
      </c>
      <c r="D262" t="s">
        <v>2724</v>
      </c>
      <c r="E262" t="s">
        <v>39</v>
      </c>
      <c r="F262" t="s">
        <v>239</v>
      </c>
      <c r="H262">
        <v>556</v>
      </c>
      <c r="I262">
        <v>0</v>
      </c>
      <c r="J262">
        <v>1</v>
      </c>
      <c r="K262" t="s">
        <v>2725</v>
      </c>
      <c r="L262" t="s">
        <v>996</v>
      </c>
      <c r="N262">
        <v>0.47499999999999998</v>
      </c>
      <c r="O262" s="1" t="s">
        <v>1752</v>
      </c>
      <c r="P262" t="s">
        <v>2726</v>
      </c>
      <c r="Q262" t="s">
        <v>2727</v>
      </c>
      <c r="S262" t="s">
        <v>60</v>
      </c>
      <c r="T262" t="s">
        <v>60</v>
      </c>
      <c r="U262">
        <v>514</v>
      </c>
      <c r="V262">
        <v>1</v>
      </c>
      <c r="W262" t="s">
        <v>2728</v>
      </c>
      <c r="Z262" t="s">
        <v>107</v>
      </c>
      <c r="AA262">
        <v>2</v>
      </c>
      <c r="AB262" t="s">
        <v>2729</v>
      </c>
      <c r="AC262">
        <v>514</v>
      </c>
      <c r="AD262" t="s">
        <v>2730</v>
      </c>
      <c r="AE262" t="s">
        <v>2731</v>
      </c>
      <c r="AF262" t="s">
        <v>2732</v>
      </c>
      <c r="AG262" t="s">
        <v>2733</v>
      </c>
      <c r="AH262" t="str">
        <f>HYPERLINK("http://compartments.jensenlab.org/Entity?figures=subcell_cell_%&amp;knowledge=10&amp;textmining=10&amp;experiments=10&amp;predictions=10&amp;type1=9606&amp;type2=-22&amp;id1=ENSP00000359864","link")</f>
        <v>link</v>
      </c>
      <c r="AI262" t="s">
        <v>65</v>
      </c>
      <c r="AJ262" t="s">
        <v>902</v>
      </c>
      <c r="AK262" t="str">
        <f>HYPERLINK("http://www.proteinatlas.org/O75487","HPA030836")</f>
        <v>HPA030836</v>
      </c>
      <c r="AM262">
        <v>2239</v>
      </c>
    </row>
    <row r="263" spans="1:39" x14ac:dyDescent="0.35">
      <c r="A263" t="s">
        <v>2734</v>
      </c>
      <c r="B263" t="str">
        <f>HYPERLINK("http://www.uniprot.org/uniprot/O75508","O75508")</f>
        <v>O75508</v>
      </c>
      <c r="C263" t="s">
        <v>2735</v>
      </c>
      <c r="D263" t="s">
        <v>2736</v>
      </c>
      <c r="E263" t="s">
        <v>39</v>
      </c>
      <c r="F263" t="s">
        <v>55</v>
      </c>
      <c r="H263">
        <v>207</v>
      </c>
      <c r="I263">
        <v>4</v>
      </c>
      <c r="J263">
        <v>0</v>
      </c>
      <c r="K263" t="s">
        <v>2737</v>
      </c>
      <c r="L263" t="s">
        <v>57</v>
      </c>
      <c r="M263" t="s">
        <v>39</v>
      </c>
      <c r="N263">
        <v>0.4128</v>
      </c>
      <c r="O263" s="1">
        <v>3</v>
      </c>
      <c r="P263" t="s">
        <v>2738</v>
      </c>
      <c r="Q263" t="s">
        <v>2739</v>
      </c>
      <c r="S263" t="s">
        <v>91</v>
      </c>
      <c r="T263" t="s">
        <v>537</v>
      </c>
      <c r="V263">
        <v>0</v>
      </c>
      <c r="Y263" t="s">
        <v>2740</v>
      </c>
      <c r="AE263" t="s">
        <v>539</v>
      </c>
      <c r="AF263" t="s">
        <v>2741</v>
      </c>
      <c r="AG263" t="s">
        <v>2742</v>
      </c>
      <c r="AH263" t="str">
        <f>HYPERLINK("http://compartments.jensenlab.org/Entity?figures=subcell_cell_%&amp;knowledge=10&amp;textmining=10&amp;experiments=10&amp;predictions=10&amp;type1=9606&amp;type2=-22&amp;id1=ENSP00000064724","link")</f>
        <v>link</v>
      </c>
      <c r="AI263" t="s">
        <v>65</v>
      </c>
      <c r="AJ263" t="s">
        <v>51</v>
      </c>
      <c r="AK263" t="str">
        <f>HYPERLINK("http://www.proteinatlas.org/O75508","CAB009789;HPA013166")</f>
        <v>CAB009789;HPA013166</v>
      </c>
      <c r="AM263">
        <v>5010</v>
      </c>
    </row>
    <row r="264" spans="1:39" x14ac:dyDescent="0.35">
      <c r="A264" t="s">
        <v>2743</v>
      </c>
      <c r="B264" t="str">
        <f>HYPERLINK("http://www.uniprot.org/uniprot/O75509","O75509")</f>
        <v>O75509</v>
      </c>
      <c r="C264" t="s">
        <v>2744</v>
      </c>
      <c r="D264" t="s">
        <v>2745</v>
      </c>
      <c r="E264" t="s">
        <v>39</v>
      </c>
      <c r="F264" t="s">
        <v>55</v>
      </c>
      <c r="H264">
        <v>655</v>
      </c>
      <c r="I264">
        <v>1</v>
      </c>
      <c r="J264">
        <v>1</v>
      </c>
      <c r="K264" t="s">
        <v>2746</v>
      </c>
      <c r="L264" t="s">
        <v>101</v>
      </c>
      <c r="M264" t="s">
        <v>39</v>
      </c>
      <c r="N264">
        <v>0.91010000000000002</v>
      </c>
      <c r="O264" s="1">
        <v>1</v>
      </c>
      <c r="P264" t="s">
        <v>2747</v>
      </c>
      <c r="Q264" t="s">
        <v>2748</v>
      </c>
      <c r="R264" t="s">
        <v>2749</v>
      </c>
      <c r="S264" t="s">
        <v>166</v>
      </c>
      <c r="T264" t="s">
        <v>864</v>
      </c>
      <c r="U264" t="s">
        <v>2750</v>
      </c>
      <c r="V264">
        <v>6</v>
      </c>
      <c r="X264" t="s">
        <v>2751</v>
      </c>
      <c r="Z264" t="s">
        <v>107</v>
      </c>
      <c r="AA264">
        <v>3</v>
      </c>
      <c r="AB264" t="s">
        <v>2752</v>
      </c>
      <c r="AC264" t="s">
        <v>2753</v>
      </c>
      <c r="AD264" t="s">
        <v>2754</v>
      </c>
      <c r="AE264" t="s">
        <v>332</v>
      </c>
      <c r="AF264" t="s">
        <v>2755</v>
      </c>
      <c r="AG264" t="s">
        <v>2756</v>
      </c>
      <c r="AH264" t="str">
        <f>HYPERLINK("http://compartments.jensenlab.org/Entity?figures=subcell_cell_%&amp;knowledge=10&amp;textmining=10&amp;experiments=10&amp;predictions=10&amp;type1=9606&amp;type2=-22&amp;id1=ENSP00000296861","link")</f>
        <v>link</v>
      </c>
      <c r="AJ264" t="s">
        <v>2124</v>
      </c>
      <c r="AK264" t="str">
        <f>HYPERLINK("http://www.proteinatlas.org/O75509","HPA006746;CAB009805")</f>
        <v>HPA006746;CAB009805</v>
      </c>
      <c r="AM264">
        <v>27242</v>
      </c>
    </row>
    <row r="265" spans="1:39" x14ac:dyDescent="0.35">
      <c r="A265" t="s">
        <v>2757</v>
      </c>
      <c r="B265" t="str">
        <f>HYPERLINK("http://www.uniprot.org/uniprot/O75578","O75578")</f>
        <v>O75578</v>
      </c>
      <c r="C265" t="s">
        <v>2758</v>
      </c>
      <c r="D265" t="s">
        <v>2759</v>
      </c>
      <c r="E265" t="s">
        <v>39</v>
      </c>
      <c r="F265" t="s">
        <v>40</v>
      </c>
      <c r="H265">
        <v>1167</v>
      </c>
      <c r="I265">
        <v>1</v>
      </c>
      <c r="J265">
        <v>1</v>
      </c>
      <c r="K265" t="s">
        <v>2760</v>
      </c>
      <c r="L265" t="s">
        <v>101</v>
      </c>
      <c r="N265">
        <v>0.73850000000000005</v>
      </c>
      <c r="O265" s="1">
        <v>2</v>
      </c>
      <c r="P265" t="s">
        <v>2761</v>
      </c>
      <c r="Q265" t="s">
        <v>2762</v>
      </c>
      <c r="S265" t="s">
        <v>166</v>
      </c>
      <c r="T265" t="s">
        <v>2763</v>
      </c>
      <c r="U265" t="s">
        <v>2764</v>
      </c>
      <c r="V265">
        <v>11</v>
      </c>
      <c r="Z265" t="s">
        <v>107</v>
      </c>
      <c r="AA265">
        <v>1</v>
      </c>
      <c r="AB265" t="s">
        <v>2765</v>
      </c>
      <c r="AC265">
        <v>1039</v>
      </c>
      <c r="AD265" t="s">
        <v>2766</v>
      </c>
      <c r="AE265" t="s">
        <v>144</v>
      </c>
      <c r="AF265" t="s">
        <v>2767</v>
      </c>
      <c r="AG265" t="s">
        <v>2768</v>
      </c>
      <c r="AH265" t="str">
        <f>HYPERLINK("http://compartments.jensenlab.org/Entity?figures=subcell_cell_%&amp;knowledge=10&amp;textmining=10&amp;experiments=10&amp;predictions=10&amp;type1=9606&amp;type2=-22&amp;id1=ENSP00000358310","link")</f>
        <v>link</v>
      </c>
      <c r="AJ265" t="s">
        <v>51</v>
      </c>
      <c r="AK265" t="str">
        <f>HYPERLINK("http://www.proteinatlas.org/O75578","no")</f>
        <v>no</v>
      </c>
      <c r="AM265">
        <v>8515</v>
      </c>
    </row>
    <row r="266" spans="1:39" x14ac:dyDescent="0.35">
      <c r="A266" t="s">
        <v>2769</v>
      </c>
      <c r="B266" t="str">
        <f>HYPERLINK("http://www.uniprot.org/uniprot/O75581","O75581")</f>
        <v>O75581</v>
      </c>
      <c r="C266" t="s">
        <v>2770</v>
      </c>
      <c r="D266" t="s">
        <v>2771</v>
      </c>
      <c r="E266" t="s">
        <v>39</v>
      </c>
      <c r="F266" t="s">
        <v>40</v>
      </c>
      <c r="H266">
        <v>1613</v>
      </c>
      <c r="I266">
        <v>1</v>
      </c>
      <c r="J266">
        <v>1</v>
      </c>
      <c r="K266" t="s">
        <v>2772</v>
      </c>
      <c r="L266" t="s">
        <v>57</v>
      </c>
      <c r="N266">
        <v>0.94610000000000005</v>
      </c>
      <c r="O266" s="1">
        <v>1</v>
      </c>
      <c r="P266" t="s">
        <v>2773</v>
      </c>
      <c r="Q266" t="s">
        <v>2774</v>
      </c>
      <c r="S266" t="s">
        <v>166</v>
      </c>
      <c r="T266" t="s">
        <v>2518</v>
      </c>
      <c r="U266" t="s">
        <v>2775</v>
      </c>
      <c r="V266">
        <v>10</v>
      </c>
      <c r="W266" t="s">
        <v>2775</v>
      </c>
      <c r="X266" t="s">
        <v>2776</v>
      </c>
      <c r="Y266" t="s">
        <v>2777</v>
      </c>
      <c r="AE266" t="s">
        <v>2612</v>
      </c>
      <c r="AF266" t="s">
        <v>2778</v>
      </c>
      <c r="AG266" t="s">
        <v>2779</v>
      </c>
      <c r="AH266" t="str">
        <f>HYPERLINK("http://compartments.jensenlab.org/Entity?figures=subcell_cell_%&amp;knowledge=10&amp;textmining=10&amp;experiments=10&amp;predictions=10&amp;type1=9606&amp;type2=-22&amp;id1=ENSP00000261349","link")</f>
        <v>link</v>
      </c>
      <c r="AI266" t="s">
        <v>980</v>
      </c>
      <c r="AJ266" t="s">
        <v>2780</v>
      </c>
      <c r="AK266" t="str">
        <f>HYPERLINK("http://www.proteinatlas.org/O75581","CAB004490;HPA029925")</f>
        <v>CAB004490;HPA029925</v>
      </c>
      <c r="AM266">
        <v>4040</v>
      </c>
    </row>
    <row r="267" spans="1:39" x14ac:dyDescent="0.35">
      <c r="A267" t="s">
        <v>2781</v>
      </c>
      <c r="B267" t="str">
        <f>HYPERLINK("http://www.uniprot.org/uniprot/O75631","O75631")</f>
        <v>O75631</v>
      </c>
      <c r="C267" t="s">
        <v>2782</v>
      </c>
      <c r="D267" t="s">
        <v>2783</v>
      </c>
      <c r="E267" t="s">
        <v>39</v>
      </c>
      <c r="F267" t="s">
        <v>40</v>
      </c>
      <c r="H267">
        <v>287</v>
      </c>
      <c r="I267">
        <v>1</v>
      </c>
      <c r="J267">
        <v>1</v>
      </c>
      <c r="K267" t="s">
        <v>2784</v>
      </c>
      <c r="L267" t="s">
        <v>57</v>
      </c>
      <c r="N267">
        <v>0.96809999999999996</v>
      </c>
      <c r="O267" s="1">
        <v>1</v>
      </c>
      <c r="P267" t="s">
        <v>2785</v>
      </c>
      <c r="Q267" t="s">
        <v>2786</v>
      </c>
      <c r="S267" t="s">
        <v>91</v>
      </c>
      <c r="T267" t="s">
        <v>692</v>
      </c>
      <c r="U267" t="s">
        <v>2787</v>
      </c>
      <c r="V267">
        <v>3</v>
      </c>
      <c r="AE267" t="s">
        <v>2788</v>
      </c>
      <c r="AF267" t="s">
        <v>2789</v>
      </c>
      <c r="AG267" t="s">
        <v>2790</v>
      </c>
      <c r="AH267" t="str">
        <f>HYPERLINK("http://compartments.jensenlab.org/Entity?figures=subcell_cell_%&amp;knowledge=10&amp;textmining=10&amp;experiments=10&amp;predictions=10&amp;type1=9606&amp;type2=-22&amp;id1=ENSP00000216211","link")</f>
        <v>link</v>
      </c>
      <c r="AI267" t="s">
        <v>980</v>
      </c>
      <c r="AJ267" t="s">
        <v>345</v>
      </c>
      <c r="AK267" t="str">
        <f>HYPERLINK("http://www.proteinatlas.org/O75631","HPA018407;HPA018415")</f>
        <v>HPA018407;HPA018415</v>
      </c>
      <c r="AM267">
        <v>7380</v>
      </c>
    </row>
    <row r="268" spans="1:39" x14ac:dyDescent="0.35">
      <c r="A268" t="s">
        <v>2791</v>
      </c>
      <c r="B268" t="str">
        <f>HYPERLINK("http://www.uniprot.org/uniprot/O75712","O75712")</f>
        <v>O75712</v>
      </c>
      <c r="C268" t="s">
        <v>2792</v>
      </c>
      <c r="D268" t="s">
        <v>2793</v>
      </c>
      <c r="E268" t="s">
        <v>39</v>
      </c>
      <c r="F268" t="s">
        <v>55</v>
      </c>
      <c r="H268">
        <v>270</v>
      </c>
      <c r="I268">
        <v>4</v>
      </c>
      <c r="J268">
        <v>0</v>
      </c>
      <c r="K268" t="s">
        <v>2794</v>
      </c>
      <c r="L268" t="s">
        <v>57</v>
      </c>
      <c r="M268" t="s">
        <v>39</v>
      </c>
      <c r="N268">
        <v>0.66269999999999996</v>
      </c>
      <c r="O268" s="1">
        <v>2</v>
      </c>
      <c r="P268" t="s">
        <v>2795</v>
      </c>
      <c r="Q268" t="s">
        <v>2796</v>
      </c>
      <c r="S268" t="s">
        <v>91</v>
      </c>
      <c r="T268" t="s">
        <v>2797</v>
      </c>
      <c r="U268">
        <v>266</v>
      </c>
      <c r="V268">
        <v>0</v>
      </c>
      <c r="AE268" t="s">
        <v>2798</v>
      </c>
      <c r="AF268" t="s">
        <v>2799</v>
      </c>
      <c r="AG268" t="s">
        <v>2800</v>
      </c>
      <c r="AH268" t="str">
        <f>HYPERLINK("http://compartments.jensenlab.org/Entity?figures=subcell_cell_%&amp;knowledge=10&amp;textmining=10&amp;experiments=10&amp;predictions=10&amp;type1=9606&amp;type2=-22&amp;id1=ENSP00000362460","link")</f>
        <v>link</v>
      </c>
      <c r="AI268" t="s">
        <v>65</v>
      </c>
      <c r="AJ268" t="s">
        <v>51</v>
      </c>
      <c r="AK268" t="str">
        <f>HYPERLINK("http://www.proteinatlas.org/O75712","no")</f>
        <v>no</v>
      </c>
      <c r="AM268">
        <v>2707</v>
      </c>
    </row>
    <row r="269" spans="1:39" x14ac:dyDescent="0.35">
      <c r="A269" t="s">
        <v>2801</v>
      </c>
      <c r="B269" t="str">
        <f>HYPERLINK("http://www.uniprot.org/uniprot/O75751","O75751")</f>
        <v>O75751</v>
      </c>
      <c r="C269" t="s">
        <v>2802</v>
      </c>
      <c r="D269" t="s">
        <v>2803</v>
      </c>
      <c r="E269" t="s">
        <v>39</v>
      </c>
      <c r="F269" t="s">
        <v>40</v>
      </c>
      <c r="H269">
        <v>556</v>
      </c>
      <c r="I269">
        <v>12</v>
      </c>
      <c r="J269">
        <v>0</v>
      </c>
      <c r="K269" t="s">
        <v>2804</v>
      </c>
      <c r="L269" t="s">
        <v>42</v>
      </c>
      <c r="N269">
        <v>0.92220000000000002</v>
      </c>
      <c r="O269" s="1">
        <v>1</v>
      </c>
      <c r="P269" t="s">
        <v>2805</v>
      </c>
      <c r="Q269" t="s">
        <v>2806</v>
      </c>
      <c r="S269" t="s">
        <v>45</v>
      </c>
      <c r="T269" t="s">
        <v>121</v>
      </c>
      <c r="U269" t="s">
        <v>2807</v>
      </c>
      <c r="V269">
        <v>3</v>
      </c>
      <c r="W269">
        <v>72</v>
      </c>
      <c r="AE269" t="s">
        <v>48</v>
      </c>
      <c r="AF269" t="s">
        <v>2808</v>
      </c>
      <c r="AG269" t="s">
        <v>2809</v>
      </c>
      <c r="AH269" t="str">
        <f>HYPERLINK("http://compartments.jensenlab.org/Entity?figures=subcell_cell_%&amp;knowledge=10&amp;textmining=10&amp;experiments=10&amp;predictions=10&amp;type1=9606&amp;type2=-22&amp;id1=ENSP00000275300","link")</f>
        <v>link</v>
      </c>
      <c r="AJ269" t="s">
        <v>51</v>
      </c>
      <c r="AK269" t="str">
        <f>HYPERLINK("http://www.proteinatlas.org/O75751","HPA029750")</f>
        <v>HPA029750</v>
      </c>
      <c r="AM269">
        <v>6581</v>
      </c>
    </row>
    <row r="270" spans="1:39" x14ac:dyDescent="0.35">
      <c r="A270" t="s">
        <v>2810</v>
      </c>
      <c r="B270" t="str">
        <f>HYPERLINK("http://www.uniprot.org/uniprot/O75841","O75841")</f>
        <v>O75841</v>
      </c>
      <c r="C270" t="s">
        <v>2811</v>
      </c>
      <c r="D270" t="s">
        <v>2812</v>
      </c>
      <c r="E270" t="s">
        <v>39</v>
      </c>
      <c r="F270" t="s">
        <v>40</v>
      </c>
      <c r="H270">
        <v>260</v>
      </c>
      <c r="I270">
        <v>4</v>
      </c>
      <c r="J270">
        <v>0</v>
      </c>
      <c r="K270" t="s">
        <v>2813</v>
      </c>
      <c r="L270" t="s">
        <v>57</v>
      </c>
      <c r="N270">
        <v>0.6048</v>
      </c>
      <c r="O270" s="1">
        <v>2</v>
      </c>
      <c r="P270" t="s">
        <v>2814</v>
      </c>
      <c r="Q270" t="s">
        <v>2815</v>
      </c>
      <c r="S270" t="s">
        <v>91</v>
      </c>
      <c r="T270" t="s">
        <v>135</v>
      </c>
      <c r="U270" t="s">
        <v>2816</v>
      </c>
      <c r="V270">
        <v>1</v>
      </c>
      <c r="Y270">
        <v>243</v>
      </c>
      <c r="AE270" t="s">
        <v>48</v>
      </c>
      <c r="AF270" t="s">
        <v>83</v>
      </c>
      <c r="AG270" t="s">
        <v>2817</v>
      </c>
      <c r="AH270" t="str">
        <f>HYPERLINK("http://compartments.jensenlab.org/Entity?figures=subcell_cell_%&amp;knowledge=10&amp;textmining=10&amp;experiments=10&amp;predictions=10&amp;type1=9606&amp;type2=-22&amp;id1=ENSP00000264234","link")</f>
        <v>link</v>
      </c>
      <c r="AJ270" t="s">
        <v>51</v>
      </c>
      <c r="AK270" t="str">
        <f>HYPERLINK("http://www.proteinatlas.org/O75841","HPA031799;HPA031800")</f>
        <v>HPA031799;HPA031800</v>
      </c>
      <c r="AM270">
        <v>7348</v>
      </c>
    </row>
    <row r="271" spans="1:39" x14ac:dyDescent="0.35">
      <c r="A271" t="s">
        <v>2818</v>
      </c>
      <c r="B271" t="str">
        <f>HYPERLINK("http://www.uniprot.org/uniprot/O75871","O75871")</f>
        <v>O75871</v>
      </c>
      <c r="C271" t="s">
        <v>2819</v>
      </c>
      <c r="D271" t="s">
        <v>2820</v>
      </c>
      <c r="E271" t="s">
        <v>39</v>
      </c>
      <c r="F271" t="s">
        <v>40</v>
      </c>
      <c r="H271">
        <v>244</v>
      </c>
      <c r="I271">
        <v>1</v>
      </c>
      <c r="J271">
        <v>1</v>
      </c>
      <c r="K271" t="s">
        <v>2821</v>
      </c>
      <c r="L271" t="s">
        <v>57</v>
      </c>
      <c r="N271">
        <v>0.92610000000000003</v>
      </c>
      <c r="O271" s="1">
        <v>1</v>
      </c>
      <c r="P271" t="s">
        <v>2822</v>
      </c>
      <c r="Q271" t="s">
        <v>2823</v>
      </c>
      <c r="S271" t="s">
        <v>91</v>
      </c>
      <c r="T271" t="s">
        <v>555</v>
      </c>
      <c r="U271" t="s">
        <v>2824</v>
      </c>
      <c r="V271">
        <v>4</v>
      </c>
      <c r="W271">
        <v>111</v>
      </c>
      <c r="AE271" t="s">
        <v>144</v>
      </c>
      <c r="AF271" t="s">
        <v>2825</v>
      </c>
      <c r="AG271" t="s">
        <v>2826</v>
      </c>
      <c r="AH271" t="str">
        <f>HYPERLINK("http://compartments.jensenlab.org/Entity?figures=subcell_cell_%&amp;knowledge=10&amp;textmining=10&amp;experiments=10&amp;predictions=10&amp;type1=9606&amp;type2=-22&amp;id1=ENSP00000221954","link")</f>
        <v>link</v>
      </c>
      <c r="AJ271" t="s">
        <v>51</v>
      </c>
      <c r="AK271" t="str">
        <f>HYPERLINK("http://www.proteinatlas.org/O75871","HPA012801")</f>
        <v>HPA012801</v>
      </c>
      <c r="AM271">
        <v>1089</v>
      </c>
    </row>
    <row r="272" spans="1:39" x14ac:dyDescent="0.35">
      <c r="A272" t="s">
        <v>2827</v>
      </c>
      <c r="B272" t="str">
        <f>HYPERLINK("http://www.uniprot.org/uniprot/O75882","O75882")</f>
        <v>O75882</v>
      </c>
      <c r="C272" t="s">
        <v>2828</v>
      </c>
      <c r="D272" t="s">
        <v>2829</v>
      </c>
      <c r="E272" t="s">
        <v>39</v>
      </c>
      <c r="F272" t="s">
        <v>55</v>
      </c>
      <c r="H272">
        <v>1429</v>
      </c>
      <c r="I272">
        <v>1</v>
      </c>
      <c r="J272">
        <v>1</v>
      </c>
      <c r="K272" t="s">
        <v>2830</v>
      </c>
      <c r="L272" t="s">
        <v>101</v>
      </c>
      <c r="M272" t="s">
        <v>39</v>
      </c>
      <c r="N272">
        <v>0.85470000000000002</v>
      </c>
      <c r="O272" s="1">
        <v>1</v>
      </c>
      <c r="P272" t="s">
        <v>2831</v>
      </c>
      <c r="Q272" t="s">
        <v>2832</v>
      </c>
      <c r="S272" t="s">
        <v>60</v>
      </c>
      <c r="T272" t="s">
        <v>60</v>
      </c>
      <c r="U272" t="s">
        <v>2833</v>
      </c>
      <c r="V272">
        <v>26</v>
      </c>
      <c r="W272" t="s">
        <v>2833</v>
      </c>
      <c r="X272" t="s">
        <v>2834</v>
      </c>
      <c r="Z272" t="s">
        <v>107</v>
      </c>
      <c r="AA272">
        <v>8</v>
      </c>
      <c r="AB272" t="s">
        <v>2835</v>
      </c>
      <c r="AC272" t="s">
        <v>2836</v>
      </c>
      <c r="AD272" t="s">
        <v>2837</v>
      </c>
      <c r="AE272" t="s">
        <v>1700</v>
      </c>
      <c r="AF272" t="s">
        <v>2838</v>
      </c>
      <c r="AG272" t="s">
        <v>2839</v>
      </c>
      <c r="AH272" t="str">
        <f>HYPERLINK("http://compartments.jensenlab.org/Entity?figures=subcell_cell_%&amp;knowledge=10&amp;textmining=10&amp;experiments=10&amp;predictions=10&amp;type1=9606&amp;type2=-22&amp;id1=ENSP00000262919","link")</f>
        <v>link</v>
      </c>
      <c r="AI272" t="s">
        <v>1058</v>
      </c>
      <c r="AJ272" t="s">
        <v>1767</v>
      </c>
      <c r="AK272" t="str">
        <f>HYPERLINK("http://www.proteinatlas.org/O75882","HPA008853")</f>
        <v>HPA008853</v>
      </c>
      <c r="AM272">
        <v>8455</v>
      </c>
    </row>
    <row r="273" spans="1:39" x14ac:dyDescent="0.35">
      <c r="A273" t="s">
        <v>2840</v>
      </c>
      <c r="B273" t="str">
        <f>HYPERLINK("http://www.uniprot.org/uniprot/O75899","O75899")</f>
        <v>O75899</v>
      </c>
      <c r="C273" t="s">
        <v>2841</v>
      </c>
      <c r="D273" t="s">
        <v>2842</v>
      </c>
      <c r="E273" t="s">
        <v>39</v>
      </c>
      <c r="F273" t="s">
        <v>40</v>
      </c>
      <c r="H273">
        <v>941</v>
      </c>
      <c r="I273">
        <v>7</v>
      </c>
      <c r="J273">
        <v>1</v>
      </c>
      <c r="K273" t="s">
        <v>2843</v>
      </c>
      <c r="L273" t="s">
        <v>57</v>
      </c>
      <c r="N273">
        <v>0.95409999999999995</v>
      </c>
      <c r="O273" s="1">
        <v>1</v>
      </c>
      <c r="P273" t="s">
        <v>2844</v>
      </c>
      <c r="Q273" t="s">
        <v>2845</v>
      </c>
      <c r="S273" t="s">
        <v>166</v>
      </c>
      <c r="T273" t="s">
        <v>874</v>
      </c>
      <c r="U273" t="s">
        <v>2846</v>
      </c>
      <c r="V273">
        <v>5</v>
      </c>
      <c r="W273" t="s">
        <v>2847</v>
      </c>
      <c r="AE273" t="s">
        <v>619</v>
      </c>
      <c r="AF273" t="s">
        <v>2848</v>
      </c>
      <c r="AG273" t="s">
        <v>2849</v>
      </c>
      <c r="AH273" t="str">
        <f>HYPERLINK("http://compartments.jensenlab.org/Entity?figures=subcell_cell_%&amp;knowledge=10&amp;textmining=10&amp;experiments=10&amp;predictions=10&amp;type1=9606&amp;type2=-22&amp;id1=ENSP00000259455","link")</f>
        <v>link</v>
      </c>
      <c r="AI273" t="s">
        <v>65</v>
      </c>
      <c r="AJ273" t="s">
        <v>2124</v>
      </c>
      <c r="AK273" t="str">
        <f>HYPERLINK("http://www.proteinatlas.org/O75899","HPA013820;HPA031684")</f>
        <v>HPA013820;HPA031684</v>
      </c>
      <c r="AL273" t="s">
        <v>2850</v>
      </c>
      <c r="AM273">
        <v>9568</v>
      </c>
    </row>
    <row r="274" spans="1:39" x14ac:dyDescent="0.35">
      <c r="A274" t="s">
        <v>2851</v>
      </c>
      <c r="B274" t="str">
        <f>HYPERLINK("http://www.uniprot.org/uniprot/O75954","O75954")</f>
        <v>O75954</v>
      </c>
      <c r="C274" t="s">
        <v>2852</v>
      </c>
      <c r="D274" t="s">
        <v>2853</v>
      </c>
      <c r="E274" t="s">
        <v>39</v>
      </c>
      <c r="F274" t="s">
        <v>40</v>
      </c>
      <c r="H274">
        <v>239</v>
      </c>
      <c r="I274">
        <v>4</v>
      </c>
      <c r="J274">
        <v>0</v>
      </c>
      <c r="K274" t="s">
        <v>2854</v>
      </c>
      <c r="L274" t="s">
        <v>101</v>
      </c>
      <c r="N274">
        <v>0.83230000000000004</v>
      </c>
      <c r="O274" s="1">
        <v>1</v>
      </c>
      <c r="P274" t="s">
        <v>2855</v>
      </c>
      <c r="Q274" t="s">
        <v>2856</v>
      </c>
      <c r="S274" t="s">
        <v>91</v>
      </c>
      <c r="T274" t="s">
        <v>135</v>
      </c>
      <c r="U274">
        <v>180</v>
      </c>
      <c r="V274">
        <v>1</v>
      </c>
      <c r="W274">
        <v>180</v>
      </c>
      <c r="Z274" t="s">
        <v>123</v>
      </c>
      <c r="AA274">
        <v>1</v>
      </c>
      <c r="AB274" t="s">
        <v>2857</v>
      </c>
      <c r="AC274">
        <v>180</v>
      </c>
      <c r="AD274" t="s">
        <v>2858</v>
      </c>
      <c r="AE274" t="s">
        <v>48</v>
      </c>
      <c r="AF274" t="s">
        <v>95</v>
      </c>
      <c r="AG274" t="s">
        <v>2859</v>
      </c>
      <c r="AH274" t="str">
        <f>HYPERLINK("http://compartments.jensenlab.org/Entity?figures=subcell_cell_%&amp;knowledge=10&amp;textmining=10&amp;experiments=10&amp;predictions=10&amp;type1=9606&amp;type2=-22&amp;id1=ENSP00000011898","link")</f>
        <v>link</v>
      </c>
      <c r="AJ274" t="s">
        <v>51</v>
      </c>
      <c r="AK274" t="str">
        <f>HYPERLINK("http://www.proteinatlas.org/O75954","HPA014002")</f>
        <v>HPA014002</v>
      </c>
      <c r="AM274">
        <v>10867</v>
      </c>
    </row>
    <row r="275" spans="1:39" x14ac:dyDescent="0.35">
      <c r="A275" t="s">
        <v>2860</v>
      </c>
      <c r="B275" t="str">
        <f>HYPERLINK("http://www.uniprot.org/uniprot/O75976","O75976")</f>
        <v>O75976</v>
      </c>
      <c r="C275" t="s">
        <v>2861</v>
      </c>
      <c r="D275" t="s">
        <v>2862</v>
      </c>
      <c r="E275" t="s">
        <v>39</v>
      </c>
      <c r="F275" t="s">
        <v>40</v>
      </c>
      <c r="H275">
        <v>1380</v>
      </c>
      <c r="I275">
        <v>1</v>
      </c>
      <c r="J275">
        <v>1</v>
      </c>
      <c r="K275" t="s">
        <v>2863</v>
      </c>
      <c r="L275" t="s">
        <v>101</v>
      </c>
      <c r="N275">
        <v>0.87229999999999996</v>
      </c>
      <c r="O275" s="1">
        <v>1</v>
      </c>
      <c r="P275" t="s">
        <v>2864</v>
      </c>
      <c r="Q275" t="s">
        <v>2865</v>
      </c>
      <c r="S275" t="s">
        <v>947</v>
      </c>
      <c r="T275" t="s">
        <v>2866</v>
      </c>
      <c r="U275" t="s">
        <v>2867</v>
      </c>
      <c r="V275">
        <v>15</v>
      </c>
      <c r="Z275" t="s">
        <v>107</v>
      </c>
      <c r="AA275">
        <v>15</v>
      </c>
      <c r="AB275" t="s">
        <v>2868</v>
      </c>
      <c r="AC275" t="s">
        <v>2869</v>
      </c>
      <c r="AD275" t="s">
        <v>2870</v>
      </c>
      <c r="AE275" t="s">
        <v>144</v>
      </c>
      <c r="AF275" t="s">
        <v>2871</v>
      </c>
      <c r="AG275" t="s">
        <v>2872</v>
      </c>
      <c r="AH275" t="str">
        <f>HYPERLINK("http://compartments.jensenlab.org/Entity?figures=subcell_cell_%&amp;knowledge=10&amp;textmining=10&amp;experiments=10&amp;predictions=10&amp;type1=9606&amp;type2=-22&amp;id1=ENSP00000225719","link")</f>
        <v>link</v>
      </c>
      <c r="AJ275" t="s">
        <v>2873</v>
      </c>
      <c r="AK275" t="str">
        <f>HYPERLINK("http://www.proteinatlas.org/O75976","HPA052796")</f>
        <v>HPA052796</v>
      </c>
      <c r="AM275">
        <v>1362</v>
      </c>
    </row>
    <row r="276" spans="1:39" x14ac:dyDescent="0.35">
      <c r="A276" t="s">
        <v>2874</v>
      </c>
      <c r="B276" t="str">
        <f>HYPERLINK("http://www.uniprot.org/uniprot/O76000","O76000")</f>
        <v>O76000</v>
      </c>
      <c r="C276" t="s">
        <v>2875</v>
      </c>
      <c r="D276" t="s">
        <v>2876</v>
      </c>
      <c r="E276" t="s">
        <v>39</v>
      </c>
      <c r="F276" t="s">
        <v>55</v>
      </c>
      <c r="H276">
        <v>313</v>
      </c>
      <c r="I276">
        <v>7</v>
      </c>
      <c r="J276">
        <v>0</v>
      </c>
      <c r="K276" t="s">
        <v>2877</v>
      </c>
      <c r="L276" t="s">
        <v>57</v>
      </c>
      <c r="N276">
        <v>0.97409999999999997</v>
      </c>
      <c r="O276" s="1">
        <v>1</v>
      </c>
      <c r="P276" t="s">
        <v>2878</v>
      </c>
      <c r="Q276" t="s">
        <v>2879</v>
      </c>
      <c r="S276" t="s">
        <v>166</v>
      </c>
      <c r="T276" t="s">
        <v>2880</v>
      </c>
      <c r="U276" t="s">
        <v>2881</v>
      </c>
      <c r="V276">
        <v>1</v>
      </c>
      <c r="AE276" t="s">
        <v>74</v>
      </c>
      <c r="AF276" t="s">
        <v>549</v>
      </c>
      <c r="AG276" t="s">
        <v>2882</v>
      </c>
      <c r="AH276" t="str">
        <f>HYPERLINK("http://compartments.jensenlab.org/Entity?figures=subcell_cell_%&amp;knowledge=10&amp;textmining=10&amp;experiments=10&amp;predictions=10&amp;type1=9606&amp;type2=-22&amp;id1=ENSP00000366378","link")</f>
        <v>link</v>
      </c>
      <c r="AI276" t="s">
        <v>2883</v>
      </c>
      <c r="AJ276" t="s">
        <v>2884</v>
      </c>
      <c r="AK276" t="str">
        <f>HYPERLINK("http://www.proteinatlas.org/O76000","no")</f>
        <v>no</v>
      </c>
      <c r="AM276">
        <v>442184</v>
      </c>
    </row>
    <row r="277" spans="1:39" x14ac:dyDescent="0.35">
      <c r="A277" t="s">
        <v>2885</v>
      </c>
      <c r="B277" t="str">
        <f>HYPERLINK("http://www.uniprot.org/uniprot/O76001","O76001")</f>
        <v>O76001</v>
      </c>
      <c r="C277" t="s">
        <v>2886</v>
      </c>
      <c r="D277" t="s">
        <v>2887</v>
      </c>
      <c r="E277" t="s">
        <v>39</v>
      </c>
      <c r="F277" t="s">
        <v>55</v>
      </c>
      <c r="H277">
        <v>311</v>
      </c>
      <c r="I277">
        <v>7</v>
      </c>
      <c r="J277">
        <v>0</v>
      </c>
      <c r="K277" t="s">
        <v>2888</v>
      </c>
      <c r="L277" t="s">
        <v>57</v>
      </c>
      <c r="M277" t="s">
        <v>39</v>
      </c>
      <c r="N277">
        <v>0.98170000000000002</v>
      </c>
      <c r="O277" s="1">
        <v>1</v>
      </c>
      <c r="P277" t="s">
        <v>2889</v>
      </c>
      <c r="Q277" t="s">
        <v>2890</v>
      </c>
      <c r="S277" t="s">
        <v>166</v>
      </c>
      <c r="T277" t="s">
        <v>167</v>
      </c>
      <c r="U277" t="s">
        <v>2891</v>
      </c>
      <c r="V277">
        <v>1</v>
      </c>
      <c r="AE277" t="s">
        <v>74</v>
      </c>
      <c r="AF277" t="s">
        <v>169</v>
      </c>
      <c r="AG277" t="s">
        <v>2892</v>
      </c>
      <c r="AH277" t="str">
        <f>HYPERLINK("http://compartments.jensenlab.org/Entity?figures=subcell_cell_%&amp;knowledge=10&amp;textmining=10&amp;experiments=10&amp;predictions=10&amp;type1=9606&amp;type2=-22&amp;id1=ENSP00000366374","link")</f>
        <v>link</v>
      </c>
      <c r="AI277" t="s">
        <v>2883</v>
      </c>
      <c r="AJ277" t="s">
        <v>2884</v>
      </c>
      <c r="AK277" t="str">
        <f>HYPERLINK("http://www.proteinatlas.org/O76001","no")</f>
        <v>no</v>
      </c>
      <c r="AM277">
        <v>442186</v>
      </c>
    </row>
    <row r="278" spans="1:39" x14ac:dyDescent="0.35">
      <c r="A278" t="s">
        <v>2893</v>
      </c>
      <c r="B278" t="str">
        <f>HYPERLINK("http://www.uniprot.org/uniprot/O76002","O76002")</f>
        <v>O76002</v>
      </c>
      <c r="C278" t="s">
        <v>2894</v>
      </c>
      <c r="D278" t="s">
        <v>2895</v>
      </c>
      <c r="E278" t="s">
        <v>39</v>
      </c>
      <c r="F278" t="s">
        <v>55</v>
      </c>
      <c r="H278">
        <v>312</v>
      </c>
      <c r="I278">
        <v>7</v>
      </c>
      <c r="J278">
        <v>0</v>
      </c>
      <c r="K278" t="s">
        <v>2896</v>
      </c>
      <c r="L278" t="s">
        <v>57</v>
      </c>
      <c r="M278" t="s">
        <v>39</v>
      </c>
      <c r="N278">
        <v>0.93330000000000002</v>
      </c>
      <c r="O278" s="1">
        <v>1</v>
      </c>
      <c r="P278" t="s">
        <v>2897</v>
      </c>
      <c r="Q278" t="s">
        <v>2898</v>
      </c>
      <c r="S278" t="s">
        <v>166</v>
      </c>
      <c r="T278" t="s">
        <v>167</v>
      </c>
      <c r="U278" t="s">
        <v>2899</v>
      </c>
      <c r="V278">
        <v>1</v>
      </c>
      <c r="AE278" t="s">
        <v>74</v>
      </c>
      <c r="AF278" t="s">
        <v>169</v>
      </c>
      <c r="AG278" t="s">
        <v>2900</v>
      </c>
      <c r="AH278" t="str">
        <f>HYPERLINK("http://compartments.jensenlab.org/Entity?figures=subcell_cell_%&amp;knowledge=10&amp;textmining=10&amp;experiments=10&amp;predictions=10&amp;type1=9606&amp;type2=-22&amp;id1=ENSP00000351519","link")</f>
        <v>link</v>
      </c>
      <c r="AI278" t="s">
        <v>65</v>
      </c>
      <c r="AJ278" t="s">
        <v>51</v>
      </c>
      <c r="AK278" t="str">
        <f>HYPERLINK("http://www.proteinatlas.org/O76002","no")</f>
        <v>no</v>
      </c>
      <c r="AM278">
        <v>26707</v>
      </c>
    </row>
    <row r="279" spans="1:39" x14ac:dyDescent="0.35">
      <c r="A279" t="s">
        <v>2901</v>
      </c>
      <c r="B279" t="str">
        <f>HYPERLINK("http://www.uniprot.org/uniprot/O76036","O76036")</f>
        <v>O76036</v>
      </c>
      <c r="C279" t="s">
        <v>2902</v>
      </c>
      <c r="D279" t="s">
        <v>2903</v>
      </c>
      <c r="E279" t="s">
        <v>39</v>
      </c>
      <c r="F279" t="s">
        <v>40</v>
      </c>
      <c r="H279">
        <v>304</v>
      </c>
      <c r="I279">
        <v>1</v>
      </c>
      <c r="J279">
        <v>1</v>
      </c>
      <c r="K279" t="s">
        <v>2904</v>
      </c>
      <c r="L279" t="s">
        <v>57</v>
      </c>
      <c r="N279">
        <v>0.6008</v>
      </c>
      <c r="O279" s="1">
        <v>2</v>
      </c>
      <c r="P279" t="s">
        <v>2905</v>
      </c>
      <c r="Q279" t="s">
        <v>2906</v>
      </c>
      <c r="R279" t="s">
        <v>2907</v>
      </c>
      <c r="S279" t="s">
        <v>166</v>
      </c>
      <c r="T279" t="s">
        <v>1356</v>
      </c>
      <c r="U279">
        <v>216</v>
      </c>
      <c r="V279">
        <v>1</v>
      </c>
      <c r="AE279" t="s">
        <v>332</v>
      </c>
      <c r="AF279" t="s">
        <v>2908</v>
      </c>
      <c r="AG279" t="s">
        <v>2909</v>
      </c>
      <c r="AH279" t="str">
        <f>HYPERLINK("http://compartments.jensenlab.org/Entity?figures=subcell_cell_%&amp;knowledge=10&amp;textmining=10&amp;experiments=10&amp;predictions=10&amp;type1=9606&amp;type2=-22&amp;id1=ENSP00000483452","link")</f>
        <v>link</v>
      </c>
      <c r="AK279" t="str">
        <f>HYPERLINK("http://www.proteinatlas.org/O76036","no")</f>
        <v>no</v>
      </c>
      <c r="AM279">
        <v>9437</v>
      </c>
    </row>
    <row r="280" spans="1:39" x14ac:dyDescent="0.35">
      <c r="A280" t="s">
        <v>2910</v>
      </c>
      <c r="B280" t="str">
        <f>HYPERLINK("http://www.uniprot.org/uniprot/O76082","O76082")</f>
        <v>O76082</v>
      </c>
      <c r="C280" t="s">
        <v>2911</v>
      </c>
      <c r="D280" t="s">
        <v>2912</v>
      </c>
      <c r="E280" t="s">
        <v>39</v>
      </c>
      <c r="F280" t="s">
        <v>40</v>
      </c>
      <c r="H280">
        <v>557</v>
      </c>
      <c r="I280">
        <v>12</v>
      </c>
      <c r="J280">
        <v>0</v>
      </c>
      <c r="K280" t="s">
        <v>2913</v>
      </c>
      <c r="L280" t="s">
        <v>101</v>
      </c>
      <c r="N280">
        <v>0.78439999999999999</v>
      </c>
      <c r="O280" s="1">
        <v>1</v>
      </c>
      <c r="P280" t="s">
        <v>2914</v>
      </c>
      <c r="Q280" t="s">
        <v>2915</v>
      </c>
      <c r="S280" t="s">
        <v>45</v>
      </c>
      <c r="T280" t="s">
        <v>121</v>
      </c>
      <c r="U280" t="s">
        <v>2916</v>
      </c>
      <c r="V280">
        <v>3</v>
      </c>
      <c r="Z280" t="s">
        <v>123</v>
      </c>
      <c r="AA280">
        <v>1</v>
      </c>
      <c r="AB280" t="s">
        <v>2917</v>
      </c>
      <c r="AC280">
        <v>64</v>
      </c>
      <c r="AD280" t="s">
        <v>2918</v>
      </c>
      <c r="AE280" t="s">
        <v>48</v>
      </c>
      <c r="AF280" t="s">
        <v>2919</v>
      </c>
      <c r="AG280" t="s">
        <v>2920</v>
      </c>
      <c r="AH280" t="str">
        <f>HYPERLINK("http://compartments.jensenlab.org/Entity?figures=subcell_cell_%&amp;knowledge=10&amp;textmining=10&amp;experiments=10&amp;predictions=10&amp;type1=9606&amp;type2=-22&amp;id1=ENSP00000245407","link")</f>
        <v>link</v>
      </c>
      <c r="AJ280" t="s">
        <v>51</v>
      </c>
      <c r="AK280" t="str">
        <f>HYPERLINK("http://www.proteinatlas.org/O76082","HPA066969")</f>
        <v>HPA066969</v>
      </c>
      <c r="AL280" t="s">
        <v>2921</v>
      </c>
      <c r="AM280">
        <v>6584</v>
      </c>
    </row>
    <row r="281" spans="1:39" x14ac:dyDescent="0.35">
      <c r="A281" t="s">
        <v>2922</v>
      </c>
      <c r="B281" t="str">
        <f>HYPERLINK("http://www.uniprot.org/uniprot/O76099","O76099")</f>
        <v>O76099</v>
      </c>
      <c r="C281" t="s">
        <v>2923</v>
      </c>
      <c r="D281" t="s">
        <v>2924</v>
      </c>
      <c r="E281" t="s">
        <v>39</v>
      </c>
      <c r="F281" t="s">
        <v>55</v>
      </c>
      <c r="H281">
        <v>320</v>
      </c>
      <c r="I281">
        <v>7</v>
      </c>
      <c r="J281">
        <v>0</v>
      </c>
      <c r="K281" t="s">
        <v>2925</v>
      </c>
      <c r="L281" t="s">
        <v>57</v>
      </c>
      <c r="M281" t="s">
        <v>39</v>
      </c>
      <c r="N281">
        <v>0.89800000000000002</v>
      </c>
      <c r="O281" s="1">
        <v>1</v>
      </c>
      <c r="P281" t="s">
        <v>2926</v>
      </c>
      <c r="Q281" t="s">
        <v>2927</v>
      </c>
      <c r="S281" t="s">
        <v>166</v>
      </c>
      <c r="T281" t="s">
        <v>167</v>
      </c>
      <c r="U281" t="s">
        <v>1191</v>
      </c>
      <c r="V281">
        <v>1</v>
      </c>
      <c r="AE281" t="s">
        <v>74</v>
      </c>
      <c r="AF281" t="s">
        <v>169</v>
      </c>
      <c r="AG281" t="s">
        <v>2928</v>
      </c>
      <c r="AH281" t="str">
        <f>HYPERLINK("http://compartments.jensenlab.org/Entity?figures=subcell_cell_%&amp;knowledge=10&amp;textmining=10&amp;experiments=10&amp;predictions=10&amp;type1=9606&amp;type2=-22&amp;id1=ENSP00000248073","link")</f>
        <v>link</v>
      </c>
      <c r="AI281" t="s">
        <v>65</v>
      </c>
      <c r="AJ281" t="s">
        <v>51</v>
      </c>
      <c r="AK281" t="str">
        <f>HYPERLINK("http://www.proteinatlas.org/O76099","HPA047127")</f>
        <v>HPA047127</v>
      </c>
      <c r="AM281">
        <v>26664</v>
      </c>
    </row>
    <row r="282" spans="1:39" x14ac:dyDescent="0.35">
      <c r="A282" t="s">
        <v>2929</v>
      </c>
      <c r="B282" t="str">
        <f>HYPERLINK("http://www.uniprot.org/uniprot/O76100","O76100")</f>
        <v>O76100</v>
      </c>
      <c r="C282" t="s">
        <v>2930</v>
      </c>
      <c r="D282" t="s">
        <v>2931</v>
      </c>
      <c r="E282" t="s">
        <v>39</v>
      </c>
      <c r="F282" t="s">
        <v>55</v>
      </c>
      <c r="H282">
        <v>309</v>
      </c>
      <c r="I282">
        <v>7</v>
      </c>
      <c r="J282">
        <v>0</v>
      </c>
      <c r="K282" t="s">
        <v>2932</v>
      </c>
      <c r="L282" t="s">
        <v>57</v>
      </c>
      <c r="N282">
        <v>0.98199999999999998</v>
      </c>
      <c r="O282" s="1">
        <v>1</v>
      </c>
      <c r="P282" t="s">
        <v>2933</v>
      </c>
      <c r="Q282" t="s">
        <v>2934</v>
      </c>
      <c r="S282" t="s">
        <v>166</v>
      </c>
      <c r="T282" t="s">
        <v>167</v>
      </c>
      <c r="U282" t="s">
        <v>1191</v>
      </c>
      <c r="V282">
        <v>1</v>
      </c>
      <c r="AE282" t="s">
        <v>74</v>
      </c>
      <c r="AF282" t="s">
        <v>169</v>
      </c>
      <c r="AG282" t="s">
        <v>2935</v>
      </c>
      <c r="AH282" t="str">
        <f>HYPERLINK("http://compartments.jensenlab.org/Entity?figures=subcell_cell_%&amp;knowledge=10&amp;textmining=10&amp;experiments=10&amp;predictions=10&amp;type1=9606&amp;type2=-22&amp;id1=ENSP00000248058","link")</f>
        <v>link</v>
      </c>
      <c r="AI282" t="s">
        <v>65</v>
      </c>
      <c r="AJ282" t="s">
        <v>51</v>
      </c>
      <c r="AK282" t="str">
        <f>HYPERLINK("http://www.proteinatlas.org/O76100","no")</f>
        <v>no</v>
      </c>
      <c r="AM282">
        <v>390892</v>
      </c>
    </row>
    <row r="283" spans="1:39" x14ac:dyDescent="0.35">
      <c r="A283" t="s">
        <v>2936</v>
      </c>
      <c r="B283" t="str">
        <f>HYPERLINK("http://www.uniprot.org/uniprot/O94772","O94772")</f>
        <v>O94772</v>
      </c>
      <c r="C283" t="s">
        <v>2937</v>
      </c>
      <c r="D283" t="s">
        <v>2938</v>
      </c>
      <c r="E283" t="s">
        <v>39</v>
      </c>
      <c r="F283" t="s">
        <v>239</v>
      </c>
      <c r="H283">
        <v>140</v>
      </c>
      <c r="I283">
        <v>0</v>
      </c>
      <c r="J283">
        <v>1</v>
      </c>
      <c r="K283" t="s">
        <v>2939</v>
      </c>
      <c r="L283" t="s">
        <v>57</v>
      </c>
      <c r="N283">
        <v>0.71660000000000001</v>
      </c>
      <c r="O283" s="1" t="s">
        <v>241</v>
      </c>
      <c r="P283" t="s">
        <v>2940</v>
      </c>
      <c r="Q283" t="s">
        <v>2941</v>
      </c>
      <c r="U283">
        <v>36</v>
      </c>
      <c r="V283">
        <v>1</v>
      </c>
      <c r="W283">
        <v>36</v>
      </c>
      <c r="AE283" t="s">
        <v>243</v>
      </c>
      <c r="AF283" t="s">
        <v>2942</v>
      </c>
      <c r="AG283" t="s">
        <v>2943</v>
      </c>
      <c r="AH283" t="str">
        <f>HYPERLINK("http://compartments.jensenlab.org/Entity?figures=subcell_cell_%&amp;knowledge=10&amp;textmining=10&amp;experiments=10&amp;predictions=10&amp;type1=9606&amp;type2=-22&amp;id1=ENSP00000409899","link")</f>
        <v>link</v>
      </c>
      <c r="AK283" t="str">
        <f>HYPERLINK("http://www.proteinatlas.org/O94772","no")</f>
        <v>no</v>
      </c>
      <c r="AM283">
        <v>4062</v>
      </c>
    </row>
    <row r="284" spans="1:39" x14ac:dyDescent="0.35">
      <c r="A284" t="s">
        <v>2944</v>
      </c>
      <c r="B284" t="str">
        <f>HYPERLINK("http://www.uniprot.org/uniprot/O94778","O94778")</f>
        <v>O94778</v>
      </c>
      <c r="C284" t="s">
        <v>2945</v>
      </c>
      <c r="D284" t="s">
        <v>2946</v>
      </c>
      <c r="E284" t="s">
        <v>39</v>
      </c>
      <c r="F284" t="s">
        <v>40</v>
      </c>
      <c r="H284">
        <v>261</v>
      </c>
      <c r="I284">
        <v>6</v>
      </c>
      <c r="J284">
        <v>0</v>
      </c>
      <c r="K284" t="s">
        <v>2947</v>
      </c>
      <c r="L284" t="s">
        <v>57</v>
      </c>
      <c r="N284">
        <v>0.80640000000000001</v>
      </c>
      <c r="O284" s="1">
        <v>1</v>
      </c>
      <c r="P284" t="s">
        <v>2948</v>
      </c>
      <c r="Q284" t="s">
        <v>2949</v>
      </c>
      <c r="S284" t="s">
        <v>45</v>
      </c>
      <c r="T284" t="s">
        <v>1798</v>
      </c>
      <c r="U284" t="s">
        <v>2950</v>
      </c>
      <c r="V284">
        <v>2</v>
      </c>
      <c r="W284">
        <v>59</v>
      </c>
      <c r="Y284">
        <v>228</v>
      </c>
      <c r="AE284" t="s">
        <v>48</v>
      </c>
      <c r="AF284" t="s">
        <v>2951</v>
      </c>
      <c r="AG284" t="s">
        <v>2952</v>
      </c>
      <c r="AH284" t="str">
        <f>HYPERLINK("http://compartments.jensenlab.org/Entity?figures=subcell_cell_%&amp;knowledge=10&amp;textmining=10&amp;experiments=10&amp;predictions=10&amp;type1=9606&amp;type2=-22&amp;id1=ENSP00000219660","link")</f>
        <v>link</v>
      </c>
      <c r="AJ284" t="s">
        <v>51</v>
      </c>
      <c r="AK284" t="str">
        <f>HYPERLINK("http://www.proteinatlas.org/O94778","HPA046259")</f>
        <v>HPA046259</v>
      </c>
      <c r="AM284">
        <v>343</v>
      </c>
    </row>
    <row r="285" spans="1:39" x14ac:dyDescent="0.35">
      <c r="A285" t="s">
        <v>2953</v>
      </c>
      <c r="B285" t="str">
        <f>HYPERLINK("http://www.uniprot.org/uniprot/O94779","O94779")</f>
        <v>O94779</v>
      </c>
      <c r="C285" t="s">
        <v>2954</v>
      </c>
      <c r="D285" t="s">
        <v>2955</v>
      </c>
      <c r="E285" t="s">
        <v>39</v>
      </c>
      <c r="F285" t="s">
        <v>239</v>
      </c>
      <c r="H285">
        <v>1100</v>
      </c>
      <c r="I285">
        <v>0</v>
      </c>
      <c r="J285">
        <v>1</v>
      </c>
      <c r="K285" t="s">
        <v>2956</v>
      </c>
      <c r="L285" t="s">
        <v>57</v>
      </c>
      <c r="N285">
        <v>0.72460000000000002</v>
      </c>
      <c r="O285" s="1" t="s">
        <v>241</v>
      </c>
      <c r="P285" t="s">
        <v>2957</v>
      </c>
      <c r="Q285" t="s">
        <v>2958</v>
      </c>
      <c r="S285" t="s">
        <v>60</v>
      </c>
      <c r="T285" t="s">
        <v>60</v>
      </c>
      <c r="U285" t="s">
        <v>2959</v>
      </c>
      <c r="V285">
        <v>10</v>
      </c>
      <c r="W285" t="s">
        <v>2960</v>
      </c>
      <c r="AE285" t="s">
        <v>243</v>
      </c>
      <c r="AF285" t="s">
        <v>2961</v>
      </c>
      <c r="AG285" t="s">
        <v>2962</v>
      </c>
      <c r="AH285" t="str">
        <f>HYPERLINK("http://compartments.jensenlab.org/Entity?figures=subcell_cell_%&amp;knowledge=10&amp;textmining=10&amp;experiments=10&amp;predictions=10&amp;type1=9606&amp;type2=-22&amp;id1=ENSP00000435637","link")</f>
        <v>link</v>
      </c>
      <c r="AK285" t="str">
        <f>HYPERLINK("http://www.proteinatlas.org/O94779","HPA039492;HPA041223")</f>
        <v>HPA039492;HPA041223</v>
      </c>
      <c r="AM285">
        <v>53942</v>
      </c>
    </row>
    <row r="286" spans="1:39" x14ac:dyDescent="0.35">
      <c r="A286" t="s">
        <v>2963</v>
      </c>
      <c r="B286" t="str">
        <f>HYPERLINK("http://www.uniprot.org/uniprot/O94856","O94856")</f>
        <v>O94856</v>
      </c>
      <c r="C286" t="s">
        <v>2964</v>
      </c>
      <c r="D286" t="s">
        <v>2965</v>
      </c>
      <c r="E286" t="s">
        <v>39</v>
      </c>
      <c r="F286" t="s">
        <v>55</v>
      </c>
      <c r="H286">
        <v>1347</v>
      </c>
      <c r="I286">
        <v>1</v>
      </c>
      <c r="J286">
        <v>1</v>
      </c>
      <c r="K286" t="s">
        <v>2966</v>
      </c>
      <c r="L286" t="s">
        <v>101</v>
      </c>
      <c r="M286" t="s">
        <v>39</v>
      </c>
      <c r="N286">
        <v>0.97309999999999997</v>
      </c>
      <c r="O286" s="1">
        <v>1</v>
      </c>
      <c r="P286" t="s">
        <v>2967</v>
      </c>
      <c r="Q286" t="s">
        <v>2968</v>
      </c>
      <c r="S286" t="s">
        <v>91</v>
      </c>
      <c r="T286" t="s">
        <v>555</v>
      </c>
      <c r="U286" t="s">
        <v>2969</v>
      </c>
      <c r="V286">
        <v>14</v>
      </c>
      <c r="Z286" t="s">
        <v>107</v>
      </c>
      <c r="AA286">
        <v>5</v>
      </c>
      <c r="AB286" t="s">
        <v>2970</v>
      </c>
      <c r="AC286" t="s">
        <v>2971</v>
      </c>
      <c r="AD286" t="s">
        <v>2972</v>
      </c>
      <c r="AE286" t="s">
        <v>332</v>
      </c>
      <c r="AF286" t="s">
        <v>2973</v>
      </c>
      <c r="AG286" t="s">
        <v>2974</v>
      </c>
      <c r="AH286" t="str">
        <f>HYPERLINK("http://compartments.jensenlab.org/Entity?figures=subcell_cell_%&amp;knowledge=10&amp;textmining=10&amp;experiments=10&amp;predictions=10&amp;type1=9606&amp;type2=-22&amp;id1=ENSP00000416891","link")</f>
        <v>link</v>
      </c>
      <c r="AK286" t="str">
        <f>HYPERLINK("http://www.proteinatlas.org/O94856","HPA008832")</f>
        <v>HPA008832</v>
      </c>
      <c r="AM286">
        <v>23114</v>
      </c>
    </row>
    <row r="287" spans="1:39" x14ac:dyDescent="0.35">
      <c r="A287" t="s">
        <v>2975</v>
      </c>
      <c r="B287" t="str">
        <f>HYPERLINK("http://www.uniprot.org/uniprot/O94886","O94886")</f>
        <v>O94886</v>
      </c>
      <c r="C287" t="s">
        <v>2976</v>
      </c>
      <c r="D287" t="s">
        <v>2977</v>
      </c>
      <c r="E287" t="s">
        <v>39</v>
      </c>
      <c r="F287" t="s">
        <v>40</v>
      </c>
      <c r="H287">
        <v>807</v>
      </c>
      <c r="I287">
        <v>10</v>
      </c>
      <c r="J287">
        <v>0</v>
      </c>
      <c r="K287" t="s">
        <v>2978</v>
      </c>
      <c r="L287" t="s">
        <v>118</v>
      </c>
      <c r="N287">
        <v>0.85829999999999995</v>
      </c>
      <c r="O287" s="1">
        <v>1</v>
      </c>
      <c r="P287" t="s">
        <v>2979</v>
      </c>
      <c r="Q287" t="s">
        <v>2980</v>
      </c>
      <c r="S287" t="s">
        <v>91</v>
      </c>
      <c r="T287" t="s">
        <v>2981</v>
      </c>
      <c r="U287" t="s">
        <v>2982</v>
      </c>
      <c r="V287">
        <v>4</v>
      </c>
      <c r="Y287">
        <v>419</v>
      </c>
      <c r="Z287" t="s">
        <v>123</v>
      </c>
      <c r="AA287">
        <v>3</v>
      </c>
      <c r="AB287" t="s">
        <v>2983</v>
      </c>
      <c r="AC287">
        <v>28</v>
      </c>
      <c r="AD287" t="s">
        <v>2984</v>
      </c>
      <c r="AE287" t="s">
        <v>2218</v>
      </c>
      <c r="AF287" t="s">
        <v>2985</v>
      </c>
      <c r="AG287" t="s">
        <v>2986</v>
      </c>
      <c r="AH287" t="str">
        <f>HYPERLINK("http://compartments.jensenlab.org/Entity?figures=subcell_cell_%&amp;knowledge=10&amp;textmining=10&amp;experiments=10&amp;predictions=10&amp;type1=9606&amp;type2=-22&amp;id1=ENSP00000355800","link")</f>
        <v>link</v>
      </c>
      <c r="AI287" t="s">
        <v>1487</v>
      </c>
      <c r="AJ287" t="s">
        <v>1488</v>
      </c>
      <c r="AK287" t="str">
        <f>HYPERLINK("http://www.proteinatlas.org/O94886","no")</f>
        <v>no</v>
      </c>
      <c r="AM287">
        <v>9725</v>
      </c>
    </row>
    <row r="288" spans="1:39" x14ac:dyDescent="0.35">
      <c r="A288" t="s">
        <v>2987</v>
      </c>
      <c r="B288" t="str">
        <f>HYPERLINK("http://www.uniprot.org/uniprot/O94898","O94898")</f>
        <v>O94898</v>
      </c>
      <c r="C288" t="s">
        <v>2988</v>
      </c>
      <c r="D288" t="s">
        <v>2989</v>
      </c>
      <c r="E288" t="s">
        <v>39</v>
      </c>
      <c r="F288" t="s">
        <v>40</v>
      </c>
      <c r="H288">
        <v>1065</v>
      </c>
      <c r="I288">
        <v>1</v>
      </c>
      <c r="J288">
        <v>1</v>
      </c>
      <c r="K288" t="s">
        <v>2990</v>
      </c>
      <c r="L288" t="s">
        <v>57</v>
      </c>
      <c r="N288">
        <v>0.95809999999999995</v>
      </c>
      <c r="O288" s="1">
        <v>1</v>
      </c>
      <c r="P288" t="s">
        <v>2991</v>
      </c>
      <c r="Q288" t="s">
        <v>2992</v>
      </c>
      <c r="S288" t="s">
        <v>91</v>
      </c>
      <c r="T288" t="s">
        <v>260</v>
      </c>
      <c r="U288" t="s">
        <v>2993</v>
      </c>
      <c r="V288">
        <v>12</v>
      </c>
      <c r="AE288" t="s">
        <v>2994</v>
      </c>
      <c r="AF288" t="s">
        <v>2995</v>
      </c>
      <c r="AG288" t="s">
        <v>2996</v>
      </c>
      <c r="AH288" t="str">
        <f>HYPERLINK("http://compartments.jensenlab.org/Entity?figures=subcell_cell_%&amp;knowledge=10&amp;textmining=10&amp;experiments=10&amp;predictions=10&amp;type1=9606&amp;type2=-22&amp;id1=ENSP00000355396","link")</f>
        <v>link</v>
      </c>
      <c r="AI288" t="s">
        <v>65</v>
      </c>
      <c r="AJ288" t="s">
        <v>2124</v>
      </c>
      <c r="AK288" t="str">
        <f>HYPERLINK("http://www.proteinatlas.org/O94898","HPA015538")</f>
        <v>HPA015538</v>
      </c>
      <c r="AM288">
        <v>9860</v>
      </c>
    </row>
    <row r="289" spans="1:39" x14ac:dyDescent="0.35">
      <c r="A289" t="s">
        <v>2997</v>
      </c>
      <c r="B289" t="str">
        <f>HYPERLINK("http://www.uniprot.org/uniprot/O94910","O94910")</f>
        <v>O94910</v>
      </c>
      <c r="C289" t="s">
        <v>2998</v>
      </c>
      <c r="D289" t="s">
        <v>2999</v>
      </c>
      <c r="E289" t="s">
        <v>39</v>
      </c>
      <c r="F289" t="s">
        <v>40</v>
      </c>
      <c r="H289">
        <v>1474</v>
      </c>
      <c r="I289">
        <v>7</v>
      </c>
      <c r="J289">
        <v>1</v>
      </c>
      <c r="K289" t="s">
        <v>3000</v>
      </c>
      <c r="L289" t="s">
        <v>57</v>
      </c>
      <c r="N289">
        <v>0.96609999999999996</v>
      </c>
      <c r="O289" s="1">
        <v>1</v>
      </c>
      <c r="P289" t="s">
        <v>3001</v>
      </c>
      <c r="Q289" t="s">
        <v>3002</v>
      </c>
      <c r="S289" t="s">
        <v>166</v>
      </c>
      <c r="T289" t="s">
        <v>1149</v>
      </c>
      <c r="U289" t="s">
        <v>3003</v>
      </c>
      <c r="V289">
        <v>7</v>
      </c>
      <c r="AE289" t="s">
        <v>3004</v>
      </c>
      <c r="AF289" t="s">
        <v>3005</v>
      </c>
      <c r="AG289" t="s">
        <v>3006</v>
      </c>
      <c r="AH289" t="str">
        <f>HYPERLINK("http://compartments.jensenlab.org/Entity?figures=subcell_cell_%&amp;knowledge=10&amp;textmining=10&amp;experiments=10&amp;predictions=10&amp;type1=9606&amp;type2=-22&amp;id1=ENSP00000340688","link")</f>
        <v>link</v>
      </c>
      <c r="AI289" t="s">
        <v>65</v>
      </c>
      <c r="AJ289" t="s">
        <v>1811</v>
      </c>
      <c r="AK289" t="str">
        <f>HYPERLINK("http://www.proteinatlas.org/O94910","HPA037974")</f>
        <v>HPA037974</v>
      </c>
      <c r="AM289">
        <v>22859</v>
      </c>
    </row>
    <row r="290" spans="1:39" x14ac:dyDescent="0.35">
      <c r="A290" t="s">
        <v>3007</v>
      </c>
      <c r="B290" t="str">
        <f>HYPERLINK("http://www.uniprot.org/uniprot/O94911","O94911")</f>
        <v>O94911</v>
      </c>
      <c r="C290" t="s">
        <v>3008</v>
      </c>
      <c r="D290" t="s">
        <v>3009</v>
      </c>
      <c r="E290" t="s">
        <v>39</v>
      </c>
      <c r="F290" t="s">
        <v>55</v>
      </c>
      <c r="H290">
        <v>1581</v>
      </c>
      <c r="I290">
        <v>14</v>
      </c>
      <c r="J290">
        <v>0</v>
      </c>
      <c r="K290" t="s">
        <v>3010</v>
      </c>
      <c r="L290" t="s">
        <v>118</v>
      </c>
      <c r="M290" t="s">
        <v>39</v>
      </c>
      <c r="N290">
        <v>0.73960000000000004</v>
      </c>
      <c r="O290" s="1">
        <v>2</v>
      </c>
      <c r="P290" t="s">
        <v>3011</v>
      </c>
      <c r="Q290" t="s">
        <v>3012</v>
      </c>
      <c r="S290" t="s">
        <v>45</v>
      </c>
      <c r="T290" t="s">
        <v>3013</v>
      </c>
      <c r="U290" t="s">
        <v>3014</v>
      </c>
      <c r="V290">
        <v>7</v>
      </c>
      <c r="Y290">
        <v>266</v>
      </c>
      <c r="Z290" t="s">
        <v>107</v>
      </c>
      <c r="AA290">
        <v>2</v>
      </c>
      <c r="AB290" t="s">
        <v>3015</v>
      </c>
      <c r="AC290" t="s">
        <v>3016</v>
      </c>
      <c r="AD290" t="s">
        <v>3017</v>
      </c>
      <c r="AE290" t="s">
        <v>74</v>
      </c>
      <c r="AF290" t="s">
        <v>3018</v>
      </c>
      <c r="AG290" t="s">
        <v>3019</v>
      </c>
      <c r="AH290" t="str">
        <f>HYPERLINK("http://compartments.jensenlab.org/Entity?figures=subcell_cell_%&amp;knowledge=10&amp;textmining=10&amp;experiments=10&amp;predictions=10&amp;type1=9606&amp;type2=-22&amp;id1=ENSP00000269080","link")</f>
        <v>link</v>
      </c>
      <c r="AI290" t="s">
        <v>65</v>
      </c>
      <c r="AJ290" t="s">
        <v>51</v>
      </c>
      <c r="AK290" t="str">
        <f>HYPERLINK("http://www.proteinatlas.org/O94911","HPA044914")</f>
        <v>HPA044914</v>
      </c>
      <c r="AM290">
        <v>10351</v>
      </c>
    </row>
    <row r="291" spans="1:39" x14ac:dyDescent="0.35">
      <c r="A291" t="s">
        <v>3020</v>
      </c>
      <c r="B291" t="str">
        <f>HYPERLINK("http://www.uniprot.org/uniprot/O94933","O94933")</f>
        <v>O94933</v>
      </c>
      <c r="C291" t="s">
        <v>3021</v>
      </c>
      <c r="D291" t="s">
        <v>3022</v>
      </c>
      <c r="E291" t="s">
        <v>39</v>
      </c>
      <c r="F291" t="s">
        <v>40</v>
      </c>
      <c r="H291">
        <v>977</v>
      </c>
      <c r="I291">
        <v>2</v>
      </c>
      <c r="J291">
        <v>1</v>
      </c>
      <c r="K291" t="s">
        <v>3023</v>
      </c>
      <c r="L291" t="s">
        <v>3024</v>
      </c>
      <c r="N291">
        <v>0.85229999999999995</v>
      </c>
      <c r="O291" s="1">
        <v>1</v>
      </c>
      <c r="P291" t="s">
        <v>3025</v>
      </c>
      <c r="Q291" t="s">
        <v>3026</v>
      </c>
      <c r="S291" t="s">
        <v>91</v>
      </c>
      <c r="T291" t="s">
        <v>260</v>
      </c>
      <c r="U291" t="s">
        <v>3027</v>
      </c>
      <c r="V291">
        <v>7</v>
      </c>
      <c r="Z291" t="s">
        <v>107</v>
      </c>
      <c r="AA291">
        <v>1</v>
      </c>
      <c r="AB291" t="s">
        <v>3028</v>
      </c>
      <c r="AC291">
        <v>804</v>
      </c>
      <c r="AD291" t="s">
        <v>3029</v>
      </c>
      <c r="AE291" t="s">
        <v>144</v>
      </c>
      <c r="AF291" t="s">
        <v>529</v>
      </c>
      <c r="AG291" t="s">
        <v>3030</v>
      </c>
      <c r="AH291" t="str">
        <f>HYPERLINK("http://compartments.jensenlab.org/Entity?figures=subcell_cell_%&amp;knowledge=10&amp;textmining=10&amp;experiments=10&amp;predictions=10&amp;type1=9606&amp;type2=-22&amp;id1=ENSP00000241274","link")</f>
        <v>link</v>
      </c>
      <c r="AJ291" t="s">
        <v>51</v>
      </c>
      <c r="AK291" t="str">
        <f>HYPERLINK("http://www.proteinatlas.org/O94933","HPA017636")</f>
        <v>HPA017636</v>
      </c>
      <c r="AM291">
        <v>22865</v>
      </c>
    </row>
    <row r="292" spans="1:39" x14ac:dyDescent="0.35">
      <c r="A292" t="s">
        <v>3031</v>
      </c>
      <c r="B292" t="str">
        <f>HYPERLINK("http://www.uniprot.org/uniprot/O94956","O94956")</f>
        <v>O94956</v>
      </c>
      <c r="C292" t="s">
        <v>3032</v>
      </c>
      <c r="D292" t="s">
        <v>3033</v>
      </c>
      <c r="E292" t="s">
        <v>39</v>
      </c>
      <c r="F292" t="s">
        <v>40</v>
      </c>
      <c r="H292">
        <v>709</v>
      </c>
      <c r="I292">
        <v>12</v>
      </c>
      <c r="J292">
        <v>0</v>
      </c>
      <c r="K292" t="s">
        <v>3034</v>
      </c>
      <c r="L292" t="s">
        <v>57</v>
      </c>
      <c r="N292">
        <v>0.93210000000000004</v>
      </c>
      <c r="O292" s="1">
        <v>1</v>
      </c>
      <c r="P292" t="s">
        <v>3035</v>
      </c>
      <c r="Q292" t="s">
        <v>3036</v>
      </c>
      <c r="S292" t="s">
        <v>45</v>
      </c>
      <c r="T292" t="s">
        <v>797</v>
      </c>
      <c r="U292" t="s">
        <v>3037</v>
      </c>
      <c r="V292">
        <v>3</v>
      </c>
      <c r="AE292" t="s">
        <v>74</v>
      </c>
      <c r="AF292" t="s">
        <v>3038</v>
      </c>
      <c r="AG292" t="s">
        <v>3039</v>
      </c>
      <c r="AH292" t="str">
        <f>HYPERLINK("http://compartments.jensenlab.org/Entity?figures=subcell_cell_%&amp;knowledge=10&amp;textmining=10&amp;experiments=10&amp;predictions=10&amp;type1=9606&amp;type2=-22&amp;id1=ENSP00000388912","link")</f>
        <v>link</v>
      </c>
      <c r="AK292" t="str">
        <f>HYPERLINK("http://www.proteinatlas.org/O94956","HPA020659")</f>
        <v>HPA020659</v>
      </c>
      <c r="AL292" t="s">
        <v>3040</v>
      </c>
      <c r="AM292">
        <v>11309</v>
      </c>
    </row>
    <row r="293" spans="1:39" x14ac:dyDescent="0.35">
      <c r="A293" t="s">
        <v>3041</v>
      </c>
      <c r="B293" t="str">
        <f>HYPERLINK("http://www.uniprot.org/uniprot/O94985","O94985")</f>
        <v>O94985</v>
      </c>
      <c r="C293" t="s">
        <v>3042</v>
      </c>
      <c r="D293" t="s">
        <v>3043</v>
      </c>
      <c r="E293" t="s">
        <v>39</v>
      </c>
      <c r="F293" t="s">
        <v>40</v>
      </c>
      <c r="H293">
        <v>981</v>
      </c>
      <c r="I293">
        <v>1</v>
      </c>
      <c r="J293">
        <v>1</v>
      </c>
      <c r="K293" t="s">
        <v>3044</v>
      </c>
      <c r="L293" t="s">
        <v>57</v>
      </c>
      <c r="N293">
        <v>0.84430000000000005</v>
      </c>
      <c r="O293" s="1">
        <v>1</v>
      </c>
      <c r="P293" t="s">
        <v>3045</v>
      </c>
      <c r="Q293" t="s">
        <v>3046</v>
      </c>
      <c r="S293" t="s">
        <v>91</v>
      </c>
      <c r="T293" t="s">
        <v>3047</v>
      </c>
      <c r="U293" t="s">
        <v>3048</v>
      </c>
      <c r="V293">
        <v>3</v>
      </c>
      <c r="W293" t="s">
        <v>3048</v>
      </c>
      <c r="Y293">
        <v>265</v>
      </c>
      <c r="AE293" t="s">
        <v>3049</v>
      </c>
      <c r="AF293" t="s">
        <v>3050</v>
      </c>
      <c r="AG293" t="s">
        <v>3051</v>
      </c>
      <c r="AH293" t="str">
        <f>HYPERLINK("http://compartments.jensenlab.org/Entity?figures=subcell_cell_%&amp;knowledge=10&amp;textmining=10&amp;experiments=10&amp;predictions=10&amp;type1=9606&amp;type2=-22&amp;id1=ENSP00000366513","link")</f>
        <v>link</v>
      </c>
      <c r="AI293" t="s">
        <v>3052</v>
      </c>
      <c r="AJ293" t="s">
        <v>3053</v>
      </c>
      <c r="AK293" t="str">
        <f>HYPERLINK("http://www.proteinatlas.org/O94985","HPA012412")</f>
        <v>HPA012412</v>
      </c>
      <c r="AM293">
        <v>22883</v>
      </c>
    </row>
    <row r="294" spans="1:39" x14ac:dyDescent="0.35">
      <c r="A294" t="s">
        <v>3054</v>
      </c>
      <c r="B294" t="str">
        <f>HYPERLINK("http://www.uniprot.org/uniprot/O94991","O94991")</f>
        <v>O94991</v>
      </c>
      <c r="C294" t="s">
        <v>3055</v>
      </c>
      <c r="D294" t="s">
        <v>3056</v>
      </c>
      <c r="E294" t="s">
        <v>39</v>
      </c>
      <c r="F294" t="s">
        <v>40</v>
      </c>
      <c r="H294">
        <v>958</v>
      </c>
      <c r="I294">
        <v>1</v>
      </c>
      <c r="J294">
        <v>1</v>
      </c>
      <c r="K294" t="s">
        <v>3057</v>
      </c>
      <c r="L294" t="s">
        <v>57</v>
      </c>
      <c r="N294">
        <v>0.89219999999999999</v>
      </c>
      <c r="O294" s="1">
        <v>1</v>
      </c>
      <c r="P294" t="s">
        <v>3058</v>
      </c>
      <c r="Q294" t="s">
        <v>3059</v>
      </c>
      <c r="S294" t="s">
        <v>91</v>
      </c>
      <c r="T294" t="s">
        <v>260</v>
      </c>
      <c r="U294" t="s">
        <v>3060</v>
      </c>
      <c r="V294">
        <v>3</v>
      </c>
      <c r="AE294" t="s">
        <v>144</v>
      </c>
      <c r="AF294" t="s">
        <v>3061</v>
      </c>
      <c r="AG294" t="s">
        <v>3062</v>
      </c>
      <c r="AH294" t="str">
        <f>HYPERLINK("http://compartments.jensenlab.org/Entity?figures=subcell_cell_%&amp;knowledge=10&amp;textmining=10&amp;experiments=10&amp;predictions=10&amp;type1=9606&amp;type2=-22&amp;id1=ENSP00000366283","link")</f>
        <v>link</v>
      </c>
      <c r="AJ294" t="s">
        <v>51</v>
      </c>
      <c r="AK294" t="str">
        <f>HYPERLINK("http://www.proteinatlas.org/O94991","HPA013843")</f>
        <v>HPA013843</v>
      </c>
      <c r="AM294">
        <v>26050</v>
      </c>
    </row>
    <row r="295" spans="1:39" x14ac:dyDescent="0.35">
      <c r="A295" t="s">
        <v>3063</v>
      </c>
      <c r="B295" t="str">
        <f>HYPERLINK("http://www.uniprot.org/uniprot/O95006","O95006")</f>
        <v>O95006</v>
      </c>
      <c r="C295" t="s">
        <v>3064</v>
      </c>
      <c r="D295" t="s">
        <v>3065</v>
      </c>
      <c r="E295" t="s">
        <v>39</v>
      </c>
      <c r="F295" t="s">
        <v>55</v>
      </c>
      <c r="H295">
        <v>317</v>
      </c>
      <c r="I295">
        <v>7</v>
      </c>
      <c r="J295">
        <v>0</v>
      </c>
      <c r="K295" t="s">
        <v>3066</v>
      </c>
      <c r="L295" t="s">
        <v>57</v>
      </c>
      <c r="N295">
        <v>0.96409999999999996</v>
      </c>
      <c r="O295" s="1">
        <v>1</v>
      </c>
      <c r="P295" t="s">
        <v>3067</v>
      </c>
      <c r="Q295" t="s">
        <v>3068</v>
      </c>
      <c r="S295" t="s">
        <v>166</v>
      </c>
      <c r="T295" t="s">
        <v>167</v>
      </c>
      <c r="U295" t="s">
        <v>1191</v>
      </c>
      <c r="V295">
        <v>1</v>
      </c>
      <c r="AE295" t="s">
        <v>74</v>
      </c>
      <c r="AF295" t="s">
        <v>169</v>
      </c>
      <c r="AG295" t="s">
        <v>3069</v>
      </c>
      <c r="AH295" t="str">
        <f>HYPERLINK("http://compartments.jensenlab.org/Entity?figures=subcell_cell_%&amp;knowledge=10&amp;textmining=10&amp;experiments=10&amp;predictions=10&amp;type1=9606&amp;type2=-22&amp;id1=ENSP00000386222","link")</f>
        <v>link</v>
      </c>
      <c r="AI295" t="s">
        <v>65</v>
      </c>
      <c r="AJ295" t="s">
        <v>51</v>
      </c>
      <c r="AK295" t="str">
        <f>HYPERLINK("http://www.proteinatlas.org/O95006","no")</f>
        <v>no</v>
      </c>
      <c r="AM295">
        <v>135948</v>
      </c>
    </row>
    <row r="296" spans="1:39" x14ac:dyDescent="0.35">
      <c r="A296" t="s">
        <v>3070</v>
      </c>
      <c r="B296" t="str">
        <f>HYPERLINK("http://www.uniprot.org/uniprot/O95007","O95007")</f>
        <v>O95007</v>
      </c>
      <c r="C296" t="s">
        <v>3071</v>
      </c>
      <c r="D296" t="s">
        <v>3072</v>
      </c>
      <c r="E296" t="s">
        <v>39</v>
      </c>
      <c r="F296" t="s">
        <v>55</v>
      </c>
      <c r="H296">
        <v>311</v>
      </c>
      <c r="I296">
        <v>7</v>
      </c>
      <c r="J296">
        <v>0</v>
      </c>
      <c r="K296" t="s">
        <v>3073</v>
      </c>
      <c r="L296" t="s">
        <v>57</v>
      </c>
      <c r="M296" t="s">
        <v>39</v>
      </c>
      <c r="N296">
        <v>0.97240000000000004</v>
      </c>
      <c r="O296" s="1">
        <v>1</v>
      </c>
      <c r="P296" t="s">
        <v>3074</v>
      </c>
      <c r="Q296" t="s">
        <v>3075</v>
      </c>
      <c r="S296" t="s">
        <v>166</v>
      </c>
      <c r="T296" t="s">
        <v>167</v>
      </c>
      <c r="U296" t="s">
        <v>3076</v>
      </c>
      <c r="V296">
        <v>3</v>
      </c>
      <c r="AE296" t="s">
        <v>74</v>
      </c>
      <c r="AF296" t="s">
        <v>169</v>
      </c>
      <c r="AG296" t="s">
        <v>3077</v>
      </c>
      <c r="AH296" t="str">
        <f>HYPERLINK("http://compartments.jensenlab.org/Entity?figures=subcell_cell_%&amp;knowledge=10&amp;textmining=10&amp;experiments=10&amp;predictions=10&amp;type1=9606&amp;type2=-22&amp;id1=ENSP00000386151","link")</f>
        <v>link</v>
      </c>
      <c r="AI296" t="s">
        <v>65</v>
      </c>
      <c r="AJ296" t="s">
        <v>51</v>
      </c>
      <c r="AK296" t="str">
        <f>HYPERLINK("http://www.proteinatlas.org/O95007","HPA053164")</f>
        <v>HPA053164</v>
      </c>
      <c r="AM296">
        <v>135946</v>
      </c>
    </row>
    <row r="297" spans="1:39" x14ac:dyDescent="0.35">
      <c r="A297" t="s">
        <v>3078</v>
      </c>
      <c r="B297" t="str">
        <f>HYPERLINK("http://www.uniprot.org/uniprot/O95013","O95013")</f>
        <v>O95013</v>
      </c>
      <c r="C297" t="s">
        <v>3079</v>
      </c>
      <c r="D297" t="s">
        <v>3080</v>
      </c>
      <c r="E297" t="s">
        <v>39</v>
      </c>
      <c r="F297" t="s">
        <v>55</v>
      </c>
      <c r="H297">
        <v>312</v>
      </c>
      <c r="I297">
        <v>7</v>
      </c>
      <c r="J297">
        <v>0</v>
      </c>
      <c r="K297" t="s">
        <v>3081</v>
      </c>
      <c r="L297" t="s">
        <v>57</v>
      </c>
      <c r="N297">
        <v>0.99</v>
      </c>
      <c r="O297" s="1">
        <v>1</v>
      </c>
      <c r="P297" t="s">
        <v>3082</v>
      </c>
      <c r="Q297" t="s">
        <v>3083</v>
      </c>
      <c r="S297" t="s">
        <v>166</v>
      </c>
      <c r="T297" t="s">
        <v>167</v>
      </c>
      <c r="U297">
        <v>5</v>
      </c>
      <c r="V297">
        <v>1</v>
      </c>
      <c r="AE297" t="s">
        <v>74</v>
      </c>
      <c r="AF297" t="s">
        <v>549</v>
      </c>
      <c r="AG297" t="s">
        <v>3084</v>
      </c>
      <c r="AH297" t="str">
        <f>HYPERLINK("http://compartments.jensenlab.org/Entity?figures=subcell_cell_%&amp;knowledge=10&amp;textmining=10&amp;experiments=10&amp;predictions=10&amp;type1=9606&amp;type2=-22&amp;id1=ENSP00000318878","link")</f>
        <v>link</v>
      </c>
      <c r="AI297" t="s">
        <v>65</v>
      </c>
      <c r="AJ297" t="s">
        <v>51</v>
      </c>
      <c r="AK297" t="str">
        <f>HYPERLINK("http://www.proteinatlas.org/O95013","HPA047705")</f>
        <v>HPA047705</v>
      </c>
      <c r="AM297">
        <v>441308</v>
      </c>
    </row>
    <row r="298" spans="1:39" x14ac:dyDescent="0.35">
      <c r="A298" t="s">
        <v>3085</v>
      </c>
      <c r="B298" t="str">
        <f>HYPERLINK("http://www.uniprot.org/uniprot/O95047","O95047")</f>
        <v>O95047</v>
      </c>
      <c r="C298" t="s">
        <v>3086</v>
      </c>
      <c r="D298" t="s">
        <v>3087</v>
      </c>
      <c r="E298" t="s">
        <v>39</v>
      </c>
      <c r="F298" t="s">
        <v>55</v>
      </c>
      <c r="H298">
        <v>310</v>
      </c>
      <c r="I298">
        <v>7</v>
      </c>
      <c r="J298">
        <v>0</v>
      </c>
      <c r="K298" t="s">
        <v>3088</v>
      </c>
      <c r="L298" t="s">
        <v>57</v>
      </c>
      <c r="M298" t="s">
        <v>39</v>
      </c>
      <c r="N298">
        <v>0.83819999999999995</v>
      </c>
      <c r="O298" s="1">
        <v>1</v>
      </c>
      <c r="P298" t="s">
        <v>3089</v>
      </c>
      <c r="Q298" t="s">
        <v>3090</v>
      </c>
      <c r="S298" t="s">
        <v>166</v>
      </c>
      <c r="T298" t="s">
        <v>167</v>
      </c>
      <c r="U298" t="s">
        <v>177</v>
      </c>
      <c r="V298">
        <v>1</v>
      </c>
      <c r="AE298" t="s">
        <v>74</v>
      </c>
      <c r="AF298" t="s">
        <v>3091</v>
      </c>
      <c r="AG298" t="s">
        <v>3092</v>
      </c>
      <c r="AH298" t="str">
        <f>HYPERLINK("http://compartments.jensenlab.org/Entity?figures=subcell_cell_%&amp;knowledge=10&amp;textmining=10&amp;experiments=10&amp;predictions=10&amp;type1=9606&amp;type2=-22&amp;id1=ENSP00000319546","link")</f>
        <v>link</v>
      </c>
      <c r="AI298" t="s">
        <v>65</v>
      </c>
      <c r="AJ298" t="s">
        <v>51</v>
      </c>
      <c r="AK298" t="str">
        <f>HYPERLINK("http://www.proteinatlas.org/O95047","HPA058272")</f>
        <v>HPA058272</v>
      </c>
      <c r="AM298">
        <v>79541</v>
      </c>
    </row>
    <row r="299" spans="1:39" x14ac:dyDescent="0.35">
      <c r="A299" t="s">
        <v>3093</v>
      </c>
      <c r="B299" t="str">
        <f>HYPERLINK("http://www.uniprot.org/uniprot/O95136","O95136")</f>
        <v>O95136</v>
      </c>
      <c r="C299" t="s">
        <v>3094</v>
      </c>
      <c r="D299" t="s">
        <v>3095</v>
      </c>
      <c r="E299" t="s">
        <v>39</v>
      </c>
      <c r="F299" t="s">
        <v>55</v>
      </c>
      <c r="H299">
        <v>353</v>
      </c>
      <c r="I299">
        <v>7</v>
      </c>
      <c r="J299">
        <v>0</v>
      </c>
      <c r="K299" t="s">
        <v>3096</v>
      </c>
      <c r="L299" t="s">
        <v>101</v>
      </c>
      <c r="M299" t="s">
        <v>39</v>
      </c>
      <c r="N299">
        <v>0.93410000000000004</v>
      </c>
      <c r="O299" s="1">
        <v>1</v>
      </c>
      <c r="P299" t="s">
        <v>3097</v>
      </c>
      <c r="Q299" t="s">
        <v>3098</v>
      </c>
      <c r="S299" t="s">
        <v>166</v>
      </c>
      <c r="T299" t="s">
        <v>838</v>
      </c>
      <c r="U299">
        <v>19</v>
      </c>
      <c r="V299">
        <v>1</v>
      </c>
      <c r="X299" t="s">
        <v>3099</v>
      </c>
      <c r="Z299" t="s">
        <v>107</v>
      </c>
      <c r="AA299">
        <v>2</v>
      </c>
      <c r="AB299" t="s">
        <v>3100</v>
      </c>
      <c r="AC299">
        <v>19</v>
      </c>
      <c r="AD299" t="s">
        <v>3101</v>
      </c>
      <c r="AE299" t="s">
        <v>74</v>
      </c>
      <c r="AF299" t="s">
        <v>3102</v>
      </c>
      <c r="AG299" t="s">
        <v>3103</v>
      </c>
      <c r="AH299" t="str">
        <f>HYPERLINK("http://compartments.jensenlab.org/Entity?figures=subcell_cell_%&amp;knowledge=10&amp;textmining=10&amp;experiments=10&amp;predictions=10&amp;type1=9606&amp;type2=-22&amp;id1=ENSP00000466933","link")</f>
        <v>link</v>
      </c>
      <c r="AK299" t="str">
        <f>HYPERLINK("http://www.proteinatlas.org/O95136","HPA014307")</f>
        <v>HPA014307</v>
      </c>
      <c r="AM299">
        <v>9294</v>
      </c>
    </row>
    <row r="300" spans="1:39" x14ac:dyDescent="0.35">
      <c r="A300" t="s">
        <v>3104</v>
      </c>
      <c r="B300" t="str">
        <f>HYPERLINK("http://www.uniprot.org/uniprot/O95150","O95150")</f>
        <v>O95150</v>
      </c>
      <c r="C300" t="s">
        <v>3105</v>
      </c>
      <c r="D300" t="s">
        <v>3106</v>
      </c>
      <c r="E300" t="s">
        <v>39</v>
      </c>
      <c r="F300" t="s">
        <v>40</v>
      </c>
      <c r="H300">
        <v>251</v>
      </c>
      <c r="I300">
        <v>1</v>
      </c>
      <c r="J300">
        <v>0</v>
      </c>
      <c r="K300" t="s">
        <v>3107</v>
      </c>
      <c r="L300" t="s">
        <v>57</v>
      </c>
      <c r="N300">
        <v>0.61480000000000001</v>
      </c>
      <c r="O300" s="1">
        <v>2</v>
      </c>
      <c r="P300" t="s">
        <v>3108</v>
      </c>
      <c r="Q300" t="s">
        <v>3109</v>
      </c>
      <c r="S300" t="s">
        <v>60</v>
      </c>
      <c r="T300" t="s">
        <v>60</v>
      </c>
      <c r="U300" t="s">
        <v>3110</v>
      </c>
      <c r="V300">
        <v>2</v>
      </c>
      <c r="W300" t="s">
        <v>3110</v>
      </c>
      <c r="AE300" t="s">
        <v>3111</v>
      </c>
      <c r="AF300" t="s">
        <v>3112</v>
      </c>
      <c r="AG300" t="s">
        <v>3113</v>
      </c>
      <c r="AH300" t="str">
        <f>HYPERLINK("http://compartments.jensenlab.org/Entity?figures=subcell_cell_%&amp;knowledge=10&amp;textmining=10&amp;experiments=10&amp;predictions=10&amp;type1=9606&amp;type2=-22&amp;id1=ENSP00000363157","link")</f>
        <v>link</v>
      </c>
      <c r="AI300" t="s">
        <v>113</v>
      </c>
      <c r="AJ300" t="s">
        <v>902</v>
      </c>
      <c r="AK300" t="str">
        <f>HYPERLINK("http://www.proteinatlas.org/O95150","HPA012948")</f>
        <v>HPA012948</v>
      </c>
      <c r="AM300">
        <v>9966</v>
      </c>
    </row>
    <row r="301" spans="1:39" x14ac:dyDescent="0.35">
      <c r="A301" t="s">
        <v>3114</v>
      </c>
      <c r="B301" t="str">
        <f>HYPERLINK("http://www.uniprot.org/uniprot/O95185","O95185")</f>
        <v>O95185</v>
      </c>
      <c r="C301" t="s">
        <v>3115</v>
      </c>
      <c r="D301" t="s">
        <v>3116</v>
      </c>
      <c r="E301" t="s">
        <v>39</v>
      </c>
      <c r="F301" t="s">
        <v>40</v>
      </c>
      <c r="H301">
        <v>931</v>
      </c>
      <c r="I301">
        <v>1</v>
      </c>
      <c r="J301">
        <v>1</v>
      </c>
      <c r="K301" t="s">
        <v>3117</v>
      </c>
      <c r="L301" t="s">
        <v>57</v>
      </c>
      <c r="N301">
        <v>0.9042</v>
      </c>
      <c r="O301" s="1">
        <v>1</v>
      </c>
      <c r="P301" t="s">
        <v>3118</v>
      </c>
      <c r="Q301" t="s">
        <v>3119</v>
      </c>
      <c r="S301" t="s">
        <v>166</v>
      </c>
      <c r="T301" t="s">
        <v>3120</v>
      </c>
      <c r="U301" t="s">
        <v>3121</v>
      </c>
      <c r="V301">
        <v>2</v>
      </c>
      <c r="Y301" t="s">
        <v>3122</v>
      </c>
      <c r="AE301" t="s">
        <v>144</v>
      </c>
      <c r="AF301" t="s">
        <v>3123</v>
      </c>
      <c r="AG301" t="s">
        <v>3124</v>
      </c>
      <c r="AH301" t="str">
        <f>HYPERLINK("http://compartments.jensenlab.org/Entity?figures=subcell_cell_%&amp;knowledge=10&amp;textmining=10&amp;experiments=10&amp;predictions=10&amp;type1=9606&amp;type2=-22&amp;id1=ENSP00000406022","link")</f>
        <v>link</v>
      </c>
      <c r="AJ301" t="s">
        <v>51</v>
      </c>
      <c r="AK301" t="str">
        <f>HYPERLINK("http://www.proteinatlas.org/O95185","HPA012086;CAB025086")</f>
        <v>HPA012086;CAB025086</v>
      </c>
      <c r="AM301">
        <v>8633</v>
      </c>
    </row>
    <row r="302" spans="1:39" x14ac:dyDescent="0.35">
      <c r="A302" t="s">
        <v>3125</v>
      </c>
      <c r="B302" t="str">
        <f>HYPERLINK("http://www.uniprot.org/uniprot/O95196","O95196")</f>
        <v>O95196</v>
      </c>
      <c r="C302" t="s">
        <v>3126</v>
      </c>
      <c r="D302" t="s">
        <v>3127</v>
      </c>
      <c r="E302" t="s">
        <v>39</v>
      </c>
      <c r="F302" t="s">
        <v>55</v>
      </c>
      <c r="H302">
        <v>566</v>
      </c>
      <c r="I302">
        <v>1</v>
      </c>
      <c r="J302">
        <v>1</v>
      </c>
      <c r="K302" t="s">
        <v>3128</v>
      </c>
      <c r="L302" t="s">
        <v>101</v>
      </c>
      <c r="M302" t="s">
        <v>39</v>
      </c>
      <c r="N302">
        <v>0.90049999999999997</v>
      </c>
      <c r="O302" s="1">
        <v>1</v>
      </c>
      <c r="P302" t="s">
        <v>3129</v>
      </c>
      <c r="Q302" t="s">
        <v>3130</v>
      </c>
      <c r="S302" t="s">
        <v>60</v>
      </c>
      <c r="T302" t="s">
        <v>60</v>
      </c>
      <c r="U302" t="s">
        <v>3131</v>
      </c>
      <c r="V302">
        <v>3</v>
      </c>
      <c r="W302" t="s">
        <v>3131</v>
      </c>
      <c r="Z302" t="s">
        <v>107</v>
      </c>
      <c r="AA302">
        <v>2</v>
      </c>
      <c r="AB302" t="s">
        <v>3132</v>
      </c>
      <c r="AC302" t="s">
        <v>3133</v>
      </c>
      <c r="AD302" t="s">
        <v>3134</v>
      </c>
      <c r="AE302" t="s">
        <v>3135</v>
      </c>
      <c r="AF302" t="s">
        <v>3136</v>
      </c>
      <c r="AG302" t="s">
        <v>3137</v>
      </c>
      <c r="AH302" t="str">
        <f>HYPERLINK("http://compartments.jensenlab.org/Entity?figures=subcell_cell_%&amp;knowledge=10&amp;textmining=10&amp;experiments=10&amp;predictions=10&amp;type1=9606&amp;type2=-22&amp;id1=ENSP00000373244","link")</f>
        <v>link</v>
      </c>
      <c r="AK302" t="str">
        <f>HYPERLINK("http://www.proteinatlas.org/O95196","no")</f>
        <v>no</v>
      </c>
      <c r="AM302">
        <v>10675</v>
      </c>
    </row>
    <row r="303" spans="1:39" x14ac:dyDescent="0.35">
      <c r="A303" t="s">
        <v>3138</v>
      </c>
      <c r="B303" t="str">
        <f>HYPERLINK("http://www.uniprot.org/uniprot/O95206","O95206")</f>
        <v>O95206</v>
      </c>
      <c r="C303" t="s">
        <v>3139</v>
      </c>
      <c r="D303" t="s">
        <v>3140</v>
      </c>
      <c r="E303" t="s">
        <v>39</v>
      </c>
      <c r="F303" t="s">
        <v>55</v>
      </c>
      <c r="H303">
        <v>1070</v>
      </c>
      <c r="I303">
        <v>1</v>
      </c>
      <c r="J303">
        <v>1</v>
      </c>
      <c r="K303" t="s">
        <v>3141</v>
      </c>
      <c r="L303" t="s">
        <v>57</v>
      </c>
      <c r="M303" t="s">
        <v>39</v>
      </c>
      <c r="N303">
        <v>0.90659999999999996</v>
      </c>
      <c r="O303" s="1">
        <v>1</v>
      </c>
      <c r="P303" t="s">
        <v>3142</v>
      </c>
      <c r="Q303" t="s">
        <v>3143</v>
      </c>
      <c r="S303" t="s">
        <v>91</v>
      </c>
      <c r="T303" t="s">
        <v>216</v>
      </c>
      <c r="U303" t="s">
        <v>3144</v>
      </c>
      <c r="V303">
        <v>3</v>
      </c>
      <c r="W303">
        <v>464</v>
      </c>
      <c r="AE303" t="s">
        <v>3145</v>
      </c>
      <c r="AF303" t="s">
        <v>3146</v>
      </c>
      <c r="AG303" t="s">
        <v>3147</v>
      </c>
      <c r="AH303" t="str">
        <f>HYPERLINK("http://compartments.jensenlab.org/Entity?figures=subcell_cell_%&amp;knowledge=10&amp;textmining=10&amp;experiments=10&amp;predictions=10&amp;type1=9606&amp;type2=-22&amp;id1=ENSP00000367177","link")</f>
        <v>link</v>
      </c>
      <c r="AI303" t="s">
        <v>65</v>
      </c>
      <c r="AJ303" t="s">
        <v>51</v>
      </c>
      <c r="AK303" t="str">
        <f>HYPERLINK("http://www.proteinatlas.org/O95206","HPA010509")</f>
        <v>HPA010509</v>
      </c>
      <c r="AM303">
        <v>5100</v>
      </c>
    </row>
    <row r="304" spans="1:39" x14ac:dyDescent="0.35">
      <c r="A304" t="s">
        <v>3148</v>
      </c>
      <c r="B304" t="str">
        <f>HYPERLINK("http://www.uniprot.org/uniprot/O95221","O95221")</f>
        <v>O95221</v>
      </c>
      <c r="C304" t="s">
        <v>3149</v>
      </c>
      <c r="D304" t="s">
        <v>3150</v>
      </c>
      <c r="E304" t="s">
        <v>39</v>
      </c>
      <c r="F304" t="s">
        <v>55</v>
      </c>
      <c r="H304">
        <v>314</v>
      </c>
      <c r="I304">
        <v>7</v>
      </c>
      <c r="J304">
        <v>0</v>
      </c>
      <c r="K304" t="s">
        <v>3151</v>
      </c>
      <c r="L304" t="s">
        <v>57</v>
      </c>
      <c r="N304">
        <v>0.96809999999999996</v>
      </c>
      <c r="O304" s="1">
        <v>1</v>
      </c>
      <c r="P304" t="s">
        <v>3152</v>
      </c>
      <c r="Q304" t="s">
        <v>3153</v>
      </c>
      <c r="S304" t="s">
        <v>166</v>
      </c>
      <c r="T304" t="s">
        <v>167</v>
      </c>
      <c r="U304" t="s">
        <v>3154</v>
      </c>
      <c r="V304">
        <v>2</v>
      </c>
      <c r="AE304" t="s">
        <v>74</v>
      </c>
      <c r="AF304" t="s">
        <v>169</v>
      </c>
      <c r="AG304" t="s">
        <v>3155</v>
      </c>
      <c r="AH304" t="str">
        <f>HYPERLINK("http://compartments.jensenlab.org/Entity?figures=subcell_cell_%&amp;knowledge=10&amp;textmining=10&amp;experiments=10&amp;predictions=10&amp;type1=9606&amp;type2=-22&amp;id1=ENSP00000278409","link")</f>
        <v>link</v>
      </c>
      <c r="AI304" t="s">
        <v>65</v>
      </c>
      <c r="AJ304" t="s">
        <v>51</v>
      </c>
      <c r="AK304" t="str">
        <f>HYPERLINK("http://www.proteinatlas.org/O95221","HPA059360")</f>
        <v>HPA059360</v>
      </c>
      <c r="AM304">
        <v>338674</v>
      </c>
    </row>
    <row r="305" spans="1:39" x14ac:dyDescent="0.35">
      <c r="A305" t="s">
        <v>3156</v>
      </c>
      <c r="B305" t="str">
        <f>HYPERLINK("http://www.uniprot.org/uniprot/O95222","O95222")</f>
        <v>O95222</v>
      </c>
      <c r="C305" t="s">
        <v>3157</v>
      </c>
      <c r="D305" t="s">
        <v>3158</v>
      </c>
      <c r="E305" t="s">
        <v>39</v>
      </c>
      <c r="F305" t="s">
        <v>55</v>
      </c>
      <c r="H305">
        <v>327</v>
      </c>
      <c r="I305">
        <v>7</v>
      </c>
      <c r="J305">
        <v>0</v>
      </c>
      <c r="K305" t="s">
        <v>3159</v>
      </c>
      <c r="L305" t="s">
        <v>57</v>
      </c>
      <c r="M305" t="s">
        <v>39</v>
      </c>
      <c r="N305">
        <v>0.97770000000000001</v>
      </c>
      <c r="O305" s="1">
        <v>1</v>
      </c>
      <c r="P305" t="s">
        <v>3160</v>
      </c>
      <c r="Q305" t="s">
        <v>3161</v>
      </c>
      <c r="S305" t="s">
        <v>166</v>
      </c>
      <c r="T305" t="s">
        <v>167</v>
      </c>
      <c r="U305" t="s">
        <v>3162</v>
      </c>
      <c r="V305">
        <v>2</v>
      </c>
      <c r="AE305" t="s">
        <v>74</v>
      </c>
      <c r="AF305" t="s">
        <v>169</v>
      </c>
      <c r="AG305" t="s">
        <v>3163</v>
      </c>
      <c r="AH305" t="str">
        <f>HYPERLINK("http://compartments.jensenlab.org/Entity?figures=subcell_cell_%&amp;knowledge=10&amp;textmining=10&amp;experiments=10&amp;predictions=10&amp;type1=9606&amp;type2=-22&amp;id1=ENSP00000330384","link")</f>
        <v>link</v>
      </c>
      <c r="AI305" t="s">
        <v>65</v>
      </c>
      <c r="AJ305" t="s">
        <v>51</v>
      </c>
      <c r="AK305" t="str">
        <f>HYPERLINK("http://www.proteinatlas.org/O95222","no")</f>
        <v>no</v>
      </c>
      <c r="AM305">
        <v>8590</v>
      </c>
    </row>
    <row r="306" spans="1:39" x14ac:dyDescent="0.35">
      <c r="A306" t="s">
        <v>3164</v>
      </c>
      <c r="B306" t="str">
        <f>HYPERLINK("http://www.uniprot.org/uniprot/O95256","O95256")</f>
        <v>O95256</v>
      </c>
      <c r="C306" t="s">
        <v>3165</v>
      </c>
      <c r="D306" t="s">
        <v>3166</v>
      </c>
      <c r="E306" t="s">
        <v>39</v>
      </c>
      <c r="F306" t="s">
        <v>40</v>
      </c>
      <c r="H306">
        <v>599</v>
      </c>
      <c r="I306">
        <v>1</v>
      </c>
      <c r="J306">
        <v>1</v>
      </c>
      <c r="K306" t="s">
        <v>3167</v>
      </c>
      <c r="L306" t="s">
        <v>57</v>
      </c>
      <c r="N306">
        <v>0.9002</v>
      </c>
      <c r="O306" s="1">
        <v>1</v>
      </c>
      <c r="P306" t="s">
        <v>3168</v>
      </c>
      <c r="Q306" t="s">
        <v>3169</v>
      </c>
      <c r="R306" t="s">
        <v>3170</v>
      </c>
      <c r="S306" t="s">
        <v>166</v>
      </c>
      <c r="T306" t="s">
        <v>3171</v>
      </c>
      <c r="U306" t="s">
        <v>3172</v>
      </c>
      <c r="V306">
        <v>4</v>
      </c>
      <c r="AE306" t="s">
        <v>144</v>
      </c>
      <c r="AF306" t="s">
        <v>3173</v>
      </c>
      <c r="AG306" t="s">
        <v>3174</v>
      </c>
      <c r="AH306" t="str">
        <f>HYPERLINK("http://compartments.jensenlab.org/Entity?figures=subcell_cell_%&amp;knowledge=10&amp;textmining=10&amp;experiments=10&amp;predictions=10&amp;type1=9606&amp;type2=-22&amp;id1=ENSP00000264260","link")</f>
        <v>link</v>
      </c>
      <c r="AJ306" t="s">
        <v>113</v>
      </c>
      <c r="AK306" t="str">
        <f>HYPERLINK("http://www.proteinatlas.org/O95256","CAB025270")</f>
        <v>CAB025270</v>
      </c>
      <c r="AM306">
        <v>8807</v>
      </c>
    </row>
    <row r="307" spans="1:39" x14ac:dyDescent="0.35">
      <c r="A307" t="s">
        <v>3175</v>
      </c>
      <c r="B307" t="str">
        <f>HYPERLINK("http://www.uniprot.org/uniprot/O95264","O95264")</f>
        <v>O95264</v>
      </c>
      <c r="C307" t="s">
        <v>3176</v>
      </c>
      <c r="D307" t="s">
        <v>3177</v>
      </c>
      <c r="E307" t="s">
        <v>39</v>
      </c>
      <c r="F307" t="s">
        <v>40</v>
      </c>
      <c r="H307">
        <v>441</v>
      </c>
      <c r="I307">
        <v>4</v>
      </c>
      <c r="J307">
        <v>1</v>
      </c>
      <c r="K307" t="s">
        <v>3178</v>
      </c>
      <c r="L307" t="s">
        <v>57</v>
      </c>
      <c r="N307">
        <v>0.81240000000000001</v>
      </c>
      <c r="O307" s="1">
        <v>1</v>
      </c>
      <c r="P307" t="s">
        <v>3179</v>
      </c>
      <c r="Q307" t="s">
        <v>3180</v>
      </c>
      <c r="S307" t="s">
        <v>45</v>
      </c>
      <c r="T307" t="s">
        <v>195</v>
      </c>
      <c r="U307" t="s">
        <v>3181</v>
      </c>
      <c r="V307">
        <v>5</v>
      </c>
      <c r="W307">
        <v>52</v>
      </c>
      <c r="Y307">
        <v>435</v>
      </c>
      <c r="AE307" t="s">
        <v>74</v>
      </c>
      <c r="AF307" t="s">
        <v>197</v>
      </c>
      <c r="AG307" t="s">
        <v>3182</v>
      </c>
      <c r="AH307" t="str">
        <f>HYPERLINK("http://compartments.jensenlab.org/Entity?figures=subcell_cell_%&amp;knowledge=10&amp;textmining=10&amp;experiments=10&amp;predictions=10&amp;type1=9606&amp;type2=-22&amp;id1=ENSP00000260191","link")</f>
        <v>link</v>
      </c>
      <c r="AI307" t="s">
        <v>65</v>
      </c>
      <c r="AJ307" t="s">
        <v>51</v>
      </c>
      <c r="AK307" t="str">
        <f>HYPERLINK("http://www.proteinatlas.org/O95264","HPA039559")</f>
        <v>HPA039559</v>
      </c>
      <c r="AM307">
        <v>9177</v>
      </c>
    </row>
    <row r="308" spans="1:39" x14ac:dyDescent="0.35">
      <c r="A308" t="s">
        <v>3183</v>
      </c>
      <c r="B308" t="str">
        <f>HYPERLINK("http://www.uniprot.org/uniprot/O95274","O95274")</f>
        <v>O95274</v>
      </c>
      <c r="C308" t="s">
        <v>3184</v>
      </c>
      <c r="D308" t="s">
        <v>3185</v>
      </c>
      <c r="E308" t="s">
        <v>39</v>
      </c>
      <c r="F308" t="s">
        <v>239</v>
      </c>
      <c r="H308">
        <v>346</v>
      </c>
      <c r="I308">
        <v>0</v>
      </c>
      <c r="J308">
        <v>1</v>
      </c>
      <c r="K308" t="s">
        <v>3186</v>
      </c>
      <c r="L308" t="s">
        <v>996</v>
      </c>
      <c r="N308">
        <v>0.62670000000000003</v>
      </c>
      <c r="O308" s="1" t="s">
        <v>241</v>
      </c>
      <c r="P308" t="s">
        <v>3187</v>
      </c>
      <c r="Q308" t="s">
        <v>3188</v>
      </c>
      <c r="S308" t="s">
        <v>60</v>
      </c>
      <c r="T308" t="s">
        <v>60</v>
      </c>
      <c r="U308" t="s">
        <v>3189</v>
      </c>
      <c r="V308">
        <v>6</v>
      </c>
      <c r="X308" t="s">
        <v>3190</v>
      </c>
      <c r="Z308" t="s">
        <v>107</v>
      </c>
      <c r="AA308">
        <v>6</v>
      </c>
      <c r="AB308" t="s">
        <v>3191</v>
      </c>
      <c r="AC308" t="s">
        <v>3192</v>
      </c>
      <c r="AD308" t="s">
        <v>3193</v>
      </c>
      <c r="AE308" t="s">
        <v>243</v>
      </c>
      <c r="AF308" t="s">
        <v>3194</v>
      </c>
      <c r="AG308" t="s">
        <v>3195</v>
      </c>
      <c r="AH308" t="str">
        <f>HYPERLINK("http://compartments.jensenlab.org/Entity?figures=subcell_cell_%&amp;knowledge=10&amp;textmining=10&amp;experiments=10&amp;predictions=10&amp;type1=9606&amp;type2=-22&amp;id1=ENSP00000244333","link")</f>
        <v>link</v>
      </c>
      <c r="AI308" t="s">
        <v>65</v>
      </c>
      <c r="AJ308" t="s">
        <v>51</v>
      </c>
      <c r="AK308" t="str">
        <f>HYPERLINK("http://www.proteinatlas.org/O95274","HPA041529;HPA041797")</f>
        <v>HPA041529;HPA041797</v>
      </c>
      <c r="AM308">
        <v>27076</v>
      </c>
    </row>
    <row r="309" spans="1:39" x14ac:dyDescent="0.35">
      <c r="A309" t="s">
        <v>3196</v>
      </c>
      <c r="B309" t="str">
        <f>HYPERLINK("http://www.uniprot.org/uniprot/O95279","O95279")</f>
        <v>O95279</v>
      </c>
      <c r="C309" t="s">
        <v>3197</v>
      </c>
      <c r="D309" t="s">
        <v>3198</v>
      </c>
      <c r="E309" t="s">
        <v>39</v>
      </c>
      <c r="F309" t="s">
        <v>40</v>
      </c>
      <c r="H309">
        <v>499</v>
      </c>
      <c r="I309">
        <v>4</v>
      </c>
      <c r="J309">
        <v>0</v>
      </c>
      <c r="K309" t="s">
        <v>3199</v>
      </c>
      <c r="L309" t="s">
        <v>57</v>
      </c>
      <c r="N309">
        <v>0.72060000000000002</v>
      </c>
      <c r="O309" s="1">
        <v>2</v>
      </c>
      <c r="P309" t="s">
        <v>3200</v>
      </c>
      <c r="Q309" t="s">
        <v>3201</v>
      </c>
      <c r="S309" t="s">
        <v>45</v>
      </c>
      <c r="T309" t="s">
        <v>3202</v>
      </c>
      <c r="U309">
        <v>77</v>
      </c>
      <c r="V309">
        <v>1</v>
      </c>
      <c r="W309">
        <v>77</v>
      </c>
      <c r="AE309" t="s">
        <v>48</v>
      </c>
      <c r="AF309" t="s">
        <v>3203</v>
      </c>
      <c r="AG309" t="s">
        <v>3204</v>
      </c>
      <c r="AH309" t="str">
        <f>HYPERLINK("http://compartments.jensenlab.org/Entity?figures=subcell_cell_%&amp;knowledge=10&amp;textmining=10&amp;experiments=10&amp;predictions=10&amp;type1=9606&amp;type2=-22&amp;id1=ENSP00000352527","link")</f>
        <v>link</v>
      </c>
      <c r="AJ309" t="s">
        <v>51</v>
      </c>
      <c r="AK309" t="str">
        <f>HYPERLINK("http://www.proteinatlas.org/O95279","HPA059148")</f>
        <v>HPA059148</v>
      </c>
      <c r="AM309">
        <v>8645</v>
      </c>
    </row>
    <row r="310" spans="1:39" x14ac:dyDescent="0.35">
      <c r="A310" t="s">
        <v>3205</v>
      </c>
      <c r="B310" t="str">
        <f>HYPERLINK("http://www.uniprot.org/uniprot/O95297","O95297")</f>
        <v>O95297</v>
      </c>
      <c r="C310" t="s">
        <v>3206</v>
      </c>
      <c r="D310" t="s">
        <v>3207</v>
      </c>
      <c r="E310" t="s">
        <v>39</v>
      </c>
      <c r="F310" t="s">
        <v>40</v>
      </c>
      <c r="H310">
        <v>269</v>
      </c>
      <c r="I310">
        <v>1</v>
      </c>
      <c r="J310">
        <v>1</v>
      </c>
      <c r="K310" t="s">
        <v>3208</v>
      </c>
      <c r="L310" t="s">
        <v>101</v>
      </c>
      <c r="N310">
        <v>0.97209999999999996</v>
      </c>
      <c r="O310" s="1">
        <v>1</v>
      </c>
      <c r="P310" t="s">
        <v>3209</v>
      </c>
      <c r="Q310" t="s">
        <v>3210</v>
      </c>
      <c r="S310" t="s">
        <v>91</v>
      </c>
      <c r="T310" t="s">
        <v>2240</v>
      </c>
      <c r="U310" t="s">
        <v>3211</v>
      </c>
      <c r="V310">
        <v>2</v>
      </c>
      <c r="W310" t="s">
        <v>3212</v>
      </c>
      <c r="Z310" t="s">
        <v>107</v>
      </c>
      <c r="AA310">
        <v>8</v>
      </c>
      <c r="AB310" t="s">
        <v>3213</v>
      </c>
      <c r="AC310" t="s">
        <v>3212</v>
      </c>
      <c r="AD310" t="s">
        <v>3214</v>
      </c>
      <c r="AE310" t="s">
        <v>144</v>
      </c>
      <c r="AF310" t="s">
        <v>3215</v>
      </c>
      <c r="AG310" t="s">
        <v>3216</v>
      </c>
      <c r="AH310" t="str">
        <f>HYPERLINK("http://compartments.jensenlab.org/Entity?figures=subcell_cell_%&amp;knowledge=10&amp;textmining=10&amp;experiments=10&amp;predictions=10&amp;type1=9606&amp;type2=-22&amp;id1=ENSP00000352513","link")</f>
        <v>link</v>
      </c>
      <c r="AJ310" t="s">
        <v>51</v>
      </c>
      <c r="AK310" t="str">
        <f>HYPERLINK("http://www.proteinatlas.org/O95297","HPA026966")</f>
        <v>HPA026966</v>
      </c>
      <c r="AM310">
        <v>9019</v>
      </c>
    </row>
    <row r="311" spans="1:39" x14ac:dyDescent="0.35">
      <c r="A311" t="s">
        <v>3217</v>
      </c>
      <c r="B311" t="str">
        <f>HYPERLINK("http://www.uniprot.org/uniprot/O95342","O95342")</f>
        <v>O95342</v>
      </c>
      <c r="C311" t="s">
        <v>3218</v>
      </c>
      <c r="D311" t="s">
        <v>3219</v>
      </c>
      <c r="E311" t="s">
        <v>39</v>
      </c>
      <c r="F311" t="s">
        <v>40</v>
      </c>
      <c r="H311">
        <v>1321</v>
      </c>
      <c r="I311">
        <v>12</v>
      </c>
      <c r="J311">
        <v>0</v>
      </c>
      <c r="K311" t="s">
        <v>3220</v>
      </c>
      <c r="L311" t="s">
        <v>57</v>
      </c>
      <c r="N311">
        <v>0.86629999999999996</v>
      </c>
      <c r="O311" s="1">
        <v>1</v>
      </c>
      <c r="P311" t="s">
        <v>3221</v>
      </c>
      <c r="Q311" t="s">
        <v>3222</v>
      </c>
      <c r="S311" t="s">
        <v>45</v>
      </c>
      <c r="T311" t="s">
        <v>3223</v>
      </c>
      <c r="U311" t="s">
        <v>3224</v>
      </c>
      <c r="V311">
        <v>4</v>
      </c>
      <c r="W311" t="s">
        <v>3225</v>
      </c>
      <c r="AE311" t="s">
        <v>48</v>
      </c>
      <c r="AF311" t="s">
        <v>3226</v>
      </c>
      <c r="AG311" t="s">
        <v>3227</v>
      </c>
      <c r="AH311" t="str">
        <f>HYPERLINK("http://compartments.jensenlab.org/Entity?figures=subcell_cell_%&amp;knowledge=10&amp;textmining=10&amp;experiments=10&amp;predictions=10&amp;type1=9606&amp;type2=-22&amp;id1=ENSP00000263817","link")</f>
        <v>link</v>
      </c>
      <c r="AJ311" t="s">
        <v>3228</v>
      </c>
      <c r="AK311" t="str">
        <f>HYPERLINK("http://www.proteinatlas.org/O95342","HPA019035")</f>
        <v>HPA019035</v>
      </c>
      <c r="AL311" t="s">
        <v>2352</v>
      </c>
      <c r="AM311">
        <v>8647</v>
      </c>
    </row>
    <row r="312" spans="1:39" x14ac:dyDescent="0.35">
      <c r="A312" t="s">
        <v>3229</v>
      </c>
      <c r="B312" t="str">
        <f>HYPERLINK("http://www.uniprot.org/uniprot/O95371","O95371")</f>
        <v>O95371</v>
      </c>
      <c r="C312" t="s">
        <v>3230</v>
      </c>
      <c r="D312" t="s">
        <v>3231</v>
      </c>
      <c r="E312" t="s">
        <v>39</v>
      </c>
      <c r="F312" t="s">
        <v>55</v>
      </c>
      <c r="H312">
        <v>312</v>
      </c>
      <c r="I312">
        <v>7</v>
      </c>
      <c r="J312">
        <v>0</v>
      </c>
      <c r="K312" t="s">
        <v>3232</v>
      </c>
      <c r="L312" t="s">
        <v>57</v>
      </c>
      <c r="M312" t="s">
        <v>39</v>
      </c>
      <c r="N312">
        <v>0.98939999999999995</v>
      </c>
      <c r="O312" s="1">
        <v>1</v>
      </c>
      <c r="P312" t="s">
        <v>3233</v>
      </c>
      <c r="Q312" t="s">
        <v>3234</v>
      </c>
      <c r="S312" t="s">
        <v>166</v>
      </c>
      <c r="T312" t="s">
        <v>167</v>
      </c>
      <c r="U312" t="s">
        <v>2881</v>
      </c>
      <c r="V312">
        <v>1</v>
      </c>
      <c r="AE312" t="s">
        <v>74</v>
      </c>
      <c r="AF312" t="s">
        <v>169</v>
      </c>
      <c r="AG312" t="s">
        <v>3235</v>
      </c>
      <c r="AH312" t="str">
        <f>HYPERLINK("http://compartments.jensenlab.org/Entity?figures=subcell_cell_%&amp;knowledge=10&amp;textmining=10&amp;experiments=10&amp;predictions=10&amp;type1=9606&amp;type2=-22&amp;id1=ENSP00000307726","link")</f>
        <v>link</v>
      </c>
      <c r="AI312" t="s">
        <v>65</v>
      </c>
      <c r="AJ312" t="s">
        <v>51</v>
      </c>
      <c r="AK312" t="str">
        <f>HYPERLINK("http://www.proteinatlas.org/O95371","no")</f>
        <v>no</v>
      </c>
      <c r="AM312">
        <v>4993</v>
      </c>
    </row>
    <row r="313" spans="1:39" x14ac:dyDescent="0.35">
      <c r="A313" t="s">
        <v>3236</v>
      </c>
      <c r="B313" t="str">
        <f>HYPERLINK("http://www.uniprot.org/uniprot/O95377","O95377")</f>
        <v>O95377</v>
      </c>
      <c r="C313" t="s">
        <v>3237</v>
      </c>
      <c r="D313" t="s">
        <v>3238</v>
      </c>
      <c r="E313" t="s">
        <v>39</v>
      </c>
      <c r="F313" t="s">
        <v>55</v>
      </c>
      <c r="H313">
        <v>273</v>
      </c>
      <c r="I313">
        <v>4</v>
      </c>
      <c r="J313">
        <v>0</v>
      </c>
      <c r="K313" t="s">
        <v>3239</v>
      </c>
      <c r="L313" t="s">
        <v>57</v>
      </c>
      <c r="N313">
        <v>0.6966</v>
      </c>
      <c r="O313" s="1">
        <v>2</v>
      </c>
      <c r="P313" t="s">
        <v>3240</v>
      </c>
      <c r="Q313" t="s">
        <v>3241</v>
      </c>
      <c r="S313" t="s">
        <v>91</v>
      </c>
      <c r="T313" t="s">
        <v>2797</v>
      </c>
      <c r="U313">
        <v>2</v>
      </c>
      <c r="V313">
        <v>0</v>
      </c>
      <c r="AE313" t="s">
        <v>2798</v>
      </c>
      <c r="AF313" t="s">
        <v>3242</v>
      </c>
      <c r="AG313" t="s">
        <v>3243</v>
      </c>
      <c r="AH313" t="str">
        <f>HYPERLINK("http://compartments.jensenlab.org/Entity?figures=subcell_cell_%&amp;knowledge=10&amp;textmining=10&amp;experiments=10&amp;predictions=10&amp;type1=9606&amp;type2=-22&amp;id1=ENSP00000340811","link")</f>
        <v>link</v>
      </c>
      <c r="AI313" t="s">
        <v>65</v>
      </c>
      <c r="AJ313" t="s">
        <v>51</v>
      </c>
      <c r="AK313" t="str">
        <f>HYPERLINK("http://www.proteinatlas.org/O95377","HPA038146")</f>
        <v>HPA038146</v>
      </c>
      <c r="AM313">
        <v>2709</v>
      </c>
    </row>
    <row r="314" spans="1:39" x14ac:dyDescent="0.35">
      <c r="A314" t="s">
        <v>3244</v>
      </c>
      <c r="B314" t="str">
        <f>HYPERLINK("http://www.uniprot.org/uniprot/O95436","O95436")</f>
        <v>O95436</v>
      </c>
      <c r="C314" t="s">
        <v>3245</v>
      </c>
      <c r="D314" t="s">
        <v>3246</v>
      </c>
      <c r="E314" t="s">
        <v>39</v>
      </c>
      <c r="F314" t="s">
        <v>40</v>
      </c>
      <c r="H314">
        <v>690</v>
      </c>
      <c r="I314">
        <v>8</v>
      </c>
      <c r="J314">
        <v>0</v>
      </c>
      <c r="K314" t="s">
        <v>3247</v>
      </c>
      <c r="L314" t="s">
        <v>57</v>
      </c>
      <c r="N314">
        <v>0.8044</v>
      </c>
      <c r="O314" s="1">
        <v>1</v>
      </c>
      <c r="P314" t="s">
        <v>3248</v>
      </c>
      <c r="Q314" t="s">
        <v>3249</v>
      </c>
      <c r="S314" t="s">
        <v>45</v>
      </c>
      <c r="T314" t="s">
        <v>3250</v>
      </c>
      <c r="U314" t="s">
        <v>3251</v>
      </c>
      <c r="V314">
        <v>7</v>
      </c>
      <c r="W314" t="s">
        <v>3252</v>
      </c>
      <c r="AE314" t="s">
        <v>48</v>
      </c>
      <c r="AF314" t="s">
        <v>3253</v>
      </c>
      <c r="AG314" t="s">
        <v>3254</v>
      </c>
      <c r="AH314" t="str">
        <f>HYPERLINK("http://compartments.jensenlab.org/Entity?figures=subcell_cell_%&amp;knowledge=10&amp;textmining=10&amp;experiments=10&amp;predictions=10&amp;type1=9606&amp;type2=-22&amp;id1=ENSP00000371483","link")</f>
        <v>link</v>
      </c>
      <c r="AI314" t="s">
        <v>65</v>
      </c>
      <c r="AJ314" t="s">
        <v>51</v>
      </c>
      <c r="AK314" t="str">
        <f>HYPERLINK("http://www.proteinatlas.org/O95436","HPA037989")</f>
        <v>HPA037989</v>
      </c>
      <c r="AM314">
        <v>10568</v>
      </c>
    </row>
    <row r="315" spans="1:39" x14ac:dyDescent="0.35">
      <c r="A315" t="s">
        <v>3255</v>
      </c>
      <c r="B315" t="str">
        <f>HYPERLINK("http://www.uniprot.org/uniprot/O95452","O95452")</f>
        <v>O95452</v>
      </c>
      <c r="C315" t="s">
        <v>3256</v>
      </c>
      <c r="D315" t="s">
        <v>3257</v>
      </c>
      <c r="E315" t="s">
        <v>39</v>
      </c>
      <c r="F315" t="s">
        <v>40</v>
      </c>
      <c r="H315">
        <v>261</v>
      </c>
      <c r="I315">
        <v>4</v>
      </c>
      <c r="J315">
        <v>0</v>
      </c>
      <c r="K315" t="s">
        <v>3258</v>
      </c>
      <c r="L315" t="s">
        <v>57</v>
      </c>
      <c r="N315">
        <v>0.62080000000000002</v>
      </c>
      <c r="O315" s="1">
        <v>2</v>
      </c>
      <c r="P315" t="s">
        <v>3259</v>
      </c>
      <c r="Q315" t="s">
        <v>3260</v>
      </c>
      <c r="S315" t="s">
        <v>91</v>
      </c>
      <c r="T315" t="s">
        <v>2797</v>
      </c>
      <c r="V315">
        <v>0</v>
      </c>
      <c r="AE315" t="s">
        <v>2798</v>
      </c>
      <c r="AF315" t="s">
        <v>3261</v>
      </c>
      <c r="AG315" t="s">
        <v>3262</v>
      </c>
      <c r="AH315" t="str">
        <f>HYPERLINK("http://compartments.jensenlab.org/Entity?figures=subcell_cell_%&amp;knowledge=10&amp;textmining=10&amp;experiments=10&amp;predictions=10&amp;type1=9606&amp;type2=-22&amp;id1=ENSP00000241124","link")</f>
        <v>link</v>
      </c>
      <c r="AI315" t="s">
        <v>65</v>
      </c>
      <c r="AJ315" t="s">
        <v>1801</v>
      </c>
      <c r="AK315" t="str">
        <f>HYPERLINK("http://www.proteinatlas.org/O95452","HPA014846")</f>
        <v>HPA014846</v>
      </c>
      <c r="AM315">
        <v>10804</v>
      </c>
    </row>
    <row r="316" spans="1:39" x14ac:dyDescent="0.35">
      <c r="A316" t="s">
        <v>3263</v>
      </c>
      <c r="B316" t="str">
        <f>HYPERLINK("http://www.uniprot.org/uniprot/O95471","O95471")</f>
        <v>O95471</v>
      </c>
      <c r="C316" t="s">
        <v>3264</v>
      </c>
      <c r="D316" t="s">
        <v>3265</v>
      </c>
      <c r="E316" t="s">
        <v>39</v>
      </c>
      <c r="F316" t="s">
        <v>55</v>
      </c>
      <c r="H316">
        <v>211</v>
      </c>
      <c r="I316">
        <v>4</v>
      </c>
      <c r="J316">
        <v>0</v>
      </c>
      <c r="K316" t="s">
        <v>3266</v>
      </c>
      <c r="L316" t="s">
        <v>57</v>
      </c>
      <c r="M316" t="s">
        <v>39</v>
      </c>
      <c r="N316">
        <v>0.6724</v>
      </c>
      <c r="O316" s="1">
        <v>2</v>
      </c>
      <c r="P316" t="s">
        <v>3267</v>
      </c>
      <c r="Q316" t="s">
        <v>3268</v>
      </c>
      <c r="S316" t="s">
        <v>91</v>
      </c>
      <c r="T316" t="s">
        <v>537</v>
      </c>
      <c r="U316" t="s">
        <v>3269</v>
      </c>
      <c r="V316">
        <v>0</v>
      </c>
      <c r="Y316" t="s">
        <v>3270</v>
      </c>
      <c r="AE316" t="s">
        <v>3271</v>
      </c>
      <c r="AF316" t="s">
        <v>3272</v>
      </c>
      <c r="AG316" t="s">
        <v>3273</v>
      </c>
      <c r="AH316" t="str">
        <f>HYPERLINK("http://compartments.jensenlab.org/Entity?figures=subcell_cell_%&amp;knowledge=10&amp;textmining=10&amp;experiments=10&amp;predictions=10&amp;type1=9606&amp;type2=-22&amp;id1=ENSP00000353475","link")</f>
        <v>link</v>
      </c>
      <c r="AI316" t="s">
        <v>65</v>
      </c>
      <c r="AJ316" t="s">
        <v>51</v>
      </c>
      <c r="AK316" t="str">
        <f>HYPERLINK("http://www.proteinatlas.org/O95471","CAB013063;HPA014703")</f>
        <v>CAB013063;HPA014703</v>
      </c>
      <c r="AM316">
        <v>1366</v>
      </c>
    </row>
    <row r="317" spans="1:39" x14ac:dyDescent="0.35">
      <c r="A317" t="s">
        <v>3274</v>
      </c>
      <c r="B317" t="str">
        <f>HYPERLINK("http://www.uniprot.org/uniprot/O95477","O95477")</f>
        <v>O95477</v>
      </c>
      <c r="C317" t="s">
        <v>3275</v>
      </c>
      <c r="D317" t="s">
        <v>3276</v>
      </c>
      <c r="E317" t="s">
        <v>39</v>
      </c>
      <c r="F317" t="s">
        <v>40</v>
      </c>
      <c r="H317">
        <v>2261</v>
      </c>
      <c r="I317">
        <v>15</v>
      </c>
      <c r="J317">
        <v>0</v>
      </c>
      <c r="K317" t="s">
        <v>3277</v>
      </c>
      <c r="L317" t="s">
        <v>101</v>
      </c>
      <c r="N317">
        <v>0.88419999999999999</v>
      </c>
      <c r="O317" s="1">
        <v>1</v>
      </c>
      <c r="P317" t="s">
        <v>3278</v>
      </c>
      <c r="Q317" t="s">
        <v>3279</v>
      </c>
      <c r="S317" t="s">
        <v>45</v>
      </c>
      <c r="T317" t="s">
        <v>3013</v>
      </c>
      <c r="U317" t="s">
        <v>3280</v>
      </c>
      <c r="V317">
        <v>17</v>
      </c>
      <c r="W317" t="s">
        <v>3281</v>
      </c>
      <c r="Y317">
        <v>682</v>
      </c>
      <c r="Z317" t="s">
        <v>123</v>
      </c>
      <c r="AA317">
        <v>7</v>
      </c>
      <c r="AB317" t="s">
        <v>3282</v>
      </c>
      <c r="AC317" t="s">
        <v>3283</v>
      </c>
      <c r="AD317" t="s">
        <v>3284</v>
      </c>
      <c r="AE317" t="s">
        <v>48</v>
      </c>
      <c r="AF317" t="s">
        <v>3285</v>
      </c>
      <c r="AG317" t="s">
        <v>3286</v>
      </c>
      <c r="AH317" t="str">
        <f>HYPERLINK("http://compartments.jensenlab.org/Entity?figures=subcell_cell_%&amp;knowledge=10&amp;textmining=10&amp;experiments=10&amp;predictions=10&amp;type1=9606&amp;type2=-22&amp;id1=ENSP00000363868","link")</f>
        <v>link</v>
      </c>
      <c r="AJ317" t="s">
        <v>3228</v>
      </c>
      <c r="AK317" t="str">
        <f>HYPERLINK("http://www.proteinatlas.org/O95477","HPA057283;CAB069889")</f>
        <v>HPA057283;CAB069889</v>
      </c>
      <c r="AL317" t="s">
        <v>3287</v>
      </c>
      <c r="AM317">
        <v>19</v>
      </c>
    </row>
    <row r="318" spans="1:39" x14ac:dyDescent="0.35">
      <c r="A318" t="s">
        <v>3288</v>
      </c>
      <c r="B318" t="str">
        <f>HYPERLINK("http://www.uniprot.org/uniprot/O95484","O95484")</f>
        <v>O95484</v>
      </c>
      <c r="C318" t="s">
        <v>3289</v>
      </c>
      <c r="D318" t="s">
        <v>3290</v>
      </c>
      <c r="E318" t="s">
        <v>39</v>
      </c>
      <c r="F318" t="s">
        <v>40</v>
      </c>
      <c r="H318">
        <v>217</v>
      </c>
      <c r="I318">
        <v>4</v>
      </c>
      <c r="J318">
        <v>0</v>
      </c>
      <c r="K318" t="s">
        <v>3291</v>
      </c>
      <c r="L318" t="s">
        <v>57</v>
      </c>
      <c r="N318">
        <v>0.61880000000000002</v>
      </c>
      <c r="O318" s="1">
        <v>2</v>
      </c>
      <c r="P318" t="s">
        <v>3292</v>
      </c>
      <c r="Q318" t="s">
        <v>3293</v>
      </c>
      <c r="S318" t="s">
        <v>91</v>
      </c>
      <c r="T318" t="s">
        <v>537</v>
      </c>
      <c r="V318">
        <v>0</v>
      </c>
      <c r="Y318" t="s">
        <v>1108</v>
      </c>
      <c r="AE318" t="s">
        <v>539</v>
      </c>
      <c r="AF318" t="s">
        <v>3294</v>
      </c>
      <c r="AG318" t="s">
        <v>3295</v>
      </c>
      <c r="AH318" t="str">
        <f>HYPERLINK("http://compartments.jensenlab.org/Entity?figures=subcell_cell_%&amp;knowledge=10&amp;textmining=10&amp;experiments=10&amp;predictions=10&amp;type1=9606&amp;type2=-22&amp;id1=ENSP00000398017","link")</f>
        <v>link</v>
      </c>
      <c r="AK318" t="str">
        <f>HYPERLINK("http://www.proteinatlas.org/O95484","HPA007322")</f>
        <v>HPA007322</v>
      </c>
      <c r="AM318">
        <v>9080</v>
      </c>
    </row>
    <row r="319" spans="1:39" x14ac:dyDescent="0.35">
      <c r="A319" t="s">
        <v>3296</v>
      </c>
      <c r="B319" t="str">
        <f>HYPERLINK("http://www.uniprot.org/uniprot/O95490","O95490")</f>
        <v>O95490</v>
      </c>
      <c r="C319" t="s">
        <v>3297</v>
      </c>
      <c r="D319" t="s">
        <v>3298</v>
      </c>
      <c r="E319" t="s">
        <v>39</v>
      </c>
      <c r="F319" t="s">
        <v>55</v>
      </c>
      <c r="H319">
        <v>1459</v>
      </c>
      <c r="I319">
        <v>7</v>
      </c>
      <c r="J319">
        <v>1</v>
      </c>
      <c r="K319" t="s">
        <v>3299</v>
      </c>
      <c r="L319" t="s">
        <v>101</v>
      </c>
      <c r="M319" t="s">
        <v>39</v>
      </c>
      <c r="N319">
        <v>0.96299999999999997</v>
      </c>
      <c r="O319" s="1">
        <v>1</v>
      </c>
      <c r="P319" t="s">
        <v>3300</v>
      </c>
      <c r="Q319" t="s">
        <v>3301</v>
      </c>
      <c r="S319" t="s">
        <v>166</v>
      </c>
      <c r="T319" t="s">
        <v>1149</v>
      </c>
      <c r="U319" t="s">
        <v>3302</v>
      </c>
      <c r="V319">
        <v>9</v>
      </c>
      <c r="X319">
        <v>422</v>
      </c>
      <c r="Z319" t="s">
        <v>107</v>
      </c>
      <c r="AA319">
        <v>6</v>
      </c>
      <c r="AB319" t="s">
        <v>3303</v>
      </c>
      <c r="AC319" t="s">
        <v>3304</v>
      </c>
      <c r="AD319" t="s">
        <v>3305</v>
      </c>
      <c r="AE319" t="s">
        <v>74</v>
      </c>
      <c r="AF319" t="s">
        <v>3306</v>
      </c>
      <c r="AG319" t="s">
        <v>3307</v>
      </c>
      <c r="AH319" t="str">
        <f>HYPERLINK("http://compartments.jensenlab.org/Entity?figures=subcell_cell_%&amp;knowledge=10&amp;textmining=10&amp;experiments=10&amp;predictions=10&amp;type1=9606&amp;type2=-22&amp;id1=ENSP00000359752","link")</f>
        <v>link</v>
      </c>
      <c r="AK319" t="str">
        <f>HYPERLINK("http://www.proteinatlas.org/O95490","HPA013573")</f>
        <v>HPA013573</v>
      </c>
      <c r="AM319">
        <v>23266</v>
      </c>
    </row>
    <row r="320" spans="1:39" x14ac:dyDescent="0.35">
      <c r="A320" t="s">
        <v>3308</v>
      </c>
      <c r="B320" t="str">
        <f>HYPERLINK("http://www.uniprot.org/uniprot/O95497","O95497")</f>
        <v>O95497</v>
      </c>
      <c r="C320" t="s">
        <v>3309</v>
      </c>
      <c r="D320" t="s">
        <v>3310</v>
      </c>
      <c r="E320" t="s">
        <v>39</v>
      </c>
      <c r="F320" t="s">
        <v>239</v>
      </c>
      <c r="H320">
        <v>513</v>
      </c>
      <c r="I320">
        <v>0</v>
      </c>
      <c r="J320">
        <v>1</v>
      </c>
      <c r="K320" t="s">
        <v>3311</v>
      </c>
      <c r="L320" t="s">
        <v>996</v>
      </c>
      <c r="N320">
        <v>0.78039999999999998</v>
      </c>
      <c r="O320" s="1" t="s">
        <v>997</v>
      </c>
      <c r="P320" t="s">
        <v>3312</v>
      </c>
      <c r="Q320" t="s">
        <v>3313</v>
      </c>
      <c r="S320" t="s">
        <v>60</v>
      </c>
      <c r="T320" t="s">
        <v>60</v>
      </c>
      <c r="U320" t="s">
        <v>3314</v>
      </c>
      <c r="V320">
        <v>7</v>
      </c>
      <c r="W320" t="s">
        <v>3314</v>
      </c>
      <c r="X320" t="s">
        <v>3315</v>
      </c>
      <c r="Z320" t="s">
        <v>107</v>
      </c>
      <c r="AA320">
        <v>6</v>
      </c>
      <c r="AB320" t="s">
        <v>3316</v>
      </c>
      <c r="AC320" t="s">
        <v>3317</v>
      </c>
      <c r="AD320" t="s">
        <v>3318</v>
      </c>
      <c r="AE320" t="s">
        <v>243</v>
      </c>
      <c r="AF320" t="s">
        <v>3319</v>
      </c>
      <c r="AG320" t="s">
        <v>3320</v>
      </c>
      <c r="AH320" t="str">
        <f>HYPERLINK("http://compartments.jensenlab.org/Entity?figures=subcell_cell_%&amp;knowledge=10&amp;textmining=10&amp;experiments=10&amp;predictions=10&amp;type1=9606&amp;type2=-22&amp;id1=ENSP00000356905","link")</f>
        <v>link</v>
      </c>
      <c r="AI320" t="s">
        <v>65</v>
      </c>
      <c r="AJ320" t="s">
        <v>51</v>
      </c>
      <c r="AK320" t="str">
        <f>HYPERLINK("http://www.proteinatlas.org/O95497","HPA064145")</f>
        <v>HPA064145</v>
      </c>
      <c r="AM320">
        <v>8876</v>
      </c>
    </row>
    <row r="321" spans="1:39" x14ac:dyDescent="0.35">
      <c r="A321" t="s">
        <v>3321</v>
      </c>
      <c r="B321" t="str">
        <f>HYPERLINK("http://www.uniprot.org/uniprot/O95498","O95498")</f>
        <v>O95498</v>
      </c>
      <c r="C321" t="s">
        <v>3322</v>
      </c>
      <c r="D321" t="s">
        <v>3323</v>
      </c>
      <c r="E321" t="s">
        <v>39</v>
      </c>
      <c r="F321" t="s">
        <v>239</v>
      </c>
      <c r="H321">
        <v>520</v>
      </c>
      <c r="I321">
        <v>0</v>
      </c>
      <c r="J321">
        <v>1</v>
      </c>
      <c r="K321" t="s">
        <v>3324</v>
      </c>
      <c r="L321" t="s">
        <v>996</v>
      </c>
      <c r="N321">
        <v>0.73850000000000005</v>
      </c>
      <c r="O321" s="1" t="s">
        <v>241</v>
      </c>
      <c r="P321" t="s">
        <v>3325</v>
      </c>
      <c r="Q321" t="s">
        <v>3326</v>
      </c>
      <c r="S321" t="s">
        <v>60</v>
      </c>
      <c r="T321" t="s">
        <v>60</v>
      </c>
      <c r="U321" t="s">
        <v>3327</v>
      </c>
      <c r="V321">
        <v>6</v>
      </c>
      <c r="W321" t="s">
        <v>3327</v>
      </c>
      <c r="Z321" t="s">
        <v>107</v>
      </c>
      <c r="AA321">
        <v>2</v>
      </c>
      <c r="AB321" t="s">
        <v>3328</v>
      </c>
      <c r="AC321">
        <v>411</v>
      </c>
      <c r="AD321" t="s">
        <v>3329</v>
      </c>
      <c r="AE321" t="s">
        <v>243</v>
      </c>
      <c r="AF321" t="s">
        <v>3330</v>
      </c>
      <c r="AG321" t="s">
        <v>3331</v>
      </c>
      <c r="AH321" t="str">
        <f>HYPERLINK("http://compartments.jensenlab.org/Entity?figures=subcell_cell_%&amp;knowledge=10&amp;textmining=10&amp;experiments=10&amp;predictions=10&amp;type1=9606&amp;type2=-22&amp;id1=ENSP00000322276","link")</f>
        <v>link</v>
      </c>
      <c r="AI321" t="s">
        <v>65</v>
      </c>
      <c r="AJ321" t="s">
        <v>51</v>
      </c>
      <c r="AK321" t="str">
        <f>HYPERLINK("http://www.proteinatlas.org/O95498","HPA051229")</f>
        <v>HPA051229</v>
      </c>
      <c r="AM321">
        <v>8875</v>
      </c>
    </row>
    <row r="322" spans="1:39" x14ac:dyDescent="0.35">
      <c r="A322" t="s">
        <v>3332</v>
      </c>
      <c r="B322" t="str">
        <f>HYPERLINK("http://www.uniprot.org/uniprot/O95528","O95528")</f>
        <v>O95528</v>
      </c>
      <c r="C322" t="s">
        <v>3333</v>
      </c>
      <c r="D322" t="s">
        <v>3334</v>
      </c>
      <c r="E322" t="s">
        <v>39</v>
      </c>
      <c r="F322" t="s">
        <v>40</v>
      </c>
      <c r="H322">
        <v>541</v>
      </c>
      <c r="I322">
        <v>12</v>
      </c>
      <c r="J322">
        <v>0</v>
      </c>
      <c r="K322" t="s">
        <v>3335</v>
      </c>
      <c r="L322" t="s">
        <v>57</v>
      </c>
      <c r="N322">
        <v>0.72460000000000002</v>
      </c>
      <c r="O322" s="1">
        <v>2</v>
      </c>
      <c r="P322" t="s">
        <v>3336</v>
      </c>
      <c r="Q322" t="s">
        <v>3337</v>
      </c>
      <c r="S322" t="s">
        <v>45</v>
      </c>
      <c r="T322" t="s">
        <v>3338</v>
      </c>
      <c r="U322" t="s">
        <v>3339</v>
      </c>
      <c r="V322">
        <v>1</v>
      </c>
      <c r="AE322" t="s">
        <v>3340</v>
      </c>
      <c r="AF322" t="s">
        <v>3341</v>
      </c>
      <c r="AG322" t="s">
        <v>3342</v>
      </c>
      <c r="AH322" t="str">
        <f>HYPERLINK("http://compartments.jensenlab.org/Entity?figures=subcell_cell_%&amp;knowledge=10&amp;textmining=10&amp;experiments=10&amp;predictions=10&amp;type1=9606&amp;type2=-22&amp;id1=ENSP00000352216","link")</f>
        <v>link</v>
      </c>
      <c r="AJ322" t="s">
        <v>51</v>
      </c>
      <c r="AK322" t="str">
        <f>HYPERLINK("http://www.proteinatlas.org/O95528","HPA041015;HPA055673")</f>
        <v>HPA041015;HPA055673</v>
      </c>
      <c r="AM322">
        <v>81031</v>
      </c>
    </row>
    <row r="323" spans="1:39" x14ac:dyDescent="0.35">
      <c r="A323" t="s">
        <v>3343</v>
      </c>
      <c r="B323" t="str">
        <f>HYPERLINK("http://www.uniprot.org/uniprot/O95622","O95622")</f>
        <v>O95622</v>
      </c>
      <c r="C323" t="s">
        <v>3344</v>
      </c>
      <c r="D323" t="s">
        <v>3345</v>
      </c>
      <c r="E323" t="s">
        <v>39</v>
      </c>
      <c r="F323" t="s">
        <v>40</v>
      </c>
      <c r="H323">
        <v>1261</v>
      </c>
      <c r="I323">
        <v>12</v>
      </c>
      <c r="J323">
        <v>0</v>
      </c>
      <c r="K323" t="s">
        <v>3346</v>
      </c>
      <c r="L323" t="s">
        <v>57</v>
      </c>
      <c r="N323">
        <v>0.78439999999999999</v>
      </c>
      <c r="O323" s="1">
        <v>1</v>
      </c>
      <c r="P323" t="s">
        <v>3347</v>
      </c>
      <c r="Q323" t="s">
        <v>3348</v>
      </c>
      <c r="S323" t="s">
        <v>947</v>
      </c>
      <c r="T323" t="s">
        <v>1784</v>
      </c>
      <c r="U323" t="s">
        <v>3349</v>
      </c>
      <c r="V323">
        <v>4</v>
      </c>
      <c r="X323" t="s">
        <v>3350</v>
      </c>
      <c r="AE323" t="s">
        <v>1788</v>
      </c>
      <c r="AF323" t="s">
        <v>3351</v>
      </c>
      <c r="AG323" t="s">
        <v>3352</v>
      </c>
      <c r="AH323" t="str">
        <f>HYPERLINK("http://compartments.jensenlab.org/Entity?figures=subcell_cell_%&amp;knowledge=10&amp;textmining=10&amp;experiments=10&amp;predictions=10&amp;type1=9606&amp;type2=-22&amp;id1=ENSP00000419361","link")</f>
        <v>link</v>
      </c>
      <c r="AJ323" t="s">
        <v>1791</v>
      </c>
      <c r="AK323" t="str">
        <f>HYPERLINK("http://www.proteinatlas.org/O95622","HPA017730")</f>
        <v>HPA017730</v>
      </c>
      <c r="AM323">
        <v>111</v>
      </c>
    </row>
    <row r="324" spans="1:39" x14ac:dyDescent="0.35">
      <c r="A324" t="s">
        <v>3353</v>
      </c>
      <c r="B324" t="str">
        <f>HYPERLINK("http://www.uniprot.org/uniprot/O95665","O95665")</f>
        <v>O95665</v>
      </c>
      <c r="C324" t="s">
        <v>3354</v>
      </c>
      <c r="D324" t="s">
        <v>3355</v>
      </c>
      <c r="E324" t="s">
        <v>39</v>
      </c>
      <c r="F324" t="s">
        <v>55</v>
      </c>
      <c r="H324">
        <v>410</v>
      </c>
      <c r="I324">
        <v>7</v>
      </c>
      <c r="J324">
        <v>0</v>
      </c>
      <c r="K324" t="s">
        <v>3356</v>
      </c>
      <c r="L324" t="s">
        <v>57</v>
      </c>
      <c r="M324" t="s">
        <v>39</v>
      </c>
      <c r="N324">
        <v>0.59299999999999997</v>
      </c>
      <c r="O324" s="1">
        <v>2</v>
      </c>
      <c r="P324" t="s">
        <v>3357</v>
      </c>
      <c r="Q324" t="s">
        <v>3358</v>
      </c>
      <c r="S324" t="s">
        <v>166</v>
      </c>
      <c r="T324" t="s">
        <v>838</v>
      </c>
      <c r="V324">
        <v>0</v>
      </c>
      <c r="AE324" t="s">
        <v>74</v>
      </c>
      <c r="AF324" t="s">
        <v>3359</v>
      </c>
      <c r="AG324" t="s">
        <v>3360</v>
      </c>
      <c r="AH324" t="str">
        <f>HYPERLINK("http://compartments.jensenlab.org/Entity?figures=subcell_cell_%&amp;knowledge=10&amp;textmining=10&amp;experiments=10&amp;predictions=10&amp;type1=9606&amp;type2=-22&amp;id1=ENSP00000303686","link")</f>
        <v>link</v>
      </c>
      <c r="AI324" t="s">
        <v>65</v>
      </c>
      <c r="AJ324" t="s">
        <v>51</v>
      </c>
      <c r="AK324" t="str">
        <f>HYPERLINK("http://www.proteinatlas.org/O95665","no")</f>
        <v>no</v>
      </c>
      <c r="AL324" t="s">
        <v>3361</v>
      </c>
      <c r="AM324">
        <v>23620</v>
      </c>
    </row>
    <row r="325" spans="1:39" x14ac:dyDescent="0.35">
      <c r="A325" t="s">
        <v>3362</v>
      </c>
      <c r="B325" t="str">
        <f>HYPERLINK("http://www.uniprot.org/uniprot/O95727","O95727")</f>
        <v>O95727</v>
      </c>
      <c r="C325" t="s">
        <v>3363</v>
      </c>
      <c r="D325" t="s">
        <v>3364</v>
      </c>
      <c r="E325" t="s">
        <v>39</v>
      </c>
      <c r="F325" t="s">
        <v>40</v>
      </c>
      <c r="H325">
        <v>393</v>
      </c>
      <c r="I325">
        <v>1</v>
      </c>
      <c r="J325">
        <v>1</v>
      </c>
      <c r="K325" t="s">
        <v>3365</v>
      </c>
      <c r="L325" t="s">
        <v>57</v>
      </c>
      <c r="N325">
        <v>0.91020000000000001</v>
      </c>
      <c r="O325" s="1">
        <v>1</v>
      </c>
      <c r="P325" t="s">
        <v>3366</v>
      </c>
      <c r="Q325" t="s">
        <v>3367</v>
      </c>
      <c r="R325" t="s">
        <v>3368</v>
      </c>
      <c r="S325" t="s">
        <v>91</v>
      </c>
      <c r="T325" t="s">
        <v>3369</v>
      </c>
      <c r="U325" t="s">
        <v>3370</v>
      </c>
      <c r="V325">
        <v>5</v>
      </c>
      <c r="AE325" t="s">
        <v>144</v>
      </c>
      <c r="AF325" t="s">
        <v>3371</v>
      </c>
      <c r="AG325" t="s">
        <v>3372</v>
      </c>
      <c r="AH325" t="str">
        <f>HYPERLINK("http://compartments.jensenlab.org/Entity?figures=subcell_cell_%&amp;knowledge=10&amp;textmining=10&amp;experiments=10&amp;predictions=10&amp;type1=9606&amp;type2=-22&amp;id1=ENSP00000227348","link")</f>
        <v>link</v>
      </c>
      <c r="AJ325" t="s">
        <v>51</v>
      </c>
      <c r="AK325" t="str">
        <f>HYPERLINK("http://www.proteinatlas.org/O95727","HPA054595")</f>
        <v>HPA054595</v>
      </c>
      <c r="AM325">
        <v>56253</v>
      </c>
    </row>
    <row r="326" spans="1:39" x14ac:dyDescent="0.35">
      <c r="A326" t="s">
        <v>3373</v>
      </c>
      <c r="B326" t="str">
        <f>HYPERLINK("http://www.uniprot.org/uniprot/O95754","O95754")</f>
        <v>O95754</v>
      </c>
      <c r="C326" t="s">
        <v>3374</v>
      </c>
      <c r="D326" t="s">
        <v>3375</v>
      </c>
      <c r="E326" t="s">
        <v>39</v>
      </c>
      <c r="F326" t="s">
        <v>40</v>
      </c>
      <c r="H326">
        <v>770</v>
      </c>
      <c r="I326">
        <v>1</v>
      </c>
      <c r="J326">
        <v>1</v>
      </c>
      <c r="K326" t="s">
        <v>3376</v>
      </c>
      <c r="L326" t="s">
        <v>101</v>
      </c>
      <c r="N326">
        <v>0.85429999999999995</v>
      </c>
      <c r="O326" s="1">
        <v>1</v>
      </c>
      <c r="P326" t="s">
        <v>3377</v>
      </c>
      <c r="Q326" t="s">
        <v>3378</v>
      </c>
      <c r="S326" t="s">
        <v>91</v>
      </c>
      <c r="T326" t="s">
        <v>3379</v>
      </c>
      <c r="U326" t="s">
        <v>3380</v>
      </c>
      <c r="V326">
        <v>3</v>
      </c>
      <c r="W326">
        <v>509</v>
      </c>
      <c r="Z326" t="s">
        <v>107</v>
      </c>
      <c r="AA326">
        <v>1</v>
      </c>
      <c r="AB326" t="s">
        <v>3381</v>
      </c>
      <c r="AC326">
        <v>509</v>
      </c>
      <c r="AD326" t="s">
        <v>3382</v>
      </c>
      <c r="AE326" t="s">
        <v>144</v>
      </c>
      <c r="AF326" t="s">
        <v>3383</v>
      </c>
      <c r="AG326" t="s">
        <v>3384</v>
      </c>
      <c r="AH326" t="str">
        <f>HYPERLINK("http://compartments.jensenlab.org/Entity?figures=subcell_cell_%&amp;knowledge=10&amp;textmining=10&amp;experiments=10&amp;predictions=10&amp;type1=9606&amp;type2=-22&amp;id1=ENSP00000350547","link")</f>
        <v>link</v>
      </c>
      <c r="AJ326" t="s">
        <v>345</v>
      </c>
      <c r="AK326" t="str">
        <f>HYPERLINK("http://www.proteinatlas.org/O95754","no")</f>
        <v>no</v>
      </c>
      <c r="AM326">
        <v>10505</v>
      </c>
    </row>
    <row r="327" spans="1:39" x14ac:dyDescent="0.35">
      <c r="A327" t="s">
        <v>3385</v>
      </c>
      <c r="B327" t="str">
        <f>HYPERLINK("http://www.uniprot.org/uniprot/O95800","O95800")</f>
        <v>O95800</v>
      </c>
      <c r="C327" t="s">
        <v>3386</v>
      </c>
      <c r="D327" t="s">
        <v>3387</v>
      </c>
      <c r="E327" t="s">
        <v>39</v>
      </c>
      <c r="F327" t="s">
        <v>40</v>
      </c>
      <c r="H327">
        <v>540</v>
      </c>
      <c r="I327">
        <v>7</v>
      </c>
      <c r="J327">
        <v>0</v>
      </c>
      <c r="K327" t="s">
        <v>3388</v>
      </c>
      <c r="L327" t="s">
        <v>57</v>
      </c>
      <c r="N327">
        <v>0.91820000000000002</v>
      </c>
      <c r="O327" s="1">
        <v>1</v>
      </c>
      <c r="P327" t="s">
        <v>3389</v>
      </c>
      <c r="Q327" t="s">
        <v>3390</v>
      </c>
      <c r="S327" t="s">
        <v>166</v>
      </c>
      <c r="T327" t="s">
        <v>838</v>
      </c>
      <c r="U327" t="s">
        <v>3391</v>
      </c>
      <c r="V327">
        <v>4</v>
      </c>
      <c r="W327" t="s">
        <v>3392</v>
      </c>
      <c r="AE327" t="s">
        <v>74</v>
      </c>
      <c r="AF327" t="s">
        <v>910</v>
      </c>
      <c r="AG327" t="s">
        <v>3393</v>
      </c>
      <c r="AH327" t="str">
        <f>HYPERLINK("http://compartments.jensenlab.org/Entity?figures=subcell_cell_%&amp;knowledge=10&amp;textmining=10&amp;experiments=10&amp;predictions=10&amp;type1=9606&amp;type2=-22&amp;id1=ENSP00000378195","link")</f>
        <v>link</v>
      </c>
      <c r="AI327" t="s">
        <v>65</v>
      </c>
      <c r="AJ327" t="s">
        <v>51</v>
      </c>
      <c r="AK327" t="str">
        <f>HYPERLINK("http://www.proteinatlas.org/O95800","no")</f>
        <v>no</v>
      </c>
      <c r="AM327">
        <v>10936</v>
      </c>
    </row>
    <row r="328" spans="1:39" x14ac:dyDescent="0.35">
      <c r="A328" t="s">
        <v>3394</v>
      </c>
      <c r="B328" t="str">
        <f>HYPERLINK("http://www.uniprot.org/uniprot/O95832","O95832")</f>
        <v>O95832</v>
      </c>
      <c r="C328" t="s">
        <v>3395</v>
      </c>
      <c r="D328" t="s">
        <v>3396</v>
      </c>
      <c r="E328" t="s">
        <v>39</v>
      </c>
      <c r="F328" t="s">
        <v>55</v>
      </c>
      <c r="H328">
        <v>211</v>
      </c>
      <c r="I328">
        <v>4</v>
      </c>
      <c r="J328">
        <v>0</v>
      </c>
      <c r="K328" t="s">
        <v>3397</v>
      </c>
      <c r="L328" t="s">
        <v>57</v>
      </c>
      <c r="M328" t="s">
        <v>39</v>
      </c>
      <c r="N328">
        <v>0.77039999999999997</v>
      </c>
      <c r="O328" s="1">
        <v>1</v>
      </c>
      <c r="P328" t="s">
        <v>3398</v>
      </c>
      <c r="Q328" t="s">
        <v>3399</v>
      </c>
      <c r="S328" t="s">
        <v>91</v>
      </c>
      <c r="T328" t="s">
        <v>537</v>
      </c>
      <c r="U328">
        <v>72</v>
      </c>
      <c r="V328">
        <v>1</v>
      </c>
      <c r="X328" t="s">
        <v>3400</v>
      </c>
      <c r="Y328" t="s">
        <v>3270</v>
      </c>
      <c r="AE328" t="s">
        <v>539</v>
      </c>
      <c r="AF328" t="s">
        <v>3401</v>
      </c>
      <c r="AG328" t="s">
        <v>3402</v>
      </c>
      <c r="AH328" t="str">
        <f>HYPERLINK("http://compartments.jensenlab.org/Entity?figures=subcell_cell_%&amp;knowledge=10&amp;textmining=10&amp;experiments=10&amp;predictions=10&amp;type1=9606&amp;type2=-22&amp;id1=ENSP00000295522","link")</f>
        <v>link</v>
      </c>
      <c r="AI328" t="s">
        <v>65</v>
      </c>
      <c r="AJ328" t="s">
        <v>51</v>
      </c>
      <c r="AK328" t="str">
        <f>HYPERLINK("http://www.proteinatlas.org/O95832","CAB002602;HPA048319")</f>
        <v>CAB002602;HPA048319</v>
      </c>
      <c r="AM328">
        <v>9076</v>
      </c>
    </row>
    <row r="329" spans="1:39" x14ac:dyDescent="0.35">
      <c r="A329" t="s">
        <v>3403</v>
      </c>
      <c r="B329" t="str">
        <f>HYPERLINK("http://www.uniprot.org/uniprot/O95838","O95838")</f>
        <v>O95838</v>
      </c>
      <c r="C329" t="s">
        <v>3404</v>
      </c>
      <c r="D329" t="s">
        <v>3405</v>
      </c>
      <c r="E329" t="s">
        <v>39</v>
      </c>
      <c r="F329" t="s">
        <v>55</v>
      </c>
      <c r="H329">
        <v>553</v>
      </c>
      <c r="I329">
        <v>7</v>
      </c>
      <c r="J329">
        <v>0</v>
      </c>
      <c r="K329" t="s">
        <v>3406</v>
      </c>
      <c r="L329" t="s">
        <v>57</v>
      </c>
      <c r="M329" t="s">
        <v>39</v>
      </c>
      <c r="N329">
        <v>0.39660000000000001</v>
      </c>
      <c r="O329" s="1"/>
      <c r="P329" t="s">
        <v>3407</v>
      </c>
      <c r="Q329" t="s">
        <v>3408</v>
      </c>
      <c r="S329" t="s">
        <v>166</v>
      </c>
      <c r="T329" t="s">
        <v>3409</v>
      </c>
      <c r="U329" t="s">
        <v>3410</v>
      </c>
      <c r="V329">
        <v>4</v>
      </c>
      <c r="AE329" t="s">
        <v>74</v>
      </c>
      <c r="AF329" t="s">
        <v>967</v>
      </c>
      <c r="AG329" t="s">
        <v>3411</v>
      </c>
      <c r="AH329" t="str">
        <f>HYPERLINK("http://compartments.jensenlab.org/Entity?figures=subcell_cell_%&amp;knowledge=10&amp;textmining=10&amp;experiments=10&amp;predictions=10&amp;type1=9606&amp;type2=-22&amp;id1=ENSP00000262441","link")</f>
        <v>link</v>
      </c>
      <c r="AI329" t="s">
        <v>65</v>
      </c>
      <c r="AJ329" t="s">
        <v>51</v>
      </c>
      <c r="AK329" t="str">
        <f>HYPERLINK("http://www.proteinatlas.org/O95838","CAB022690;HPA049244")</f>
        <v>CAB022690;HPA049244</v>
      </c>
      <c r="AL329" t="s">
        <v>3412</v>
      </c>
      <c r="AM329">
        <v>9340</v>
      </c>
    </row>
    <row r="330" spans="1:39" x14ac:dyDescent="0.35">
      <c r="A330" t="s">
        <v>3413</v>
      </c>
      <c r="B330" t="str">
        <f>HYPERLINK("http://www.uniprot.org/uniprot/O95857","O95857")</f>
        <v>O95857</v>
      </c>
      <c r="C330" t="s">
        <v>3414</v>
      </c>
      <c r="D330" t="s">
        <v>3415</v>
      </c>
      <c r="E330" t="s">
        <v>39</v>
      </c>
      <c r="F330" t="s">
        <v>40</v>
      </c>
      <c r="H330">
        <v>204</v>
      </c>
      <c r="I330">
        <v>4</v>
      </c>
      <c r="J330">
        <v>0</v>
      </c>
      <c r="K330" t="s">
        <v>3416</v>
      </c>
      <c r="L330" t="s">
        <v>101</v>
      </c>
      <c r="N330">
        <v>0.83430000000000004</v>
      </c>
      <c r="O330" s="1">
        <v>1</v>
      </c>
      <c r="P330" t="s">
        <v>3417</v>
      </c>
      <c r="Q330" t="s">
        <v>3418</v>
      </c>
      <c r="S330" t="s">
        <v>91</v>
      </c>
      <c r="T330" t="s">
        <v>135</v>
      </c>
      <c r="U330" t="s">
        <v>3419</v>
      </c>
      <c r="V330">
        <v>2</v>
      </c>
      <c r="W330" t="s">
        <v>3420</v>
      </c>
      <c r="Z330" t="s">
        <v>123</v>
      </c>
      <c r="AA330">
        <v>4</v>
      </c>
      <c r="AB330" t="s">
        <v>3421</v>
      </c>
      <c r="AC330">
        <v>137</v>
      </c>
      <c r="AD330" t="s">
        <v>3422</v>
      </c>
      <c r="AE330" t="s">
        <v>48</v>
      </c>
      <c r="AF330" t="s">
        <v>95</v>
      </c>
      <c r="AG330" t="s">
        <v>3423</v>
      </c>
      <c r="AH330" t="str">
        <f>HYPERLINK("http://compartments.jensenlab.org/Entity?figures=subcell_cell_%&amp;knowledge=10&amp;textmining=10&amp;experiments=10&amp;predictions=10&amp;type1=9606&amp;type2=-22&amp;id1=ENSP00000262067","link")</f>
        <v>link</v>
      </c>
      <c r="AJ330" t="s">
        <v>51</v>
      </c>
      <c r="AK330" t="str">
        <f>HYPERLINK("http://www.proteinatlas.org/O95857","HPA007426")</f>
        <v>HPA007426</v>
      </c>
      <c r="AM330">
        <v>27075</v>
      </c>
    </row>
    <row r="331" spans="1:39" x14ac:dyDescent="0.35">
      <c r="A331" t="s">
        <v>3424</v>
      </c>
      <c r="B331" t="str">
        <f>HYPERLINK("http://www.uniprot.org/uniprot/O95858","O95858")</f>
        <v>O95858</v>
      </c>
      <c r="C331" t="s">
        <v>3425</v>
      </c>
      <c r="D331" t="s">
        <v>3426</v>
      </c>
      <c r="E331" t="s">
        <v>39</v>
      </c>
      <c r="F331" t="s">
        <v>40</v>
      </c>
      <c r="H331">
        <v>294</v>
      </c>
      <c r="I331">
        <v>4</v>
      </c>
      <c r="J331">
        <v>0</v>
      </c>
      <c r="K331" t="s">
        <v>3427</v>
      </c>
      <c r="L331" t="s">
        <v>101</v>
      </c>
      <c r="N331">
        <v>0.85629999999999995</v>
      </c>
      <c r="O331" s="1">
        <v>1</v>
      </c>
      <c r="P331" t="s">
        <v>3428</v>
      </c>
      <c r="Q331" t="s">
        <v>3429</v>
      </c>
      <c r="S331" t="s">
        <v>91</v>
      </c>
      <c r="T331" t="s">
        <v>135</v>
      </c>
      <c r="U331" t="s">
        <v>3430</v>
      </c>
      <c r="V331">
        <v>3</v>
      </c>
      <c r="W331" t="s">
        <v>3430</v>
      </c>
      <c r="Z331" t="s">
        <v>123</v>
      </c>
      <c r="AA331">
        <v>2</v>
      </c>
      <c r="AB331" t="s">
        <v>3431</v>
      </c>
      <c r="AC331">
        <v>189</v>
      </c>
      <c r="AD331" t="s">
        <v>3432</v>
      </c>
      <c r="AE331" t="s">
        <v>48</v>
      </c>
      <c r="AF331" t="s">
        <v>95</v>
      </c>
      <c r="AG331" t="s">
        <v>3433</v>
      </c>
      <c r="AH331" t="str">
        <f>HYPERLINK("http://compartments.jensenlab.org/Entity?figures=subcell_cell_%&amp;knowledge=10&amp;textmining=10&amp;experiments=10&amp;predictions=10&amp;type1=9606&amp;type2=-22&amp;id1=ENSP00000362387","link")</f>
        <v>link</v>
      </c>
      <c r="AJ331" t="s">
        <v>51</v>
      </c>
      <c r="AK331" t="str">
        <f>HYPERLINK("http://www.proteinatlas.org/O95858","HPA044657")</f>
        <v>HPA044657</v>
      </c>
      <c r="AM331">
        <v>23555</v>
      </c>
    </row>
    <row r="332" spans="1:39" x14ac:dyDescent="0.35">
      <c r="A332" t="s">
        <v>3434</v>
      </c>
      <c r="B332" t="str">
        <f>HYPERLINK("http://www.uniprot.org/uniprot/O95866","O95866")</f>
        <v>O95866</v>
      </c>
      <c r="C332" t="s">
        <v>3435</v>
      </c>
      <c r="D332" t="s">
        <v>3436</v>
      </c>
      <c r="E332" t="s">
        <v>39</v>
      </c>
      <c r="F332" t="s">
        <v>55</v>
      </c>
      <c r="H332">
        <v>241</v>
      </c>
      <c r="I332">
        <v>1</v>
      </c>
      <c r="J332">
        <v>1</v>
      </c>
      <c r="K332" t="s">
        <v>3437</v>
      </c>
      <c r="L332" t="s">
        <v>101</v>
      </c>
      <c r="M332" t="s">
        <v>39</v>
      </c>
      <c r="N332">
        <v>0.81330000000000002</v>
      </c>
      <c r="O332" s="1">
        <v>1</v>
      </c>
      <c r="P332" t="s">
        <v>3438</v>
      </c>
      <c r="Q332" t="s">
        <v>3439</v>
      </c>
      <c r="S332" t="s">
        <v>60</v>
      </c>
      <c r="T332" t="s">
        <v>60</v>
      </c>
      <c r="U332">
        <v>32</v>
      </c>
      <c r="V332">
        <v>1</v>
      </c>
      <c r="Z332" t="s">
        <v>107</v>
      </c>
      <c r="AA332">
        <v>3</v>
      </c>
      <c r="AB332" t="s">
        <v>3440</v>
      </c>
      <c r="AC332">
        <v>32</v>
      </c>
      <c r="AD332" t="s">
        <v>3441</v>
      </c>
      <c r="AE332" t="s">
        <v>3442</v>
      </c>
      <c r="AF332" t="s">
        <v>3443</v>
      </c>
      <c r="AG332" t="s">
        <v>3444</v>
      </c>
      <c r="AH332" t="str">
        <f>HYPERLINK("http://compartments.jensenlab.org/Entity?figures=subcell_cell_%&amp;knowledge=10&amp;textmining=10&amp;experiments=10&amp;predictions=10&amp;type1=9606&amp;type2=-22&amp;id1=ENSP00000364964","link")</f>
        <v>link</v>
      </c>
      <c r="AI332" t="s">
        <v>3445</v>
      </c>
      <c r="AJ332" t="s">
        <v>981</v>
      </c>
      <c r="AK332" t="str">
        <f>HYPERLINK("http://www.proteinatlas.org/O95866","no")</f>
        <v>no</v>
      </c>
      <c r="AM332">
        <v>80739</v>
      </c>
    </row>
    <row r="333" spans="1:39" x14ac:dyDescent="0.35">
      <c r="A333" t="s">
        <v>3446</v>
      </c>
      <c r="B333" t="str">
        <f>HYPERLINK("http://www.uniprot.org/uniprot/O95867","O95867")</f>
        <v>O95867</v>
      </c>
      <c r="C333" t="s">
        <v>3447</v>
      </c>
      <c r="D333" t="s">
        <v>3448</v>
      </c>
      <c r="E333" t="s">
        <v>39</v>
      </c>
      <c r="F333" t="s">
        <v>239</v>
      </c>
      <c r="H333">
        <v>125</v>
      </c>
      <c r="I333">
        <v>0</v>
      </c>
      <c r="J333">
        <v>1</v>
      </c>
      <c r="K333" t="s">
        <v>3449</v>
      </c>
      <c r="L333" t="s">
        <v>57</v>
      </c>
      <c r="N333">
        <v>0.74050000000000005</v>
      </c>
      <c r="O333" s="1" t="s">
        <v>241</v>
      </c>
      <c r="P333" t="s">
        <v>3450</v>
      </c>
      <c r="Q333" t="s">
        <v>3451</v>
      </c>
      <c r="S333" t="s">
        <v>60</v>
      </c>
      <c r="T333" t="s">
        <v>60</v>
      </c>
      <c r="U333" t="s">
        <v>3452</v>
      </c>
      <c r="V333">
        <v>2</v>
      </c>
      <c r="W333" t="s">
        <v>3452</v>
      </c>
      <c r="AE333" t="s">
        <v>243</v>
      </c>
      <c r="AF333" t="s">
        <v>3453</v>
      </c>
      <c r="AG333" t="s">
        <v>3454</v>
      </c>
      <c r="AH333" t="str">
        <f>HYPERLINK("http://compartments.jensenlab.org/Entity?figures=subcell_cell_%&amp;knowledge=10&amp;textmining=10&amp;experiments=10&amp;predictions=10&amp;type1=9606&amp;type2=-22&amp;id1=ENSP00000364978","link")</f>
        <v>link</v>
      </c>
      <c r="AI333" t="s">
        <v>2883</v>
      </c>
      <c r="AJ333" t="s">
        <v>2884</v>
      </c>
      <c r="AK333" t="str">
        <f>HYPERLINK("http://www.proteinatlas.org/O95867","HPA044151")</f>
        <v>HPA044151</v>
      </c>
      <c r="AM333">
        <v>80740</v>
      </c>
    </row>
    <row r="334" spans="1:39" x14ac:dyDescent="0.35">
      <c r="A334" t="s">
        <v>3455</v>
      </c>
      <c r="B334" t="str">
        <f>HYPERLINK("http://www.uniprot.org/uniprot/O95868","O95868")</f>
        <v>O95868</v>
      </c>
      <c r="C334" t="s">
        <v>3456</v>
      </c>
      <c r="D334" t="s">
        <v>3457</v>
      </c>
      <c r="E334" t="s">
        <v>39</v>
      </c>
      <c r="F334" t="s">
        <v>239</v>
      </c>
      <c r="H334">
        <v>133</v>
      </c>
      <c r="I334">
        <v>0</v>
      </c>
      <c r="J334">
        <v>1</v>
      </c>
      <c r="K334" t="s">
        <v>3458</v>
      </c>
      <c r="L334" t="s">
        <v>57</v>
      </c>
      <c r="N334">
        <v>0.4012</v>
      </c>
      <c r="O334" s="1" t="s">
        <v>1752</v>
      </c>
      <c r="P334" t="s">
        <v>3459</v>
      </c>
      <c r="Q334" t="s">
        <v>3460</v>
      </c>
      <c r="S334" t="s">
        <v>60</v>
      </c>
      <c r="T334" t="s">
        <v>60</v>
      </c>
      <c r="V334">
        <v>0</v>
      </c>
      <c r="AE334" t="s">
        <v>3461</v>
      </c>
      <c r="AF334" t="s">
        <v>3462</v>
      </c>
      <c r="AG334" t="s">
        <v>3463</v>
      </c>
      <c r="AH334" t="str">
        <f>HYPERLINK("http://compartments.jensenlab.org/Entity?figures=subcell_cell_%&amp;knowledge=10&amp;textmining=10&amp;experiments=10&amp;predictions=10&amp;type1=9606&amp;type2=-22&amp;id1=ENSP00000364985","link")</f>
        <v>link</v>
      </c>
      <c r="AI334" t="s">
        <v>65</v>
      </c>
      <c r="AJ334" t="s">
        <v>51</v>
      </c>
      <c r="AK334" t="str">
        <f>HYPERLINK("http://www.proteinatlas.org/O95868","HPA054412")</f>
        <v>HPA054412</v>
      </c>
      <c r="AM334">
        <v>58530</v>
      </c>
    </row>
    <row r="335" spans="1:39" x14ac:dyDescent="0.35">
      <c r="A335" t="s">
        <v>3464</v>
      </c>
      <c r="B335" t="str">
        <f>HYPERLINK("http://www.uniprot.org/uniprot/O95907","O95907")</f>
        <v>O95907</v>
      </c>
      <c r="C335" t="s">
        <v>3465</v>
      </c>
      <c r="D335" t="s">
        <v>3466</v>
      </c>
      <c r="E335" t="s">
        <v>39</v>
      </c>
      <c r="F335" t="s">
        <v>55</v>
      </c>
      <c r="H335">
        <v>504</v>
      </c>
      <c r="I335">
        <v>12</v>
      </c>
      <c r="J335">
        <v>0</v>
      </c>
      <c r="K335" t="s">
        <v>3467</v>
      </c>
      <c r="L335" t="s">
        <v>57</v>
      </c>
      <c r="M335" t="s">
        <v>39</v>
      </c>
      <c r="N335">
        <v>0.66490000000000005</v>
      </c>
      <c r="O335" s="1">
        <v>2</v>
      </c>
      <c r="P335" t="s">
        <v>3468</v>
      </c>
      <c r="Q335" t="s">
        <v>3469</v>
      </c>
      <c r="S335" t="s">
        <v>45</v>
      </c>
      <c r="T335" t="s">
        <v>1507</v>
      </c>
      <c r="V335">
        <v>0</v>
      </c>
      <c r="AE335" t="s">
        <v>74</v>
      </c>
      <c r="AF335" t="s">
        <v>2341</v>
      </c>
      <c r="AG335" t="s">
        <v>3470</v>
      </c>
      <c r="AH335" t="str">
        <f>HYPERLINK("http://compartments.jensenlab.org/Entity?figures=subcell_cell_%&amp;knowledge=10&amp;textmining=10&amp;experiments=10&amp;predictions=10&amp;type1=9606&amp;type2=-22&amp;id1=ENSP00000321735","link")</f>
        <v>link</v>
      </c>
      <c r="AI335" t="s">
        <v>65</v>
      </c>
      <c r="AJ335" t="s">
        <v>51</v>
      </c>
      <c r="AK335" t="str">
        <f>HYPERLINK("http://www.proteinatlas.org/O95907","no")</f>
        <v>no</v>
      </c>
      <c r="AL335" t="s">
        <v>1512</v>
      </c>
      <c r="AM335">
        <v>23539</v>
      </c>
    </row>
    <row r="336" spans="1:39" x14ac:dyDescent="0.35">
      <c r="A336" t="s">
        <v>3471</v>
      </c>
      <c r="B336" t="str">
        <f>HYPERLINK("http://www.uniprot.org/uniprot/O95918","O95918")</f>
        <v>O95918</v>
      </c>
      <c r="C336" t="s">
        <v>3472</v>
      </c>
      <c r="D336" t="s">
        <v>3473</v>
      </c>
      <c r="E336" t="s">
        <v>39</v>
      </c>
      <c r="F336" t="s">
        <v>55</v>
      </c>
      <c r="H336">
        <v>312</v>
      </c>
      <c r="I336">
        <v>7</v>
      </c>
      <c r="J336">
        <v>0</v>
      </c>
      <c r="K336" t="s">
        <v>3474</v>
      </c>
      <c r="L336" t="s">
        <v>57</v>
      </c>
      <c r="M336" t="s">
        <v>39</v>
      </c>
      <c r="N336">
        <v>1</v>
      </c>
      <c r="O336" s="1">
        <v>1</v>
      </c>
      <c r="P336" t="s">
        <v>3475</v>
      </c>
      <c r="Q336" t="s">
        <v>3476</v>
      </c>
      <c r="S336" t="s">
        <v>166</v>
      </c>
      <c r="T336" t="s">
        <v>167</v>
      </c>
      <c r="U336" t="s">
        <v>252</v>
      </c>
      <c r="V336">
        <v>1</v>
      </c>
      <c r="AE336" t="s">
        <v>74</v>
      </c>
      <c r="AF336" t="s">
        <v>169</v>
      </c>
      <c r="AG336" t="s">
        <v>3477</v>
      </c>
      <c r="AH336" t="str">
        <f>HYPERLINK("http://compartments.jensenlab.org/Entity?figures=subcell_cell_%&amp;knowledge=10&amp;textmining=10&amp;experiments=10&amp;predictions=10&amp;type1=9606&amp;type2=-22&amp;id1=ENSP00000366146","link")</f>
        <v>link</v>
      </c>
      <c r="AI336" t="s">
        <v>2883</v>
      </c>
      <c r="AJ336" t="s">
        <v>2884</v>
      </c>
      <c r="AK336" t="str">
        <f>HYPERLINK("http://www.proteinatlas.org/O95918","no")</f>
        <v>no</v>
      </c>
      <c r="AM336">
        <v>7932</v>
      </c>
    </row>
    <row r="337" spans="1:39" x14ac:dyDescent="0.35">
      <c r="A337" t="s">
        <v>3478</v>
      </c>
      <c r="B337" t="str">
        <f>HYPERLINK("http://www.uniprot.org/uniprot/O95944","O95944")</f>
        <v>O95944</v>
      </c>
      <c r="C337" t="s">
        <v>3479</v>
      </c>
      <c r="D337" t="s">
        <v>3480</v>
      </c>
      <c r="E337" t="s">
        <v>39</v>
      </c>
      <c r="F337" t="s">
        <v>40</v>
      </c>
      <c r="H337">
        <v>276</v>
      </c>
      <c r="I337">
        <v>1</v>
      </c>
      <c r="J337">
        <v>1</v>
      </c>
      <c r="K337" t="s">
        <v>3481</v>
      </c>
      <c r="L337" t="s">
        <v>57</v>
      </c>
      <c r="N337">
        <v>0.8024</v>
      </c>
      <c r="O337" s="1">
        <v>1</v>
      </c>
      <c r="P337" t="s">
        <v>3482</v>
      </c>
      <c r="Q337" t="s">
        <v>3483</v>
      </c>
      <c r="R337" t="s">
        <v>3484</v>
      </c>
      <c r="S337" t="s">
        <v>166</v>
      </c>
      <c r="T337" t="s">
        <v>1356</v>
      </c>
      <c r="U337">
        <v>180</v>
      </c>
      <c r="V337">
        <v>1</v>
      </c>
      <c r="W337">
        <v>180</v>
      </c>
      <c r="AE337" t="s">
        <v>332</v>
      </c>
      <c r="AF337" t="s">
        <v>1362</v>
      </c>
      <c r="AG337" t="s">
        <v>3485</v>
      </c>
      <c r="AH337" t="str">
        <f>HYPERLINK("http://compartments.jensenlab.org/Entity?figures=subcell_cell_%&amp;knowledge=10&amp;textmining=10&amp;experiments=10&amp;predictions=10&amp;type1=9606&amp;type2=-22&amp;id1=ENSP00000362181","link")</f>
        <v>link</v>
      </c>
      <c r="AI337" t="s">
        <v>65</v>
      </c>
      <c r="AJ337" t="s">
        <v>51</v>
      </c>
      <c r="AK337" t="str">
        <f>HYPERLINK("http://www.proteinatlas.org/O95944","HPA067249")</f>
        <v>HPA067249</v>
      </c>
      <c r="AM337">
        <v>9436</v>
      </c>
    </row>
    <row r="338" spans="1:39" x14ac:dyDescent="0.35">
      <c r="A338" t="s">
        <v>3486</v>
      </c>
      <c r="B338" t="str">
        <f>HYPERLINK("http://www.uniprot.org/uniprot/O95971","O95971")</f>
        <v>O95971</v>
      </c>
      <c r="C338" t="s">
        <v>3487</v>
      </c>
      <c r="D338" t="s">
        <v>3488</v>
      </c>
      <c r="E338" t="s">
        <v>39</v>
      </c>
      <c r="F338" t="s">
        <v>239</v>
      </c>
      <c r="H338">
        <v>181</v>
      </c>
      <c r="I338">
        <v>0</v>
      </c>
      <c r="J338">
        <v>1</v>
      </c>
      <c r="K338" t="s">
        <v>3489</v>
      </c>
      <c r="L338" t="s">
        <v>996</v>
      </c>
      <c r="N338">
        <v>0.61880000000000002</v>
      </c>
      <c r="O338" s="1" t="s">
        <v>241</v>
      </c>
      <c r="P338" t="s">
        <v>3490</v>
      </c>
      <c r="Q338" t="s">
        <v>3491</v>
      </c>
      <c r="R338" t="s">
        <v>3488</v>
      </c>
      <c r="U338" t="s">
        <v>3492</v>
      </c>
      <c r="V338">
        <v>2</v>
      </c>
      <c r="Z338" t="s">
        <v>107</v>
      </c>
      <c r="AA338">
        <v>5</v>
      </c>
      <c r="AB338" t="s">
        <v>3493</v>
      </c>
      <c r="AC338" t="s">
        <v>3492</v>
      </c>
      <c r="AD338" t="s">
        <v>3494</v>
      </c>
      <c r="AE338" t="s">
        <v>243</v>
      </c>
      <c r="AF338" t="s">
        <v>3495</v>
      </c>
      <c r="AG338" t="s">
        <v>3496</v>
      </c>
      <c r="AH338" t="str">
        <f>HYPERLINK("http://compartments.jensenlab.org/Entity?figures=subcell_cell_%&amp;knowledge=10&amp;textmining=10&amp;experiments=10&amp;predictions=10&amp;type1=9606&amp;type2=-22&amp;id1=ENSP00000235933","link")</f>
        <v>link</v>
      </c>
      <c r="AI338" t="s">
        <v>65</v>
      </c>
      <c r="AJ338" t="s">
        <v>51</v>
      </c>
      <c r="AK338" t="str">
        <f>HYPERLINK("http://www.proteinatlas.org/O95971","no")</f>
        <v>no</v>
      </c>
      <c r="AM338">
        <v>11126</v>
      </c>
    </row>
    <row r="339" spans="1:39" x14ac:dyDescent="0.35">
      <c r="A339" t="s">
        <v>3497</v>
      </c>
      <c r="B339" t="str">
        <f>HYPERLINK("http://www.uniprot.org/uniprot/O95976","O95976")</f>
        <v>O95976</v>
      </c>
      <c r="C339" t="s">
        <v>3498</v>
      </c>
      <c r="D339" t="s">
        <v>3499</v>
      </c>
      <c r="E339" t="s">
        <v>39</v>
      </c>
      <c r="F339" t="s">
        <v>40</v>
      </c>
      <c r="H339">
        <v>241</v>
      </c>
      <c r="I339">
        <v>1</v>
      </c>
      <c r="J339">
        <v>1</v>
      </c>
      <c r="K339" t="s">
        <v>3500</v>
      </c>
      <c r="L339" t="s">
        <v>57</v>
      </c>
      <c r="N339">
        <v>0.94210000000000005</v>
      </c>
      <c r="O339" s="1">
        <v>1</v>
      </c>
      <c r="P339" t="s">
        <v>3501</v>
      </c>
      <c r="Q339" t="s">
        <v>3502</v>
      </c>
      <c r="S339" t="s">
        <v>166</v>
      </c>
      <c r="T339" t="s">
        <v>2505</v>
      </c>
      <c r="U339" t="s">
        <v>3503</v>
      </c>
      <c r="V339">
        <v>1</v>
      </c>
      <c r="W339">
        <v>226</v>
      </c>
      <c r="AE339" t="s">
        <v>144</v>
      </c>
      <c r="AF339" t="s">
        <v>3504</v>
      </c>
      <c r="AG339" t="s">
        <v>3505</v>
      </c>
      <c r="AH339" t="str">
        <f>HYPERLINK("http://compartments.jensenlab.org/Entity?figures=subcell_cell_%&amp;knowledge=10&amp;textmining=10&amp;experiments=10&amp;predictions=10&amp;type1=9606&amp;type2=-22&amp;id1=ENSP00000268389","link")</f>
        <v>link</v>
      </c>
      <c r="AJ339" t="s">
        <v>51</v>
      </c>
      <c r="AK339" t="str">
        <f>HYPERLINK("http://www.proteinatlas.org/O95976","HPA041023;HPA041072")</f>
        <v>HPA041023;HPA041072</v>
      </c>
      <c r="AM339">
        <v>10261</v>
      </c>
    </row>
    <row r="340" spans="1:39" x14ac:dyDescent="0.35">
      <c r="A340" t="s">
        <v>3506</v>
      </c>
      <c r="B340" t="str">
        <f>HYPERLINK("http://www.uniprot.org/uniprot/O95977","O95977")</f>
        <v>O95977</v>
      </c>
      <c r="C340" t="s">
        <v>3507</v>
      </c>
      <c r="D340" t="s">
        <v>3508</v>
      </c>
      <c r="E340" t="s">
        <v>39</v>
      </c>
      <c r="F340" t="s">
        <v>55</v>
      </c>
      <c r="H340">
        <v>384</v>
      </c>
      <c r="I340">
        <v>7</v>
      </c>
      <c r="J340">
        <v>0</v>
      </c>
      <c r="K340" t="s">
        <v>3509</v>
      </c>
      <c r="L340" t="s">
        <v>101</v>
      </c>
      <c r="M340" t="s">
        <v>39</v>
      </c>
      <c r="N340">
        <v>0.96340000000000003</v>
      </c>
      <c r="O340" s="1">
        <v>1</v>
      </c>
      <c r="P340" t="s">
        <v>3510</v>
      </c>
      <c r="Q340" t="s">
        <v>3511</v>
      </c>
      <c r="S340" t="s">
        <v>166</v>
      </c>
      <c r="T340" t="s">
        <v>838</v>
      </c>
      <c r="U340" t="s">
        <v>3512</v>
      </c>
      <c r="V340">
        <v>2</v>
      </c>
      <c r="W340" t="s">
        <v>3513</v>
      </c>
      <c r="Z340" t="s">
        <v>107</v>
      </c>
      <c r="AA340">
        <v>4</v>
      </c>
      <c r="AB340" t="s">
        <v>3514</v>
      </c>
      <c r="AC340">
        <v>30</v>
      </c>
      <c r="AD340" t="s">
        <v>3515</v>
      </c>
      <c r="AE340" t="s">
        <v>74</v>
      </c>
      <c r="AF340" t="s">
        <v>3516</v>
      </c>
      <c r="AG340" t="s">
        <v>3517</v>
      </c>
      <c r="AH340" t="str">
        <f>HYPERLINK("http://compartments.jensenlab.org/Entity?figures=subcell_cell_%&amp;knowledge=10&amp;textmining=10&amp;experiments=10&amp;predictions=10&amp;type1=9606&amp;type2=-22&amp;id1=ENSP00000246115","link")</f>
        <v>link</v>
      </c>
      <c r="AI340" t="s">
        <v>65</v>
      </c>
      <c r="AJ340" t="s">
        <v>51</v>
      </c>
      <c r="AK340" t="str">
        <f>HYPERLINK("http://www.proteinatlas.org/O95977","HPA060601")</f>
        <v>HPA060601</v>
      </c>
      <c r="AM340">
        <v>8698</v>
      </c>
    </row>
    <row r="341" spans="1:39" x14ac:dyDescent="0.35">
      <c r="A341" t="s">
        <v>3518</v>
      </c>
      <c r="B341" t="str">
        <f>HYPERLINK("http://www.uniprot.org/uniprot/O95980","O95980")</f>
        <v>O95980</v>
      </c>
      <c r="C341" t="s">
        <v>3519</v>
      </c>
      <c r="D341" t="s">
        <v>3520</v>
      </c>
      <c r="E341" t="s">
        <v>39</v>
      </c>
      <c r="F341" t="s">
        <v>239</v>
      </c>
      <c r="H341">
        <v>971</v>
      </c>
      <c r="I341">
        <v>0</v>
      </c>
      <c r="J341">
        <v>1</v>
      </c>
      <c r="K341" t="s">
        <v>3521</v>
      </c>
      <c r="L341" t="s">
        <v>996</v>
      </c>
      <c r="N341">
        <v>0.64270000000000005</v>
      </c>
      <c r="O341" s="1" t="s">
        <v>241</v>
      </c>
      <c r="P341" t="s">
        <v>3522</v>
      </c>
      <c r="Q341" t="s">
        <v>3523</v>
      </c>
      <c r="U341" t="s">
        <v>3524</v>
      </c>
      <c r="V341">
        <v>5</v>
      </c>
      <c r="W341" t="s">
        <v>3525</v>
      </c>
      <c r="Z341" t="s">
        <v>107</v>
      </c>
      <c r="AA341">
        <v>2</v>
      </c>
      <c r="AB341" t="s">
        <v>3526</v>
      </c>
      <c r="AC341" t="s">
        <v>3527</v>
      </c>
      <c r="AD341" t="s">
        <v>3528</v>
      </c>
      <c r="AE341" t="s">
        <v>243</v>
      </c>
      <c r="AF341" t="s">
        <v>3529</v>
      </c>
      <c r="AG341" t="s">
        <v>3530</v>
      </c>
      <c r="AH341" t="str">
        <f>HYPERLINK("http://compartments.jensenlab.org/Entity?figures=subcell_cell_%&amp;knowledge=10&amp;textmining=10&amp;experiments=10&amp;predictions=10&amp;type1=9606&amp;type2=-22&amp;id1=ENSP00000367202","link")</f>
        <v>link</v>
      </c>
      <c r="AI341" t="s">
        <v>65</v>
      </c>
      <c r="AJ341" t="s">
        <v>51</v>
      </c>
      <c r="AK341" t="str">
        <f>HYPERLINK("http://www.proteinatlas.org/O95980","CAB025109")</f>
        <v>CAB025109</v>
      </c>
      <c r="AM341">
        <v>8434</v>
      </c>
    </row>
    <row r="342" spans="1:39" x14ac:dyDescent="0.35">
      <c r="A342" t="s">
        <v>3531</v>
      </c>
      <c r="B342" t="str">
        <f>HYPERLINK("http://www.uniprot.org/uniprot/P00533","P00533")</f>
        <v>P00533</v>
      </c>
      <c r="C342" t="s">
        <v>3532</v>
      </c>
      <c r="D342" t="s">
        <v>3533</v>
      </c>
      <c r="E342" t="s">
        <v>39</v>
      </c>
      <c r="F342" t="s">
        <v>55</v>
      </c>
      <c r="H342">
        <v>1210</v>
      </c>
      <c r="I342">
        <v>1</v>
      </c>
      <c r="J342">
        <v>1</v>
      </c>
      <c r="K342" t="s">
        <v>3534</v>
      </c>
      <c r="L342" t="s">
        <v>101</v>
      </c>
      <c r="M342" t="s">
        <v>39</v>
      </c>
      <c r="N342">
        <v>0.97419999999999995</v>
      </c>
      <c r="O342" s="1">
        <v>1</v>
      </c>
      <c r="P342" t="s">
        <v>3535</v>
      </c>
      <c r="Q342" t="s">
        <v>3536</v>
      </c>
      <c r="S342" t="s">
        <v>166</v>
      </c>
      <c r="T342" t="s">
        <v>3537</v>
      </c>
      <c r="U342" t="s">
        <v>3538</v>
      </c>
      <c r="V342">
        <v>11</v>
      </c>
      <c r="W342" t="s">
        <v>3539</v>
      </c>
      <c r="X342" t="s">
        <v>3540</v>
      </c>
      <c r="Z342" t="s">
        <v>107</v>
      </c>
      <c r="AA342">
        <v>47</v>
      </c>
      <c r="AB342" t="s">
        <v>3541</v>
      </c>
      <c r="AC342" t="s">
        <v>3542</v>
      </c>
      <c r="AD342" t="s">
        <v>3543</v>
      </c>
      <c r="AE342" t="s">
        <v>3544</v>
      </c>
      <c r="AF342" t="s">
        <v>3545</v>
      </c>
      <c r="AG342" t="s">
        <v>3546</v>
      </c>
      <c r="AH342" t="str">
        <f>HYPERLINK("http://compartments.jensenlab.org/Entity?figures=subcell_cell_%&amp;knowledge=10&amp;textmining=10&amp;experiments=10&amp;predictions=10&amp;type1=9606&amp;type2=-22&amp;id1=ENSP00000275493","link")</f>
        <v>link</v>
      </c>
      <c r="AI342" t="s">
        <v>3547</v>
      </c>
      <c r="AJ342" t="s">
        <v>3548</v>
      </c>
      <c r="AK342" t="str">
        <f>HYPERLINK("http://www.proteinatlas.org/P00533","CAB000035;HPA001200;HPA018530;CAB068186")</f>
        <v>CAB000035;HPA001200;HPA018530;CAB068186</v>
      </c>
      <c r="AL342" t="s">
        <v>3549</v>
      </c>
      <c r="AM342">
        <v>1956</v>
      </c>
    </row>
    <row r="343" spans="1:39" x14ac:dyDescent="0.35">
      <c r="A343" t="s">
        <v>3550</v>
      </c>
      <c r="B343" t="str">
        <f>HYPERLINK("http://www.uniprot.org/uniprot/P01130","P01130")</f>
        <v>P01130</v>
      </c>
      <c r="C343" t="s">
        <v>3551</v>
      </c>
      <c r="D343" t="s">
        <v>3552</v>
      </c>
      <c r="E343" t="s">
        <v>39</v>
      </c>
      <c r="F343" t="s">
        <v>55</v>
      </c>
      <c r="H343">
        <v>860</v>
      </c>
      <c r="I343">
        <v>1</v>
      </c>
      <c r="J343">
        <v>1</v>
      </c>
      <c r="K343" t="s">
        <v>3553</v>
      </c>
      <c r="L343" t="s">
        <v>101</v>
      </c>
      <c r="M343" t="s">
        <v>39</v>
      </c>
      <c r="N343">
        <v>0.93089999999999995</v>
      </c>
      <c r="O343" s="1">
        <v>1</v>
      </c>
      <c r="P343" t="s">
        <v>3554</v>
      </c>
      <c r="Q343" t="s">
        <v>3555</v>
      </c>
      <c r="S343" t="s">
        <v>166</v>
      </c>
      <c r="T343" t="s">
        <v>2518</v>
      </c>
      <c r="U343" t="s">
        <v>3556</v>
      </c>
      <c r="V343">
        <v>5</v>
      </c>
      <c r="W343" t="s">
        <v>3556</v>
      </c>
      <c r="Y343" t="s">
        <v>3557</v>
      </c>
      <c r="Z343" t="s">
        <v>107</v>
      </c>
      <c r="AA343">
        <v>2</v>
      </c>
      <c r="AB343" t="s">
        <v>3558</v>
      </c>
      <c r="AC343" t="s">
        <v>3559</v>
      </c>
      <c r="AD343" t="s">
        <v>3560</v>
      </c>
      <c r="AE343" t="s">
        <v>3561</v>
      </c>
      <c r="AF343" t="s">
        <v>3562</v>
      </c>
      <c r="AG343" t="s">
        <v>3563</v>
      </c>
      <c r="AH343" t="str">
        <f>HYPERLINK("http://compartments.jensenlab.org/Entity?figures=subcell_cell_%&amp;knowledge=10&amp;textmining=10&amp;experiments=10&amp;predictions=10&amp;type1=9606&amp;type2=-22&amp;id1=ENSP00000454071","link")</f>
        <v>link</v>
      </c>
      <c r="AK343" t="str">
        <f>HYPERLINK("http://www.proteinatlas.org/P01130","HPA009647;HPA013159")</f>
        <v>HPA009647;HPA013159</v>
      </c>
      <c r="AL343" t="s">
        <v>3564</v>
      </c>
      <c r="AM343">
        <v>3949</v>
      </c>
    </row>
    <row r="344" spans="1:39" x14ac:dyDescent="0.35">
      <c r="A344" t="s">
        <v>3565</v>
      </c>
      <c r="B344" t="str">
        <f>HYPERLINK("http://www.uniprot.org/uniprot/P01133","P01133")</f>
        <v>P01133</v>
      </c>
      <c r="C344" t="s">
        <v>3566</v>
      </c>
      <c r="D344" t="s">
        <v>3567</v>
      </c>
      <c r="E344" t="s">
        <v>39</v>
      </c>
      <c r="F344" t="s">
        <v>40</v>
      </c>
      <c r="H344">
        <v>1207</v>
      </c>
      <c r="I344">
        <v>1</v>
      </c>
      <c r="J344">
        <v>1</v>
      </c>
      <c r="K344" t="s">
        <v>3568</v>
      </c>
      <c r="L344" t="s">
        <v>57</v>
      </c>
      <c r="N344">
        <v>0.95809999999999995</v>
      </c>
      <c r="O344" s="1">
        <v>1</v>
      </c>
      <c r="P344" t="s">
        <v>3569</v>
      </c>
      <c r="Q344" t="s">
        <v>3570</v>
      </c>
      <c r="S344" t="s">
        <v>166</v>
      </c>
      <c r="T344" t="s">
        <v>2518</v>
      </c>
      <c r="U344" t="s">
        <v>3571</v>
      </c>
      <c r="V344">
        <v>9</v>
      </c>
      <c r="W344" t="s">
        <v>3571</v>
      </c>
      <c r="X344" t="s">
        <v>3572</v>
      </c>
      <c r="AE344" t="s">
        <v>144</v>
      </c>
      <c r="AF344" t="s">
        <v>3573</v>
      </c>
      <c r="AG344" t="s">
        <v>3574</v>
      </c>
      <c r="AH344" t="str">
        <f>HYPERLINK("http://compartments.jensenlab.org/Entity?figures=subcell_cell_%&amp;knowledge=10&amp;textmining=10&amp;experiments=10&amp;predictions=10&amp;type1=9606&amp;type2=-22&amp;id1=ENSP00000265171","link")</f>
        <v>link</v>
      </c>
      <c r="AJ344" t="s">
        <v>902</v>
      </c>
      <c r="AK344" t="str">
        <f>HYPERLINK("http://www.proteinatlas.org/P01133","CAB017843")</f>
        <v>CAB017843</v>
      </c>
      <c r="AL344" t="s">
        <v>3575</v>
      </c>
      <c r="AM344">
        <v>1950</v>
      </c>
    </row>
    <row r="345" spans="1:39" x14ac:dyDescent="0.35">
      <c r="A345" t="s">
        <v>3576</v>
      </c>
      <c r="B345" t="str">
        <f>HYPERLINK("http://www.uniprot.org/uniprot/P01135","P01135")</f>
        <v>P01135</v>
      </c>
      <c r="C345" t="s">
        <v>3577</v>
      </c>
      <c r="D345" t="s">
        <v>3578</v>
      </c>
      <c r="E345" t="s">
        <v>39</v>
      </c>
      <c r="F345" t="s">
        <v>40</v>
      </c>
      <c r="H345">
        <v>160</v>
      </c>
      <c r="I345">
        <v>1</v>
      </c>
      <c r="J345">
        <v>1</v>
      </c>
      <c r="K345" t="s">
        <v>3579</v>
      </c>
      <c r="L345" t="s">
        <v>57</v>
      </c>
      <c r="N345">
        <v>0.85629999999999995</v>
      </c>
      <c r="O345" s="1">
        <v>1</v>
      </c>
      <c r="P345" t="s">
        <v>3580</v>
      </c>
      <c r="Q345" t="s">
        <v>3581</v>
      </c>
      <c r="S345" t="s">
        <v>60</v>
      </c>
      <c r="T345" t="s">
        <v>60</v>
      </c>
      <c r="U345">
        <v>25</v>
      </c>
      <c r="V345">
        <v>1</v>
      </c>
      <c r="W345">
        <v>25</v>
      </c>
      <c r="X345" t="s">
        <v>3582</v>
      </c>
      <c r="AE345" t="s">
        <v>3583</v>
      </c>
      <c r="AF345" t="s">
        <v>3584</v>
      </c>
      <c r="AG345" t="s">
        <v>3585</v>
      </c>
      <c r="AH345" t="str">
        <f>HYPERLINK("http://compartments.jensenlab.org/Entity?figures=subcell_cell_%&amp;knowledge=10&amp;textmining=10&amp;experiments=10&amp;predictions=10&amp;type1=9606&amp;type2=-22&amp;id1=ENSP00000295400","link")</f>
        <v>link</v>
      </c>
      <c r="AI345" t="s">
        <v>1058</v>
      </c>
      <c r="AJ345" t="s">
        <v>3586</v>
      </c>
      <c r="AK345" t="str">
        <f>HYPERLINK("http://www.proteinatlas.org/P01135","HPA042297")</f>
        <v>HPA042297</v>
      </c>
      <c r="AM345">
        <v>7039</v>
      </c>
    </row>
    <row r="346" spans="1:39" x14ac:dyDescent="0.35">
      <c r="A346" t="s">
        <v>3587</v>
      </c>
      <c r="B346" t="str">
        <f>HYPERLINK("http://www.uniprot.org/uniprot/P01589","P01589")</f>
        <v>P01589</v>
      </c>
      <c r="C346" t="s">
        <v>3588</v>
      </c>
      <c r="D346" t="s">
        <v>3589</v>
      </c>
      <c r="E346" t="s">
        <v>39</v>
      </c>
      <c r="F346" t="s">
        <v>40</v>
      </c>
      <c r="H346">
        <v>272</v>
      </c>
      <c r="I346">
        <v>1</v>
      </c>
      <c r="J346">
        <v>1</v>
      </c>
      <c r="K346" t="s">
        <v>3590</v>
      </c>
      <c r="L346" t="s">
        <v>101</v>
      </c>
      <c r="N346">
        <v>0.77049999999999996</v>
      </c>
      <c r="O346" s="1">
        <v>1</v>
      </c>
      <c r="P346" t="s">
        <v>3591</v>
      </c>
      <c r="Q346" t="s">
        <v>3592</v>
      </c>
      <c r="R346" t="s">
        <v>3593</v>
      </c>
      <c r="S346" t="s">
        <v>166</v>
      </c>
      <c r="T346" t="s">
        <v>3171</v>
      </c>
      <c r="U346" t="s">
        <v>3594</v>
      </c>
      <c r="V346">
        <v>2</v>
      </c>
      <c r="W346" t="s">
        <v>3594</v>
      </c>
      <c r="X346" t="s">
        <v>3595</v>
      </c>
      <c r="Z346" t="s">
        <v>107</v>
      </c>
      <c r="AA346">
        <v>3</v>
      </c>
      <c r="AB346" t="s">
        <v>3596</v>
      </c>
      <c r="AC346">
        <v>70</v>
      </c>
      <c r="AD346" t="s">
        <v>3597</v>
      </c>
      <c r="AE346" t="s">
        <v>144</v>
      </c>
      <c r="AF346" t="s">
        <v>3598</v>
      </c>
      <c r="AG346" t="s">
        <v>3599</v>
      </c>
      <c r="AH346" t="str">
        <f>HYPERLINK("http://compartments.jensenlab.org/Entity?figures=subcell_cell_%&amp;knowledge=10&amp;textmining=10&amp;experiments=10&amp;predictions=10&amp;type1=9606&amp;type2=-22&amp;id1=ENSP00000369293","link")</f>
        <v>link</v>
      </c>
      <c r="AJ346" t="s">
        <v>51</v>
      </c>
      <c r="AK346" t="str">
        <f>HYPERLINK("http://www.proteinatlas.org/P01589","CAB002419;HPA054622")</f>
        <v>CAB002419;HPA054622</v>
      </c>
      <c r="AL346" t="s">
        <v>3600</v>
      </c>
      <c r="AM346">
        <v>3559</v>
      </c>
    </row>
    <row r="347" spans="1:39" x14ac:dyDescent="0.35">
      <c r="A347" t="s">
        <v>3601</v>
      </c>
      <c r="B347" t="str">
        <f>HYPERLINK("http://www.uniprot.org/uniprot/P01730","P01730")</f>
        <v>P01730</v>
      </c>
      <c r="C347" t="s">
        <v>3602</v>
      </c>
      <c r="D347" t="s">
        <v>3603</v>
      </c>
      <c r="E347" t="s">
        <v>39</v>
      </c>
      <c r="F347" t="s">
        <v>55</v>
      </c>
      <c r="H347">
        <v>458</v>
      </c>
      <c r="I347">
        <v>1</v>
      </c>
      <c r="J347">
        <v>1</v>
      </c>
      <c r="K347" t="s">
        <v>3604</v>
      </c>
      <c r="L347" t="s">
        <v>101</v>
      </c>
      <c r="M347" t="s">
        <v>39</v>
      </c>
      <c r="N347">
        <v>0.90910000000000002</v>
      </c>
      <c r="O347" s="1">
        <v>1</v>
      </c>
      <c r="P347" t="s">
        <v>3605</v>
      </c>
      <c r="Q347" t="s">
        <v>3606</v>
      </c>
      <c r="R347" t="s">
        <v>3603</v>
      </c>
      <c r="S347" t="s">
        <v>60</v>
      </c>
      <c r="T347" t="s">
        <v>60</v>
      </c>
      <c r="U347" t="s">
        <v>3607</v>
      </c>
      <c r="V347">
        <v>2</v>
      </c>
      <c r="W347" t="s">
        <v>3607</v>
      </c>
      <c r="X347">
        <v>74</v>
      </c>
      <c r="Z347" t="s">
        <v>107</v>
      </c>
      <c r="AA347">
        <v>6</v>
      </c>
      <c r="AB347" t="s">
        <v>3608</v>
      </c>
      <c r="AC347" t="s">
        <v>3607</v>
      </c>
      <c r="AD347" t="s">
        <v>3609</v>
      </c>
      <c r="AE347" t="s">
        <v>332</v>
      </c>
      <c r="AF347" t="s">
        <v>3610</v>
      </c>
      <c r="AG347" t="s">
        <v>3611</v>
      </c>
      <c r="AH347" t="str">
        <f>HYPERLINK("http://compartments.jensenlab.org/Entity?figures=subcell_cell_%&amp;knowledge=10&amp;textmining=10&amp;experiments=10&amp;predictions=10&amp;type1=9606&amp;type2=-22&amp;id1=ENSP00000011653","link")</f>
        <v>link</v>
      </c>
      <c r="AI347" t="s">
        <v>65</v>
      </c>
      <c r="AJ347" t="s">
        <v>2780</v>
      </c>
      <c r="AK347" t="str">
        <f>HYPERLINK("http://www.proteinatlas.org/P01730","CAB000011;HPA004252;HPA004472;CAB068180")</f>
        <v>CAB000011;HPA004252;HPA004472;CAB068180</v>
      </c>
      <c r="AL347" t="s">
        <v>3612</v>
      </c>
      <c r="AM347">
        <v>920</v>
      </c>
    </row>
    <row r="348" spans="1:39" x14ac:dyDescent="0.35">
      <c r="A348" t="s">
        <v>3613</v>
      </c>
      <c r="B348" t="str">
        <f>HYPERLINK("http://www.uniprot.org/uniprot/P01732","P01732")</f>
        <v>P01732</v>
      </c>
      <c r="C348" t="s">
        <v>3614</v>
      </c>
      <c r="D348" t="s">
        <v>3615</v>
      </c>
      <c r="E348" t="s">
        <v>39</v>
      </c>
      <c r="F348" t="s">
        <v>55</v>
      </c>
      <c r="H348">
        <v>235</v>
      </c>
      <c r="I348">
        <v>1</v>
      </c>
      <c r="J348">
        <v>1</v>
      </c>
      <c r="K348" t="s">
        <v>3616</v>
      </c>
      <c r="L348" t="s">
        <v>57</v>
      </c>
      <c r="M348" t="s">
        <v>39</v>
      </c>
      <c r="N348">
        <v>0.61499999999999999</v>
      </c>
      <c r="O348" s="1">
        <v>2</v>
      </c>
      <c r="P348" t="s">
        <v>3617</v>
      </c>
      <c r="Q348" t="s">
        <v>3618</v>
      </c>
      <c r="R348" t="s">
        <v>3619</v>
      </c>
      <c r="S348" t="s">
        <v>60</v>
      </c>
      <c r="T348" t="s">
        <v>60</v>
      </c>
      <c r="V348">
        <v>0</v>
      </c>
      <c r="W348">
        <v>49</v>
      </c>
      <c r="X348" t="s">
        <v>3620</v>
      </c>
      <c r="AE348" t="s">
        <v>1250</v>
      </c>
      <c r="AF348" t="s">
        <v>3621</v>
      </c>
      <c r="AG348" t="s">
        <v>3622</v>
      </c>
      <c r="AH348" t="str">
        <f>HYPERLINK("http://compartments.jensenlab.org/Entity?figures=subcell_cell_%&amp;knowledge=10&amp;textmining=10&amp;experiments=10&amp;predictions=10&amp;type1=9606&amp;type2=-22&amp;id1=ENSP00000283635","link")</f>
        <v>link</v>
      </c>
      <c r="AI348" t="s">
        <v>1058</v>
      </c>
      <c r="AJ348" t="s">
        <v>902</v>
      </c>
      <c r="AK348" t="str">
        <f>HYPERLINK("http://www.proteinatlas.org/P01732","CAB000012;HPA037756")</f>
        <v>CAB000012;HPA037756</v>
      </c>
      <c r="AM348">
        <v>925</v>
      </c>
    </row>
    <row r="349" spans="1:39" x14ac:dyDescent="0.35">
      <c r="A349" t="s">
        <v>3623</v>
      </c>
      <c r="B349" t="str">
        <f>HYPERLINK("http://www.uniprot.org/uniprot/P01833","P01833")</f>
        <v>P01833</v>
      </c>
      <c r="C349" t="s">
        <v>3624</v>
      </c>
      <c r="D349" t="s">
        <v>3625</v>
      </c>
      <c r="E349" t="s">
        <v>39</v>
      </c>
      <c r="F349" t="s">
        <v>40</v>
      </c>
      <c r="H349">
        <v>764</v>
      </c>
      <c r="I349">
        <v>1</v>
      </c>
      <c r="J349">
        <v>1</v>
      </c>
      <c r="K349" t="s">
        <v>3626</v>
      </c>
      <c r="L349" t="s">
        <v>57</v>
      </c>
      <c r="N349">
        <v>0.95809999999999995</v>
      </c>
      <c r="O349" s="1">
        <v>1</v>
      </c>
      <c r="P349" t="s">
        <v>3627</v>
      </c>
      <c r="Q349" t="s">
        <v>3628</v>
      </c>
      <c r="S349" t="s">
        <v>166</v>
      </c>
      <c r="T349" t="s">
        <v>3629</v>
      </c>
      <c r="U349" t="s">
        <v>3630</v>
      </c>
      <c r="V349">
        <v>7</v>
      </c>
      <c r="W349" t="s">
        <v>3630</v>
      </c>
      <c r="Y349" t="s">
        <v>3631</v>
      </c>
      <c r="AE349" t="s">
        <v>1250</v>
      </c>
      <c r="AF349" t="s">
        <v>3632</v>
      </c>
      <c r="AG349" t="s">
        <v>3633</v>
      </c>
      <c r="AH349" t="str">
        <f>HYPERLINK("http://compartments.jensenlab.org/Entity?figures=subcell_cell_%&amp;knowledge=10&amp;textmining=10&amp;experiments=10&amp;predictions=10&amp;type1=9606&amp;type2=-22&amp;id1=ENSP00000348888","link")</f>
        <v>link</v>
      </c>
      <c r="AI349" t="s">
        <v>1058</v>
      </c>
      <c r="AJ349" t="s">
        <v>3634</v>
      </c>
      <c r="AK349" t="str">
        <f>HYPERLINK("http://www.proteinatlas.org/P01833","HPA006154;CAB009454;HPA012012")</f>
        <v>HPA006154;CAB009454;HPA012012</v>
      </c>
      <c r="AM349">
        <v>5284</v>
      </c>
    </row>
    <row r="350" spans="1:39" x14ac:dyDescent="0.35">
      <c r="A350" t="s">
        <v>3635</v>
      </c>
      <c r="B350" t="str">
        <f>HYPERLINK("http://www.uniprot.org/uniprot/P01889","P01889")</f>
        <v>P01889</v>
      </c>
      <c r="C350" t="s">
        <v>3636</v>
      </c>
      <c r="D350" t="s">
        <v>3637</v>
      </c>
      <c r="E350" t="s">
        <v>39</v>
      </c>
      <c r="F350" t="s">
        <v>40</v>
      </c>
      <c r="H350">
        <v>362</v>
      </c>
      <c r="I350">
        <v>1</v>
      </c>
      <c r="J350">
        <v>1</v>
      </c>
      <c r="K350" t="s">
        <v>3638</v>
      </c>
      <c r="L350" t="s">
        <v>57</v>
      </c>
      <c r="N350">
        <v>0.83830000000000005</v>
      </c>
      <c r="O350" s="1">
        <v>1</v>
      </c>
      <c r="P350" t="s">
        <v>3639</v>
      </c>
      <c r="Q350" t="s">
        <v>3640</v>
      </c>
      <c r="S350" t="s">
        <v>91</v>
      </c>
      <c r="T350" t="s">
        <v>3641</v>
      </c>
      <c r="U350">
        <v>110</v>
      </c>
      <c r="V350">
        <v>1</v>
      </c>
      <c r="W350">
        <v>110</v>
      </c>
      <c r="AE350" t="s">
        <v>144</v>
      </c>
      <c r="AF350" t="s">
        <v>3642</v>
      </c>
      <c r="AG350" t="s">
        <v>3643</v>
      </c>
      <c r="AH350" t="str">
        <f>HYPERLINK("http://compartments.jensenlab.org/Entity?figures=subcell_cell_%&amp;knowledge=10&amp;textmining=10&amp;experiments=10&amp;predictions=10&amp;type1=9606&amp;type2=-22&amp;id1=ENSP00000399168","link")</f>
        <v>link</v>
      </c>
      <c r="AI350" t="s">
        <v>65</v>
      </c>
      <c r="AJ350" t="s">
        <v>3644</v>
      </c>
      <c r="AK350" t="str">
        <f>HYPERLINK("http://www.proteinatlas.org/P01889","CAB015418")</f>
        <v>CAB015418</v>
      </c>
      <c r="AM350">
        <v>3106</v>
      </c>
    </row>
    <row r="351" spans="1:39" x14ac:dyDescent="0.35">
      <c r="A351" t="s">
        <v>3645</v>
      </c>
      <c r="B351" t="str">
        <f>HYPERLINK("http://www.uniprot.org/uniprot/P01891","P01891")</f>
        <v>P01891</v>
      </c>
      <c r="C351" t="s">
        <v>3646</v>
      </c>
      <c r="D351" t="s">
        <v>3647</v>
      </c>
      <c r="E351" t="s">
        <v>39</v>
      </c>
      <c r="F351" t="s">
        <v>40</v>
      </c>
      <c r="H351">
        <v>365</v>
      </c>
      <c r="I351">
        <v>1</v>
      </c>
      <c r="J351">
        <v>1</v>
      </c>
      <c r="K351" t="s">
        <v>3648</v>
      </c>
      <c r="L351" t="s">
        <v>57</v>
      </c>
      <c r="N351">
        <v>0.75449999999999995</v>
      </c>
      <c r="O351" s="1">
        <v>1</v>
      </c>
      <c r="P351" t="s">
        <v>3649</v>
      </c>
      <c r="Q351" t="s">
        <v>3650</v>
      </c>
      <c r="S351" t="s">
        <v>91</v>
      </c>
      <c r="T351" t="s">
        <v>3641</v>
      </c>
      <c r="U351">
        <v>110</v>
      </c>
      <c r="V351">
        <v>1</v>
      </c>
      <c r="X351" t="s">
        <v>3651</v>
      </c>
      <c r="AE351" t="s">
        <v>144</v>
      </c>
      <c r="AF351" t="s">
        <v>3652</v>
      </c>
      <c r="AG351" t="s">
        <v>3653</v>
      </c>
      <c r="AH351" t="str">
        <f>HYPERLINK("http://compartments.jensenlab.org/Entity?figures=subcell_cell_%&amp;knowledge=10&amp;textmining=10&amp;experiments=10&amp;predictions=10&amp;type1=9606&amp;type2=-22&amp;id1=ENSP00000403575","link")</f>
        <v>link</v>
      </c>
      <c r="AK351" t="str">
        <f>HYPERLINK("http://www.proteinatlas.org/P01891","no")</f>
        <v>no</v>
      </c>
    </row>
    <row r="352" spans="1:39" x14ac:dyDescent="0.35">
      <c r="A352" t="s">
        <v>3654</v>
      </c>
      <c r="B352" t="str">
        <f>HYPERLINK("http://www.uniprot.org/uniprot/P01892","P01892")</f>
        <v>P01892</v>
      </c>
      <c r="C352" t="s">
        <v>3655</v>
      </c>
      <c r="D352" t="s">
        <v>3647</v>
      </c>
      <c r="E352" t="s">
        <v>39</v>
      </c>
      <c r="F352" t="s">
        <v>40</v>
      </c>
      <c r="H352">
        <v>365</v>
      </c>
      <c r="I352">
        <v>1</v>
      </c>
      <c r="J352">
        <v>1</v>
      </c>
      <c r="K352" t="s">
        <v>3648</v>
      </c>
      <c r="L352" t="s">
        <v>101</v>
      </c>
      <c r="N352">
        <v>0.71860000000000002</v>
      </c>
      <c r="O352" s="1">
        <v>2</v>
      </c>
      <c r="P352" t="s">
        <v>3656</v>
      </c>
      <c r="Q352" t="s">
        <v>3657</v>
      </c>
      <c r="S352" t="s">
        <v>91</v>
      </c>
      <c r="T352" t="s">
        <v>3641</v>
      </c>
      <c r="U352">
        <v>110</v>
      </c>
      <c r="V352">
        <v>1</v>
      </c>
      <c r="X352" t="s">
        <v>3658</v>
      </c>
      <c r="Z352" t="s">
        <v>107</v>
      </c>
      <c r="AA352">
        <v>2</v>
      </c>
      <c r="AB352" t="s">
        <v>3659</v>
      </c>
      <c r="AC352">
        <v>110</v>
      </c>
      <c r="AD352" t="s">
        <v>3660</v>
      </c>
      <c r="AE352" t="s">
        <v>144</v>
      </c>
      <c r="AF352" t="s">
        <v>3652</v>
      </c>
      <c r="AG352" t="s">
        <v>3661</v>
      </c>
      <c r="AH352" t="str">
        <f>HYPERLINK("http://compartments.jensenlab.org/Entity?figures=subcell_cell_%&amp;knowledge=10&amp;textmining=10&amp;experiments=10&amp;predictions=10&amp;type1=9606&amp;type2=-22&amp;id1=ENSP00000403575","link")</f>
        <v>link</v>
      </c>
      <c r="AK352" t="str">
        <f>HYPERLINK("http://www.proteinatlas.org/P01892","no")</f>
        <v>no</v>
      </c>
      <c r="AM352">
        <v>3105</v>
      </c>
    </row>
    <row r="353" spans="1:39" x14ac:dyDescent="0.35">
      <c r="A353" t="s">
        <v>3662</v>
      </c>
      <c r="B353" t="str">
        <f>HYPERLINK("http://www.uniprot.org/uniprot/P01893","P01893")</f>
        <v>P01893</v>
      </c>
      <c r="C353" t="s">
        <v>3663</v>
      </c>
      <c r="D353" t="s">
        <v>3664</v>
      </c>
      <c r="E353" t="s">
        <v>39</v>
      </c>
      <c r="F353" t="s">
        <v>40</v>
      </c>
      <c r="H353">
        <v>362</v>
      </c>
      <c r="I353">
        <v>1</v>
      </c>
      <c r="J353">
        <v>1</v>
      </c>
      <c r="K353" t="s">
        <v>3638</v>
      </c>
      <c r="L353" t="s">
        <v>57</v>
      </c>
      <c r="N353">
        <v>0.86229999999999996</v>
      </c>
      <c r="O353" s="1">
        <v>1</v>
      </c>
      <c r="S353" t="s">
        <v>91</v>
      </c>
      <c r="T353" t="s">
        <v>3641</v>
      </c>
      <c r="U353">
        <v>110</v>
      </c>
      <c r="V353">
        <v>1</v>
      </c>
      <c r="W353">
        <v>110</v>
      </c>
      <c r="AE353" t="s">
        <v>3665</v>
      </c>
      <c r="AF353" t="s">
        <v>3666</v>
      </c>
      <c r="AG353" t="s">
        <v>3667</v>
      </c>
      <c r="AK353" t="str">
        <f>HYPERLINK("http://www.proteinatlas.org/P01893","no")</f>
        <v>no</v>
      </c>
    </row>
    <row r="354" spans="1:39" x14ac:dyDescent="0.35">
      <c r="A354" t="s">
        <v>3668</v>
      </c>
      <c r="B354" t="str">
        <f>HYPERLINK("http://www.uniprot.org/uniprot/P01903","P01903")</f>
        <v>P01903</v>
      </c>
      <c r="C354" t="s">
        <v>3669</v>
      </c>
      <c r="D354" t="s">
        <v>3670</v>
      </c>
      <c r="E354" t="s">
        <v>39</v>
      </c>
      <c r="F354" t="s">
        <v>55</v>
      </c>
      <c r="H354">
        <v>254</v>
      </c>
      <c r="I354">
        <v>1</v>
      </c>
      <c r="J354">
        <v>1</v>
      </c>
      <c r="K354" t="s">
        <v>3671</v>
      </c>
      <c r="L354" t="s">
        <v>101</v>
      </c>
      <c r="N354">
        <v>0.7944</v>
      </c>
      <c r="O354" s="1">
        <v>1</v>
      </c>
      <c r="P354" t="s">
        <v>3672</v>
      </c>
      <c r="Q354" t="s">
        <v>3673</v>
      </c>
      <c r="S354" t="s">
        <v>91</v>
      </c>
      <c r="T354" t="s">
        <v>3641</v>
      </c>
      <c r="U354" t="s">
        <v>3674</v>
      </c>
      <c r="V354">
        <v>2</v>
      </c>
      <c r="W354" t="s">
        <v>3674</v>
      </c>
      <c r="Y354" t="s">
        <v>3675</v>
      </c>
      <c r="Z354" t="s">
        <v>107</v>
      </c>
      <c r="AA354">
        <v>19</v>
      </c>
      <c r="AB354" t="s">
        <v>3676</v>
      </c>
      <c r="AC354" t="s">
        <v>3674</v>
      </c>
      <c r="AD354" t="s">
        <v>3677</v>
      </c>
      <c r="AE354" t="s">
        <v>3678</v>
      </c>
      <c r="AF354" t="s">
        <v>3679</v>
      </c>
      <c r="AG354" t="s">
        <v>3680</v>
      </c>
      <c r="AH354" t="str">
        <f>HYPERLINK("http://compartments.jensenlab.org/Entity?figures=subcell_cell_%&amp;knowledge=10&amp;textmining=10&amp;experiments=10&amp;predictions=10&amp;type1=9606&amp;type2=-22&amp;id1=ENSP00000372608","link")</f>
        <v>link</v>
      </c>
      <c r="AI354" t="s">
        <v>3681</v>
      </c>
      <c r="AJ354" t="s">
        <v>3682</v>
      </c>
      <c r="AK354" t="str">
        <f>HYPERLINK("http://www.proteinatlas.org/P01903","CAB002798;CAB015402;HPA050162;HPA053176")</f>
        <v>CAB002798;CAB015402;HPA050162;HPA053176</v>
      </c>
      <c r="AM354">
        <v>3122</v>
      </c>
    </row>
    <row r="355" spans="1:39" x14ac:dyDescent="0.35">
      <c r="A355" t="s">
        <v>3683</v>
      </c>
      <c r="B355" t="str">
        <f>HYPERLINK("http://www.uniprot.org/uniprot/P01906","P01906")</f>
        <v>P01906</v>
      </c>
      <c r="C355" t="s">
        <v>3684</v>
      </c>
      <c r="D355" t="s">
        <v>3685</v>
      </c>
      <c r="E355" t="s">
        <v>39</v>
      </c>
      <c r="F355" t="s">
        <v>40</v>
      </c>
      <c r="H355">
        <v>255</v>
      </c>
      <c r="I355">
        <v>1</v>
      </c>
      <c r="J355">
        <v>1</v>
      </c>
      <c r="K355" t="s">
        <v>3686</v>
      </c>
      <c r="L355" t="s">
        <v>57</v>
      </c>
      <c r="N355">
        <v>0.81240000000000001</v>
      </c>
      <c r="O355" s="1">
        <v>1</v>
      </c>
      <c r="P355" t="s">
        <v>3687</v>
      </c>
      <c r="Q355" t="s">
        <v>3688</v>
      </c>
      <c r="S355" t="s">
        <v>91</v>
      </c>
      <c r="T355" t="s">
        <v>3641</v>
      </c>
      <c r="U355" t="s">
        <v>3689</v>
      </c>
      <c r="V355">
        <v>2</v>
      </c>
      <c r="W355" t="s">
        <v>3689</v>
      </c>
      <c r="Y355" t="s">
        <v>3690</v>
      </c>
      <c r="AE355" t="s">
        <v>3691</v>
      </c>
      <c r="AF355" t="s">
        <v>3692</v>
      </c>
      <c r="AG355" t="s">
        <v>3693</v>
      </c>
      <c r="AH355" t="str">
        <f>HYPERLINK("http://compartments.jensenlab.org/Entity?figures=subcell_cell_%&amp;knowledge=10&amp;textmining=10&amp;experiments=10&amp;predictions=10&amp;type1=9606&amp;type2=-22&amp;id1=ENSP00000241802","link")</f>
        <v>link</v>
      </c>
      <c r="AI355" t="s">
        <v>3694</v>
      </c>
      <c r="AJ355" t="s">
        <v>1630</v>
      </c>
      <c r="AK355" t="str">
        <f>HYPERLINK("http://www.proteinatlas.org/P01906","HPA010967")</f>
        <v>HPA010967</v>
      </c>
      <c r="AL355" t="s">
        <v>3695</v>
      </c>
      <c r="AM355">
        <v>3118</v>
      </c>
    </row>
    <row r="356" spans="1:39" x14ac:dyDescent="0.35">
      <c r="A356" t="s">
        <v>3696</v>
      </c>
      <c r="B356" t="str">
        <f>HYPERLINK("http://www.uniprot.org/uniprot/P01909","P01909")</f>
        <v>P01909</v>
      </c>
      <c r="C356" t="s">
        <v>3697</v>
      </c>
      <c r="D356" t="s">
        <v>3698</v>
      </c>
      <c r="E356" t="s">
        <v>39</v>
      </c>
      <c r="F356" t="s">
        <v>55</v>
      </c>
      <c r="H356">
        <v>254</v>
      </c>
      <c r="I356">
        <v>1</v>
      </c>
      <c r="J356">
        <v>1</v>
      </c>
      <c r="K356" t="s">
        <v>3699</v>
      </c>
      <c r="L356" t="s">
        <v>101</v>
      </c>
      <c r="M356" t="s">
        <v>39</v>
      </c>
      <c r="N356">
        <v>0.91190000000000004</v>
      </c>
      <c r="O356" s="1">
        <v>1</v>
      </c>
      <c r="P356" t="s">
        <v>3700</v>
      </c>
      <c r="Q356" t="s">
        <v>3701</v>
      </c>
      <c r="S356" t="s">
        <v>91</v>
      </c>
      <c r="T356" t="s">
        <v>3641</v>
      </c>
      <c r="U356" t="s">
        <v>3674</v>
      </c>
      <c r="V356">
        <v>2</v>
      </c>
      <c r="W356" t="s">
        <v>3674</v>
      </c>
      <c r="Y356" t="s">
        <v>3702</v>
      </c>
      <c r="Z356" t="s">
        <v>3703</v>
      </c>
      <c r="AA356">
        <v>4</v>
      </c>
      <c r="AB356" t="s">
        <v>3704</v>
      </c>
      <c r="AC356">
        <v>103</v>
      </c>
      <c r="AD356" t="s">
        <v>3705</v>
      </c>
      <c r="AE356" t="s">
        <v>3706</v>
      </c>
      <c r="AF356" t="s">
        <v>3707</v>
      </c>
      <c r="AG356" t="s">
        <v>3708</v>
      </c>
      <c r="AH356" t="str">
        <f>HYPERLINK("http://compartments.jensenlab.org/Entity?figures=subcell_cell_%&amp;knowledge=10&amp;textmining=10&amp;experiments=10&amp;predictions=10&amp;type1=9606&amp;type2=-22&amp;id1=ENSP00000339398","link")</f>
        <v>link</v>
      </c>
      <c r="AK356" t="str">
        <f>HYPERLINK("http://www.proteinatlas.org/P01909","HPA012315")</f>
        <v>HPA012315</v>
      </c>
      <c r="AM356" t="s">
        <v>3709</v>
      </c>
    </row>
    <row r="357" spans="1:39" x14ac:dyDescent="0.35">
      <c r="A357" t="s">
        <v>3710</v>
      </c>
      <c r="B357" t="str">
        <f>HYPERLINK("http://www.uniprot.org/uniprot/P01911","P01911")</f>
        <v>P01911</v>
      </c>
      <c r="C357" t="s">
        <v>3711</v>
      </c>
      <c r="D357" t="s">
        <v>3712</v>
      </c>
      <c r="E357" t="s">
        <v>39</v>
      </c>
      <c r="F357" t="s">
        <v>40</v>
      </c>
      <c r="H357">
        <v>266</v>
      </c>
      <c r="I357">
        <v>1</v>
      </c>
      <c r="J357">
        <v>1</v>
      </c>
      <c r="K357" t="s">
        <v>3713</v>
      </c>
      <c r="L357" t="s">
        <v>57</v>
      </c>
      <c r="N357">
        <v>0.93010000000000004</v>
      </c>
      <c r="O357" s="1">
        <v>1</v>
      </c>
      <c r="P357" t="s">
        <v>3714</v>
      </c>
      <c r="Q357" t="s">
        <v>3715</v>
      </c>
      <c r="S357" t="s">
        <v>91</v>
      </c>
      <c r="T357" t="s">
        <v>3641</v>
      </c>
      <c r="U357">
        <v>48</v>
      </c>
      <c r="V357">
        <v>1</v>
      </c>
      <c r="W357">
        <v>48</v>
      </c>
      <c r="Y357" t="s">
        <v>3716</v>
      </c>
      <c r="AE357" t="s">
        <v>3717</v>
      </c>
      <c r="AF357" t="s">
        <v>3679</v>
      </c>
      <c r="AG357" t="s">
        <v>3718</v>
      </c>
      <c r="AH357" t="str">
        <f>HYPERLINK("http://compartments.jensenlab.org/Entity?figures=subcell_cell_%&amp;knowledge=10&amp;textmining=10&amp;experiments=10&amp;predictions=10&amp;type1=9606&amp;type2=-22&amp;id1=ENSP00000353099","link")</f>
        <v>link</v>
      </c>
      <c r="AI357" t="s">
        <v>3694</v>
      </c>
      <c r="AJ357" t="s">
        <v>1630</v>
      </c>
      <c r="AK357" t="str">
        <f>HYPERLINK("http://www.proteinatlas.org/P01911","CAB015400;CAB034021;HPA043151")</f>
        <v>CAB015400;CAB034021;HPA043151</v>
      </c>
      <c r="AM357">
        <v>3123</v>
      </c>
    </row>
    <row r="358" spans="1:39" x14ac:dyDescent="0.35">
      <c r="A358" t="s">
        <v>3719</v>
      </c>
      <c r="B358" t="str">
        <f>HYPERLINK("http://www.uniprot.org/uniprot/P01912","P01912")</f>
        <v>P01912</v>
      </c>
      <c r="C358" t="s">
        <v>3720</v>
      </c>
      <c r="D358" t="s">
        <v>3712</v>
      </c>
      <c r="E358" t="s">
        <v>39</v>
      </c>
      <c r="F358" t="s">
        <v>40</v>
      </c>
      <c r="H358">
        <v>266</v>
      </c>
      <c r="I358">
        <v>1</v>
      </c>
      <c r="J358">
        <v>1</v>
      </c>
      <c r="K358" t="s">
        <v>3713</v>
      </c>
      <c r="L358" t="s">
        <v>57</v>
      </c>
      <c r="N358">
        <v>0.92810000000000004</v>
      </c>
      <c r="O358" s="1">
        <v>1</v>
      </c>
      <c r="P358" t="s">
        <v>3721</v>
      </c>
      <c r="Q358" t="s">
        <v>3722</v>
      </c>
      <c r="S358" t="s">
        <v>91</v>
      </c>
      <c r="T358" t="s">
        <v>3641</v>
      </c>
      <c r="U358">
        <v>48</v>
      </c>
      <c r="V358">
        <v>1</v>
      </c>
      <c r="W358">
        <v>48</v>
      </c>
      <c r="Y358" t="s">
        <v>3723</v>
      </c>
      <c r="AE358" t="s">
        <v>3717</v>
      </c>
      <c r="AF358" t="s">
        <v>3724</v>
      </c>
      <c r="AG358" t="s">
        <v>3725</v>
      </c>
      <c r="AH358" t="str">
        <f>HYPERLINK("http://compartments.jensenlab.org/Entity?figures=subcell_cell_%&amp;knowledge=10&amp;textmining=10&amp;experiments=10&amp;predictions=10&amp;type1=9606&amp;type2=-22&amp;id1=ENSP00000331343","link")</f>
        <v>link</v>
      </c>
      <c r="AK358" t="str">
        <f>HYPERLINK("http://www.proteinatlas.org/P01912","no")</f>
        <v>no</v>
      </c>
      <c r="AM358">
        <v>3123</v>
      </c>
    </row>
    <row r="359" spans="1:39" x14ac:dyDescent="0.35">
      <c r="A359" t="s">
        <v>3726</v>
      </c>
      <c r="B359" t="str">
        <f>HYPERLINK("http://www.uniprot.org/uniprot/P01920","P01920")</f>
        <v>P01920</v>
      </c>
      <c r="C359" t="s">
        <v>3727</v>
      </c>
      <c r="D359" t="s">
        <v>3728</v>
      </c>
      <c r="E359" t="s">
        <v>39</v>
      </c>
      <c r="F359" t="s">
        <v>55</v>
      </c>
      <c r="H359">
        <v>261</v>
      </c>
      <c r="I359">
        <v>1</v>
      </c>
      <c r="J359">
        <v>1</v>
      </c>
      <c r="K359" t="s">
        <v>3729</v>
      </c>
      <c r="L359" t="s">
        <v>101</v>
      </c>
      <c r="M359" t="s">
        <v>39</v>
      </c>
      <c r="N359">
        <v>0.75260000000000005</v>
      </c>
      <c r="O359" s="1">
        <v>1</v>
      </c>
      <c r="P359" t="s">
        <v>3730</v>
      </c>
      <c r="Q359" t="s">
        <v>3731</v>
      </c>
      <c r="S359" t="s">
        <v>91</v>
      </c>
      <c r="T359" t="s">
        <v>3641</v>
      </c>
      <c r="U359">
        <v>51</v>
      </c>
      <c r="V359">
        <v>1</v>
      </c>
      <c r="W359">
        <v>51</v>
      </c>
      <c r="Y359" t="s">
        <v>3732</v>
      </c>
      <c r="Z359" t="s">
        <v>107</v>
      </c>
      <c r="AA359">
        <v>2</v>
      </c>
      <c r="AB359" t="s">
        <v>3733</v>
      </c>
      <c r="AC359">
        <v>51</v>
      </c>
      <c r="AD359" t="s">
        <v>3734</v>
      </c>
      <c r="AE359" t="s">
        <v>3706</v>
      </c>
      <c r="AF359" t="s">
        <v>3707</v>
      </c>
      <c r="AG359" t="s">
        <v>3735</v>
      </c>
      <c r="AH359" t="str">
        <f>HYPERLINK("http://compartments.jensenlab.org/Entity?figures=subcell_cell_%&amp;knowledge=10&amp;textmining=10&amp;experiments=10&amp;predictions=10&amp;type1=9606&amp;type2=-22&amp;id1=ENSP00000382038","link")</f>
        <v>link</v>
      </c>
      <c r="AK359" t="str">
        <f>HYPERLINK("http://www.proteinatlas.org/P01920","no")</f>
        <v>no</v>
      </c>
      <c r="AL359" t="s">
        <v>3695</v>
      </c>
      <c r="AM359">
        <v>3119</v>
      </c>
    </row>
    <row r="360" spans="1:39" x14ac:dyDescent="0.35">
      <c r="A360" t="s">
        <v>3736</v>
      </c>
      <c r="B360" t="str">
        <f>HYPERLINK("http://www.uniprot.org/uniprot/P02708","P02708")</f>
        <v>P02708</v>
      </c>
      <c r="C360" t="s">
        <v>3737</v>
      </c>
      <c r="D360" t="s">
        <v>3738</v>
      </c>
      <c r="E360" t="s">
        <v>39</v>
      </c>
      <c r="F360" t="s">
        <v>55</v>
      </c>
      <c r="H360">
        <v>482</v>
      </c>
      <c r="I360">
        <v>4</v>
      </c>
      <c r="J360">
        <v>1</v>
      </c>
      <c r="K360" t="s">
        <v>3739</v>
      </c>
      <c r="L360" t="s">
        <v>57</v>
      </c>
      <c r="M360" t="s">
        <v>39</v>
      </c>
      <c r="N360">
        <v>0.93369999999999997</v>
      </c>
      <c r="O360" s="1">
        <v>1</v>
      </c>
      <c r="P360" t="s">
        <v>3740</v>
      </c>
      <c r="Q360" t="s">
        <v>3741</v>
      </c>
      <c r="S360" t="s">
        <v>45</v>
      </c>
      <c r="T360" t="s">
        <v>195</v>
      </c>
      <c r="U360">
        <v>186</v>
      </c>
      <c r="V360">
        <v>1</v>
      </c>
      <c r="W360">
        <v>186</v>
      </c>
      <c r="AE360" t="s">
        <v>619</v>
      </c>
      <c r="AF360" t="s">
        <v>3742</v>
      </c>
      <c r="AG360" t="s">
        <v>3743</v>
      </c>
      <c r="AH360" t="str">
        <f>HYPERLINK("http://compartments.jensenlab.org/Entity?figures=subcell_cell_%&amp;knowledge=10&amp;textmining=10&amp;experiments=10&amp;predictions=10&amp;type1=9606&amp;type2=-22&amp;id1=ENSP00000261007","link")</f>
        <v>link</v>
      </c>
      <c r="AI360" t="s">
        <v>65</v>
      </c>
      <c r="AJ360" t="s">
        <v>51</v>
      </c>
      <c r="AK360" t="str">
        <f>HYPERLINK("http://www.proteinatlas.org/P02708","CAB010902")</f>
        <v>CAB010902</v>
      </c>
      <c r="AL360" t="s">
        <v>3744</v>
      </c>
      <c r="AM360">
        <v>1134</v>
      </c>
    </row>
    <row r="361" spans="1:39" x14ac:dyDescent="0.35">
      <c r="A361" t="s">
        <v>3745</v>
      </c>
      <c r="B361" t="str">
        <f>HYPERLINK("http://www.uniprot.org/uniprot/P02724","P02724")</f>
        <v>P02724</v>
      </c>
      <c r="C361" t="s">
        <v>3746</v>
      </c>
      <c r="D361" t="s">
        <v>3747</v>
      </c>
      <c r="E361" t="s">
        <v>39</v>
      </c>
      <c r="F361" t="s">
        <v>55</v>
      </c>
      <c r="H361">
        <v>150</v>
      </c>
      <c r="I361">
        <v>1</v>
      </c>
      <c r="J361">
        <v>1</v>
      </c>
      <c r="K361" t="s">
        <v>3748</v>
      </c>
      <c r="L361" t="s">
        <v>57</v>
      </c>
      <c r="M361" t="s">
        <v>39</v>
      </c>
      <c r="N361">
        <v>0.79769999999999996</v>
      </c>
      <c r="O361" s="1">
        <v>1</v>
      </c>
      <c r="P361" t="s">
        <v>3749</v>
      </c>
      <c r="Q361" t="s">
        <v>3750</v>
      </c>
      <c r="R361" t="s">
        <v>3751</v>
      </c>
      <c r="S361" t="s">
        <v>60</v>
      </c>
      <c r="T361" t="s">
        <v>60</v>
      </c>
      <c r="U361">
        <v>45</v>
      </c>
      <c r="V361">
        <v>1</v>
      </c>
      <c r="W361">
        <v>45</v>
      </c>
      <c r="X361" t="s">
        <v>3752</v>
      </c>
      <c r="AE361" t="s">
        <v>332</v>
      </c>
      <c r="AF361" t="s">
        <v>3753</v>
      </c>
      <c r="AG361" t="s">
        <v>3754</v>
      </c>
      <c r="AH361" t="str">
        <f>HYPERLINK("http://compartments.jensenlab.org/Entity?figures=subcell_cell_%&amp;knowledge=10&amp;textmining=10&amp;experiments=10&amp;predictions=10&amp;type1=9606&amp;type2=-22&amp;id1=ENSP00000354003","link")</f>
        <v>link</v>
      </c>
      <c r="AI361" t="s">
        <v>65</v>
      </c>
      <c r="AJ361" t="s">
        <v>51</v>
      </c>
      <c r="AK361" t="str">
        <f>HYPERLINK("http://www.proteinatlas.org/P02724","CAB002658;HPA014811")</f>
        <v>CAB002658;HPA014811</v>
      </c>
      <c r="AM361">
        <v>2993</v>
      </c>
    </row>
    <row r="362" spans="1:39" x14ac:dyDescent="0.35">
      <c r="A362" t="s">
        <v>3755</v>
      </c>
      <c r="B362" t="str">
        <f>HYPERLINK("http://www.uniprot.org/uniprot/P02730","P02730")</f>
        <v>P02730</v>
      </c>
      <c r="C362" t="s">
        <v>3756</v>
      </c>
      <c r="D362" t="s">
        <v>3757</v>
      </c>
      <c r="E362" t="s">
        <v>39</v>
      </c>
      <c r="F362" t="s">
        <v>55</v>
      </c>
      <c r="H362">
        <v>911</v>
      </c>
      <c r="I362">
        <v>12</v>
      </c>
      <c r="J362">
        <v>0</v>
      </c>
      <c r="K362" t="s">
        <v>3758</v>
      </c>
      <c r="L362" t="s">
        <v>57</v>
      </c>
      <c r="M362" t="s">
        <v>39</v>
      </c>
      <c r="N362">
        <v>0.5736</v>
      </c>
      <c r="O362" s="1">
        <v>3</v>
      </c>
      <c r="P362" t="s">
        <v>3759</v>
      </c>
      <c r="Q362" t="s">
        <v>3760</v>
      </c>
      <c r="R362" t="s">
        <v>3761</v>
      </c>
      <c r="S362" t="s">
        <v>45</v>
      </c>
      <c r="T362" t="s">
        <v>3762</v>
      </c>
      <c r="U362" t="s">
        <v>3763</v>
      </c>
      <c r="V362">
        <v>1</v>
      </c>
      <c r="X362" t="s">
        <v>3764</v>
      </c>
      <c r="AE362" t="s">
        <v>3765</v>
      </c>
      <c r="AF362" t="s">
        <v>3766</v>
      </c>
      <c r="AG362" t="s">
        <v>3767</v>
      </c>
      <c r="AH362" t="str">
        <f>HYPERLINK("http://compartments.jensenlab.org/Entity?figures=subcell_cell_%&amp;knowledge=10&amp;textmining=10&amp;experiments=10&amp;predictions=10&amp;type1=9606&amp;type2=-22&amp;id1=ENSP00000262418","link")</f>
        <v>link</v>
      </c>
      <c r="AI362" t="s">
        <v>3768</v>
      </c>
      <c r="AJ362" t="s">
        <v>1811</v>
      </c>
      <c r="AK362" t="str">
        <f>HYPERLINK("http://www.proteinatlas.org/P02730","HPA015584")</f>
        <v>HPA015584</v>
      </c>
      <c r="AM362">
        <v>6521</v>
      </c>
    </row>
    <row r="363" spans="1:39" x14ac:dyDescent="0.35">
      <c r="A363" t="s">
        <v>3769</v>
      </c>
      <c r="B363" t="str">
        <f>HYPERLINK("http://www.uniprot.org/uniprot/P03986","P03986")</f>
        <v>P03986</v>
      </c>
      <c r="C363" t="s">
        <v>3770</v>
      </c>
      <c r="D363" t="s">
        <v>3771</v>
      </c>
      <c r="E363" t="s">
        <v>39</v>
      </c>
      <c r="F363" t="s">
        <v>40</v>
      </c>
      <c r="H363">
        <v>189</v>
      </c>
      <c r="I363">
        <v>1</v>
      </c>
      <c r="J363">
        <v>0</v>
      </c>
      <c r="K363" t="s">
        <v>3772</v>
      </c>
      <c r="L363" t="s">
        <v>57</v>
      </c>
      <c r="N363">
        <v>0.62670000000000003</v>
      </c>
      <c r="O363" s="1">
        <v>2</v>
      </c>
      <c r="S363" t="s">
        <v>166</v>
      </c>
      <c r="T363" t="s">
        <v>3773</v>
      </c>
      <c r="U363" t="s">
        <v>3774</v>
      </c>
      <c r="V363">
        <v>4</v>
      </c>
      <c r="W363" t="s">
        <v>3774</v>
      </c>
      <c r="X363">
        <v>114</v>
      </c>
      <c r="AE363" t="s">
        <v>94</v>
      </c>
      <c r="AF363" t="s">
        <v>3775</v>
      </c>
      <c r="AG363" t="s">
        <v>3776</v>
      </c>
      <c r="AK363" t="str">
        <f>HYPERLINK("http://www.proteinatlas.org/P03986","no")</f>
        <v>no</v>
      </c>
    </row>
    <row r="364" spans="1:39" x14ac:dyDescent="0.35">
      <c r="A364" t="s">
        <v>3777</v>
      </c>
      <c r="B364" t="str">
        <f>HYPERLINK("http://www.uniprot.org/uniprot/P03989","P03989")</f>
        <v>P03989</v>
      </c>
      <c r="C364" t="s">
        <v>3778</v>
      </c>
      <c r="D364" t="s">
        <v>3637</v>
      </c>
      <c r="E364" t="s">
        <v>39</v>
      </c>
      <c r="F364" t="s">
        <v>40</v>
      </c>
      <c r="H364">
        <v>362</v>
      </c>
      <c r="I364">
        <v>1</v>
      </c>
      <c r="J364">
        <v>1</v>
      </c>
      <c r="K364" t="s">
        <v>3638</v>
      </c>
      <c r="L364" t="s">
        <v>101</v>
      </c>
      <c r="N364">
        <v>0.75849999999999995</v>
      </c>
      <c r="O364" s="1">
        <v>1</v>
      </c>
      <c r="P364" t="s">
        <v>3779</v>
      </c>
      <c r="Q364" t="s">
        <v>3780</v>
      </c>
      <c r="S364" t="s">
        <v>91</v>
      </c>
      <c r="T364" t="s">
        <v>3641</v>
      </c>
      <c r="U364">
        <v>110</v>
      </c>
      <c r="V364">
        <v>1</v>
      </c>
      <c r="Z364" t="s">
        <v>107</v>
      </c>
      <c r="AA364">
        <v>5</v>
      </c>
      <c r="AB364" t="s">
        <v>3781</v>
      </c>
      <c r="AC364">
        <v>110</v>
      </c>
      <c r="AD364" t="s">
        <v>3782</v>
      </c>
      <c r="AE364" t="s">
        <v>144</v>
      </c>
      <c r="AF364" t="s">
        <v>3642</v>
      </c>
      <c r="AG364" t="s">
        <v>3783</v>
      </c>
      <c r="AH364" t="str">
        <f>HYPERLINK("http://compartments.jensenlab.org/Entity?figures=subcell_cell_%&amp;knowledge=10&amp;textmining=10&amp;experiments=10&amp;predictions=10&amp;type1=9606&amp;type2=-22&amp;id1=ENSP00000405178","link")</f>
        <v>link</v>
      </c>
      <c r="AK364" t="str">
        <f>HYPERLINK("http://www.proteinatlas.org/P03989","no")</f>
        <v>no</v>
      </c>
    </row>
    <row r="365" spans="1:39" x14ac:dyDescent="0.35">
      <c r="A365" t="s">
        <v>3784</v>
      </c>
      <c r="B365" t="str">
        <f>HYPERLINK("http://www.uniprot.org/uniprot/P03999","P03999")</f>
        <v>P03999</v>
      </c>
      <c r="C365" t="s">
        <v>3785</v>
      </c>
      <c r="D365" t="s">
        <v>3786</v>
      </c>
      <c r="E365" t="s">
        <v>39</v>
      </c>
      <c r="F365" t="s">
        <v>40</v>
      </c>
      <c r="H365">
        <v>348</v>
      </c>
      <c r="I365">
        <v>7</v>
      </c>
      <c r="J365">
        <v>0</v>
      </c>
      <c r="K365" t="s">
        <v>3787</v>
      </c>
      <c r="L365" t="s">
        <v>57</v>
      </c>
      <c r="N365">
        <v>0.91620000000000001</v>
      </c>
      <c r="O365" s="1">
        <v>1</v>
      </c>
      <c r="P365" t="s">
        <v>3788</v>
      </c>
      <c r="Q365" t="s">
        <v>3789</v>
      </c>
      <c r="S365" t="s">
        <v>166</v>
      </c>
      <c r="T365" t="s">
        <v>838</v>
      </c>
      <c r="U365" t="s">
        <v>3790</v>
      </c>
      <c r="V365">
        <v>1</v>
      </c>
      <c r="AE365" t="s">
        <v>48</v>
      </c>
      <c r="AF365" t="s">
        <v>3791</v>
      </c>
      <c r="AG365" t="s">
        <v>3792</v>
      </c>
      <c r="AH365" t="str">
        <f>HYPERLINK("http://compartments.jensenlab.org/Entity?figures=subcell_cell_%&amp;knowledge=10&amp;textmining=10&amp;experiments=10&amp;predictions=10&amp;type1=9606&amp;type2=-22&amp;id1=ENSP00000249389","link")</f>
        <v>link</v>
      </c>
      <c r="AJ365" t="s">
        <v>51</v>
      </c>
      <c r="AK365" t="str">
        <f>HYPERLINK("http://www.proteinatlas.org/P03999","no")</f>
        <v>no</v>
      </c>
      <c r="AM365">
        <v>611</v>
      </c>
    </row>
    <row r="366" spans="1:39" x14ac:dyDescent="0.35">
      <c r="A366" t="s">
        <v>3793</v>
      </c>
      <c r="B366" t="str">
        <f>HYPERLINK("http://www.uniprot.org/uniprot/P04000","P04000")</f>
        <v>P04000</v>
      </c>
      <c r="C366" t="s">
        <v>3794</v>
      </c>
      <c r="D366" t="s">
        <v>3795</v>
      </c>
      <c r="E366" t="s">
        <v>39</v>
      </c>
      <c r="F366" t="s">
        <v>40</v>
      </c>
      <c r="H366">
        <v>364</v>
      </c>
      <c r="I366">
        <v>7</v>
      </c>
      <c r="J366">
        <v>0</v>
      </c>
      <c r="K366" t="s">
        <v>3796</v>
      </c>
      <c r="L366" t="s">
        <v>57</v>
      </c>
      <c r="N366">
        <v>0.83830000000000005</v>
      </c>
      <c r="O366" s="1">
        <v>1</v>
      </c>
      <c r="P366" t="s">
        <v>3797</v>
      </c>
      <c r="Q366" t="s">
        <v>3798</v>
      </c>
      <c r="S366" t="s">
        <v>166</v>
      </c>
      <c r="T366" t="s">
        <v>838</v>
      </c>
      <c r="U366">
        <v>34</v>
      </c>
      <c r="V366">
        <v>1</v>
      </c>
      <c r="W366">
        <v>34</v>
      </c>
      <c r="Y366">
        <v>149</v>
      </c>
      <c r="AE366" t="s">
        <v>48</v>
      </c>
      <c r="AF366" t="s">
        <v>3799</v>
      </c>
      <c r="AG366" t="s">
        <v>3800</v>
      </c>
      <c r="AH366" t="str">
        <f>HYPERLINK("http://compartments.jensenlab.org/Entity?figures=subcell_cell_%&amp;knowledge=10&amp;textmining=10&amp;experiments=10&amp;predictions=10&amp;type1=9606&amp;type2=-22&amp;id1=ENSP00000358967","link")</f>
        <v>link</v>
      </c>
      <c r="AJ366" t="s">
        <v>51</v>
      </c>
      <c r="AK366" t="str">
        <f>HYPERLINK("http://www.proteinatlas.org/P04000","no")</f>
        <v>no</v>
      </c>
    </row>
    <row r="367" spans="1:39" x14ac:dyDescent="0.35">
      <c r="A367" t="s">
        <v>3801</v>
      </c>
      <c r="B367" t="str">
        <f>HYPERLINK("http://www.uniprot.org/uniprot/P04001","P04001")</f>
        <v>P04001</v>
      </c>
      <c r="C367" t="s">
        <v>3802</v>
      </c>
      <c r="D367" t="s">
        <v>3803</v>
      </c>
      <c r="E367" t="s">
        <v>39</v>
      </c>
      <c r="F367" t="s">
        <v>40</v>
      </c>
      <c r="H367">
        <v>364</v>
      </c>
      <c r="I367">
        <v>7</v>
      </c>
      <c r="J367">
        <v>0</v>
      </c>
      <c r="K367" t="s">
        <v>3804</v>
      </c>
      <c r="L367" t="s">
        <v>57</v>
      </c>
      <c r="N367">
        <v>0.86029999999999995</v>
      </c>
      <c r="O367" s="1">
        <v>1</v>
      </c>
      <c r="P367" t="s">
        <v>3805</v>
      </c>
      <c r="Q367" t="s">
        <v>3806</v>
      </c>
      <c r="S367" t="s">
        <v>166</v>
      </c>
      <c r="T367" t="s">
        <v>838</v>
      </c>
      <c r="U367">
        <v>34</v>
      </c>
      <c r="V367">
        <v>1</v>
      </c>
      <c r="W367">
        <v>34</v>
      </c>
      <c r="Y367">
        <v>149</v>
      </c>
      <c r="AE367" t="s">
        <v>48</v>
      </c>
      <c r="AF367" t="s">
        <v>3791</v>
      </c>
      <c r="AG367" t="s">
        <v>3807</v>
      </c>
      <c r="AH367" t="str">
        <f>HYPERLINK("http://compartments.jensenlab.org/Entity?figures=subcell_cell_%&amp;knowledge=10&amp;textmining=10&amp;experiments=10&amp;predictions=10&amp;type1=9606&amp;type2=-22&amp;id1=ENSP00000358945","link")</f>
        <v>link</v>
      </c>
      <c r="AJ367" t="s">
        <v>51</v>
      </c>
      <c r="AK367" t="str">
        <f>HYPERLINK("http://www.proteinatlas.org/P04001","no")</f>
        <v>no</v>
      </c>
      <c r="AM367" t="s">
        <v>3808</v>
      </c>
    </row>
    <row r="368" spans="1:39" x14ac:dyDescent="0.35">
      <c r="A368" t="s">
        <v>3809</v>
      </c>
      <c r="B368" t="str">
        <f>HYPERLINK("http://www.uniprot.org/uniprot/P04156","P04156")</f>
        <v>P04156</v>
      </c>
      <c r="C368" t="s">
        <v>3810</v>
      </c>
      <c r="D368" t="s">
        <v>3811</v>
      </c>
      <c r="E368" t="s">
        <v>39</v>
      </c>
      <c r="F368" t="s">
        <v>239</v>
      </c>
      <c r="H368">
        <v>253</v>
      </c>
      <c r="I368">
        <v>0</v>
      </c>
      <c r="J368">
        <v>1</v>
      </c>
      <c r="K368" t="s">
        <v>3812</v>
      </c>
      <c r="L368" t="s">
        <v>996</v>
      </c>
      <c r="N368">
        <v>0.67859999999999998</v>
      </c>
      <c r="O368" s="1" t="s">
        <v>241</v>
      </c>
      <c r="P368" t="s">
        <v>3813</v>
      </c>
      <c r="Q368" t="s">
        <v>3814</v>
      </c>
      <c r="R368" t="s">
        <v>3815</v>
      </c>
      <c r="S368" t="s">
        <v>60</v>
      </c>
      <c r="T368" t="s">
        <v>60</v>
      </c>
      <c r="U368" t="s">
        <v>3816</v>
      </c>
      <c r="V368">
        <v>2</v>
      </c>
      <c r="W368" t="s">
        <v>3816</v>
      </c>
      <c r="Y368" t="s">
        <v>3817</v>
      </c>
      <c r="Z368" t="s">
        <v>107</v>
      </c>
      <c r="AA368">
        <v>6</v>
      </c>
      <c r="AB368" t="s">
        <v>3818</v>
      </c>
      <c r="AC368" t="s">
        <v>3816</v>
      </c>
      <c r="AD368" t="s">
        <v>3819</v>
      </c>
      <c r="AE368" t="s">
        <v>3820</v>
      </c>
      <c r="AF368" t="s">
        <v>3821</v>
      </c>
      <c r="AG368" t="s">
        <v>3822</v>
      </c>
      <c r="AH368" t="str">
        <f>HYPERLINK("http://compartments.jensenlab.org/Entity?figures=subcell_cell_%&amp;knowledge=10&amp;textmining=10&amp;experiments=10&amp;predictions=10&amp;type1=9606&amp;type2=-22&amp;id1=ENSP00000368752","link")</f>
        <v>link</v>
      </c>
      <c r="AK368" t="str">
        <f>HYPERLINK("http://www.proteinatlas.org/P04156","HPA042754;HPA043398")</f>
        <v>HPA042754;HPA043398</v>
      </c>
      <c r="AL368" t="s">
        <v>3823</v>
      </c>
      <c r="AM368">
        <v>5621</v>
      </c>
    </row>
    <row r="369" spans="1:39" x14ac:dyDescent="0.35">
      <c r="A369" t="s">
        <v>3824</v>
      </c>
      <c r="B369" t="str">
        <f>HYPERLINK("http://www.uniprot.org/uniprot/P04201","P04201")</f>
        <v>P04201</v>
      </c>
      <c r="C369" t="s">
        <v>3825</v>
      </c>
      <c r="D369" t="s">
        <v>3826</v>
      </c>
      <c r="E369" t="s">
        <v>39</v>
      </c>
      <c r="F369" t="s">
        <v>55</v>
      </c>
      <c r="H369">
        <v>325</v>
      </c>
      <c r="I369">
        <v>7</v>
      </c>
      <c r="J369">
        <v>0</v>
      </c>
      <c r="K369" t="s">
        <v>3827</v>
      </c>
      <c r="L369" t="s">
        <v>57</v>
      </c>
      <c r="M369" t="s">
        <v>39</v>
      </c>
      <c r="N369">
        <v>0.93979999999999997</v>
      </c>
      <c r="O369" s="1">
        <v>1</v>
      </c>
      <c r="P369" t="s">
        <v>3828</v>
      </c>
      <c r="Q369" t="s">
        <v>3829</v>
      </c>
      <c r="S369" t="s">
        <v>166</v>
      </c>
      <c r="T369" t="s">
        <v>838</v>
      </c>
      <c r="U369" t="s">
        <v>3830</v>
      </c>
      <c r="V369">
        <v>3</v>
      </c>
      <c r="W369" t="s">
        <v>3830</v>
      </c>
      <c r="AE369" t="s">
        <v>74</v>
      </c>
      <c r="AF369" t="s">
        <v>3831</v>
      </c>
      <c r="AG369" t="s">
        <v>3832</v>
      </c>
      <c r="AH369" t="str">
        <f>HYPERLINK("http://compartments.jensenlab.org/Entity?figures=subcell_cell_%&amp;knowledge=10&amp;textmining=10&amp;experiments=10&amp;predictions=10&amp;type1=9606&amp;type2=-22&amp;id1=ENSP00000252660","link")</f>
        <v>link</v>
      </c>
      <c r="AI369" t="s">
        <v>65</v>
      </c>
      <c r="AJ369" t="s">
        <v>51</v>
      </c>
      <c r="AK369" t="str">
        <f>HYPERLINK("http://www.proteinatlas.org/P04201","HPA013564")</f>
        <v>HPA013564</v>
      </c>
      <c r="AM369">
        <v>4142</v>
      </c>
    </row>
    <row r="370" spans="1:39" x14ac:dyDescent="0.35">
      <c r="A370" t="s">
        <v>3833</v>
      </c>
      <c r="B370" t="str">
        <f>HYPERLINK("http://www.uniprot.org/uniprot/P04216","P04216")</f>
        <v>P04216</v>
      </c>
      <c r="C370" t="s">
        <v>3834</v>
      </c>
      <c r="D370" t="s">
        <v>3835</v>
      </c>
      <c r="E370" t="s">
        <v>39</v>
      </c>
      <c r="F370" t="s">
        <v>239</v>
      </c>
      <c r="H370">
        <v>161</v>
      </c>
      <c r="I370">
        <v>0</v>
      </c>
      <c r="J370">
        <v>1</v>
      </c>
      <c r="K370" t="s">
        <v>3836</v>
      </c>
      <c r="L370" t="s">
        <v>996</v>
      </c>
      <c r="N370">
        <v>0.76849999999999996</v>
      </c>
      <c r="O370" s="1" t="s">
        <v>997</v>
      </c>
      <c r="P370" t="s">
        <v>3837</v>
      </c>
      <c r="Q370" t="s">
        <v>3838</v>
      </c>
      <c r="R370" t="s">
        <v>3839</v>
      </c>
      <c r="U370" t="s">
        <v>3840</v>
      </c>
      <c r="V370">
        <v>4</v>
      </c>
      <c r="W370" t="s">
        <v>3840</v>
      </c>
      <c r="Z370" t="s">
        <v>107</v>
      </c>
      <c r="AA370">
        <v>29</v>
      </c>
      <c r="AB370" t="s">
        <v>3841</v>
      </c>
      <c r="AC370" t="s">
        <v>3842</v>
      </c>
      <c r="AD370" t="s">
        <v>3843</v>
      </c>
      <c r="AE370" t="s">
        <v>243</v>
      </c>
      <c r="AF370" t="s">
        <v>3844</v>
      </c>
      <c r="AG370" t="s">
        <v>3845</v>
      </c>
      <c r="AH370" t="str">
        <f>HYPERLINK("http://compartments.jensenlab.org/Entity?figures=subcell_cell_%&amp;knowledge=10&amp;textmining=10&amp;experiments=10&amp;predictions=10&amp;type1=9606&amp;type2=-22&amp;id1=ENSP00000284240","link")</f>
        <v>link</v>
      </c>
      <c r="AI370" t="s">
        <v>65</v>
      </c>
      <c r="AJ370" t="s">
        <v>3846</v>
      </c>
      <c r="AK370" t="str">
        <f>HYPERLINK("http://www.proteinatlas.org/P04216","HPA003733;CAB068243;CAB068244")</f>
        <v>HPA003733;CAB068243;CAB068244</v>
      </c>
      <c r="AM370">
        <v>7070</v>
      </c>
    </row>
    <row r="371" spans="1:39" x14ac:dyDescent="0.35">
      <c r="A371" t="s">
        <v>3847</v>
      </c>
      <c r="B371" t="str">
        <f>HYPERLINK("http://www.uniprot.org/uniprot/P04222","P04222")</f>
        <v>P04222</v>
      </c>
      <c r="C371" t="s">
        <v>3848</v>
      </c>
      <c r="D371" t="s">
        <v>3849</v>
      </c>
      <c r="E371" t="s">
        <v>39</v>
      </c>
      <c r="F371" t="s">
        <v>40</v>
      </c>
      <c r="H371">
        <v>366</v>
      </c>
      <c r="I371">
        <v>1</v>
      </c>
      <c r="J371">
        <v>1</v>
      </c>
      <c r="K371" t="s">
        <v>3850</v>
      </c>
      <c r="L371" t="s">
        <v>101</v>
      </c>
      <c r="N371">
        <v>0.81440000000000001</v>
      </c>
      <c r="O371" s="1">
        <v>1</v>
      </c>
      <c r="P371" t="s">
        <v>3851</v>
      </c>
      <c r="Q371" t="s">
        <v>3852</v>
      </c>
      <c r="S371" t="s">
        <v>91</v>
      </c>
      <c r="T371" t="s">
        <v>3641</v>
      </c>
      <c r="U371">
        <v>110</v>
      </c>
      <c r="V371">
        <v>1</v>
      </c>
      <c r="Z371" t="s">
        <v>107</v>
      </c>
      <c r="AA371">
        <v>1</v>
      </c>
      <c r="AB371" t="s">
        <v>3853</v>
      </c>
      <c r="AC371">
        <v>110</v>
      </c>
      <c r="AD371" t="s">
        <v>3854</v>
      </c>
      <c r="AE371" t="s">
        <v>144</v>
      </c>
      <c r="AF371" t="s">
        <v>3855</v>
      </c>
      <c r="AG371" t="s">
        <v>3856</v>
      </c>
      <c r="AH371" t="str">
        <f>HYPERLINK("http://compartments.jensenlab.org/Entity?figures=subcell_cell_%&amp;knowledge=10&amp;textmining=10&amp;experiments=10&amp;predictions=10&amp;type1=9606&amp;type2=-22&amp;id1=ENSP00000390851","link")</f>
        <v>link</v>
      </c>
      <c r="AK371" t="str">
        <f>HYPERLINK("http://www.proteinatlas.org/P04222","no")</f>
        <v>no</v>
      </c>
    </row>
    <row r="372" spans="1:39" x14ac:dyDescent="0.35">
      <c r="A372" t="s">
        <v>3857</v>
      </c>
      <c r="B372" t="str">
        <f>HYPERLINK("http://www.uniprot.org/uniprot/P04229","P04229")</f>
        <v>P04229</v>
      </c>
      <c r="C372" t="s">
        <v>3858</v>
      </c>
      <c r="D372" t="s">
        <v>3712</v>
      </c>
      <c r="E372" t="s">
        <v>39</v>
      </c>
      <c r="F372" t="s">
        <v>40</v>
      </c>
      <c r="H372">
        <v>266</v>
      </c>
      <c r="I372">
        <v>1</v>
      </c>
      <c r="J372">
        <v>1</v>
      </c>
      <c r="K372" t="s">
        <v>3713</v>
      </c>
      <c r="L372" t="s">
        <v>57</v>
      </c>
      <c r="N372">
        <v>0.93610000000000004</v>
      </c>
      <c r="O372" s="1">
        <v>1</v>
      </c>
      <c r="P372" t="s">
        <v>3714</v>
      </c>
      <c r="Q372" t="s">
        <v>3715</v>
      </c>
      <c r="S372" t="s">
        <v>91</v>
      </c>
      <c r="T372" t="s">
        <v>3641</v>
      </c>
      <c r="U372">
        <v>48</v>
      </c>
      <c r="V372">
        <v>1</v>
      </c>
      <c r="W372">
        <v>48</v>
      </c>
      <c r="AE372" t="s">
        <v>3717</v>
      </c>
      <c r="AF372" t="s">
        <v>3679</v>
      </c>
      <c r="AG372" t="s">
        <v>3859</v>
      </c>
      <c r="AH372" t="str">
        <f>HYPERLINK("http://compartments.jensenlab.org/Entity?figures=subcell_cell_%&amp;knowledge=10&amp;textmining=10&amp;experiments=10&amp;predictions=10&amp;type1=9606&amp;type2=-22&amp;id1=ENSP00000353099","link")</f>
        <v>link</v>
      </c>
      <c r="AI372" t="s">
        <v>3694</v>
      </c>
      <c r="AJ372" t="s">
        <v>1630</v>
      </c>
      <c r="AK372" t="str">
        <f>HYPERLINK("http://www.proteinatlas.org/P04229","CAB015400;CAB034021;HPA043151")</f>
        <v>CAB015400;CAB034021;HPA043151</v>
      </c>
      <c r="AL372" t="s">
        <v>3860</v>
      </c>
    </row>
    <row r="373" spans="1:39" x14ac:dyDescent="0.35">
      <c r="A373" t="s">
        <v>3861</v>
      </c>
      <c r="B373" t="str">
        <f>HYPERLINK("http://www.uniprot.org/uniprot/P04233","P04233")</f>
        <v>P04233</v>
      </c>
      <c r="C373" t="s">
        <v>3862</v>
      </c>
      <c r="D373" t="s">
        <v>3863</v>
      </c>
      <c r="E373" t="s">
        <v>39</v>
      </c>
      <c r="F373" t="s">
        <v>40</v>
      </c>
      <c r="H373">
        <v>296</v>
      </c>
      <c r="I373">
        <v>1</v>
      </c>
      <c r="J373">
        <v>0</v>
      </c>
      <c r="K373" t="s">
        <v>3864</v>
      </c>
      <c r="L373" t="s">
        <v>101</v>
      </c>
      <c r="N373">
        <v>0.61080000000000001</v>
      </c>
      <c r="O373" s="1">
        <v>2</v>
      </c>
      <c r="P373" t="s">
        <v>3865</v>
      </c>
      <c r="Q373" t="s">
        <v>3866</v>
      </c>
      <c r="R373" t="s">
        <v>3863</v>
      </c>
      <c r="S373" t="s">
        <v>60</v>
      </c>
      <c r="T373" t="s">
        <v>60</v>
      </c>
      <c r="U373" t="s">
        <v>3867</v>
      </c>
      <c r="V373">
        <v>4</v>
      </c>
      <c r="W373" t="s">
        <v>3867</v>
      </c>
      <c r="X373" t="s">
        <v>3868</v>
      </c>
      <c r="Z373" t="s">
        <v>107</v>
      </c>
      <c r="AA373">
        <v>25</v>
      </c>
      <c r="AB373" t="s">
        <v>3869</v>
      </c>
      <c r="AC373" t="s">
        <v>3870</v>
      </c>
      <c r="AD373" t="s">
        <v>3871</v>
      </c>
      <c r="AE373" t="s">
        <v>3872</v>
      </c>
      <c r="AF373" t="s">
        <v>3873</v>
      </c>
      <c r="AG373" t="s">
        <v>3874</v>
      </c>
      <c r="AH373" t="str">
        <f>HYPERLINK("http://compartments.jensenlab.org/Entity?figures=subcell_cell_%&amp;knowledge=10&amp;textmining=10&amp;experiments=10&amp;predictions=10&amp;type1=9606&amp;type2=-22&amp;id1=ENSP00000009530","link")</f>
        <v>link</v>
      </c>
      <c r="AI373" t="s">
        <v>3694</v>
      </c>
      <c r="AJ373" t="s">
        <v>1630</v>
      </c>
      <c r="AK373" t="str">
        <f>HYPERLINK("http://www.proteinatlas.org/P04233","CAB002506;HPA010592")</f>
        <v>CAB002506;HPA010592</v>
      </c>
      <c r="AM373">
        <v>972</v>
      </c>
    </row>
    <row r="374" spans="1:39" x14ac:dyDescent="0.35">
      <c r="A374" t="s">
        <v>3875</v>
      </c>
      <c r="B374" t="str">
        <f>HYPERLINK("http://www.uniprot.org/uniprot/P04234","P04234")</f>
        <v>P04234</v>
      </c>
      <c r="C374" t="s">
        <v>3876</v>
      </c>
      <c r="D374" t="s">
        <v>3877</v>
      </c>
      <c r="E374" t="s">
        <v>39</v>
      </c>
      <c r="F374" t="s">
        <v>40</v>
      </c>
      <c r="H374">
        <v>171</v>
      </c>
      <c r="I374">
        <v>1</v>
      </c>
      <c r="J374">
        <v>1</v>
      </c>
      <c r="K374" t="s">
        <v>3878</v>
      </c>
      <c r="L374" t="s">
        <v>101</v>
      </c>
      <c r="N374">
        <v>0.78039999999999998</v>
      </c>
      <c r="O374" s="1">
        <v>1</v>
      </c>
      <c r="P374" t="s">
        <v>3879</v>
      </c>
      <c r="Q374" t="s">
        <v>3880</v>
      </c>
      <c r="R374" t="s">
        <v>3881</v>
      </c>
      <c r="U374" t="s">
        <v>3882</v>
      </c>
      <c r="V374">
        <v>2</v>
      </c>
      <c r="X374">
        <v>139</v>
      </c>
      <c r="Z374" t="s">
        <v>107</v>
      </c>
      <c r="AA374">
        <v>1</v>
      </c>
      <c r="AB374" t="s">
        <v>3883</v>
      </c>
      <c r="AC374">
        <v>74</v>
      </c>
      <c r="AD374" t="s">
        <v>3884</v>
      </c>
      <c r="AE374" t="s">
        <v>144</v>
      </c>
      <c r="AF374" t="s">
        <v>3885</v>
      </c>
      <c r="AG374" t="s">
        <v>3886</v>
      </c>
      <c r="AH374" t="str">
        <f>HYPERLINK("http://compartments.jensenlab.org/Entity?figures=subcell_cell_%&amp;knowledge=10&amp;textmining=10&amp;experiments=10&amp;predictions=10&amp;type1=9606&amp;type2=-22&amp;id1=ENSP00000300692","link")</f>
        <v>link</v>
      </c>
      <c r="AI374" t="s">
        <v>65</v>
      </c>
      <c r="AJ374" t="s">
        <v>2124</v>
      </c>
      <c r="AK374" t="str">
        <f>HYPERLINK("http://www.proteinatlas.org/P04234","CAB013055")</f>
        <v>CAB013055</v>
      </c>
      <c r="AL374" t="s">
        <v>3887</v>
      </c>
      <c r="AM374">
        <v>915</v>
      </c>
    </row>
    <row r="375" spans="1:39" x14ac:dyDescent="0.35">
      <c r="A375" t="s">
        <v>3888</v>
      </c>
      <c r="B375" t="str">
        <f>HYPERLINK("http://www.uniprot.org/uniprot/P04439","P04439")</f>
        <v>P04439</v>
      </c>
      <c r="C375" t="s">
        <v>3889</v>
      </c>
      <c r="D375" t="s">
        <v>3647</v>
      </c>
      <c r="E375" t="s">
        <v>39</v>
      </c>
      <c r="F375" t="s">
        <v>40</v>
      </c>
      <c r="H375">
        <v>365</v>
      </c>
      <c r="I375">
        <v>1</v>
      </c>
      <c r="J375">
        <v>1</v>
      </c>
      <c r="K375" t="s">
        <v>3648</v>
      </c>
      <c r="L375" t="s">
        <v>57</v>
      </c>
      <c r="N375">
        <v>0.86229999999999996</v>
      </c>
      <c r="O375" s="1">
        <v>1</v>
      </c>
      <c r="P375" t="s">
        <v>3890</v>
      </c>
      <c r="Q375" t="s">
        <v>3891</v>
      </c>
      <c r="S375" t="s">
        <v>91</v>
      </c>
      <c r="T375" t="s">
        <v>3641</v>
      </c>
      <c r="U375">
        <v>110</v>
      </c>
      <c r="V375">
        <v>1</v>
      </c>
      <c r="W375">
        <v>110</v>
      </c>
      <c r="X375">
        <v>350</v>
      </c>
      <c r="AE375" t="s">
        <v>144</v>
      </c>
      <c r="AF375" t="s">
        <v>3892</v>
      </c>
      <c r="AG375" t="s">
        <v>3893</v>
      </c>
      <c r="AH375" t="str">
        <f>HYPERLINK("http://compartments.jensenlab.org/Entity?figures=subcell_cell_%&amp;knowledge=10&amp;textmining=10&amp;experiments=10&amp;predictions=10&amp;type1=9606&amp;type2=-22&amp;id1=ENSP00000366005","link")</f>
        <v>link</v>
      </c>
      <c r="AI375" t="s">
        <v>65</v>
      </c>
      <c r="AJ375" t="s">
        <v>3644</v>
      </c>
      <c r="AK375" t="str">
        <f>HYPERLINK("http://www.proteinatlas.org/P04439","no")</f>
        <v>no</v>
      </c>
      <c r="AM375">
        <v>3105</v>
      </c>
    </row>
    <row r="376" spans="1:39" x14ac:dyDescent="0.35">
      <c r="A376" t="s">
        <v>3894</v>
      </c>
      <c r="B376" t="str">
        <f>HYPERLINK("http://www.uniprot.org/uniprot/P04440","P04440")</f>
        <v>P04440</v>
      </c>
      <c r="C376" t="s">
        <v>3895</v>
      </c>
      <c r="D376" t="s">
        <v>3896</v>
      </c>
      <c r="E376" t="s">
        <v>39</v>
      </c>
      <c r="F376" t="s">
        <v>55</v>
      </c>
      <c r="H376">
        <v>258</v>
      </c>
      <c r="I376">
        <v>1</v>
      </c>
      <c r="J376">
        <v>1</v>
      </c>
      <c r="K376" t="s">
        <v>3897</v>
      </c>
      <c r="L376" t="s">
        <v>101</v>
      </c>
      <c r="M376" t="s">
        <v>39</v>
      </c>
      <c r="N376">
        <v>0.80830000000000002</v>
      </c>
      <c r="O376" s="1">
        <v>1</v>
      </c>
      <c r="P376" t="s">
        <v>3898</v>
      </c>
      <c r="Q376" t="s">
        <v>3899</v>
      </c>
      <c r="S376" t="s">
        <v>91</v>
      </c>
      <c r="T376" t="s">
        <v>3641</v>
      </c>
      <c r="U376" t="s">
        <v>3900</v>
      </c>
      <c r="V376">
        <v>2</v>
      </c>
      <c r="W376" t="s">
        <v>3900</v>
      </c>
      <c r="Y376" t="s">
        <v>3901</v>
      </c>
      <c r="Z376" t="s">
        <v>107</v>
      </c>
      <c r="AA376">
        <v>9</v>
      </c>
      <c r="AB376" t="s">
        <v>3902</v>
      </c>
      <c r="AC376" t="s">
        <v>3900</v>
      </c>
      <c r="AD376" t="s">
        <v>3903</v>
      </c>
      <c r="AE376" t="s">
        <v>3706</v>
      </c>
      <c r="AF376" t="s">
        <v>3904</v>
      </c>
      <c r="AG376" t="s">
        <v>3905</v>
      </c>
      <c r="AH376" t="str">
        <f>HYPERLINK("http://compartments.jensenlab.org/Entity?figures=subcell_cell_%&amp;knowledge=10&amp;textmining=10&amp;experiments=10&amp;predictions=10&amp;type1=9606&amp;type2=-22&amp;id1=ENSP00000382422","link")</f>
        <v>link</v>
      </c>
      <c r="AI376" t="s">
        <v>3906</v>
      </c>
      <c r="AJ376" t="s">
        <v>3907</v>
      </c>
      <c r="AK376" t="str">
        <f>HYPERLINK("http://www.proteinatlas.org/P04440","HPA011078")</f>
        <v>HPA011078</v>
      </c>
      <c r="AM376">
        <v>3115</v>
      </c>
    </row>
    <row r="377" spans="1:39" x14ac:dyDescent="0.35">
      <c r="A377" t="s">
        <v>3908</v>
      </c>
      <c r="B377" t="str">
        <f>HYPERLINK("http://www.uniprot.org/uniprot/P04626","P04626")</f>
        <v>P04626</v>
      </c>
      <c r="C377" t="s">
        <v>3909</v>
      </c>
      <c r="D377" t="s">
        <v>3910</v>
      </c>
      <c r="E377" t="s">
        <v>39</v>
      </c>
      <c r="F377" t="s">
        <v>55</v>
      </c>
      <c r="H377">
        <v>1255</v>
      </c>
      <c r="I377">
        <v>1</v>
      </c>
      <c r="J377">
        <v>1</v>
      </c>
      <c r="K377" t="s">
        <v>3911</v>
      </c>
      <c r="L377" t="s">
        <v>101</v>
      </c>
      <c r="M377" t="s">
        <v>39</v>
      </c>
      <c r="N377">
        <v>0.96350000000000002</v>
      </c>
      <c r="O377" s="1">
        <v>1</v>
      </c>
      <c r="P377" t="s">
        <v>3912</v>
      </c>
      <c r="Q377" t="s">
        <v>3913</v>
      </c>
      <c r="R377" t="s">
        <v>3914</v>
      </c>
      <c r="S377" t="s">
        <v>166</v>
      </c>
      <c r="T377" t="s">
        <v>3537</v>
      </c>
      <c r="U377" t="s">
        <v>3915</v>
      </c>
      <c r="V377">
        <v>8</v>
      </c>
      <c r="Z377" t="s">
        <v>107</v>
      </c>
      <c r="AA377">
        <v>18</v>
      </c>
      <c r="AB377" t="s">
        <v>3916</v>
      </c>
      <c r="AC377" t="s">
        <v>3917</v>
      </c>
      <c r="AD377" t="s">
        <v>3918</v>
      </c>
      <c r="AE377" t="s">
        <v>3919</v>
      </c>
      <c r="AF377" t="s">
        <v>3920</v>
      </c>
      <c r="AG377" t="s">
        <v>3921</v>
      </c>
      <c r="AH377" t="str">
        <f>HYPERLINK("http://compartments.jensenlab.org/Entity?figures=subcell_cell_%&amp;knowledge=10&amp;textmining=10&amp;experiments=10&amp;predictions=10&amp;type1=9606&amp;type2=-22&amp;id1=ENSP00000269571","link")</f>
        <v>link</v>
      </c>
      <c r="AI377" t="s">
        <v>3922</v>
      </c>
      <c r="AJ377" t="s">
        <v>299</v>
      </c>
      <c r="AK377" t="str">
        <f>HYPERLINK("http://www.proteinatlas.org/P04626","CAB000043;HPA001338;HPA001383;CAB020416;CAB062555")</f>
        <v>CAB000043;HPA001338;HPA001383;CAB020416;CAB062555</v>
      </c>
      <c r="AL377" t="s">
        <v>3923</v>
      </c>
      <c r="AM377">
        <v>2064</v>
      </c>
    </row>
    <row r="378" spans="1:39" x14ac:dyDescent="0.35">
      <c r="A378" t="s">
        <v>3924</v>
      </c>
      <c r="B378" t="str">
        <f>HYPERLINK("http://www.uniprot.org/uniprot/P04629","P04629")</f>
        <v>P04629</v>
      </c>
      <c r="C378" t="s">
        <v>3925</v>
      </c>
      <c r="D378" t="s">
        <v>3926</v>
      </c>
      <c r="E378" t="s">
        <v>39</v>
      </c>
      <c r="F378" t="s">
        <v>55</v>
      </c>
      <c r="H378">
        <v>796</v>
      </c>
      <c r="I378">
        <v>1</v>
      </c>
      <c r="J378">
        <v>1</v>
      </c>
      <c r="K378" t="s">
        <v>3927</v>
      </c>
      <c r="L378" t="s">
        <v>101</v>
      </c>
      <c r="M378" t="s">
        <v>39</v>
      </c>
      <c r="N378">
        <v>0.93679999999999997</v>
      </c>
      <c r="O378" s="1">
        <v>1</v>
      </c>
      <c r="P378" t="s">
        <v>3928</v>
      </c>
      <c r="Q378" t="s">
        <v>3929</v>
      </c>
      <c r="S378" t="s">
        <v>166</v>
      </c>
      <c r="T378" t="s">
        <v>3930</v>
      </c>
      <c r="U378" t="s">
        <v>3931</v>
      </c>
      <c r="V378">
        <v>13</v>
      </c>
      <c r="W378" t="s">
        <v>3931</v>
      </c>
      <c r="X378" t="s">
        <v>3932</v>
      </c>
      <c r="Y378">
        <v>12</v>
      </c>
      <c r="Z378" t="s">
        <v>107</v>
      </c>
      <c r="AA378">
        <v>3</v>
      </c>
      <c r="AB378" t="s">
        <v>3933</v>
      </c>
      <c r="AC378" t="s">
        <v>3934</v>
      </c>
      <c r="AD378" t="s">
        <v>3935</v>
      </c>
      <c r="AE378" t="s">
        <v>3936</v>
      </c>
      <c r="AF378" t="s">
        <v>3937</v>
      </c>
      <c r="AG378" t="s">
        <v>3938</v>
      </c>
      <c r="AH378" t="str">
        <f>HYPERLINK("http://compartments.jensenlab.org/Entity?figures=subcell_cell_%&amp;knowledge=10&amp;textmining=10&amp;experiments=10&amp;predictions=10&amp;type1=9606&amp;type2=-22&amp;id1=ENSP00000431418","link")</f>
        <v>link</v>
      </c>
      <c r="AK378" t="str">
        <f>HYPERLINK("http://www.proteinatlas.org/P04629","CAB004606;HPA035799")</f>
        <v>CAB004606;HPA035799</v>
      </c>
      <c r="AL378" t="s">
        <v>3939</v>
      </c>
      <c r="AM378">
        <v>4914</v>
      </c>
    </row>
    <row r="379" spans="1:39" x14ac:dyDescent="0.35">
      <c r="A379" t="s">
        <v>3940</v>
      </c>
      <c r="B379" t="str">
        <f>HYPERLINK("http://www.uniprot.org/uniprot/P04839","P04839")</f>
        <v>P04839</v>
      </c>
      <c r="C379" t="s">
        <v>3941</v>
      </c>
      <c r="D379" t="s">
        <v>3942</v>
      </c>
      <c r="E379" t="s">
        <v>39</v>
      </c>
      <c r="F379" t="s">
        <v>55</v>
      </c>
      <c r="H379">
        <v>570</v>
      </c>
      <c r="I379">
        <v>6</v>
      </c>
      <c r="J379">
        <v>0</v>
      </c>
      <c r="K379" t="s">
        <v>3943</v>
      </c>
      <c r="L379" t="s">
        <v>101</v>
      </c>
      <c r="M379" t="s">
        <v>39</v>
      </c>
      <c r="N379">
        <v>0.35139999999999999</v>
      </c>
      <c r="O379" s="1"/>
      <c r="P379" t="s">
        <v>3944</v>
      </c>
      <c r="Q379" t="s">
        <v>3945</v>
      </c>
      <c r="S379" t="s">
        <v>947</v>
      </c>
      <c r="T379">
        <v>1</v>
      </c>
      <c r="U379" t="s">
        <v>3946</v>
      </c>
      <c r="V379">
        <v>3</v>
      </c>
      <c r="Z379" t="s">
        <v>107</v>
      </c>
      <c r="AA379">
        <v>17</v>
      </c>
      <c r="AB379" t="s">
        <v>3947</v>
      </c>
      <c r="AC379" t="s">
        <v>3948</v>
      </c>
      <c r="AD379" t="s">
        <v>3949</v>
      </c>
      <c r="AE379" t="s">
        <v>74</v>
      </c>
      <c r="AF379" t="s">
        <v>3950</v>
      </c>
      <c r="AG379" t="s">
        <v>3951</v>
      </c>
      <c r="AH379" t="str">
        <f>HYPERLINK("http://compartments.jensenlab.org/Entity?figures=subcell_cell_%&amp;knowledge=10&amp;textmining=10&amp;experiments=10&amp;predictions=10&amp;type1=9606&amp;type2=-22&amp;id1=ENSP00000367851","link")</f>
        <v>link</v>
      </c>
      <c r="AJ379" t="s">
        <v>2256</v>
      </c>
      <c r="AK379" t="str">
        <f>HYPERLINK("http://www.proteinatlas.org/P04839","HPA051227")</f>
        <v>HPA051227</v>
      </c>
      <c r="AM379">
        <v>1536</v>
      </c>
    </row>
    <row r="380" spans="1:39" x14ac:dyDescent="0.35">
      <c r="A380" t="s">
        <v>3952</v>
      </c>
      <c r="B380" t="str">
        <f>HYPERLINK("http://www.uniprot.org/uniprot/P04843","P04843")</f>
        <v>P04843</v>
      </c>
      <c r="C380" t="s">
        <v>3953</v>
      </c>
      <c r="D380" t="s">
        <v>3954</v>
      </c>
      <c r="E380" t="s">
        <v>39</v>
      </c>
      <c r="F380" t="s">
        <v>40</v>
      </c>
      <c r="H380">
        <v>607</v>
      </c>
      <c r="I380">
        <v>1</v>
      </c>
      <c r="J380">
        <v>1</v>
      </c>
      <c r="K380" t="s">
        <v>3955</v>
      </c>
      <c r="L380" t="s">
        <v>101</v>
      </c>
      <c r="N380">
        <v>0.58879999999999999</v>
      </c>
      <c r="O380" s="1">
        <v>2</v>
      </c>
      <c r="P380" t="s">
        <v>3956</v>
      </c>
      <c r="Q380" t="s">
        <v>3957</v>
      </c>
      <c r="S380" t="s">
        <v>947</v>
      </c>
      <c r="T380" t="s">
        <v>3958</v>
      </c>
      <c r="U380" t="s">
        <v>3959</v>
      </c>
      <c r="V380">
        <v>2</v>
      </c>
      <c r="W380">
        <v>190</v>
      </c>
      <c r="Z380" t="s">
        <v>107</v>
      </c>
      <c r="AA380">
        <v>4</v>
      </c>
      <c r="AB380" t="s">
        <v>3960</v>
      </c>
      <c r="AC380">
        <v>299</v>
      </c>
      <c r="AD380" t="s">
        <v>3961</v>
      </c>
      <c r="AE380" t="s">
        <v>3962</v>
      </c>
      <c r="AF380" t="s">
        <v>3963</v>
      </c>
      <c r="AG380" t="s">
        <v>3964</v>
      </c>
      <c r="AH380" t="str">
        <f>HYPERLINK("http://compartments.jensenlab.org/Entity?figures=subcell_cell_%&amp;knowledge=10&amp;textmining=10&amp;experiments=10&amp;predictions=10&amp;type1=9606&amp;type2=-22&amp;id1=ENSP00000296255","link")</f>
        <v>link</v>
      </c>
      <c r="AI380" t="s">
        <v>980</v>
      </c>
      <c r="AJ380" t="s">
        <v>3965</v>
      </c>
      <c r="AK380" t="str">
        <f>HYPERLINK("http://www.proteinatlas.org/P04843","CAB009748;HPA026828")</f>
        <v>CAB009748;HPA026828</v>
      </c>
      <c r="AM380">
        <v>6184</v>
      </c>
    </row>
    <row r="381" spans="1:39" x14ac:dyDescent="0.35">
      <c r="A381" t="s">
        <v>3966</v>
      </c>
      <c r="B381" t="str">
        <f>HYPERLINK("http://www.uniprot.org/uniprot/P04921","P04921")</f>
        <v>P04921</v>
      </c>
      <c r="C381" t="s">
        <v>3967</v>
      </c>
      <c r="D381" t="s">
        <v>3968</v>
      </c>
      <c r="E381" t="s">
        <v>39</v>
      </c>
      <c r="F381" t="s">
        <v>55</v>
      </c>
      <c r="H381">
        <v>128</v>
      </c>
      <c r="I381">
        <v>1</v>
      </c>
      <c r="J381">
        <v>0</v>
      </c>
      <c r="K381" t="s">
        <v>3969</v>
      </c>
      <c r="L381" t="s">
        <v>57</v>
      </c>
      <c r="M381" t="s">
        <v>39</v>
      </c>
      <c r="N381">
        <v>0.60529999999999995</v>
      </c>
      <c r="O381" s="1">
        <v>2</v>
      </c>
      <c r="P381" t="s">
        <v>3970</v>
      </c>
      <c r="Q381" t="s">
        <v>3971</v>
      </c>
      <c r="R381" t="s">
        <v>3972</v>
      </c>
      <c r="S381" t="s">
        <v>60</v>
      </c>
      <c r="T381" t="s">
        <v>60</v>
      </c>
      <c r="U381">
        <v>8</v>
      </c>
      <c r="V381">
        <v>1</v>
      </c>
      <c r="W381">
        <v>8</v>
      </c>
      <c r="AE381" t="s">
        <v>3973</v>
      </c>
      <c r="AF381" t="s">
        <v>3974</v>
      </c>
      <c r="AG381" t="s">
        <v>3975</v>
      </c>
      <c r="AH381" t="str">
        <f>HYPERLINK("http://compartments.jensenlab.org/Entity?figures=subcell_cell_%&amp;knowledge=10&amp;textmining=10&amp;experiments=10&amp;predictions=10&amp;type1=9606&amp;type2=-22&amp;id1=ENSP00000259254","link")</f>
        <v>link</v>
      </c>
      <c r="AI381" t="s">
        <v>3768</v>
      </c>
      <c r="AJ381" t="s">
        <v>1811</v>
      </c>
      <c r="AK381" t="str">
        <f>HYPERLINK("http://www.proteinatlas.org/P04921","HPA008965;CAB009445")</f>
        <v>HPA008965;CAB009445</v>
      </c>
      <c r="AM381">
        <v>2995</v>
      </c>
    </row>
    <row r="382" spans="1:39" x14ac:dyDescent="0.35">
      <c r="A382" t="s">
        <v>3976</v>
      </c>
      <c r="B382" t="str">
        <f>HYPERLINK("http://www.uniprot.org/uniprot/P05023","P05023")</f>
        <v>P05023</v>
      </c>
      <c r="C382" t="s">
        <v>3977</v>
      </c>
      <c r="D382" t="s">
        <v>3978</v>
      </c>
      <c r="E382" t="s">
        <v>39</v>
      </c>
      <c r="F382" t="s">
        <v>55</v>
      </c>
      <c r="H382">
        <v>1023</v>
      </c>
      <c r="I382">
        <v>10</v>
      </c>
      <c r="J382">
        <v>0</v>
      </c>
      <c r="K382" t="s">
        <v>3979</v>
      </c>
      <c r="L382" t="s">
        <v>57</v>
      </c>
      <c r="M382" t="s">
        <v>39</v>
      </c>
      <c r="N382">
        <v>0.5464</v>
      </c>
      <c r="O382" s="1">
        <v>3</v>
      </c>
      <c r="P382" t="s">
        <v>3980</v>
      </c>
      <c r="Q382" t="s">
        <v>3981</v>
      </c>
      <c r="S382" t="s">
        <v>45</v>
      </c>
      <c r="T382" t="s">
        <v>3982</v>
      </c>
      <c r="U382" t="s">
        <v>3983</v>
      </c>
      <c r="V382">
        <v>0</v>
      </c>
      <c r="W382" t="s">
        <v>3984</v>
      </c>
      <c r="AE382" t="s">
        <v>3985</v>
      </c>
      <c r="AF382" t="s">
        <v>3986</v>
      </c>
      <c r="AG382" t="s">
        <v>3987</v>
      </c>
      <c r="AH382" t="str">
        <f>HYPERLINK("http://compartments.jensenlab.org/Entity?figures=subcell_cell_%&amp;knowledge=10&amp;textmining=10&amp;experiments=10&amp;predictions=10&amp;type1=9606&amp;type2=-22&amp;id1=ENSP00000295598","link")</f>
        <v>link</v>
      </c>
      <c r="AI382" t="s">
        <v>65</v>
      </c>
      <c r="AJ382" t="s">
        <v>51</v>
      </c>
      <c r="AK382" t="str">
        <f>HYPERLINK("http://www.proteinatlas.org/P05023","CAB018702")</f>
        <v>CAB018702</v>
      </c>
      <c r="AL382" t="s">
        <v>3988</v>
      </c>
      <c r="AM382">
        <v>476</v>
      </c>
    </row>
    <row r="383" spans="1:39" x14ac:dyDescent="0.35">
      <c r="A383" t="s">
        <v>3989</v>
      </c>
      <c r="B383" t="str">
        <f>HYPERLINK("http://www.uniprot.org/uniprot/P05026","P05026")</f>
        <v>P05026</v>
      </c>
      <c r="C383" t="s">
        <v>3990</v>
      </c>
      <c r="D383" t="s">
        <v>3991</v>
      </c>
      <c r="E383" t="s">
        <v>39</v>
      </c>
      <c r="F383" t="s">
        <v>55</v>
      </c>
      <c r="H383">
        <v>303</v>
      </c>
      <c r="I383">
        <v>1</v>
      </c>
      <c r="J383">
        <v>0</v>
      </c>
      <c r="K383" t="s">
        <v>3992</v>
      </c>
      <c r="L383" t="s">
        <v>101</v>
      </c>
      <c r="M383" t="s">
        <v>39</v>
      </c>
      <c r="N383">
        <v>0.47589999999999999</v>
      </c>
      <c r="O383" s="1">
        <v>3</v>
      </c>
      <c r="P383" t="s">
        <v>3993</v>
      </c>
      <c r="Q383" t="s">
        <v>3994</v>
      </c>
      <c r="S383" t="s">
        <v>45</v>
      </c>
      <c r="T383" t="s">
        <v>3995</v>
      </c>
      <c r="U383" t="s">
        <v>3996</v>
      </c>
      <c r="V383">
        <v>3</v>
      </c>
      <c r="Z383" t="s">
        <v>107</v>
      </c>
      <c r="AA383">
        <v>20</v>
      </c>
      <c r="AB383" t="s">
        <v>3997</v>
      </c>
      <c r="AC383" t="s">
        <v>3996</v>
      </c>
      <c r="AD383" t="s">
        <v>3998</v>
      </c>
      <c r="AE383" t="s">
        <v>764</v>
      </c>
      <c r="AF383" t="s">
        <v>3999</v>
      </c>
      <c r="AG383" t="s">
        <v>4000</v>
      </c>
      <c r="AH383" t="str">
        <f>HYPERLINK("http://compartments.jensenlab.org/Entity?figures=subcell_cell_%&amp;knowledge=10&amp;textmining=10&amp;experiments=10&amp;predictions=10&amp;type1=9606&amp;type2=-22&amp;id1=ENSP00000356789","link")</f>
        <v>link</v>
      </c>
      <c r="AJ383" t="s">
        <v>51</v>
      </c>
      <c r="AK383" t="str">
        <f>HYPERLINK("http://www.proteinatlas.org/P05026","HPA012911")</f>
        <v>HPA012911</v>
      </c>
      <c r="AM383">
        <v>481</v>
      </c>
    </row>
    <row r="384" spans="1:39" x14ac:dyDescent="0.35">
      <c r="A384" t="s">
        <v>4001</v>
      </c>
      <c r="B384" t="str">
        <f>HYPERLINK("http://www.uniprot.org/uniprot/P05067","P05067")</f>
        <v>P05067</v>
      </c>
      <c r="C384" t="s">
        <v>4002</v>
      </c>
      <c r="D384" t="s">
        <v>4003</v>
      </c>
      <c r="E384" t="s">
        <v>39</v>
      </c>
      <c r="F384" t="s">
        <v>40</v>
      </c>
      <c r="H384">
        <v>770</v>
      </c>
      <c r="I384">
        <v>1</v>
      </c>
      <c r="J384">
        <v>1</v>
      </c>
      <c r="K384" t="s">
        <v>4004</v>
      </c>
      <c r="L384" t="s">
        <v>57</v>
      </c>
      <c r="N384">
        <v>0.81440000000000001</v>
      </c>
      <c r="O384" s="1">
        <v>1</v>
      </c>
      <c r="P384" t="s">
        <v>4005</v>
      </c>
      <c r="Q384" t="s">
        <v>4006</v>
      </c>
      <c r="S384" t="s">
        <v>60</v>
      </c>
      <c r="T384" t="s">
        <v>60</v>
      </c>
      <c r="U384" t="s">
        <v>4007</v>
      </c>
      <c r="V384">
        <v>2</v>
      </c>
      <c r="W384" t="s">
        <v>4008</v>
      </c>
      <c r="X384" t="s">
        <v>4009</v>
      </c>
      <c r="AE384" t="s">
        <v>4010</v>
      </c>
      <c r="AF384" t="s">
        <v>4011</v>
      </c>
      <c r="AG384" t="s">
        <v>4012</v>
      </c>
      <c r="AH384" t="str">
        <f>HYPERLINK("http://compartments.jensenlab.org/Entity?figures=subcell_cell_%&amp;knowledge=10&amp;textmining=10&amp;experiments=10&amp;predictions=10&amp;type1=9606&amp;type2=-22&amp;id1=ENSP00000284981","link")</f>
        <v>link</v>
      </c>
      <c r="AJ384" t="s">
        <v>4013</v>
      </c>
      <c r="AK384" t="str">
        <f>HYPERLINK("http://www.proteinatlas.org/P05067","CAB000157;HPA001462")</f>
        <v>CAB000157;HPA001462</v>
      </c>
      <c r="AM384">
        <v>351</v>
      </c>
    </row>
    <row r="385" spans="1:39" x14ac:dyDescent="0.35">
      <c r="A385" t="s">
        <v>4014</v>
      </c>
      <c r="B385" t="str">
        <f>HYPERLINK("http://www.uniprot.org/uniprot/P05106","P05106")</f>
        <v>P05106</v>
      </c>
      <c r="C385" t="s">
        <v>4015</v>
      </c>
      <c r="D385" t="s">
        <v>4016</v>
      </c>
      <c r="E385" t="s">
        <v>39</v>
      </c>
      <c r="F385" t="s">
        <v>55</v>
      </c>
      <c r="H385">
        <v>788</v>
      </c>
      <c r="I385">
        <v>1</v>
      </c>
      <c r="J385">
        <v>1</v>
      </c>
      <c r="K385" t="s">
        <v>4017</v>
      </c>
      <c r="L385" t="s">
        <v>101</v>
      </c>
      <c r="M385" t="s">
        <v>39</v>
      </c>
      <c r="N385">
        <v>0.9022</v>
      </c>
      <c r="O385" s="1">
        <v>1</v>
      </c>
      <c r="P385" t="s">
        <v>4018</v>
      </c>
      <c r="Q385" t="s">
        <v>4019</v>
      </c>
      <c r="R385" t="s">
        <v>4020</v>
      </c>
      <c r="S385" t="s">
        <v>166</v>
      </c>
      <c r="T385" t="s">
        <v>2763</v>
      </c>
      <c r="U385" t="s">
        <v>4021</v>
      </c>
      <c r="V385">
        <v>6</v>
      </c>
      <c r="W385" t="s">
        <v>4021</v>
      </c>
      <c r="X385" t="s">
        <v>4022</v>
      </c>
      <c r="Z385" t="s">
        <v>107</v>
      </c>
      <c r="AA385">
        <v>6</v>
      </c>
      <c r="AB385" t="s">
        <v>4023</v>
      </c>
      <c r="AC385" t="s">
        <v>4024</v>
      </c>
      <c r="AD385" t="s">
        <v>4025</v>
      </c>
      <c r="AE385" t="s">
        <v>4026</v>
      </c>
      <c r="AF385" t="s">
        <v>4027</v>
      </c>
      <c r="AG385" t="s">
        <v>4028</v>
      </c>
      <c r="AH385" t="str">
        <f>HYPERLINK("http://compartments.jensenlab.org/Entity?figures=subcell_cell_%&amp;knowledge=10&amp;textmining=10&amp;experiments=10&amp;predictions=10&amp;type1=9606&amp;type2=-22&amp;id1=ENSP00000452786","link")</f>
        <v>link</v>
      </c>
      <c r="AK385" t="str">
        <f>HYPERLINK("http://www.proteinatlas.org/P05106","HPA027852")</f>
        <v>HPA027852</v>
      </c>
      <c r="AL385" t="s">
        <v>4029</v>
      </c>
      <c r="AM385">
        <v>3690</v>
      </c>
    </row>
    <row r="386" spans="1:39" x14ac:dyDescent="0.35">
      <c r="A386" t="s">
        <v>4030</v>
      </c>
      <c r="B386" t="str">
        <f>HYPERLINK("http://www.uniprot.org/uniprot/P05107","P05107")</f>
        <v>P05107</v>
      </c>
      <c r="C386" t="s">
        <v>4031</v>
      </c>
      <c r="D386" t="s">
        <v>4032</v>
      </c>
      <c r="E386" t="s">
        <v>39</v>
      </c>
      <c r="F386" t="s">
        <v>55</v>
      </c>
      <c r="H386">
        <v>769</v>
      </c>
      <c r="I386">
        <v>1</v>
      </c>
      <c r="J386">
        <v>1</v>
      </c>
      <c r="K386" t="s">
        <v>4033</v>
      </c>
      <c r="L386" t="s">
        <v>101</v>
      </c>
      <c r="M386" t="s">
        <v>39</v>
      </c>
      <c r="N386">
        <v>0.83520000000000005</v>
      </c>
      <c r="O386" s="1">
        <v>1</v>
      </c>
      <c r="P386" t="s">
        <v>4034</v>
      </c>
      <c r="Q386" t="s">
        <v>4035</v>
      </c>
      <c r="R386" t="s">
        <v>4036</v>
      </c>
      <c r="S386" t="s">
        <v>166</v>
      </c>
      <c r="T386" t="s">
        <v>2763</v>
      </c>
      <c r="U386" t="s">
        <v>4037</v>
      </c>
      <c r="V386">
        <v>6</v>
      </c>
      <c r="X386">
        <v>83</v>
      </c>
      <c r="Y386" t="s">
        <v>4038</v>
      </c>
      <c r="Z386" t="s">
        <v>107</v>
      </c>
      <c r="AA386">
        <v>26</v>
      </c>
      <c r="AB386" t="s">
        <v>4039</v>
      </c>
      <c r="AC386" t="s">
        <v>4040</v>
      </c>
      <c r="AD386" t="s">
        <v>4041</v>
      </c>
      <c r="AE386" t="s">
        <v>144</v>
      </c>
      <c r="AF386" t="s">
        <v>4042</v>
      </c>
      <c r="AG386" t="s">
        <v>4043</v>
      </c>
      <c r="AH386" t="str">
        <f>HYPERLINK("http://compartments.jensenlab.org/Entity?figures=subcell_cell_%&amp;knowledge=10&amp;textmining=10&amp;experiments=10&amp;predictions=10&amp;type1=9606&amp;type2=-22&amp;id1=ENSP00000303242","link")</f>
        <v>link</v>
      </c>
      <c r="AI386" t="s">
        <v>65</v>
      </c>
      <c r="AJ386" t="s">
        <v>51</v>
      </c>
      <c r="AK386" t="str">
        <f>HYPERLINK("http://www.proteinatlas.org/P05107","HPA008877;HPA016894")</f>
        <v>HPA008877;HPA016894</v>
      </c>
      <c r="AL386" t="s">
        <v>4044</v>
      </c>
      <c r="AM386">
        <v>3689</v>
      </c>
    </row>
    <row r="387" spans="1:39" x14ac:dyDescent="0.35">
      <c r="A387" t="s">
        <v>4045</v>
      </c>
      <c r="B387" t="str">
        <f>HYPERLINK("http://www.uniprot.org/uniprot/P05186","P05186")</f>
        <v>P05186</v>
      </c>
      <c r="C387" t="s">
        <v>4046</v>
      </c>
      <c r="D387" t="s">
        <v>4047</v>
      </c>
      <c r="E387" t="s">
        <v>39</v>
      </c>
      <c r="F387" t="s">
        <v>239</v>
      </c>
      <c r="H387">
        <v>524</v>
      </c>
      <c r="I387">
        <v>0</v>
      </c>
      <c r="J387">
        <v>1</v>
      </c>
      <c r="K387" t="s">
        <v>4048</v>
      </c>
      <c r="L387" t="s">
        <v>996</v>
      </c>
      <c r="N387">
        <v>0.72460000000000002</v>
      </c>
      <c r="O387" s="1" t="s">
        <v>241</v>
      </c>
      <c r="P387" t="s">
        <v>4049</v>
      </c>
      <c r="Q387" t="s">
        <v>4050</v>
      </c>
      <c r="U387" t="s">
        <v>4051</v>
      </c>
      <c r="V387">
        <v>5</v>
      </c>
      <c r="W387" t="s">
        <v>4051</v>
      </c>
      <c r="Z387" t="s">
        <v>107</v>
      </c>
      <c r="AA387">
        <v>12</v>
      </c>
      <c r="AB387" t="s">
        <v>4052</v>
      </c>
      <c r="AC387" t="s">
        <v>4053</v>
      </c>
      <c r="AD387" t="s">
        <v>4054</v>
      </c>
      <c r="AE387" t="s">
        <v>243</v>
      </c>
      <c r="AF387" t="s">
        <v>4055</v>
      </c>
      <c r="AG387" t="s">
        <v>4056</v>
      </c>
      <c r="AH387" t="str">
        <f>HYPERLINK("http://compartments.jensenlab.org/Entity?figures=subcell_cell_%&amp;knowledge=10&amp;textmining=10&amp;experiments=10&amp;predictions=10&amp;type1=9606&amp;type2=-22&amp;id1=ENSP00000363965","link")</f>
        <v>link</v>
      </c>
      <c r="AI387" t="s">
        <v>65</v>
      </c>
      <c r="AJ387" t="s">
        <v>902</v>
      </c>
      <c r="AK387" t="str">
        <f>HYPERLINK("http://www.proteinatlas.org/P05186","HPA007105;HPA008765;CAB020829")</f>
        <v>HPA007105;HPA008765;CAB020829</v>
      </c>
      <c r="AM387">
        <v>249</v>
      </c>
    </row>
    <row r="388" spans="1:39" x14ac:dyDescent="0.35">
      <c r="A388" t="s">
        <v>4057</v>
      </c>
      <c r="B388" t="str">
        <f>HYPERLINK("http://www.uniprot.org/uniprot/P05187","P05187")</f>
        <v>P05187</v>
      </c>
      <c r="C388" t="s">
        <v>4058</v>
      </c>
      <c r="D388" t="s">
        <v>4059</v>
      </c>
      <c r="E388" t="s">
        <v>39</v>
      </c>
      <c r="F388" t="s">
        <v>239</v>
      </c>
      <c r="H388">
        <v>535</v>
      </c>
      <c r="I388">
        <v>0</v>
      </c>
      <c r="J388">
        <v>1</v>
      </c>
      <c r="K388" t="s">
        <v>4060</v>
      </c>
      <c r="L388" t="s">
        <v>42</v>
      </c>
      <c r="N388">
        <v>0.61480000000000001</v>
      </c>
      <c r="O388" s="1" t="s">
        <v>241</v>
      </c>
      <c r="P388" t="s">
        <v>4061</v>
      </c>
      <c r="Q388" t="s">
        <v>4062</v>
      </c>
      <c r="U388" t="s">
        <v>4063</v>
      </c>
      <c r="V388">
        <v>2</v>
      </c>
      <c r="W388" t="s">
        <v>4063</v>
      </c>
      <c r="AE388" t="s">
        <v>243</v>
      </c>
      <c r="AF388" t="s">
        <v>4064</v>
      </c>
      <c r="AG388" t="s">
        <v>4065</v>
      </c>
      <c r="AH388" t="str">
        <f>HYPERLINK("http://compartments.jensenlab.org/Entity?figures=subcell_cell_%&amp;knowledge=10&amp;textmining=10&amp;experiments=10&amp;predictions=10&amp;type1=9606&amp;type2=-22&amp;id1=ENSP00000375881","link")</f>
        <v>link</v>
      </c>
      <c r="AI388" t="s">
        <v>65</v>
      </c>
      <c r="AJ388" t="s">
        <v>51</v>
      </c>
      <c r="AK388" t="str">
        <f>HYPERLINK("http://www.proteinatlas.org/P05187","CAB026327;HPA038764;HPA038765;HPA051699")</f>
        <v>CAB026327;HPA038764;HPA038765;HPA051699</v>
      </c>
      <c r="AM388">
        <v>250</v>
      </c>
    </row>
    <row r="389" spans="1:39" x14ac:dyDescent="0.35">
      <c r="A389" t="s">
        <v>4066</v>
      </c>
      <c r="B389" t="str">
        <f>HYPERLINK("http://www.uniprot.org/uniprot/P05362","P05362")</f>
        <v>P05362</v>
      </c>
      <c r="C389" t="s">
        <v>4067</v>
      </c>
      <c r="D389" t="s">
        <v>4068</v>
      </c>
      <c r="E389" t="s">
        <v>39</v>
      </c>
      <c r="F389" t="s">
        <v>40</v>
      </c>
      <c r="H389">
        <v>532</v>
      </c>
      <c r="I389">
        <v>1</v>
      </c>
      <c r="J389">
        <v>1</v>
      </c>
      <c r="K389" t="s">
        <v>4069</v>
      </c>
      <c r="L389" t="s">
        <v>101</v>
      </c>
      <c r="N389">
        <v>0.88819999999999999</v>
      </c>
      <c r="O389" s="1">
        <v>1</v>
      </c>
      <c r="P389" t="s">
        <v>4070</v>
      </c>
      <c r="Q389" t="s">
        <v>4071</v>
      </c>
      <c r="R389" t="s">
        <v>4072</v>
      </c>
      <c r="S389" t="s">
        <v>60</v>
      </c>
      <c r="T389" t="s">
        <v>60</v>
      </c>
      <c r="U389" t="s">
        <v>4073</v>
      </c>
      <c r="V389">
        <v>8</v>
      </c>
      <c r="W389" t="s">
        <v>4074</v>
      </c>
      <c r="Z389" t="s">
        <v>107</v>
      </c>
      <c r="AA389">
        <v>28</v>
      </c>
      <c r="AB389" t="s">
        <v>4075</v>
      </c>
      <c r="AC389" t="s">
        <v>4076</v>
      </c>
      <c r="AD389" t="s">
        <v>4077</v>
      </c>
      <c r="AE389" t="s">
        <v>144</v>
      </c>
      <c r="AF389" t="s">
        <v>4078</v>
      </c>
      <c r="AG389" t="s">
        <v>4079</v>
      </c>
      <c r="AH389" t="str">
        <f>HYPERLINK("http://compartments.jensenlab.org/Entity?figures=subcell_cell_%&amp;knowledge=10&amp;textmining=10&amp;experiments=10&amp;predictions=10&amp;type1=9606&amp;type2=-22&amp;id1=ENSP00000264832","link")</f>
        <v>link</v>
      </c>
      <c r="AJ389" t="s">
        <v>902</v>
      </c>
      <c r="AK389" t="str">
        <f>HYPERLINK("http://www.proteinatlas.org/P05362","HPA002126;CAB002142;HPA004877")</f>
        <v>HPA002126;CAB002142;HPA004877</v>
      </c>
      <c r="AL389" t="s">
        <v>4080</v>
      </c>
      <c r="AM389">
        <v>3383</v>
      </c>
    </row>
    <row r="390" spans="1:39" x14ac:dyDescent="0.35">
      <c r="A390" t="s">
        <v>4081</v>
      </c>
      <c r="B390" t="str">
        <f>HYPERLINK("http://www.uniprot.org/uniprot/P05534","P05534")</f>
        <v>P05534</v>
      </c>
      <c r="C390" t="s">
        <v>4082</v>
      </c>
      <c r="D390" t="s">
        <v>3647</v>
      </c>
      <c r="E390" t="s">
        <v>39</v>
      </c>
      <c r="F390" t="s">
        <v>40</v>
      </c>
      <c r="H390">
        <v>365</v>
      </c>
      <c r="I390">
        <v>1</v>
      </c>
      <c r="J390">
        <v>1</v>
      </c>
      <c r="K390" t="s">
        <v>4083</v>
      </c>
      <c r="L390" t="s">
        <v>57</v>
      </c>
      <c r="N390">
        <v>0.76849999999999996</v>
      </c>
      <c r="O390" s="1">
        <v>1</v>
      </c>
      <c r="P390" t="s">
        <v>4084</v>
      </c>
      <c r="Q390" t="s">
        <v>4085</v>
      </c>
      <c r="S390" t="s">
        <v>91</v>
      </c>
      <c r="T390" t="s">
        <v>3641</v>
      </c>
      <c r="U390" t="s">
        <v>4086</v>
      </c>
      <c r="V390">
        <v>1</v>
      </c>
      <c r="AE390" t="s">
        <v>144</v>
      </c>
      <c r="AF390" t="s">
        <v>3892</v>
      </c>
      <c r="AG390" t="s">
        <v>4087</v>
      </c>
      <c r="AH390" t="str">
        <f>HYPERLINK("http://compartments.jensenlab.org/Entity?figures=subcell_cell_%&amp;knowledge=10&amp;textmining=10&amp;experiments=10&amp;predictions=10&amp;type1=9606&amp;type2=-22&amp;id1=ENSP00000406366","link")</f>
        <v>link</v>
      </c>
      <c r="AK390" t="str">
        <f>HYPERLINK("http://www.proteinatlas.org/P05534","no")</f>
        <v>no</v>
      </c>
    </row>
    <row r="391" spans="1:39" x14ac:dyDescent="0.35">
      <c r="A391" t="s">
        <v>4088</v>
      </c>
      <c r="B391" t="str">
        <f>HYPERLINK("http://www.uniprot.org/uniprot/P05538","P05538")</f>
        <v>P05538</v>
      </c>
      <c r="C391" t="s">
        <v>4089</v>
      </c>
      <c r="D391" t="s">
        <v>4090</v>
      </c>
      <c r="E391" t="s">
        <v>39</v>
      </c>
      <c r="F391" t="s">
        <v>55</v>
      </c>
      <c r="H391">
        <v>268</v>
      </c>
      <c r="I391">
        <v>1</v>
      </c>
      <c r="J391">
        <v>1</v>
      </c>
      <c r="K391" t="s">
        <v>4091</v>
      </c>
      <c r="L391" t="s">
        <v>101</v>
      </c>
      <c r="N391">
        <v>0.82040000000000002</v>
      </c>
      <c r="O391" s="1">
        <v>1</v>
      </c>
      <c r="P391" t="s">
        <v>4092</v>
      </c>
      <c r="Q391" t="s">
        <v>4093</v>
      </c>
      <c r="S391" t="s">
        <v>60</v>
      </c>
      <c r="T391" t="s">
        <v>60</v>
      </c>
      <c r="U391">
        <v>51</v>
      </c>
      <c r="V391">
        <v>1</v>
      </c>
      <c r="W391">
        <v>51</v>
      </c>
      <c r="Z391" t="s">
        <v>107</v>
      </c>
      <c r="AA391">
        <v>2</v>
      </c>
      <c r="AB391" t="s">
        <v>4094</v>
      </c>
      <c r="AC391">
        <v>51</v>
      </c>
      <c r="AD391" t="s">
        <v>4095</v>
      </c>
      <c r="AE391" t="s">
        <v>3691</v>
      </c>
      <c r="AF391" t="s">
        <v>4096</v>
      </c>
      <c r="AG391" t="s">
        <v>4097</v>
      </c>
      <c r="AH391" t="str">
        <f>HYPERLINK("http://compartments.jensenlab.org/Entity?figures=subcell_cell_%&amp;knowledge=10&amp;textmining=10&amp;experiments=10&amp;predictions=10&amp;type1=9606&amp;type2=-22&amp;id1=ENSP00000382569","link")</f>
        <v>link</v>
      </c>
      <c r="AK391" t="str">
        <f>HYPERLINK("http://www.proteinatlas.org/P05538","no")</f>
        <v>no</v>
      </c>
      <c r="AM391">
        <v>3120</v>
      </c>
    </row>
    <row r="392" spans="1:39" x14ac:dyDescent="0.35">
      <c r="A392" t="s">
        <v>4098</v>
      </c>
      <c r="B392" t="str">
        <f>HYPERLINK("http://www.uniprot.org/uniprot/P05556","P05556")</f>
        <v>P05556</v>
      </c>
      <c r="C392" t="s">
        <v>4099</v>
      </c>
      <c r="D392" t="s">
        <v>4100</v>
      </c>
      <c r="E392" t="s">
        <v>39</v>
      </c>
      <c r="F392" t="s">
        <v>55</v>
      </c>
      <c r="H392">
        <v>798</v>
      </c>
      <c r="I392">
        <v>1</v>
      </c>
      <c r="J392">
        <v>1</v>
      </c>
      <c r="K392" t="s">
        <v>4101</v>
      </c>
      <c r="L392" t="s">
        <v>101</v>
      </c>
      <c r="M392" t="s">
        <v>39</v>
      </c>
      <c r="N392">
        <v>0.95879999999999999</v>
      </c>
      <c r="O392" s="1">
        <v>1</v>
      </c>
      <c r="P392" t="s">
        <v>4102</v>
      </c>
      <c r="Q392" t="s">
        <v>4103</v>
      </c>
      <c r="R392" t="s">
        <v>4104</v>
      </c>
      <c r="S392" t="s">
        <v>166</v>
      </c>
      <c r="T392" t="s">
        <v>2763</v>
      </c>
      <c r="U392" t="s">
        <v>4105</v>
      </c>
      <c r="V392">
        <v>12</v>
      </c>
      <c r="W392" t="s">
        <v>4105</v>
      </c>
      <c r="X392" t="s">
        <v>4106</v>
      </c>
      <c r="Z392" t="s">
        <v>107</v>
      </c>
      <c r="AA392">
        <v>83</v>
      </c>
      <c r="AB392" t="s">
        <v>4107</v>
      </c>
      <c r="AC392" t="s">
        <v>4108</v>
      </c>
      <c r="AD392" t="s">
        <v>4109</v>
      </c>
      <c r="AE392" t="s">
        <v>4110</v>
      </c>
      <c r="AF392" t="s">
        <v>4111</v>
      </c>
      <c r="AG392" t="s">
        <v>4112</v>
      </c>
      <c r="AH392" t="str">
        <f>HYPERLINK("http://compartments.jensenlab.org/Entity?figures=subcell_cell_%&amp;knowledge=10&amp;textmining=10&amp;experiments=10&amp;predictions=10&amp;type1=9606&amp;type2=-22&amp;id1=ENSP00000303351","link")</f>
        <v>link</v>
      </c>
      <c r="AK392" t="str">
        <f>HYPERLINK("http://www.proteinatlas.org/P05556","CAB003434")</f>
        <v>CAB003434</v>
      </c>
      <c r="AL392" t="s">
        <v>3612</v>
      </c>
      <c r="AM392">
        <v>3688</v>
      </c>
    </row>
    <row r="393" spans="1:39" x14ac:dyDescent="0.35">
      <c r="A393" t="s">
        <v>4113</v>
      </c>
      <c r="B393" t="str">
        <f>HYPERLINK("http://www.uniprot.org/uniprot/P06126","P06126")</f>
        <v>P06126</v>
      </c>
      <c r="C393" t="s">
        <v>4114</v>
      </c>
      <c r="D393" t="s">
        <v>4115</v>
      </c>
      <c r="E393" t="s">
        <v>39</v>
      </c>
      <c r="F393" t="s">
        <v>40</v>
      </c>
      <c r="H393">
        <v>327</v>
      </c>
      <c r="I393">
        <v>1</v>
      </c>
      <c r="J393">
        <v>1</v>
      </c>
      <c r="K393" t="s">
        <v>4116</v>
      </c>
      <c r="L393" t="s">
        <v>57</v>
      </c>
      <c r="N393">
        <v>0.76049999999999995</v>
      </c>
      <c r="O393" s="1">
        <v>1</v>
      </c>
      <c r="P393" t="s">
        <v>4117</v>
      </c>
      <c r="Q393" t="s">
        <v>4118</v>
      </c>
      <c r="R393" t="s">
        <v>4119</v>
      </c>
      <c r="S393" t="s">
        <v>166</v>
      </c>
      <c r="T393" t="s">
        <v>4120</v>
      </c>
      <c r="U393" t="s">
        <v>4121</v>
      </c>
      <c r="V393">
        <v>4</v>
      </c>
      <c r="W393" t="s">
        <v>4121</v>
      </c>
      <c r="Y393">
        <v>234</v>
      </c>
      <c r="AE393" t="s">
        <v>4122</v>
      </c>
      <c r="AF393" t="s">
        <v>4123</v>
      </c>
      <c r="AG393" t="s">
        <v>4124</v>
      </c>
      <c r="AH393" t="str">
        <f>HYPERLINK("http://compartments.jensenlab.org/Entity?figures=subcell_cell_%&amp;knowledge=10&amp;textmining=10&amp;experiments=10&amp;predictions=10&amp;type1=9606&amp;type2=-22&amp;id1=ENSP00000289429","link")</f>
        <v>link</v>
      </c>
      <c r="AI393" t="s">
        <v>4125</v>
      </c>
      <c r="AJ393" t="s">
        <v>1791</v>
      </c>
      <c r="AK393" t="str">
        <f>HYPERLINK("http://www.proteinatlas.org/P06126","CAB000009;HPA010734")</f>
        <v>CAB000009;HPA010734</v>
      </c>
      <c r="AL393" t="s">
        <v>3612</v>
      </c>
      <c r="AM393">
        <v>909</v>
      </c>
    </row>
    <row r="394" spans="1:39" x14ac:dyDescent="0.35">
      <c r="A394" t="s">
        <v>4126</v>
      </c>
      <c r="B394" t="str">
        <f>HYPERLINK("http://www.uniprot.org/uniprot/P06127","P06127")</f>
        <v>P06127</v>
      </c>
      <c r="C394" t="s">
        <v>4127</v>
      </c>
      <c r="D394" t="s">
        <v>4128</v>
      </c>
      <c r="E394" t="s">
        <v>39</v>
      </c>
      <c r="F394" t="s">
        <v>55</v>
      </c>
      <c r="H394">
        <v>495</v>
      </c>
      <c r="I394">
        <v>1</v>
      </c>
      <c r="J394">
        <v>1</v>
      </c>
      <c r="K394" t="s">
        <v>4129</v>
      </c>
      <c r="L394" t="s">
        <v>101</v>
      </c>
      <c r="M394" t="s">
        <v>39</v>
      </c>
      <c r="N394">
        <v>0.98399999999999999</v>
      </c>
      <c r="O394" s="1">
        <v>1</v>
      </c>
      <c r="P394" t="s">
        <v>4130</v>
      </c>
      <c r="Q394" t="s">
        <v>4131</v>
      </c>
      <c r="R394" t="s">
        <v>4128</v>
      </c>
      <c r="S394" t="s">
        <v>60</v>
      </c>
      <c r="T394" t="s">
        <v>60</v>
      </c>
      <c r="U394" t="s">
        <v>4132</v>
      </c>
      <c r="V394">
        <v>2</v>
      </c>
      <c r="W394" t="s">
        <v>4133</v>
      </c>
      <c r="Z394" t="s">
        <v>107</v>
      </c>
      <c r="AA394">
        <v>12</v>
      </c>
      <c r="AB394" t="s">
        <v>4134</v>
      </c>
      <c r="AC394" t="s">
        <v>4135</v>
      </c>
      <c r="AD394" t="s">
        <v>4136</v>
      </c>
      <c r="AE394" t="s">
        <v>332</v>
      </c>
      <c r="AF394" t="s">
        <v>4137</v>
      </c>
      <c r="AG394" t="s">
        <v>4138</v>
      </c>
      <c r="AH394" t="str">
        <f>HYPERLINK("http://compartments.jensenlab.org/Entity?figures=subcell_cell_%&amp;knowledge=10&amp;textmining=10&amp;experiments=10&amp;predictions=10&amp;type1=9606&amp;type2=-22&amp;id1=ENSP00000342681","link")</f>
        <v>link</v>
      </c>
      <c r="AI394" t="s">
        <v>65</v>
      </c>
      <c r="AJ394" t="s">
        <v>51</v>
      </c>
      <c r="AK394" t="str">
        <f>HYPERLINK("http://www.proteinatlas.org/P06127","CAB015392;CAB020308;HPA043416;HPA060839")</f>
        <v>CAB015392;CAB020308;HPA043416;HPA060839</v>
      </c>
      <c r="AM394">
        <v>921</v>
      </c>
    </row>
    <row r="395" spans="1:39" x14ac:dyDescent="0.35">
      <c r="A395" t="s">
        <v>4139</v>
      </c>
      <c r="B395" t="str">
        <f>HYPERLINK("http://www.uniprot.org/uniprot/P06213","P06213")</f>
        <v>P06213</v>
      </c>
      <c r="C395" t="s">
        <v>4140</v>
      </c>
      <c r="D395" t="s">
        <v>4141</v>
      </c>
      <c r="E395" t="s">
        <v>39</v>
      </c>
      <c r="F395" t="s">
        <v>55</v>
      </c>
      <c r="H395">
        <v>1382</v>
      </c>
      <c r="I395">
        <v>1</v>
      </c>
      <c r="J395">
        <v>1</v>
      </c>
      <c r="K395" t="s">
        <v>4142</v>
      </c>
      <c r="L395" t="s">
        <v>101</v>
      </c>
      <c r="M395" t="s">
        <v>39</v>
      </c>
      <c r="N395">
        <v>0.9143</v>
      </c>
      <c r="O395" s="1">
        <v>1</v>
      </c>
      <c r="P395" t="s">
        <v>4143</v>
      </c>
      <c r="Q395" t="s">
        <v>4144</v>
      </c>
      <c r="R395" t="s">
        <v>4145</v>
      </c>
      <c r="S395" t="s">
        <v>166</v>
      </c>
      <c r="T395" t="s">
        <v>4146</v>
      </c>
      <c r="U395" t="s">
        <v>4147</v>
      </c>
      <c r="V395">
        <v>18</v>
      </c>
      <c r="X395" t="s">
        <v>4148</v>
      </c>
      <c r="Z395" t="s">
        <v>107</v>
      </c>
      <c r="AA395">
        <v>13</v>
      </c>
      <c r="AB395" t="s">
        <v>4149</v>
      </c>
      <c r="AC395" t="s">
        <v>4150</v>
      </c>
      <c r="AD395" t="s">
        <v>4151</v>
      </c>
      <c r="AE395" t="s">
        <v>332</v>
      </c>
      <c r="AF395" t="s">
        <v>4152</v>
      </c>
      <c r="AG395" t="s">
        <v>4153</v>
      </c>
      <c r="AH395" t="str">
        <f>HYPERLINK("http://compartments.jensenlab.org/Entity?figures=subcell_cell_%&amp;knowledge=10&amp;textmining=10&amp;experiments=10&amp;predictions=10&amp;type1=9606&amp;type2=-22&amp;id1=ENSP00000303830","link")</f>
        <v>link</v>
      </c>
      <c r="AJ395" t="s">
        <v>4154</v>
      </c>
      <c r="AK395" t="str">
        <f>HYPERLINK("http://www.proteinatlas.org/P06213","HPA036302;HPA036303")</f>
        <v>HPA036302;HPA036303</v>
      </c>
      <c r="AL395" t="s">
        <v>4155</v>
      </c>
      <c r="AM395">
        <v>3643</v>
      </c>
    </row>
    <row r="396" spans="1:39" x14ac:dyDescent="0.35">
      <c r="A396" t="s">
        <v>4156</v>
      </c>
      <c r="B396" t="str">
        <f>HYPERLINK("http://www.uniprot.org/uniprot/P06340","P06340")</f>
        <v>P06340</v>
      </c>
      <c r="C396" t="s">
        <v>4157</v>
      </c>
      <c r="D396" t="s">
        <v>4158</v>
      </c>
      <c r="E396" t="s">
        <v>39</v>
      </c>
      <c r="F396" t="s">
        <v>40</v>
      </c>
      <c r="H396">
        <v>250</v>
      </c>
      <c r="I396">
        <v>1</v>
      </c>
      <c r="J396">
        <v>1</v>
      </c>
      <c r="K396" t="s">
        <v>4159</v>
      </c>
      <c r="L396" t="s">
        <v>57</v>
      </c>
      <c r="N396">
        <v>0.79039999999999999</v>
      </c>
      <c r="O396" s="1">
        <v>1</v>
      </c>
      <c r="P396" t="s">
        <v>4160</v>
      </c>
      <c r="Q396" t="s">
        <v>4161</v>
      </c>
      <c r="S396" t="s">
        <v>91</v>
      </c>
      <c r="T396" t="s">
        <v>3641</v>
      </c>
      <c r="U396" t="s">
        <v>3689</v>
      </c>
      <c r="V396">
        <v>2</v>
      </c>
      <c r="W396" t="s">
        <v>3689</v>
      </c>
      <c r="Y396" t="s">
        <v>3690</v>
      </c>
      <c r="AE396" t="s">
        <v>4162</v>
      </c>
      <c r="AF396" t="s">
        <v>4163</v>
      </c>
      <c r="AG396" t="s">
        <v>4164</v>
      </c>
      <c r="AH396" t="str">
        <f>HYPERLINK("http://compartments.jensenlab.org/Entity?figures=subcell_cell_%&amp;knowledge=10&amp;textmining=10&amp;experiments=10&amp;predictions=10&amp;type1=9606&amp;type2=-22&amp;id1=ENSP00000229829","link")</f>
        <v>link</v>
      </c>
      <c r="AI396" t="s">
        <v>4165</v>
      </c>
      <c r="AJ396" t="s">
        <v>4166</v>
      </c>
      <c r="AK396" t="str">
        <f>HYPERLINK("http://www.proteinatlas.org/P06340","HPA045038")</f>
        <v>HPA045038</v>
      </c>
      <c r="AM396">
        <v>3111</v>
      </c>
    </row>
    <row r="397" spans="1:39" x14ac:dyDescent="0.35">
      <c r="A397" t="s">
        <v>4167</v>
      </c>
      <c r="B397" t="str">
        <f>HYPERLINK("http://www.uniprot.org/uniprot/P06729","P06729")</f>
        <v>P06729</v>
      </c>
      <c r="C397" t="s">
        <v>4168</v>
      </c>
      <c r="D397" t="s">
        <v>4169</v>
      </c>
      <c r="E397" t="s">
        <v>39</v>
      </c>
      <c r="F397" t="s">
        <v>40</v>
      </c>
      <c r="H397">
        <v>351</v>
      </c>
      <c r="I397">
        <v>1</v>
      </c>
      <c r="J397">
        <v>1</v>
      </c>
      <c r="K397" t="s">
        <v>4170</v>
      </c>
      <c r="L397" t="s">
        <v>101</v>
      </c>
      <c r="N397">
        <v>0.94010000000000005</v>
      </c>
      <c r="O397" s="1">
        <v>1</v>
      </c>
      <c r="P397" t="s">
        <v>4171</v>
      </c>
      <c r="Q397" t="s">
        <v>4172</v>
      </c>
      <c r="R397" t="s">
        <v>4169</v>
      </c>
      <c r="S397" t="s">
        <v>60</v>
      </c>
      <c r="T397" t="s">
        <v>60</v>
      </c>
      <c r="U397" t="s">
        <v>4173</v>
      </c>
      <c r="V397">
        <v>3</v>
      </c>
      <c r="W397" t="s">
        <v>4173</v>
      </c>
      <c r="X397" t="s">
        <v>4174</v>
      </c>
      <c r="Z397" t="s">
        <v>107</v>
      </c>
      <c r="AA397">
        <v>4</v>
      </c>
      <c r="AB397" t="s">
        <v>4175</v>
      </c>
      <c r="AC397" t="s">
        <v>4176</v>
      </c>
      <c r="AD397" t="s">
        <v>4177</v>
      </c>
      <c r="AE397" t="s">
        <v>144</v>
      </c>
      <c r="AF397" t="s">
        <v>4178</v>
      </c>
      <c r="AG397" t="s">
        <v>4179</v>
      </c>
      <c r="AH397" t="str">
        <f>HYPERLINK("http://compartments.jensenlab.org/Entity?figures=subcell_cell_%&amp;knowledge=10&amp;textmining=10&amp;experiments=10&amp;predictions=10&amp;type1=9606&amp;type2=-22&amp;id1=ENSP00000358490","link")</f>
        <v>link</v>
      </c>
      <c r="AI397" t="s">
        <v>65</v>
      </c>
      <c r="AJ397" t="s">
        <v>902</v>
      </c>
      <c r="AK397" t="str">
        <f>HYPERLINK("http://www.proteinatlas.org/P06729","CAB002430;HPA003883")</f>
        <v>CAB002430;HPA003883</v>
      </c>
      <c r="AL397" t="s">
        <v>4180</v>
      </c>
      <c r="AM397">
        <v>914</v>
      </c>
    </row>
    <row r="398" spans="1:39" x14ac:dyDescent="0.35">
      <c r="A398" t="s">
        <v>4181</v>
      </c>
      <c r="B398" t="str">
        <f>HYPERLINK("http://www.uniprot.org/uniprot/P06731","P06731")</f>
        <v>P06731</v>
      </c>
      <c r="C398" t="s">
        <v>4182</v>
      </c>
      <c r="D398" t="s">
        <v>4183</v>
      </c>
      <c r="E398" t="s">
        <v>39</v>
      </c>
      <c r="F398" t="s">
        <v>239</v>
      </c>
      <c r="H398">
        <v>702</v>
      </c>
      <c r="I398">
        <v>0</v>
      </c>
      <c r="J398">
        <v>1</v>
      </c>
      <c r="K398" t="s">
        <v>4184</v>
      </c>
      <c r="L398" t="s">
        <v>57</v>
      </c>
      <c r="N398">
        <v>0.77449999999999997</v>
      </c>
      <c r="O398" s="1" t="s">
        <v>997</v>
      </c>
      <c r="P398" t="s">
        <v>4185</v>
      </c>
      <c r="Q398" t="s">
        <v>4186</v>
      </c>
      <c r="R398" t="s">
        <v>4187</v>
      </c>
      <c r="S398" t="s">
        <v>91</v>
      </c>
      <c r="T398" t="s">
        <v>555</v>
      </c>
      <c r="U398" t="s">
        <v>4188</v>
      </c>
      <c r="V398">
        <v>28</v>
      </c>
      <c r="W398" t="s">
        <v>4189</v>
      </c>
      <c r="AE398" t="s">
        <v>243</v>
      </c>
      <c r="AF398" t="s">
        <v>4190</v>
      </c>
      <c r="AG398" t="s">
        <v>4191</v>
      </c>
      <c r="AH398" t="str">
        <f>HYPERLINK("http://compartments.jensenlab.org/Entity?figures=subcell_cell_%&amp;knowledge=10&amp;textmining=10&amp;experiments=10&amp;predictions=10&amp;type1=9606&amp;type2=-22&amp;id1=ENSP00000221992","link")</f>
        <v>link</v>
      </c>
      <c r="AI398" t="s">
        <v>65</v>
      </c>
      <c r="AJ398" t="s">
        <v>51</v>
      </c>
      <c r="AK398" t="str">
        <f>HYPERLINK("http://www.proteinatlas.org/P06731","CAB000021;CAB000022;HPA011041;HPA019758")</f>
        <v>CAB000021;CAB000022;HPA011041;HPA019758</v>
      </c>
      <c r="AM398">
        <v>1048</v>
      </c>
    </row>
    <row r="399" spans="1:39" x14ac:dyDescent="0.35">
      <c r="A399" t="s">
        <v>4192</v>
      </c>
      <c r="B399" t="str">
        <f>HYPERLINK("http://www.uniprot.org/uniprot/P06756","P06756")</f>
        <v>P06756</v>
      </c>
      <c r="C399" t="s">
        <v>4193</v>
      </c>
      <c r="D399" t="s">
        <v>4194</v>
      </c>
      <c r="E399" t="s">
        <v>39</v>
      </c>
      <c r="F399" t="s">
        <v>55</v>
      </c>
      <c r="H399">
        <v>1048</v>
      </c>
      <c r="I399">
        <v>1</v>
      </c>
      <c r="J399">
        <v>1</v>
      </c>
      <c r="K399" t="s">
        <v>4195</v>
      </c>
      <c r="L399" t="s">
        <v>101</v>
      </c>
      <c r="M399" t="s">
        <v>39</v>
      </c>
      <c r="N399">
        <v>0.90620000000000001</v>
      </c>
      <c r="O399" s="1">
        <v>1</v>
      </c>
      <c r="P399" t="s">
        <v>4196</v>
      </c>
      <c r="Q399" t="s">
        <v>4197</v>
      </c>
      <c r="R399" t="s">
        <v>4198</v>
      </c>
      <c r="S399" t="s">
        <v>166</v>
      </c>
      <c r="T399" t="s">
        <v>2763</v>
      </c>
      <c r="U399" t="s">
        <v>4199</v>
      </c>
      <c r="V399">
        <v>13</v>
      </c>
      <c r="W399" t="s">
        <v>4200</v>
      </c>
      <c r="X399" t="s">
        <v>4201</v>
      </c>
      <c r="Z399" t="s">
        <v>107</v>
      </c>
      <c r="AA399">
        <v>35</v>
      </c>
      <c r="AB399" t="s">
        <v>4202</v>
      </c>
      <c r="AC399" t="s">
        <v>4203</v>
      </c>
      <c r="AD399" t="s">
        <v>4204</v>
      </c>
      <c r="AE399" t="s">
        <v>144</v>
      </c>
      <c r="AF399" t="s">
        <v>4205</v>
      </c>
      <c r="AG399" t="s">
        <v>4206</v>
      </c>
      <c r="AH399" t="str">
        <f>HYPERLINK("http://compartments.jensenlab.org/Entity?figures=subcell_cell_%&amp;knowledge=10&amp;textmining=10&amp;experiments=10&amp;predictions=10&amp;type1=9606&amp;type2=-22&amp;id1=ENSP00000261023","link")</f>
        <v>link</v>
      </c>
      <c r="AI399" t="s">
        <v>65</v>
      </c>
      <c r="AJ399" t="s">
        <v>51</v>
      </c>
      <c r="AK399" t="str">
        <f>HYPERLINK("http://www.proteinatlas.org/P06756","CAB002499;HPA004856")</f>
        <v>CAB002499;HPA004856</v>
      </c>
      <c r="AL399" t="s">
        <v>3612</v>
      </c>
      <c r="AM399">
        <v>3685</v>
      </c>
    </row>
    <row r="400" spans="1:39" x14ac:dyDescent="0.35">
      <c r="A400" t="s">
        <v>4207</v>
      </c>
      <c r="B400" t="str">
        <f>HYPERLINK("http://www.uniprot.org/uniprot/P06858","P06858")</f>
        <v>P06858</v>
      </c>
      <c r="C400" t="s">
        <v>4208</v>
      </c>
      <c r="D400" t="s">
        <v>4209</v>
      </c>
      <c r="E400" t="s">
        <v>39</v>
      </c>
      <c r="F400" t="s">
        <v>239</v>
      </c>
      <c r="H400">
        <v>475</v>
      </c>
      <c r="I400">
        <v>0</v>
      </c>
      <c r="J400">
        <v>1</v>
      </c>
      <c r="K400" t="s">
        <v>4210</v>
      </c>
      <c r="L400" t="s">
        <v>57</v>
      </c>
      <c r="N400">
        <v>0.64870000000000005</v>
      </c>
      <c r="O400" s="1" t="s">
        <v>241</v>
      </c>
      <c r="P400" t="s">
        <v>4211</v>
      </c>
      <c r="Q400" t="s">
        <v>4212</v>
      </c>
      <c r="U400" t="s">
        <v>4213</v>
      </c>
      <c r="V400">
        <v>2</v>
      </c>
      <c r="W400" t="s">
        <v>4214</v>
      </c>
      <c r="Y400">
        <v>417</v>
      </c>
      <c r="AE400" t="s">
        <v>2453</v>
      </c>
      <c r="AF400" t="s">
        <v>4215</v>
      </c>
      <c r="AG400" t="s">
        <v>4216</v>
      </c>
      <c r="AH400" t="str">
        <f>HYPERLINK("http://compartments.jensenlab.org/Entity?figures=subcell_cell_%&amp;knowledge=10&amp;textmining=10&amp;experiments=10&amp;predictions=10&amp;type1=9606&amp;type2=-22&amp;id1=ENSP00000309757","link")</f>
        <v>link</v>
      </c>
      <c r="AK400" t="str">
        <f>HYPERLINK("http://www.proteinatlas.org/P06858","HPA048749")</f>
        <v>HPA048749</v>
      </c>
      <c r="AL400" t="s">
        <v>4217</v>
      </c>
      <c r="AM400">
        <v>4023</v>
      </c>
    </row>
    <row r="401" spans="1:39" x14ac:dyDescent="0.35">
      <c r="A401" t="s">
        <v>4218</v>
      </c>
      <c r="B401" t="str">
        <f>HYPERLINK("http://www.uniprot.org/uniprot/P07202","P07202")</f>
        <v>P07202</v>
      </c>
      <c r="C401" t="s">
        <v>4219</v>
      </c>
      <c r="D401" t="s">
        <v>4220</v>
      </c>
      <c r="E401" t="s">
        <v>39</v>
      </c>
      <c r="F401" t="s">
        <v>40</v>
      </c>
      <c r="H401">
        <v>933</v>
      </c>
      <c r="I401">
        <v>1</v>
      </c>
      <c r="J401">
        <v>1</v>
      </c>
      <c r="K401" t="s">
        <v>4221</v>
      </c>
      <c r="L401" t="s">
        <v>57</v>
      </c>
      <c r="N401">
        <v>0.83030000000000004</v>
      </c>
      <c r="O401" s="1">
        <v>1</v>
      </c>
      <c r="P401" t="s">
        <v>4222</v>
      </c>
      <c r="Q401" t="s">
        <v>4223</v>
      </c>
      <c r="S401" t="s">
        <v>947</v>
      </c>
      <c r="T401">
        <v>1.1100000000000001</v>
      </c>
      <c r="U401" t="s">
        <v>4224</v>
      </c>
      <c r="V401">
        <v>4</v>
      </c>
      <c r="W401" t="s">
        <v>4225</v>
      </c>
      <c r="X401">
        <v>885</v>
      </c>
      <c r="Y401">
        <v>669</v>
      </c>
      <c r="AE401" t="s">
        <v>4226</v>
      </c>
      <c r="AF401" t="s">
        <v>4227</v>
      </c>
      <c r="AG401" t="s">
        <v>4228</v>
      </c>
      <c r="AH401" t="str">
        <f>HYPERLINK("http://compartments.jensenlab.org/Entity?figures=subcell_cell_%&amp;knowledge=10&amp;textmining=10&amp;experiments=10&amp;predictions=10&amp;type1=9606&amp;type2=-22&amp;id1=ENSP00000329869","link")</f>
        <v>link</v>
      </c>
      <c r="AJ401" t="s">
        <v>2124</v>
      </c>
      <c r="AK401" t="str">
        <f>HYPERLINK("http://www.proteinatlas.org/P07202","HPA007987;CAB009587")</f>
        <v>HPA007987;CAB009587</v>
      </c>
      <c r="AL401" t="s">
        <v>4229</v>
      </c>
      <c r="AM401">
        <v>7173</v>
      </c>
    </row>
    <row r="402" spans="1:39" x14ac:dyDescent="0.35">
      <c r="A402" t="s">
        <v>4230</v>
      </c>
      <c r="B402" t="str">
        <f>HYPERLINK("http://www.uniprot.org/uniprot/P07204","P07204")</f>
        <v>P07204</v>
      </c>
      <c r="C402" t="s">
        <v>4231</v>
      </c>
      <c r="D402" t="s">
        <v>4232</v>
      </c>
      <c r="E402" t="s">
        <v>39</v>
      </c>
      <c r="F402" t="s">
        <v>40</v>
      </c>
      <c r="H402">
        <v>575</v>
      </c>
      <c r="I402">
        <v>1</v>
      </c>
      <c r="J402">
        <v>1</v>
      </c>
      <c r="K402" t="s">
        <v>4233</v>
      </c>
      <c r="L402" t="s">
        <v>101</v>
      </c>
      <c r="N402">
        <v>0.92610000000000003</v>
      </c>
      <c r="O402" s="1">
        <v>1</v>
      </c>
      <c r="P402" t="s">
        <v>4234</v>
      </c>
      <c r="Q402" t="s">
        <v>4235</v>
      </c>
      <c r="R402" t="s">
        <v>4236</v>
      </c>
      <c r="S402" t="s">
        <v>60</v>
      </c>
      <c r="T402" t="s">
        <v>60</v>
      </c>
      <c r="U402" t="s">
        <v>4237</v>
      </c>
      <c r="V402">
        <v>5</v>
      </c>
      <c r="W402" t="s">
        <v>4237</v>
      </c>
      <c r="Y402" t="s">
        <v>4238</v>
      </c>
      <c r="Z402" t="s">
        <v>107</v>
      </c>
      <c r="AA402">
        <v>3</v>
      </c>
      <c r="AB402" t="s">
        <v>4239</v>
      </c>
      <c r="AC402" t="s">
        <v>4240</v>
      </c>
      <c r="AD402" t="s">
        <v>4241</v>
      </c>
      <c r="AE402" t="s">
        <v>144</v>
      </c>
      <c r="AF402" t="s">
        <v>4242</v>
      </c>
      <c r="AG402" t="s">
        <v>4243</v>
      </c>
      <c r="AH402" t="str">
        <f>HYPERLINK("http://compartments.jensenlab.org/Entity?figures=subcell_cell_%&amp;knowledge=10&amp;textmining=10&amp;experiments=10&amp;predictions=10&amp;type1=9606&amp;type2=-22&amp;id1=ENSP00000366307","link")</f>
        <v>link</v>
      </c>
      <c r="AJ402" t="s">
        <v>902</v>
      </c>
      <c r="AK402" t="str">
        <f>HYPERLINK("http://www.proteinatlas.org/P07204","CAB002425;HPA002982")</f>
        <v>CAB002425;HPA002982</v>
      </c>
      <c r="AL402" t="s">
        <v>4244</v>
      </c>
      <c r="AM402">
        <v>7056</v>
      </c>
    </row>
    <row r="403" spans="1:39" x14ac:dyDescent="0.35">
      <c r="A403" t="s">
        <v>4245</v>
      </c>
      <c r="B403" t="str">
        <f>HYPERLINK("http://www.uniprot.org/uniprot/P07306","P07306")</f>
        <v>P07306</v>
      </c>
      <c r="C403" t="s">
        <v>4246</v>
      </c>
      <c r="D403" t="s">
        <v>4247</v>
      </c>
      <c r="E403" t="s">
        <v>39</v>
      </c>
      <c r="F403" t="s">
        <v>40</v>
      </c>
      <c r="H403">
        <v>291</v>
      </c>
      <c r="I403">
        <v>1</v>
      </c>
      <c r="J403">
        <v>0</v>
      </c>
      <c r="K403" t="s">
        <v>4248</v>
      </c>
      <c r="L403" t="s">
        <v>57</v>
      </c>
      <c r="N403">
        <v>0.67859999999999998</v>
      </c>
      <c r="O403" s="1">
        <v>2</v>
      </c>
      <c r="P403" t="s">
        <v>4249</v>
      </c>
      <c r="Q403" t="s">
        <v>4250</v>
      </c>
      <c r="S403" t="s">
        <v>166</v>
      </c>
      <c r="T403" t="s">
        <v>4251</v>
      </c>
      <c r="U403" t="s">
        <v>4252</v>
      </c>
      <c r="V403">
        <v>2</v>
      </c>
      <c r="W403" t="s">
        <v>4252</v>
      </c>
      <c r="AE403" t="s">
        <v>3111</v>
      </c>
      <c r="AF403" t="s">
        <v>4253</v>
      </c>
      <c r="AG403" t="s">
        <v>4254</v>
      </c>
      <c r="AH403" t="str">
        <f>HYPERLINK("http://compartments.jensenlab.org/Entity?figures=subcell_cell_%&amp;knowledge=10&amp;textmining=10&amp;experiments=10&amp;predictions=10&amp;type1=9606&amp;type2=-22&amp;id1=ENSP00000269299","link")</f>
        <v>link</v>
      </c>
      <c r="AJ403" t="s">
        <v>51</v>
      </c>
      <c r="AK403" t="str">
        <f>HYPERLINK("http://www.proteinatlas.org/P07306","HPA011954;HPA012852")</f>
        <v>HPA011954;HPA012852</v>
      </c>
      <c r="AM403">
        <v>432</v>
      </c>
    </row>
    <row r="404" spans="1:39" x14ac:dyDescent="0.35">
      <c r="A404" t="s">
        <v>4255</v>
      </c>
      <c r="B404" t="str">
        <f>HYPERLINK("http://www.uniprot.org/uniprot/P07307","P07307")</f>
        <v>P07307</v>
      </c>
      <c r="C404" t="s">
        <v>4256</v>
      </c>
      <c r="D404" t="s">
        <v>4257</v>
      </c>
      <c r="E404" t="s">
        <v>39</v>
      </c>
      <c r="F404" t="s">
        <v>40</v>
      </c>
      <c r="H404">
        <v>311</v>
      </c>
      <c r="I404">
        <v>1</v>
      </c>
      <c r="J404">
        <v>0</v>
      </c>
      <c r="K404" t="s">
        <v>4258</v>
      </c>
      <c r="L404" t="s">
        <v>57</v>
      </c>
      <c r="N404">
        <v>0.74450000000000005</v>
      </c>
      <c r="O404" s="1">
        <v>2</v>
      </c>
      <c r="P404" t="s">
        <v>4259</v>
      </c>
      <c r="Q404" t="s">
        <v>4260</v>
      </c>
      <c r="S404" t="s">
        <v>166</v>
      </c>
      <c r="T404" t="s">
        <v>4251</v>
      </c>
      <c r="U404" t="s">
        <v>4261</v>
      </c>
      <c r="V404">
        <v>3</v>
      </c>
      <c r="AE404" t="s">
        <v>359</v>
      </c>
      <c r="AF404" t="s">
        <v>4262</v>
      </c>
      <c r="AG404" t="s">
        <v>4263</v>
      </c>
      <c r="AH404" t="str">
        <f>HYPERLINK("http://compartments.jensenlab.org/Entity?figures=subcell_cell_%&amp;knowledge=10&amp;textmining=10&amp;experiments=10&amp;predictions=10&amp;type1=9606&amp;type2=-22&amp;id1=ENSP00000347140","link")</f>
        <v>link</v>
      </c>
      <c r="AJ404" t="s">
        <v>51</v>
      </c>
      <c r="AK404" t="str">
        <f>HYPERLINK("http://www.proteinatlas.org/P07307","HPA014899;HPA015998")</f>
        <v>HPA014899;HPA015998</v>
      </c>
      <c r="AL404" t="s">
        <v>4264</v>
      </c>
      <c r="AM404">
        <v>433</v>
      </c>
    </row>
    <row r="405" spans="1:39" x14ac:dyDescent="0.35">
      <c r="A405" t="s">
        <v>4265</v>
      </c>
      <c r="B405" t="str">
        <f>HYPERLINK("http://www.uniprot.org/uniprot/P07333","P07333")</f>
        <v>P07333</v>
      </c>
      <c r="C405" t="s">
        <v>4266</v>
      </c>
      <c r="D405" t="s">
        <v>4267</v>
      </c>
      <c r="E405" t="s">
        <v>39</v>
      </c>
      <c r="F405" t="s">
        <v>55</v>
      </c>
      <c r="H405">
        <v>972</v>
      </c>
      <c r="I405">
        <v>1</v>
      </c>
      <c r="J405">
        <v>1</v>
      </c>
      <c r="K405" t="s">
        <v>4268</v>
      </c>
      <c r="L405" t="s">
        <v>57</v>
      </c>
      <c r="M405" t="s">
        <v>39</v>
      </c>
      <c r="N405">
        <v>0.98089999999999999</v>
      </c>
      <c r="O405" s="1">
        <v>1</v>
      </c>
      <c r="P405" t="s">
        <v>4269</v>
      </c>
      <c r="Q405" t="s">
        <v>4270</v>
      </c>
      <c r="R405" t="s">
        <v>4271</v>
      </c>
      <c r="S405" t="s">
        <v>166</v>
      </c>
      <c r="T405" t="s">
        <v>4272</v>
      </c>
      <c r="U405" t="s">
        <v>4273</v>
      </c>
      <c r="V405">
        <v>11</v>
      </c>
      <c r="W405" t="s">
        <v>4273</v>
      </c>
      <c r="X405" t="s">
        <v>4274</v>
      </c>
      <c r="AE405" t="s">
        <v>332</v>
      </c>
      <c r="AF405" t="s">
        <v>4275</v>
      </c>
      <c r="AG405" t="s">
        <v>4276</v>
      </c>
      <c r="AH405" t="str">
        <f>HYPERLINK("http://compartments.jensenlab.org/Entity?figures=subcell_cell_%&amp;knowledge=10&amp;textmining=10&amp;experiments=10&amp;predictions=10&amp;type1=9606&amp;type2=-22&amp;id1=ENSP00000286301","link")</f>
        <v>link</v>
      </c>
      <c r="AI405" t="s">
        <v>65</v>
      </c>
      <c r="AJ405" t="s">
        <v>51</v>
      </c>
      <c r="AK405" t="str">
        <f>HYPERLINK("http://www.proteinatlas.org/P07333","CAB008970;HPA012323")</f>
        <v>CAB008970;HPA012323</v>
      </c>
      <c r="AL405" t="s">
        <v>4277</v>
      </c>
      <c r="AM405">
        <v>1436</v>
      </c>
    </row>
    <row r="406" spans="1:39" x14ac:dyDescent="0.35">
      <c r="A406" t="s">
        <v>4278</v>
      </c>
      <c r="B406" t="str">
        <f>HYPERLINK("http://www.uniprot.org/uniprot/P07359","P07359")</f>
        <v>P07359</v>
      </c>
      <c r="C406" t="s">
        <v>4279</v>
      </c>
      <c r="D406" t="s">
        <v>4280</v>
      </c>
      <c r="E406" t="s">
        <v>39</v>
      </c>
      <c r="F406" t="s">
        <v>40</v>
      </c>
      <c r="H406">
        <v>652</v>
      </c>
      <c r="I406">
        <v>1</v>
      </c>
      <c r="J406">
        <v>1</v>
      </c>
      <c r="K406" t="s">
        <v>4281</v>
      </c>
      <c r="L406" t="s">
        <v>57</v>
      </c>
      <c r="N406">
        <v>0.85629999999999995</v>
      </c>
      <c r="O406" s="1">
        <v>1</v>
      </c>
      <c r="P406" t="s">
        <v>4282</v>
      </c>
      <c r="Q406" t="s">
        <v>4283</v>
      </c>
      <c r="R406" t="s">
        <v>4284</v>
      </c>
      <c r="S406" t="s">
        <v>91</v>
      </c>
      <c r="T406" t="s">
        <v>260</v>
      </c>
      <c r="U406" t="s">
        <v>4285</v>
      </c>
      <c r="V406">
        <v>4</v>
      </c>
      <c r="W406" t="s">
        <v>4285</v>
      </c>
      <c r="X406" t="s">
        <v>4286</v>
      </c>
      <c r="AE406" t="s">
        <v>144</v>
      </c>
      <c r="AF406" t="s">
        <v>4287</v>
      </c>
      <c r="AG406" t="s">
        <v>4288</v>
      </c>
      <c r="AH406" t="str">
        <f>HYPERLINK("http://compartments.jensenlab.org/Entity?figures=subcell_cell_%&amp;knowledge=10&amp;textmining=10&amp;experiments=10&amp;predictions=10&amp;type1=9606&amp;type2=-22&amp;id1=ENSP00000329380","link")</f>
        <v>link</v>
      </c>
      <c r="AJ406" t="s">
        <v>51</v>
      </c>
      <c r="AK406" t="str">
        <f>HYPERLINK("http://www.proteinatlas.org/P07359","CAB002496;HPA013316")</f>
        <v>CAB002496;HPA013316</v>
      </c>
      <c r="AM406">
        <v>2811</v>
      </c>
    </row>
    <row r="407" spans="1:39" x14ac:dyDescent="0.35">
      <c r="A407" t="s">
        <v>4289</v>
      </c>
      <c r="B407" t="str">
        <f>HYPERLINK("http://www.uniprot.org/uniprot/P07510","P07510")</f>
        <v>P07510</v>
      </c>
      <c r="C407" t="s">
        <v>4290</v>
      </c>
      <c r="D407" t="s">
        <v>4291</v>
      </c>
      <c r="E407" t="s">
        <v>39</v>
      </c>
      <c r="F407" t="s">
        <v>55</v>
      </c>
      <c r="H407">
        <v>517</v>
      </c>
      <c r="I407">
        <v>4</v>
      </c>
      <c r="J407">
        <v>1</v>
      </c>
      <c r="K407" t="s">
        <v>4292</v>
      </c>
      <c r="L407" t="s">
        <v>57</v>
      </c>
      <c r="M407" t="s">
        <v>39</v>
      </c>
      <c r="N407">
        <v>0.88</v>
      </c>
      <c r="O407" s="1">
        <v>1</v>
      </c>
      <c r="P407" t="s">
        <v>4293</v>
      </c>
      <c r="Q407" t="s">
        <v>4294</v>
      </c>
      <c r="S407" t="s">
        <v>45</v>
      </c>
      <c r="T407" t="s">
        <v>195</v>
      </c>
      <c r="U407" t="s">
        <v>4295</v>
      </c>
      <c r="V407">
        <v>2</v>
      </c>
      <c r="AE407" t="s">
        <v>619</v>
      </c>
      <c r="AF407" t="s">
        <v>4296</v>
      </c>
      <c r="AG407" t="s">
        <v>4297</v>
      </c>
      <c r="AH407" t="str">
        <f>HYPERLINK("http://compartments.jensenlab.org/Entity?figures=subcell_cell_%&amp;knowledge=10&amp;textmining=10&amp;experiments=10&amp;predictions=10&amp;type1=9606&amp;type2=-22&amp;id1=ENSP00000374145","link")</f>
        <v>link</v>
      </c>
      <c r="AI407" t="s">
        <v>65</v>
      </c>
      <c r="AJ407" t="s">
        <v>51</v>
      </c>
      <c r="AK407" t="str">
        <f>HYPERLINK("http://www.proteinatlas.org/P07510","no")</f>
        <v>no</v>
      </c>
      <c r="AL407" t="s">
        <v>3744</v>
      </c>
      <c r="AM407">
        <v>1146</v>
      </c>
    </row>
    <row r="408" spans="1:39" x14ac:dyDescent="0.35">
      <c r="A408" t="s">
        <v>4298</v>
      </c>
      <c r="B408" t="str">
        <f>HYPERLINK("http://www.uniprot.org/uniprot/P07550","P07550")</f>
        <v>P07550</v>
      </c>
      <c r="C408" t="s">
        <v>4299</v>
      </c>
      <c r="D408" t="s">
        <v>4300</v>
      </c>
      <c r="E408" t="s">
        <v>39</v>
      </c>
      <c r="F408" t="s">
        <v>40</v>
      </c>
      <c r="H408">
        <v>413</v>
      </c>
      <c r="I408">
        <v>7</v>
      </c>
      <c r="J408">
        <v>0</v>
      </c>
      <c r="K408" t="s">
        <v>4301</v>
      </c>
      <c r="L408" t="s">
        <v>57</v>
      </c>
      <c r="N408">
        <v>0.94410000000000005</v>
      </c>
      <c r="O408" s="1">
        <v>1</v>
      </c>
      <c r="P408" t="s">
        <v>4302</v>
      </c>
      <c r="Q408" t="s">
        <v>4303</v>
      </c>
      <c r="S408" t="s">
        <v>166</v>
      </c>
      <c r="T408" t="s">
        <v>838</v>
      </c>
      <c r="U408" t="s">
        <v>4304</v>
      </c>
      <c r="V408">
        <v>3</v>
      </c>
      <c r="W408">
        <v>187</v>
      </c>
      <c r="X408">
        <v>356</v>
      </c>
      <c r="AE408" t="s">
        <v>74</v>
      </c>
      <c r="AF408" t="s">
        <v>4305</v>
      </c>
      <c r="AG408" t="s">
        <v>4306</v>
      </c>
      <c r="AH408" t="str">
        <f>HYPERLINK("http://compartments.jensenlab.org/Entity?figures=subcell_cell_%&amp;knowledge=10&amp;textmining=10&amp;experiments=10&amp;predictions=10&amp;type1=9606&amp;type2=-22&amp;id1=ENSP00000305372","link")</f>
        <v>link</v>
      </c>
      <c r="AI408" t="s">
        <v>65</v>
      </c>
      <c r="AJ408" t="s">
        <v>4307</v>
      </c>
      <c r="AK408" t="str">
        <f>HYPERLINK("http://www.proteinatlas.org/P07550","HPA003431")</f>
        <v>HPA003431</v>
      </c>
      <c r="AL408" t="s">
        <v>4308</v>
      </c>
      <c r="AM408">
        <v>154</v>
      </c>
    </row>
    <row r="409" spans="1:39" x14ac:dyDescent="0.35">
      <c r="A409" t="s">
        <v>4309</v>
      </c>
      <c r="B409" t="str">
        <f>HYPERLINK("http://www.uniprot.org/uniprot/P07911","P07911")</f>
        <v>P07911</v>
      </c>
      <c r="C409" t="s">
        <v>4310</v>
      </c>
      <c r="D409" t="s">
        <v>4311</v>
      </c>
      <c r="E409" t="s">
        <v>39</v>
      </c>
      <c r="F409" t="s">
        <v>239</v>
      </c>
      <c r="H409">
        <v>640</v>
      </c>
      <c r="I409">
        <v>0</v>
      </c>
      <c r="J409">
        <v>1</v>
      </c>
      <c r="K409" t="s">
        <v>4312</v>
      </c>
      <c r="L409" t="s">
        <v>57</v>
      </c>
      <c r="N409">
        <v>0.76049999999999995</v>
      </c>
      <c r="O409" s="1" t="s">
        <v>997</v>
      </c>
      <c r="P409" t="s">
        <v>4313</v>
      </c>
      <c r="Q409" t="s">
        <v>4314</v>
      </c>
      <c r="S409" t="s">
        <v>60</v>
      </c>
      <c r="T409" t="s">
        <v>60</v>
      </c>
      <c r="U409" t="s">
        <v>4315</v>
      </c>
      <c r="V409">
        <v>8</v>
      </c>
      <c r="W409" t="s">
        <v>4315</v>
      </c>
      <c r="AE409" t="s">
        <v>4316</v>
      </c>
      <c r="AF409" t="s">
        <v>4317</v>
      </c>
      <c r="AG409" t="s">
        <v>4318</v>
      </c>
      <c r="AH409" t="str">
        <f>HYPERLINK("http://compartments.jensenlab.org/Entity?figures=subcell_cell_%&amp;knowledge=10&amp;textmining=10&amp;experiments=10&amp;predictions=10&amp;type1=9606&amp;type2=-22&amp;id1=ENSP00000306279","link")</f>
        <v>link</v>
      </c>
      <c r="AI409" t="s">
        <v>4319</v>
      </c>
      <c r="AJ409" t="s">
        <v>4320</v>
      </c>
      <c r="AK409" t="str">
        <f>HYPERLINK("http://www.proteinatlas.org/P07911","CAB009446;HPA043420;HPA054721")</f>
        <v>CAB009446;HPA043420;HPA054721</v>
      </c>
      <c r="AM409">
        <v>7369</v>
      </c>
    </row>
    <row r="410" spans="1:39" x14ac:dyDescent="0.35">
      <c r="A410" t="s">
        <v>4321</v>
      </c>
      <c r="B410" t="str">
        <f>HYPERLINK("http://www.uniprot.org/uniprot/P07949","P07949")</f>
        <v>P07949</v>
      </c>
      <c r="C410" t="s">
        <v>4322</v>
      </c>
      <c r="D410" t="s">
        <v>4323</v>
      </c>
      <c r="E410" t="s">
        <v>39</v>
      </c>
      <c r="F410" t="s">
        <v>55</v>
      </c>
      <c r="H410">
        <v>1114</v>
      </c>
      <c r="I410">
        <v>1</v>
      </c>
      <c r="J410">
        <v>1</v>
      </c>
      <c r="K410" t="s">
        <v>4324</v>
      </c>
      <c r="L410" t="s">
        <v>101</v>
      </c>
      <c r="M410" t="s">
        <v>39</v>
      </c>
      <c r="N410">
        <v>0.98299999999999998</v>
      </c>
      <c r="O410" s="1">
        <v>1</v>
      </c>
      <c r="P410" t="s">
        <v>4325</v>
      </c>
      <c r="Q410" t="s">
        <v>4326</v>
      </c>
      <c r="S410" t="s">
        <v>166</v>
      </c>
      <c r="T410" t="s">
        <v>1411</v>
      </c>
      <c r="U410" t="s">
        <v>4327</v>
      </c>
      <c r="V410">
        <v>12</v>
      </c>
      <c r="W410" t="s">
        <v>4327</v>
      </c>
      <c r="X410" t="s">
        <v>4328</v>
      </c>
      <c r="Z410" t="s">
        <v>107</v>
      </c>
      <c r="AA410">
        <v>1</v>
      </c>
      <c r="AB410" t="s">
        <v>4329</v>
      </c>
      <c r="AC410" t="s">
        <v>4330</v>
      </c>
      <c r="AD410" t="s">
        <v>4331</v>
      </c>
      <c r="AE410" t="s">
        <v>4332</v>
      </c>
      <c r="AF410" t="s">
        <v>4333</v>
      </c>
      <c r="AG410" t="s">
        <v>4334</v>
      </c>
      <c r="AH410" t="str">
        <f>HYPERLINK("http://compartments.jensenlab.org/Entity?figures=subcell_cell_%&amp;knowledge=10&amp;textmining=10&amp;experiments=10&amp;predictions=10&amp;type1=9606&amp;type2=-22&amp;id1=ENSP00000347942","link")</f>
        <v>link</v>
      </c>
      <c r="AI410" t="s">
        <v>4125</v>
      </c>
      <c r="AJ410" t="s">
        <v>1791</v>
      </c>
      <c r="AK410" t="str">
        <f>HYPERLINK("http://www.proteinatlas.org/P07949","CAB002581;HPA008356;CAB018342")</f>
        <v>CAB002581;HPA008356;CAB018342</v>
      </c>
      <c r="AL410" t="s">
        <v>4335</v>
      </c>
      <c r="AM410">
        <v>5979</v>
      </c>
    </row>
    <row r="411" spans="1:39" x14ac:dyDescent="0.35">
      <c r="A411" t="s">
        <v>4336</v>
      </c>
      <c r="B411" t="str">
        <f>HYPERLINK("http://www.uniprot.org/uniprot/P08034","P08034")</f>
        <v>P08034</v>
      </c>
      <c r="C411" t="s">
        <v>4337</v>
      </c>
      <c r="D411" t="s">
        <v>4338</v>
      </c>
      <c r="E411" t="s">
        <v>39</v>
      </c>
      <c r="F411" t="s">
        <v>40</v>
      </c>
      <c r="H411">
        <v>283</v>
      </c>
      <c r="I411">
        <v>4</v>
      </c>
      <c r="J411">
        <v>0</v>
      </c>
      <c r="K411" t="s">
        <v>4339</v>
      </c>
      <c r="L411" t="s">
        <v>57</v>
      </c>
      <c r="N411">
        <v>0.76249999999999996</v>
      </c>
      <c r="O411" s="1">
        <v>1</v>
      </c>
      <c r="P411" t="s">
        <v>4340</v>
      </c>
      <c r="Q411" t="s">
        <v>4341</v>
      </c>
      <c r="S411" t="s">
        <v>91</v>
      </c>
      <c r="T411" t="s">
        <v>2797</v>
      </c>
      <c r="U411">
        <v>2</v>
      </c>
      <c r="V411">
        <v>0</v>
      </c>
      <c r="AE411" t="s">
        <v>2798</v>
      </c>
      <c r="AF411" t="s">
        <v>4342</v>
      </c>
      <c r="AG411" t="s">
        <v>4343</v>
      </c>
      <c r="AH411" t="str">
        <f>HYPERLINK("http://compartments.jensenlab.org/Entity?figures=subcell_cell_%&amp;knowledge=10&amp;textmining=10&amp;experiments=10&amp;predictions=10&amp;type1=9606&amp;type2=-22&amp;id1=ENSP00000354900","link")</f>
        <v>link</v>
      </c>
      <c r="AI411" t="s">
        <v>65</v>
      </c>
      <c r="AJ411" t="s">
        <v>345</v>
      </c>
      <c r="AK411" t="str">
        <f>HYPERLINK("http://www.proteinatlas.org/P08034","HPA010663;CAB012994")</f>
        <v>HPA010663;CAB012994</v>
      </c>
      <c r="AM411">
        <v>2705</v>
      </c>
    </row>
    <row r="412" spans="1:39" x14ac:dyDescent="0.35">
      <c r="A412" t="s">
        <v>4344</v>
      </c>
      <c r="B412" t="str">
        <f>HYPERLINK("http://www.uniprot.org/uniprot/P08069","P08069")</f>
        <v>P08069</v>
      </c>
      <c r="C412" t="s">
        <v>4345</v>
      </c>
      <c r="D412" t="s">
        <v>4346</v>
      </c>
      <c r="E412" t="s">
        <v>39</v>
      </c>
      <c r="F412" t="s">
        <v>55</v>
      </c>
      <c r="H412">
        <v>1367</v>
      </c>
      <c r="I412">
        <v>1</v>
      </c>
      <c r="J412">
        <v>1</v>
      </c>
      <c r="K412" t="s">
        <v>4347</v>
      </c>
      <c r="L412" t="s">
        <v>101</v>
      </c>
      <c r="M412" t="s">
        <v>39</v>
      </c>
      <c r="N412">
        <v>0.97909999999999997</v>
      </c>
      <c r="O412" s="1">
        <v>1</v>
      </c>
      <c r="P412" t="s">
        <v>4348</v>
      </c>
      <c r="Q412" t="s">
        <v>4349</v>
      </c>
      <c r="R412" t="s">
        <v>4350</v>
      </c>
      <c r="S412" t="s">
        <v>166</v>
      </c>
      <c r="T412" t="s">
        <v>4146</v>
      </c>
      <c r="U412" t="s">
        <v>4351</v>
      </c>
      <c r="V412">
        <v>16</v>
      </c>
      <c r="W412" t="s">
        <v>4352</v>
      </c>
      <c r="X412" t="s">
        <v>4353</v>
      </c>
      <c r="Z412" t="s">
        <v>107</v>
      </c>
      <c r="AA412">
        <v>16</v>
      </c>
      <c r="AB412" t="s">
        <v>4354</v>
      </c>
      <c r="AC412" t="s">
        <v>4355</v>
      </c>
      <c r="AD412" t="s">
        <v>4356</v>
      </c>
      <c r="AE412" t="s">
        <v>332</v>
      </c>
      <c r="AF412" t="s">
        <v>4357</v>
      </c>
      <c r="AG412" t="s">
        <v>4358</v>
      </c>
      <c r="AH412" t="str">
        <f>HYPERLINK("http://compartments.jensenlab.org/Entity?figures=subcell_cell_%&amp;knowledge=10&amp;textmining=10&amp;experiments=10&amp;predictions=10&amp;type1=9606&amp;type2=-22&amp;id1=ENSP00000268035","link")</f>
        <v>link</v>
      </c>
      <c r="AJ412" t="s">
        <v>51</v>
      </c>
      <c r="AK412" t="str">
        <f>HYPERLINK("http://www.proteinatlas.org/P08069","CAB010268;HPA045563")</f>
        <v>CAB010268;HPA045563</v>
      </c>
      <c r="AL412" t="s">
        <v>4359</v>
      </c>
      <c r="AM412">
        <v>3480</v>
      </c>
    </row>
    <row r="413" spans="1:39" x14ac:dyDescent="0.35">
      <c r="A413" t="s">
        <v>4360</v>
      </c>
      <c r="B413" t="str">
        <f>HYPERLINK("http://www.uniprot.org/uniprot/P08100","P08100")</f>
        <v>P08100</v>
      </c>
      <c r="C413" t="s">
        <v>4361</v>
      </c>
      <c r="D413" t="s">
        <v>4362</v>
      </c>
      <c r="E413" t="s">
        <v>39</v>
      </c>
      <c r="F413" t="s">
        <v>40</v>
      </c>
      <c r="H413">
        <v>348</v>
      </c>
      <c r="I413">
        <v>7</v>
      </c>
      <c r="J413">
        <v>0</v>
      </c>
      <c r="K413" t="s">
        <v>4363</v>
      </c>
      <c r="L413" t="s">
        <v>57</v>
      </c>
      <c r="N413">
        <v>0.94610000000000005</v>
      </c>
      <c r="O413" s="1">
        <v>1</v>
      </c>
      <c r="P413" t="s">
        <v>4364</v>
      </c>
      <c r="Q413" t="s">
        <v>4365</v>
      </c>
      <c r="S413" t="s">
        <v>166</v>
      </c>
      <c r="T413" t="s">
        <v>838</v>
      </c>
      <c r="U413" t="s">
        <v>4366</v>
      </c>
      <c r="V413">
        <v>3</v>
      </c>
      <c r="W413" t="s">
        <v>4367</v>
      </c>
      <c r="AE413" t="s">
        <v>48</v>
      </c>
      <c r="AF413" t="s">
        <v>4368</v>
      </c>
      <c r="AG413" t="s">
        <v>4369</v>
      </c>
      <c r="AH413" t="str">
        <f>HYPERLINK("http://compartments.jensenlab.org/Entity?figures=subcell_cell_%&amp;knowledge=10&amp;textmining=10&amp;experiments=10&amp;predictions=10&amp;type1=9606&amp;type2=-22&amp;id1=ENSP00000296271","link")</f>
        <v>link</v>
      </c>
      <c r="AI413" t="s">
        <v>4370</v>
      </c>
      <c r="AJ413" t="s">
        <v>3228</v>
      </c>
      <c r="AK413" t="str">
        <f>HYPERLINK("http://www.proteinatlas.org/P08100","no")</f>
        <v>no</v>
      </c>
      <c r="AL413" t="s">
        <v>4371</v>
      </c>
      <c r="AM413">
        <v>6010</v>
      </c>
    </row>
    <row r="414" spans="1:39" x14ac:dyDescent="0.35">
      <c r="A414" t="s">
        <v>4372</v>
      </c>
      <c r="B414" t="str">
        <f>HYPERLINK("http://www.uniprot.org/uniprot/P08138","P08138")</f>
        <v>P08138</v>
      </c>
      <c r="C414" t="s">
        <v>4373</v>
      </c>
      <c r="D414" t="s">
        <v>4374</v>
      </c>
      <c r="E414" t="s">
        <v>39</v>
      </c>
      <c r="F414" t="s">
        <v>40</v>
      </c>
      <c r="H414">
        <v>427</v>
      </c>
      <c r="I414">
        <v>1</v>
      </c>
      <c r="J414">
        <v>1</v>
      </c>
      <c r="K414" t="s">
        <v>4375</v>
      </c>
      <c r="L414" t="s">
        <v>57</v>
      </c>
      <c r="N414">
        <v>0.87429999999999997</v>
      </c>
      <c r="O414" s="1">
        <v>1</v>
      </c>
      <c r="P414" t="s">
        <v>4376</v>
      </c>
      <c r="Q414" t="s">
        <v>4377</v>
      </c>
      <c r="R414" t="s">
        <v>4378</v>
      </c>
      <c r="S414" t="s">
        <v>166</v>
      </c>
      <c r="T414" t="s">
        <v>864</v>
      </c>
      <c r="U414" t="s">
        <v>4379</v>
      </c>
      <c r="V414">
        <v>1</v>
      </c>
      <c r="W414" t="s">
        <v>4379</v>
      </c>
      <c r="AE414" t="s">
        <v>144</v>
      </c>
      <c r="AF414" t="s">
        <v>4380</v>
      </c>
      <c r="AG414" t="s">
        <v>4381</v>
      </c>
      <c r="AH414" t="str">
        <f>HYPERLINK("http://compartments.jensenlab.org/Entity?figures=subcell_cell_%&amp;knowledge=10&amp;textmining=10&amp;experiments=10&amp;predictions=10&amp;type1=9606&amp;type2=-22&amp;id1=ENSP00000172229","link")</f>
        <v>link</v>
      </c>
      <c r="AJ414" t="s">
        <v>4382</v>
      </c>
      <c r="AK414" t="str">
        <f>HYPERLINK("http://www.proteinatlas.org/P08138","CAB000143;CAB001995;HPA004765")</f>
        <v>CAB000143;CAB001995;HPA004765</v>
      </c>
      <c r="AM414">
        <v>4804</v>
      </c>
    </row>
    <row r="415" spans="1:39" x14ac:dyDescent="0.35">
      <c r="A415" t="s">
        <v>4383</v>
      </c>
      <c r="B415" t="str">
        <f>HYPERLINK("http://www.uniprot.org/uniprot/P08172","P08172")</f>
        <v>P08172</v>
      </c>
      <c r="C415" t="s">
        <v>4384</v>
      </c>
      <c r="D415" t="s">
        <v>4385</v>
      </c>
      <c r="E415" t="s">
        <v>39</v>
      </c>
      <c r="F415" t="s">
        <v>55</v>
      </c>
      <c r="H415">
        <v>466</v>
      </c>
      <c r="I415">
        <v>7</v>
      </c>
      <c r="J415">
        <v>0</v>
      </c>
      <c r="K415" t="s">
        <v>4386</v>
      </c>
      <c r="L415" t="s">
        <v>57</v>
      </c>
      <c r="M415" t="s">
        <v>39</v>
      </c>
      <c r="N415">
        <v>0.91439999999999999</v>
      </c>
      <c r="O415" s="1">
        <v>1</v>
      </c>
      <c r="P415" t="s">
        <v>4387</v>
      </c>
      <c r="Q415" t="s">
        <v>4388</v>
      </c>
      <c r="S415" t="s">
        <v>166</v>
      </c>
      <c r="T415" t="s">
        <v>838</v>
      </c>
      <c r="U415" t="s">
        <v>4389</v>
      </c>
      <c r="V415">
        <v>4</v>
      </c>
      <c r="W415" t="s">
        <v>4390</v>
      </c>
      <c r="AE415" t="s">
        <v>619</v>
      </c>
      <c r="AF415" t="s">
        <v>4391</v>
      </c>
      <c r="AG415" t="s">
        <v>4392</v>
      </c>
      <c r="AH415" t="str">
        <f>HYPERLINK("http://compartments.jensenlab.org/Entity?figures=subcell_cell_%&amp;knowledge=10&amp;textmining=10&amp;experiments=10&amp;predictions=10&amp;type1=9606&amp;type2=-22&amp;id1=ENSP00000319984","link")</f>
        <v>link</v>
      </c>
      <c r="AI415" t="s">
        <v>65</v>
      </c>
      <c r="AJ415" t="s">
        <v>51</v>
      </c>
      <c r="AK415" t="str">
        <f>HYPERLINK("http://www.proteinatlas.org/P08172","CAB022338;HPA029795")</f>
        <v>CAB022338;HPA029795</v>
      </c>
      <c r="AL415" t="s">
        <v>4393</v>
      </c>
      <c r="AM415">
        <v>1129</v>
      </c>
    </row>
    <row r="416" spans="1:39" x14ac:dyDescent="0.35">
      <c r="A416" t="s">
        <v>4394</v>
      </c>
      <c r="B416" t="str">
        <f>HYPERLINK("http://www.uniprot.org/uniprot/P08173","P08173")</f>
        <v>P08173</v>
      </c>
      <c r="C416" t="s">
        <v>4395</v>
      </c>
      <c r="D416" t="s">
        <v>4396</v>
      </c>
      <c r="E416" t="s">
        <v>39</v>
      </c>
      <c r="F416" t="s">
        <v>55</v>
      </c>
      <c r="H416">
        <v>479</v>
      </c>
      <c r="I416">
        <v>7</v>
      </c>
      <c r="J416">
        <v>0</v>
      </c>
      <c r="K416" t="s">
        <v>4397</v>
      </c>
      <c r="L416" t="s">
        <v>57</v>
      </c>
      <c r="N416">
        <v>0.96809999999999996</v>
      </c>
      <c r="O416" s="1">
        <v>1</v>
      </c>
      <c r="P416" t="s">
        <v>4398</v>
      </c>
      <c r="Q416" t="s">
        <v>4399</v>
      </c>
      <c r="S416" t="s">
        <v>166</v>
      </c>
      <c r="T416" t="s">
        <v>838</v>
      </c>
      <c r="U416" t="s">
        <v>4400</v>
      </c>
      <c r="V416">
        <v>3</v>
      </c>
      <c r="W416" t="s">
        <v>4401</v>
      </c>
      <c r="AE416" t="s">
        <v>619</v>
      </c>
      <c r="AF416" t="s">
        <v>4402</v>
      </c>
      <c r="AG416" t="s">
        <v>4403</v>
      </c>
      <c r="AH416" t="str">
        <f>HYPERLINK("http://compartments.jensenlab.org/Entity?figures=subcell_cell_%&amp;knowledge=10&amp;textmining=10&amp;experiments=10&amp;predictions=10&amp;type1=9606&amp;type2=-22&amp;id1=ENSP00000409378","link")</f>
        <v>link</v>
      </c>
      <c r="AI416" t="s">
        <v>65</v>
      </c>
      <c r="AJ416" t="s">
        <v>1811</v>
      </c>
      <c r="AK416" t="str">
        <f>HYPERLINK("http://www.proteinatlas.org/P08173","CAB022444")</f>
        <v>CAB022444</v>
      </c>
      <c r="AL416" t="s">
        <v>4404</v>
      </c>
      <c r="AM416">
        <v>1132</v>
      </c>
    </row>
    <row r="417" spans="1:39" x14ac:dyDescent="0.35">
      <c r="A417" t="s">
        <v>4405</v>
      </c>
      <c r="B417" t="str">
        <f>HYPERLINK("http://www.uniprot.org/uniprot/P08174","P08174")</f>
        <v>P08174</v>
      </c>
      <c r="C417" t="s">
        <v>4406</v>
      </c>
      <c r="D417" t="s">
        <v>4407</v>
      </c>
      <c r="E417" t="s">
        <v>39</v>
      </c>
      <c r="F417" t="s">
        <v>239</v>
      </c>
      <c r="H417">
        <v>381</v>
      </c>
      <c r="I417">
        <v>0</v>
      </c>
      <c r="J417">
        <v>1</v>
      </c>
      <c r="K417" t="s">
        <v>4408</v>
      </c>
      <c r="L417" t="s">
        <v>996</v>
      </c>
      <c r="N417">
        <v>0.5988</v>
      </c>
      <c r="O417" s="1" t="s">
        <v>241</v>
      </c>
      <c r="P417" t="s">
        <v>4409</v>
      </c>
      <c r="Q417" t="s">
        <v>4410</v>
      </c>
      <c r="R417" t="s">
        <v>4407</v>
      </c>
      <c r="U417">
        <v>95</v>
      </c>
      <c r="V417">
        <v>1</v>
      </c>
      <c r="W417">
        <v>95</v>
      </c>
      <c r="Y417" t="s">
        <v>4411</v>
      </c>
      <c r="Z417" t="s">
        <v>107</v>
      </c>
      <c r="AA417">
        <v>3</v>
      </c>
      <c r="AB417" t="s">
        <v>4412</v>
      </c>
      <c r="AC417">
        <v>95</v>
      </c>
      <c r="AD417" t="s">
        <v>4413</v>
      </c>
      <c r="AE417" t="s">
        <v>4414</v>
      </c>
      <c r="AF417" t="s">
        <v>4415</v>
      </c>
      <c r="AG417" t="s">
        <v>4416</v>
      </c>
      <c r="AH417" t="str">
        <f>HYPERLINK("http://compartments.jensenlab.org/Entity?figures=subcell_cell_%&amp;knowledge=10&amp;textmining=10&amp;experiments=10&amp;predictions=10&amp;type1=9606&amp;type2=-22&amp;id1=ENSP00000356031","link")</f>
        <v>link</v>
      </c>
      <c r="AK417" t="str">
        <f>HYPERLINK("http://www.proteinatlas.org/P08174","HPA002190;CAB010454;HPA024386")</f>
        <v>HPA002190;CAB010454;HPA024386</v>
      </c>
      <c r="AL417" t="s">
        <v>4417</v>
      </c>
      <c r="AM417">
        <v>1604</v>
      </c>
    </row>
    <row r="418" spans="1:39" x14ac:dyDescent="0.35">
      <c r="A418" t="s">
        <v>4418</v>
      </c>
      <c r="B418" t="str">
        <f>HYPERLINK("http://www.uniprot.org/uniprot/P08183","P08183")</f>
        <v>P08183</v>
      </c>
      <c r="C418" t="s">
        <v>4419</v>
      </c>
      <c r="D418" t="s">
        <v>4420</v>
      </c>
      <c r="E418" t="s">
        <v>39</v>
      </c>
      <c r="F418" t="s">
        <v>55</v>
      </c>
      <c r="H418">
        <v>1280</v>
      </c>
      <c r="I418">
        <v>12</v>
      </c>
      <c r="J418">
        <v>0</v>
      </c>
      <c r="K418" t="s">
        <v>4421</v>
      </c>
      <c r="L418" t="s">
        <v>101</v>
      </c>
      <c r="M418" t="s">
        <v>39</v>
      </c>
      <c r="N418">
        <v>0.79059999999999997</v>
      </c>
      <c r="O418" s="1">
        <v>1</v>
      </c>
      <c r="P418" t="s">
        <v>4422</v>
      </c>
      <c r="Q418" t="s">
        <v>4423</v>
      </c>
      <c r="R418" t="s">
        <v>4424</v>
      </c>
      <c r="S418" t="s">
        <v>45</v>
      </c>
      <c r="T418" t="s">
        <v>3223</v>
      </c>
      <c r="U418" t="s">
        <v>4425</v>
      </c>
      <c r="V418">
        <v>3</v>
      </c>
      <c r="W418" t="s">
        <v>4425</v>
      </c>
      <c r="Z418" t="s">
        <v>107</v>
      </c>
      <c r="AA418">
        <v>4</v>
      </c>
      <c r="AB418" t="s">
        <v>4426</v>
      </c>
      <c r="AC418" t="s">
        <v>4427</v>
      </c>
      <c r="AD418" t="s">
        <v>4428</v>
      </c>
      <c r="AE418" t="s">
        <v>74</v>
      </c>
      <c r="AF418" t="s">
        <v>4429</v>
      </c>
      <c r="AG418" t="s">
        <v>4430</v>
      </c>
      <c r="AH418" t="str">
        <f>HYPERLINK("http://compartments.jensenlab.org/Entity?figures=subcell_cell_%&amp;knowledge=10&amp;textmining=10&amp;experiments=10&amp;predictions=10&amp;type1=9606&amp;type2=-22&amp;id1=ENSP00000265724","link")</f>
        <v>link</v>
      </c>
      <c r="AI418" t="s">
        <v>65</v>
      </c>
      <c r="AJ418" t="s">
        <v>3228</v>
      </c>
      <c r="AK418" t="str">
        <f>HYPERLINK("http://www.proteinatlas.org/P08183","CAB001716;HPA002199")</f>
        <v>CAB001716;HPA002199</v>
      </c>
      <c r="AL418" t="s">
        <v>4431</v>
      </c>
      <c r="AM418">
        <v>5243</v>
      </c>
    </row>
    <row r="419" spans="1:39" x14ac:dyDescent="0.35">
      <c r="A419" t="s">
        <v>4432</v>
      </c>
      <c r="B419" t="str">
        <f>HYPERLINK("http://www.uniprot.org/uniprot/P08195","P08195")</f>
        <v>P08195</v>
      </c>
      <c r="C419" t="s">
        <v>4433</v>
      </c>
      <c r="D419" t="s">
        <v>4434</v>
      </c>
      <c r="E419" t="s">
        <v>39</v>
      </c>
      <c r="F419" t="s">
        <v>55</v>
      </c>
      <c r="H419">
        <v>630</v>
      </c>
      <c r="I419">
        <v>1</v>
      </c>
      <c r="J419">
        <v>0</v>
      </c>
      <c r="K419" t="s">
        <v>4435</v>
      </c>
      <c r="L419" t="s">
        <v>101</v>
      </c>
      <c r="M419" t="s">
        <v>39</v>
      </c>
      <c r="N419">
        <v>0.69399999999999995</v>
      </c>
      <c r="O419" s="1">
        <v>2</v>
      </c>
      <c r="P419" t="s">
        <v>4436</v>
      </c>
      <c r="Q419" t="s">
        <v>4437</v>
      </c>
      <c r="R419" t="s">
        <v>4438</v>
      </c>
      <c r="S419" t="s">
        <v>45</v>
      </c>
      <c r="T419" t="s">
        <v>4439</v>
      </c>
      <c r="U419" t="s">
        <v>4440</v>
      </c>
      <c r="V419">
        <v>4</v>
      </c>
      <c r="W419" t="s">
        <v>4440</v>
      </c>
      <c r="Y419" t="s">
        <v>4441</v>
      </c>
      <c r="Z419" t="s">
        <v>107</v>
      </c>
      <c r="AA419">
        <v>59</v>
      </c>
      <c r="AB419" t="s">
        <v>4442</v>
      </c>
      <c r="AC419" t="s">
        <v>4440</v>
      </c>
      <c r="AD419" t="s">
        <v>4443</v>
      </c>
      <c r="AE419" t="s">
        <v>4444</v>
      </c>
      <c r="AF419" t="s">
        <v>4445</v>
      </c>
      <c r="AG419" t="s">
        <v>4446</v>
      </c>
      <c r="AH419" t="str">
        <f>HYPERLINK("http://compartments.jensenlab.org/Entity?figures=subcell_cell_%&amp;knowledge=10&amp;textmining=10&amp;experiments=10&amp;predictions=10&amp;type1=9606&amp;type2=-22&amp;id1=ENSP00000367122","link")</f>
        <v>link</v>
      </c>
      <c r="AK419" t="str">
        <f>HYPERLINK("http://www.proteinatlas.org/P08195","CAB010455;HPA017980")</f>
        <v>CAB010455;HPA017980</v>
      </c>
      <c r="AM419">
        <v>6520</v>
      </c>
    </row>
    <row r="420" spans="1:39" x14ac:dyDescent="0.35">
      <c r="A420" t="s">
        <v>4447</v>
      </c>
      <c r="B420" t="str">
        <f>HYPERLINK("http://www.uniprot.org/uniprot/P08247","P08247")</f>
        <v>P08247</v>
      </c>
      <c r="C420" t="s">
        <v>4448</v>
      </c>
      <c r="D420" t="s">
        <v>4449</v>
      </c>
      <c r="E420" t="s">
        <v>39</v>
      </c>
      <c r="F420" t="s">
        <v>40</v>
      </c>
      <c r="H420">
        <v>313</v>
      </c>
      <c r="I420">
        <v>4</v>
      </c>
      <c r="J420">
        <v>0</v>
      </c>
      <c r="K420" t="s">
        <v>4450</v>
      </c>
      <c r="L420" t="s">
        <v>57</v>
      </c>
      <c r="N420">
        <v>0.5968</v>
      </c>
      <c r="O420" s="1">
        <v>2</v>
      </c>
      <c r="P420" t="s">
        <v>4451</v>
      </c>
      <c r="Q420" t="s">
        <v>4452</v>
      </c>
      <c r="S420" t="s">
        <v>91</v>
      </c>
      <c r="T420" t="s">
        <v>4453</v>
      </c>
      <c r="U420" t="s">
        <v>4454</v>
      </c>
      <c r="V420">
        <v>2</v>
      </c>
      <c r="AE420" t="s">
        <v>4455</v>
      </c>
      <c r="AF420" t="s">
        <v>4456</v>
      </c>
      <c r="AG420" t="s">
        <v>4457</v>
      </c>
      <c r="AH420" t="str">
        <f>HYPERLINK("http://compartments.jensenlab.org/Entity?figures=subcell_cell_%&amp;knowledge=10&amp;textmining=10&amp;experiments=10&amp;predictions=10&amp;type1=9606&amp;type2=-22&amp;id1=ENSP00000263233","link")</f>
        <v>link</v>
      </c>
      <c r="AJ420" t="s">
        <v>4458</v>
      </c>
      <c r="AK420" t="str">
        <f>HYPERLINK("http://www.proteinatlas.org/P08247","CAB000076;HPA002858;CAB055505")</f>
        <v>CAB000076;HPA002858;CAB055505</v>
      </c>
      <c r="AM420">
        <v>6855</v>
      </c>
    </row>
    <row r="421" spans="1:39" x14ac:dyDescent="0.35">
      <c r="A421" t="s">
        <v>4459</v>
      </c>
      <c r="B421" t="str">
        <f>HYPERLINK("http://www.uniprot.org/uniprot/P08473","P08473")</f>
        <v>P08473</v>
      </c>
      <c r="C421" t="s">
        <v>4460</v>
      </c>
      <c r="D421" t="s">
        <v>4461</v>
      </c>
      <c r="E421" t="s">
        <v>39</v>
      </c>
      <c r="F421" t="s">
        <v>55</v>
      </c>
      <c r="H421">
        <v>750</v>
      </c>
      <c r="I421">
        <v>1</v>
      </c>
      <c r="J421">
        <v>0</v>
      </c>
      <c r="K421" t="s">
        <v>4462</v>
      </c>
      <c r="L421" t="s">
        <v>101</v>
      </c>
      <c r="M421" t="s">
        <v>39</v>
      </c>
      <c r="N421">
        <v>0.60570000000000002</v>
      </c>
      <c r="O421" s="1">
        <v>2</v>
      </c>
      <c r="P421" t="s">
        <v>4463</v>
      </c>
      <c r="Q421" t="s">
        <v>4464</v>
      </c>
      <c r="R421" t="s">
        <v>4465</v>
      </c>
      <c r="S421" t="s">
        <v>947</v>
      </c>
      <c r="T421" t="s">
        <v>1208</v>
      </c>
      <c r="U421" t="s">
        <v>4466</v>
      </c>
      <c r="V421">
        <v>6</v>
      </c>
      <c r="W421" t="s">
        <v>4467</v>
      </c>
      <c r="Z421" t="s">
        <v>107</v>
      </c>
      <c r="AA421">
        <v>10</v>
      </c>
      <c r="AB421" t="s">
        <v>4468</v>
      </c>
      <c r="AC421" t="s">
        <v>4469</v>
      </c>
      <c r="AD421" t="s">
        <v>4470</v>
      </c>
      <c r="AE421" t="s">
        <v>764</v>
      </c>
      <c r="AF421" t="s">
        <v>4471</v>
      </c>
      <c r="AG421" t="s">
        <v>4472</v>
      </c>
      <c r="AH421" t="str">
        <f>HYPERLINK("http://compartments.jensenlab.org/Entity?figures=subcell_cell_%&amp;knowledge=10&amp;textmining=10&amp;experiments=10&amp;predictions=10&amp;type1=9606&amp;type2=-22&amp;id1=ENSP00000353679","link")</f>
        <v>link</v>
      </c>
      <c r="AI421" t="s">
        <v>65</v>
      </c>
      <c r="AJ421" t="s">
        <v>51</v>
      </c>
      <c r="AK421" t="str">
        <f>HYPERLINK("http://www.proteinatlas.org/P08473","CAB000013")</f>
        <v>CAB000013</v>
      </c>
      <c r="AL421" t="s">
        <v>4473</v>
      </c>
      <c r="AM421">
        <v>4311</v>
      </c>
    </row>
    <row r="422" spans="1:39" x14ac:dyDescent="0.35">
      <c r="A422" t="s">
        <v>4474</v>
      </c>
      <c r="B422" t="str">
        <f>HYPERLINK("http://www.uniprot.org/uniprot/P08514","P08514")</f>
        <v>P08514</v>
      </c>
      <c r="C422" t="s">
        <v>4475</v>
      </c>
      <c r="D422" t="s">
        <v>4476</v>
      </c>
      <c r="E422" t="s">
        <v>39</v>
      </c>
      <c r="F422" t="s">
        <v>40</v>
      </c>
      <c r="H422">
        <v>1039</v>
      </c>
      <c r="I422">
        <v>1</v>
      </c>
      <c r="J422">
        <v>1</v>
      </c>
      <c r="K422" t="s">
        <v>4477</v>
      </c>
      <c r="L422" t="s">
        <v>101</v>
      </c>
      <c r="N422">
        <v>0.82440000000000002</v>
      </c>
      <c r="O422" s="1">
        <v>1</v>
      </c>
      <c r="P422" t="s">
        <v>4478</v>
      </c>
      <c r="Q422" t="s">
        <v>4479</v>
      </c>
      <c r="R422" t="s">
        <v>4480</v>
      </c>
      <c r="S422" t="s">
        <v>166</v>
      </c>
      <c r="T422" t="s">
        <v>2763</v>
      </c>
      <c r="U422" t="s">
        <v>4481</v>
      </c>
      <c r="V422">
        <v>5</v>
      </c>
      <c r="W422" t="s">
        <v>4482</v>
      </c>
      <c r="X422" t="s">
        <v>4483</v>
      </c>
      <c r="Y422">
        <v>141</v>
      </c>
      <c r="Z422" t="s">
        <v>107</v>
      </c>
      <c r="AA422">
        <v>1</v>
      </c>
      <c r="AB422" t="s">
        <v>4484</v>
      </c>
      <c r="AC422">
        <v>711</v>
      </c>
      <c r="AD422" t="s">
        <v>4485</v>
      </c>
      <c r="AE422" t="s">
        <v>144</v>
      </c>
      <c r="AF422" t="s">
        <v>4486</v>
      </c>
      <c r="AG422" t="s">
        <v>4487</v>
      </c>
      <c r="AH422" t="str">
        <f>HYPERLINK("http://compartments.jensenlab.org/Entity?figures=subcell_cell_%&amp;knowledge=10&amp;textmining=10&amp;experiments=10&amp;predictions=10&amp;type1=9606&amp;type2=-22&amp;id1=ENSP00000262407","link")</f>
        <v>link</v>
      </c>
      <c r="AJ422" t="s">
        <v>51</v>
      </c>
      <c r="AK422" t="str">
        <f>HYPERLINK("http://www.proteinatlas.org/P08514","CAB018611;HPA031168;HPA031169;HPA031170;HPA031171")</f>
        <v>CAB018611;HPA031168;HPA031169;HPA031170;HPA031171</v>
      </c>
      <c r="AL422" t="s">
        <v>4488</v>
      </c>
      <c r="AM422">
        <v>3674</v>
      </c>
    </row>
    <row r="423" spans="1:39" x14ac:dyDescent="0.35">
      <c r="A423" t="s">
        <v>4489</v>
      </c>
      <c r="B423" t="str">
        <f>HYPERLINK("http://www.uniprot.org/uniprot/P08571","P08571")</f>
        <v>P08571</v>
      </c>
      <c r="C423" t="s">
        <v>4490</v>
      </c>
      <c r="D423" t="s">
        <v>4491</v>
      </c>
      <c r="E423" t="s">
        <v>39</v>
      </c>
      <c r="F423" t="s">
        <v>239</v>
      </c>
      <c r="H423">
        <v>375</v>
      </c>
      <c r="I423">
        <v>0</v>
      </c>
      <c r="J423">
        <v>1</v>
      </c>
      <c r="K423" t="s">
        <v>4492</v>
      </c>
      <c r="L423" t="s">
        <v>996</v>
      </c>
      <c r="N423">
        <v>0.75849999999999995</v>
      </c>
      <c r="O423" s="1" t="s">
        <v>997</v>
      </c>
      <c r="P423" t="s">
        <v>4493</v>
      </c>
      <c r="Q423" t="s">
        <v>4494</v>
      </c>
      <c r="R423" t="s">
        <v>4491</v>
      </c>
      <c r="U423" t="s">
        <v>4495</v>
      </c>
      <c r="V423">
        <v>4</v>
      </c>
      <c r="W423" t="s">
        <v>4496</v>
      </c>
      <c r="Y423" t="s">
        <v>4497</v>
      </c>
      <c r="Z423" t="s">
        <v>107</v>
      </c>
      <c r="AA423">
        <v>3</v>
      </c>
      <c r="AB423" t="s">
        <v>4498</v>
      </c>
      <c r="AC423" t="s">
        <v>4499</v>
      </c>
      <c r="AD423" t="s">
        <v>4500</v>
      </c>
      <c r="AE423" t="s">
        <v>243</v>
      </c>
      <c r="AF423" t="s">
        <v>4501</v>
      </c>
      <c r="AG423" t="s">
        <v>4502</v>
      </c>
      <c r="AH423" t="str">
        <f>HYPERLINK("http://compartments.jensenlab.org/Entity?figures=subcell_cell_%&amp;knowledge=10&amp;textmining=10&amp;experiments=10&amp;predictions=10&amp;type1=9606&amp;type2=-22&amp;id1=ENSP00000304236","link")</f>
        <v>link</v>
      </c>
      <c r="AI423" t="s">
        <v>65</v>
      </c>
      <c r="AJ423" t="s">
        <v>902</v>
      </c>
      <c r="AK423" t="str">
        <f>HYPERLINK("http://www.proteinatlas.org/P08571","HPA001887;HPA002127")</f>
        <v>HPA001887;HPA002127</v>
      </c>
      <c r="AM423">
        <v>929</v>
      </c>
    </row>
    <row r="424" spans="1:39" x14ac:dyDescent="0.35">
      <c r="A424" t="s">
        <v>4503</v>
      </c>
      <c r="B424" t="str">
        <f>HYPERLINK("http://www.uniprot.org/uniprot/P08575","P08575")</f>
        <v>P08575</v>
      </c>
      <c r="C424" t="s">
        <v>4504</v>
      </c>
      <c r="D424" t="s">
        <v>4505</v>
      </c>
      <c r="E424" t="s">
        <v>39</v>
      </c>
      <c r="F424" t="s">
        <v>40</v>
      </c>
      <c r="H424">
        <v>1304</v>
      </c>
      <c r="I424">
        <v>1</v>
      </c>
      <c r="J424">
        <v>1</v>
      </c>
      <c r="K424" t="s">
        <v>4506</v>
      </c>
      <c r="L424" t="s">
        <v>57</v>
      </c>
      <c r="N424">
        <v>0.97799999999999998</v>
      </c>
      <c r="O424" s="1">
        <v>1</v>
      </c>
      <c r="P424" t="s">
        <v>4507</v>
      </c>
      <c r="Q424" t="s">
        <v>4508</v>
      </c>
      <c r="R424" t="s">
        <v>4509</v>
      </c>
      <c r="S424" t="s">
        <v>166</v>
      </c>
      <c r="T424" t="s">
        <v>1161</v>
      </c>
      <c r="U424" t="s">
        <v>4510</v>
      </c>
      <c r="V424">
        <v>16</v>
      </c>
      <c r="W424" t="s">
        <v>4511</v>
      </c>
      <c r="AE424" t="s">
        <v>4512</v>
      </c>
      <c r="AF424" t="s">
        <v>4513</v>
      </c>
      <c r="AG424" t="s">
        <v>4514</v>
      </c>
      <c r="AH424" t="str">
        <f>HYPERLINK("http://compartments.jensenlab.org/Entity?figures=subcell_cell_%&amp;knowledge=10&amp;textmining=10&amp;experiments=10&amp;predictions=10&amp;type1=9606&amp;type2=-22&amp;id1=ENSP00000356346","link")</f>
        <v>link</v>
      </c>
      <c r="AI424" t="s">
        <v>65</v>
      </c>
      <c r="AJ424" t="s">
        <v>51</v>
      </c>
      <c r="AK424" t="str">
        <f>HYPERLINK("http://www.proteinatlas.org/P08575","CAB000052;HPA000440;CAB002800;CAB056154;CAB068221")</f>
        <v>CAB000052;HPA000440;CAB002800;CAB056154;CAB068221</v>
      </c>
      <c r="AM424">
        <v>5788</v>
      </c>
    </row>
    <row r="425" spans="1:39" x14ac:dyDescent="0.35">
      <c r="A425" t="s">
        <v>4515</v>
      </c>
      <c r="B425" t="str">
        <f>HYPERLINK("http://www.uniprot.org/uniprot/P08581","P08581")</f>
        <v>P08581</v>
      </c>
      <c r="C425" t="s">
        <v>4516</v>
      </c>
      <c r="D425" t="s">
        <v>4517</v>
      </c>
      <c r="E425" t="s">
        <v>39</v>
      </c>
      <c r="F425" t="s">
        <v>40</v>
      </c>
      <c r="H425">
        <v>1390</v>
      </c>
      <c r="I425">
        <v>1</v>
      </c>
      <c r="J425">
        <v>1</v>
      </c>
      <c r="K425" t="s">
        <v>4518</v>
      </c>
      <c r="L425" t="s">
        <v>101</v>
      </c>
      <c r="N425">
        <v>0.98799999999999999</v>
      </c>
      <c r="O425" s="1">
        <v>1</v>
      </c>
      <c r="P425" t="s">
        <v>4519</v>
      </c>
      <c r="Q425" t="s">
        <v>4520</v>
      </c>
      <c r="S425" t="s">
        <v>166</v>
      </c>
      <c r="T425" t="s">
        <v>1411</v>
      </c>
      <c r="U425" t="s">
        <v>4521</v>
      </c>
      <c r="V425">
        <v>11</v>
      </c>
      <c r="W425" t="s">
        <v>4522</v>
      </c>
      <c r="X425" t="s">
        <v>4523</v>
      </c>
      <c r="Z425" t="s">
        <v>107</v>
      </c>
      <c r="AA425">
        <v>13</v>
      </c>
      <c r="AB425" t="s">
        <v>4524</v>
      </c>
      <c r="AC425" t="s">
        <v>4525</v>
      </c>
      <c r="AD425" t="s">
        <v>4526</v>
      </c>
      <c r="AE425" t="s">
        <v>1434</v>
      </c>
      <c r="AF425" t="s">
        <v>4527</v>
      </c>
      <c r="AG425" t="s">
        <v>4528</v>
      </c>
      <c r="AH425" t="str">
        <f>HYPERLINK("http://compartments.jensenlab.org/Entity?figures=subcell_cell_%&amp;knowledge=10&amp;textmining=10&amp;experiments=10&amp;predictions=10&amp;type1=9606&amp;type2=-22&amp;id1=ENSP00000380860","link")</f>
        <v>link</v>
      </c>
      <c r="AK425" t="str">
        <f>HYPERLINK("http://www.proteinatlas.org/P08581","CAB005282;CAB018577;HPA055607")</f>
        <v>CAB005282;CAB018577;HPA055607</v>
      </c>
      <c r="AL425" t="s">
        <v>4529</v>
      </c>
      <c r="AM425">
        <v>4233</v>
      </c>
    </row>
    <row r="426" spans="1:39" x14ac:dyDescent="0.35">
      <c r="A426" t="s">
        <v>4530</v>
      </c>
      <c r="B426" t="str">
        <f>HYPERLINK("http://www.uniprot.org/uniprot/P08582","P08582")</f>
        <v>P08582</v>
      </c>
      <c r="C426" t="s">
        <v>4531</v>
      </c>
      <c r="D426" t="s">
        <v>4532</v>
      </c>
      <c r="E426" t="s">
        <v>39</v>
      </c>
      <c r="F426" t="s">
        <v>239</v>
      </c>
      <c r="H426">
        <v>738</v>
      </c>
      <c r="I426">
        <v>0</v>
      </c>
      <c r="J426">
        <v>1</v>
      </c>
      <c r="K426" t="s">
        <v>4533</v>
      </c>
      <c r="L426" t="s">
        <v>996</v>
      </c>
      <c r="N426">
        <v>0.67469999999999997</v>
      </c>
      <c r="O426" s="1" t="s">
        <v>241</v>
      </c>
      <c r="P426" t="s">
        <v>4534</v>
      </c>
      <c r="Q426" t="s">
        <v>4535</v>
      </c>
      <c r="R426" t="s">
        <v>4536</v>
      </c>
      <c r="U426" t="s">
        <v>4537</v>
      </c>
      <c r="V426">
        <v>3</v>
      </c>
      <c r="W426" t="s">
        <v>4537</v>
      </c>
      <c r="Z426" t="s">
        <v>107</v>
      </c>
      <c r="AA426">
        <v>8</v>
      </c>
      <c r="AB426" t="s">
        <v>4538</v>
      </c>
      <c r="AC426" t="s">
        <v>4539</v>
      </c>
      <c r="AD426" t="s">
        <v>4540</v>
      </c>
      <c r="AE426" t="s">
        <v>4541</v>
      </c>
      <c r="AF426" t="s">
        <v>4542</v>
      </c>
      <c r="AG426" t="s">
        <v>4543</v>
      </c>
      <c r="AH426" t="str">
        <f>HYPERLINK("http://compartments.jensenlab.org/Entity?figures=subcell_cell_%&amp;knowledge=10&amp;textmining=10&amp;experiments=10&amp;predictions=10&amp;type1=9606&amp;type2=-22&amp;id1=ENSP00000296350","link")</f>
        <v>link</v>
      </c>
      <c r="AI426" t="s">
        <v>65</v>
      </c>
      <c r="AJ426" t="s">
        <v>902</v>
      </c>
      <c r="AK426" t="str">
        <f>HYPERLINK("http://www.proteinatlas.org/P08582","HPA004880")</f>
        <v>HPA004880</v>
      </c>
      <c r="AM426">
        <v>4241</v>
      </c>
    </row>
    <row r="427" spans="1:39" x14ac:dyDescent="0.35">
      <c r="A427" t="s">
        <v>4544</v>
      </c>
      <c r="B427" t="str">
        <f>HYPERLINK("http://www.uniprot.org/uniprot/P08588","P08588")</f>
        <v>P08588</v>
      </c>
      <c r="C427" t="s">
        <v>4545</v>
      </c>
      <c r="D427" t="s">
        <v>4546</v>
      </c>
      <c r="E427" t="s">
        <v>39</v>
      </c>
      <c r="F427" t="s">
        <v>40</v>
      </c>
      <c r="H427">
        <v>477</v>
      </c>
      <c r="I427">
        <v>7</v>
      </c>
      <c r="J427">
        <v>0</v>
      </c>
      <c r="K427" t="s">
        <v>4547</v>
      </c>
      <c r="L427" t="s">
        <v>57</v>
      </c>
      <c r="N427">
        <v>0.94010000000000005</v>
      </c>
      <c r="O427" s="1">
        <v>1</v>
      </c>
      <c r="P427" t="s">
        <v>4548</v>
      </c>
      <c r="Q427" t="s">
        <v>4549</v>
      </c>
      <c r="S427" t="s">
        <v>166</v>
      </c>
      <c r="T427" t="s">
        <v>838</v>
      </c>
      <c r="U427">
        <v>15</v>
      </c>
      <c r="V427">
        <v>1</v>
      </c>
      <c r="X427" t="s">
        <v>4550</v>
      </c>
      <c r="Y427">
        <v>121</v>
      </c>
      <c r="AE427" t="s">
        <v>4551</v>
      </c>
      <c r="AF427" t="s">
        <v>4552</v>
      </c>
      <c r="AG427" t="s">
        <v>4553</v>
      </c>
      <c r="AH427" t="str">
        <f>HYPERLINK("http://compartments.jensenlab.org/Entity?figures=subcell_cell_%&amp;knowledge=10&amp;textmining=10&amp;experiments=10&amp;predictions=10&amp;type1=9606&amp;type2=-22&amp;id1=ENSP00000358301","link")</f>
        <v>link</v>
      </c>
      <c r="AI427" t="s">
        <v>65</v>
      </c>
      <c r="AJ427" t="s">
        <v>299</v>
      </c>
      <c r="AK427" t="str">
        <f>HYPERLINK("http://www.proteinatlas.org/P08588","HPA067972")</f>
        <v>HPA067972</v>
      </c>
      <c r="AL427" t="s">
        <v>4554</v>
      </c>
      <c r="AM427">
        <v>153</v>
      </c>
    </row>
    <row r="428" spans="1:39" x14ac:dyDescent="0.35">
      <c r="A428" t="s">
        <v>4555</v>
      </c>
      <c r="B428" t="str">
        <f>HYPERLINK("http://www.uniprot.org/uniprot/P08637","P08637")</f>
        <v>P08637</v>
      </c>
      <c r="C428" t="s">
        <v>4556</v>
      </c>
      <c r="D428" t="s">
        <v>4557</v>
      </c>
      <c r="E428" t="s">
        <v>39</v>
      </c>
      <c r="F428" t="s">
        <v>40</v>
      </c>
      <c r="H428">
        <v>254</v>
      </c>
      <c r="I428">
        <v>1</v>
      </c>
      <c r="J428">
        <v>1</v>
      </c>
      <c r="K428" t="s">
        <v>4558</v>
      </c>
      <c r="L428" t="s">
        <v>57</v>
      </c>
      <c r="N428">
        <v>0.78839999999999999</v>
      </c>
      <c r="O428" s="1">
        <v>1</v>
      </c>
      <c r="P428" t="s">
        <v>4559</v>
      </c>
      <c r="Q428" t="s">
        <v>4560</v>
      </c>
      <c r="R428" t="s">
        <v>4561</v>
      </c>
      <c r="S428" t="s">
        <v>166</v>
      </c>
      <c r="T428" t="s">
        <v>478</v>
      </c>
      <c r="U428" t="s">
        <v>4562</v>
      </c>
      <c r="V428">
        <v>5</v>
      </c>
      <c r="W428" t="s">
        <v>4562</v>
      </c>
      <c r="X428">
        <v>201</v>
      </c>
      <c r="Y428" t="s">
        <v>4563</v>
      </c>
      <c r="AE428" t="s">
        <v>1250</v>
      </c>
      <c r="AF428" t="s">
        <v>4564</v>
      </c>
      <c r="AG428" t="s">
        <v>4565</v>
      </c>
      <c r="AH428" t="str">
        <f>HYPERLINK("http://compartments.jensenlab.org/Entity?figures=subcell_cell_%&amp;knowledge=10&amp;textmining=10&amp;experiments=10&amp;predictions=10&amp;type1=9606&amp;type2=-22&amp;id1=ENSP00000356944","link")</f>
        <v>link</v>
      </c>
      <c r="AK428" t="str">
        <f>HYPERLINK("http://www.proteinatlas.org/P08637","CAB032435;HPA055431")</f>
        <v>CAB032435;HPA055431</v>
      </c>
      <c r="AL428" t="s">
        <v>2456</v>
      </c>
      <c r="AM428">
        <v>2214</v>
      </c>
    </row>
    <row r="429" spans="1:39" x14ac:dyDescent="0.35">
      <c r="A429" t="s">
        <v>4566</v>
      </c>
      <c r="B429" t="str">
        <f>HYPERLINK("http://www.uniprot.org/uniprot/P08648","P08648")</f>
        <v>P08648</v>
      </c>
      <c r="C429" t="s">
        <v>4567</v>
      </c>
      <c r="D429" t="s">
        <v>4568</v>
      </c>
      <c r="E429" t="s">
        <v>39</v>
      </c>
      <c r="F429" t="s">
        <v>40</v>
      </c>
      <c r="H429">
        <v>1049</v>
      </c>
      <c r="I429">
        <v>1</v>
      </c>
      <c r="J429">
        <v>1</v>
      </c>
      <c r="K429" t="s">
        <v>4569</v>
      </c>
      <c r="L429" t="s">
        <v>101</v>
      </c>
      <c r="N429">
        <v>0.90620000000000001</v>
      </c>
      <c r="O429" s="1">
        <v>1</v>
      </c>
      <c r="P429" t="s">
        <v>4570</v>
      </c>
      <c r="Q429" t="s">
        <v>4571</v>
      </c>
      <c r="R429" t="s">
        <v>4572</v>
      </c>
      <c r="S429" t="s">
        <v>166</v>
      </c>
      <c r="T429" t="s">
        <v>2763</v>
      </c>
      <c r="U429" t="s">
        <v>4573</v>
      </c>
      <c r="V429">
        <v>14</v>
      </c>
      <c r="W429" t="s">
        <v>4574</v>
      </c>
      <c r="X429" t="s">
        <v>4575</v>
      </c>
      <c r="Z429" t="s">
        <v>107</v>
      </c>
      <c r="AA429">
        <v>46</v>
      </c>
      <c r="AB429" t="s">
        <v>4576</v>
      </c>
      <c r="AC429" t="s">
        <v>4577</v>
      </c>
      <c r="AD429" t="s">
        <v>4578</v>
      </c>
      <c r="AE429" t="s">
        <v>144</v>
      </c>
      <c r="AF429" t="s">
        <v>4579</v>
      </c>
      <c r="AG429" t="s">
        <v>4580</v>
      </c>
      <c r="AH429" t="str">
        <f>HYPERLINK("http://compartments.jensenlab.org/Entity?figures=subcell_cell_%&amp;knowledge=10&amp;textmining=10&amp;experiments=10&amp;predictions=10&amp;type1=9606&amp;type2=-22&amp;id1=ENSP00000293379","link")</f>
        <v>link</v>
      </c>
      <c r="AJ429" t="s">
        <v>51</v>
      </c>
      <c r="AK429" t="str">
        <f>HYPERLINK("http://www.proteinatlas.org/P08648","HPA002642;CAB009008")</f>
        <v>HPA002642;CAB009008</v>
      </c>
      <c r="AM429">
        <v>3678</v>
      </c>
    </row>
    <row r="430" spans="1:39" x14ac:dyDescent="0.35">
      <c r="A430" t="s">
        <v>4581</v>
      </c>
      <c r="B430" t="str">
        <f>HYPERLINK("http://www.uniprot.org/uniprot/P08842","P08842")</f>
        <v>P08842</v>
      </c>
      <c r="C430" t="s">
        <v>4582</v>
      </c>
      <c r="D430" t="s">
        <v>4583</v>
      </c>
      <c r="E430" t="s">
        <v>39</v>
      </c>
      <c r="F430" t="s">
        <v>40</v>
      </c>
      <c r="H430">
        <v>583</v>
      </c>
      <c r="I430">
        <v>2</v>
      </c>
      <c r="J430">
        <v>1</v>
      </c>
      <c r="K430" t="s">
        <v>4584</v>
      </c>
      <c r="L430" t="s">
        <v>101</v>
      </c>
      <c r="N430">
        <v>0.70660000000000001</v>
      </c>
      <c r="O430" s="1">
        <v>2</v>
      </c>
      <c r="P430" t="s">
        <v>4585</v>
      </c>
      <c r="Q430" t="s">
        <v>4586</v>
      </c>
      <c r="S430" t="s">
        <v>947</v>
      </c>
      <c r="T430" t="s">
        <v>4587</v>
      </c>
      <c r="U430" t="s">
        <v>4588</v>
      </c>
      <c r="V430">
        <v>4</v>
      </c>
      <c r="W430" t="s">
        <v>4588</v>
      </c>
      <c r="Y430">
        <v>555</v>
      </c>
      <c r="Z430" t="s">
        <v>107</v>
      </c>
      <c r="AA430">
        <v>1</v>
      </c>
      <c r="AB430" t="s">
        <v>4589</v>
      </c>
      <c r="AC430">
        <v>333</v>
      </c>
      <c r="AD430" t="s">
        <v>4590</v>
      </c>
      <c r="AE430" t="s">
        <v>977</v>
      </c>
      <c r="AF430" t="s">
        <v>4591</v>
      </c>
      <c r="AG430" t="s">
        <v>4592</v>
      </c>
      <c r="AH430" t="str">
        <f>HYPERLINK("http://compartments.jensenlab.org/Entity?figures=subcell_cell_%&amp;knowledge=10&amp;textmining=10&amp;experiments=10&amp;predictions=10&amp;type1=9606&amp;type2=-22&amp;id1=ENSP00000217961","link")</f>
        <v>link</v>
      </c>
      <c r="AI430" t="s">
        <v>980</v>
      </c>
      <c r="AJ430" t="s">
        <v>1404</v>
      </c>
      <c r="AK430" t="str">
        <f>HYPERLINK("http://www.proteinatlas.org/P08842","HPA002904")</f>
        <v>HPA002904</v>
      </c>
      <c r="AM430">
        <v>412</v>
      </c>
    </row>
    <row r="431" spans="1:39" x14ac:dyDescent="0.35">
      <c r="A431" t="s">
        <v>4593</v>
      </c>
      <c r="B431" t="str">
        <f>HYPERLINK("http://www.uniprot.org/uniprot/P08887","P08887")</f>
        <v>P08887</v>
      </c>
      <c r="C431" t="s">
        <v>4594</v>
      </c>
      <c r="D431" t="s">
        <v>4595</v>
      </c>
      <c r="E431" t="s">
        <v>39</v>
      </c>
      <c r="F431" t="s">
        <v>55</v>
      </c>
      <c r="H431">
        <v>468</v>
      </c>
      <c r="I431">
        <v>1</v>
      </c>
      <c r="J431">
        <v>1</v>
      </c>
      <c r="K431" t="s">
        <v>4596</v>
      </c>
      <c r="L431" t="s">
        <v>57</v>
      </c>
      <c r="M431" t="s">
        <v>39</v>
      </c>
      <c r="N431">
        <v>0.87129999999999996</v>
      </c>
      <c r="O431" s="1">
        <v>1</v>
      </c>
      <c r="P431" t="s">
        <v>4597</v>
      </c>
      <c r="Q431" t="s">
        <v>4598</v>
      </c>
      <c r="R431" t="s">
        <v>4599</v>
      </c>
      <c r="S431" t="s">
        <v>166</v>
      </c>
      <c r="T431" t="s">
        <v>3171</v>
      </c>
      <c r="U431" t="s">
        <v>4600</v>
      </c>
      <c r="V431">
        <v>5</v>
      </c>
      <c r="W431" t="s">
        <v>4600</v>
      </c>
      <c r="X431" t="s">
        <v>4601</v>
      </c>
      <c r="Y431">
        <v>303</v>
      </c>
      <c r="AE431" t="s">
        <v>4602</v>
      </c>
      <c r="AF431" t="s">
        <v>4603</v>
      </c>
      <c r="AG431" t="s">
        <v>4604</v>
      </c>
      <c r="AH431" t="str">
        <f>HYPERLINK("http://compartments.jensenlab.org/Entity?figures=subcell_cell_%&amp;knowledge=10&amp;textmining=10&amp;experiments=10&amp;predictions=10&amp;type1=9606&amp;type2=-22&amp;id1=ENSP00000357470","link")</f>
        <v>link</v>
      </c>
      <c r="AI431" t="s">
        <v>1058</v>
      </c>
      <c r="AJ431" t="s">
        <v>902</v>
      </c>
      <c r="AK431" t="str">
        <f>HYPERLINK("http://www.proteinatlas.org/P08887","no")</f>
        <v>no</v>
      </c>
      <c r="AL431" t="s">
        <v>4605</v>
      </c>
      <c r="AM431">
        <v>3570</v>
      </c>
    </row>
    <row r="432" spans="1:39" x14ac:dyDescent="0.35">
      <c r="A432" t="s">
        <v>4606</v>
      </c>
      <c r="B432" t="str">
        <f>HYPERLINK("http://www.uniprot.org/uniprot/P08908","P08908")</f>
        <v>P08908</v>
      </c>
      <c r="C432" t="s">
        <v>4607</v>
      </c>
      <c r="D432" t="s">
        <v>4608</v>
      </c>
      <c r="E432" t="s">
        <v>39</v>
      </c>
      <c r="F432" t="s">
        <v>55</v>
      </c>
      <c r="H432">
        <v>422</v>
      </c>
      <c r="I432">
        <v>7</v>
      </c>
      <c r="J432">
        <v>0</v>
      </c>
      <c r="K432" t="s">
        <v>4609</v>
      </c>
      <c r="L432" t="s">
        <v>57</v>
      </c>
      <c r="M432" t="s">
        <v>39</v>
      </c>
      <c r="N432">
        <v>0.97419999999999995</v>
      </c>
      <c r="O432" s="1">
        <v>1</v>
      </c>
      <c r="P432" t="s">
        <v>4610</v>
      </c>
      <c r="Q432" t="s">
        <v>4611</v>
      </c>
      <c r="S432" t="s">
        <v>166</v>
      </c>
      <c r="T432" t="s">
        <v>838</v>
      </c>
      <c r="U432" t="s">
        <v>4612</v>
      </c>
      <c r="V432">
        <v>3</v>
      </c>
      <c r="W432" t="s">
        <v>4612</v>
      </c>
      <c r="AE432" t="s">
        <v>74</v>
      </c>
      <c r="AF432" t="s">
        <v>4613</v>
      </c>
      <c r="AG432" t="s">
        <v>4614</v>
      </c>
      <c r="AH432" t="str">
        <f>HYPERLINK("http://compartments.jensenlab.org/Entity?figures=subcell_cell_%&amp;knowledge=10&amp;textmining=10&amp;experiments=10&amp;predictions=10&amp;type1=9606&amp;type2=-22&amp;id1=ENSP00000316244","link")</f>
        <v>link</v>
      </c>
      <c r="AI432" t="s">
        <v>65</v>
      </c>
      <c r="AJ432" t="s">
        <v>51</v>
      </c>
      <c r="AK432" t="str">
        <f>HYPERLINK("http://www.proteinatlas.org/P08908","HPA018073")</f>
        <v>HPA018073</v>
      </c>
      <c r="AL432" t="s">
        <v>4615</v>
      </c>
      <c r="AM432">
        <v>3350</v>
      </c>
    </row>
    <row r="433" spans="1:39" x14ac:dyDescent="0.35">
      <c r="A433" t="s">
        <v>4616</v>
      </c>
      <c r="B433" t="str">
        <f>HYPERLINK("http://www.uniprot.org/uniprot/P08912","P08912")</f>
        <v>P08912</v>
      </c>
      <c r="C433" t="s">
        <v>4617</v>
      </c>
      <c r="D433" t="s">
        <v>4618</v>
      </c>
      <c r="E433" t="s">
        <v>39</v>
      </c>
      <c r="F433" t="s">
        <v>40</v>
      </c>
      <c r="H433">
        <v>532</v>
      </c>
      <c r="I433">
        <v>7</v>
      </c>
      <c r="J433">
        <v>0</v>
      </c>
      <c r="K433" t="s">
        <v>4619</v>
      </c>
      <c r="L433" t="s">
        <v>57</v>
      </c>
      <c r="N433">
        <v>0.91020000000000001</v>
      </c>
      <c r="O433" s="1">
        <v>1</v>
      </c>
      <c r="P433" t="s">
        <v>4620</v>
      </c>
      <c r="Q433" t="s">
        <v>4621</v>
      </c>
      <c r="S433" t="s">
        <v>166</v>
      </c>
      <c r="T433" t="s">
        <v>838</v>
      </c>
      <c r="U433" t="s">
        <v>4622</v>
      </c>
      <c r="V433">
        <v>2</v>
      </c>
      <c r="W433" t="s">
        <v>4623</v>
      </c>
      <c r="AE433" t="s">
        <v>619</v>
      </c>
      <c r="AF433" t="s">
        <v>4402</v>
      </c>
      <c r="AG433" t="s">
        <v>4624</v>
      </c>
      <c r="AH433" t="str">
        <f>HYPERLINK("http://compartments.jensenlab.org/Entity?figures=subcell_cell_%&amp;knowledge=10&amp;textmining=10&amp;experiments=10&amp;predictions=10&amp;type1=9606&amp;type2=-22&amp;id1=ENSP00000372750","link")</f>
        <v>link</v>
      </c>
      <c r="AK433" t="str">
        <f>HYPERLINK("http://www.proteinatlas.org/P08912","HPA013172")</f>
        <v>HPA013172</v>
      </c>
      <c r="AL433" t="s">
        <v>4625</v>
      </c>
      <c r="AM433">
        <v>1133</v>
      </c>
    </row>
    <row r="434" spans="1:39" x14ac:dyDescent="0.35">
      <c r="A434" t="s">
        <v>4626</v>
      </c>
      <c r="B434" t="str">
        <f>HYPERLINK("http://www.uniprot.org/uniprot/P08913","P08913")</f>
        <v>P08913</v>
      </c>
      <c r="C434" t="s">
        <v>4627</v>
      </c>
      <c r="D434" t="s">
        <v>4628</v>
      </c>
      <c r="E434" t="s">
        <v>39</v>
      </c>
      <c r="F434" t="s">
        <v>55</v>
      </c>
      <c r="H434">
        <v>450</v>
      </c>
      <c r="I434">
        <v>7</v>
      </c>
      <c r="J434">
        <v>0</v>
      </c>
      <c r="K434" t="s">
        <v>4629</v>
      </c>
      <c r="L434" t="s">
        <v>101</v>
      </c>
      <c r="M434" t="s">
        <v>39</v>
      </c>
      <c r="N434">
        <v>0.96260000000000001</v>
      </c>
      <c r="O434" s="1">
        <v>1</v>
      </c>
      <c r="P434" t="s">
        <v>4630</v>
      </c>
      <c r="Q434" t="s">
        <v>4631</v>
      </c>
      <c r="S434" t="s">
        <v>166</v>
      </c>
      <c r="T434" t="s">
        <v>838</v>
      </c>
      <c r="U434" t="s">
        <v>4632</v>
      </c>
      <c r="V434">
        <v>2</v>
      </c>
      <c r="W434">
        <v>14</v>
      </c>
      <c r="X434" t="s">
        <v>4633</v>
      </c>
      <c r="Z434" t="s">
        <v>107</v>
      </c>
      <c r="AA434">
        <v>1</v>
      </c>
      <c r="AB434" t="s">
        <v>4634</v>
      </c>
      <c r="AC434" t="s">
        <v>4635</v>
      </c>
      <c r="AD434" t="s">
        <v>4636</v>
      </c>
      <c r="AE434" t="s">
        <v>74</v>
      </c>
      <c r="AF434" t="s">
        <v>4637</v>
      </c>
      <c r="AG434" t="s">
        <v>4638</v>
      </c>
      <c r="AH434" t="str">
        <f>HYPERLINK("http://compartments.jensenlab.org/Entity?figures=subcell_cell_%&amp;knowledge=10&amp;textmining=10&amp;experiments=10&amp;predictions=10&amp;type1=9606&amp;type2=-22&amp;id1=ENSP00000280155","link")</f>
        <v>link</v>
      </c>
      <c r="AI434" t="s">
        <v>65</v>
      </c>
      <c r="AJ434" t="s">
        <v>2124</v>
      </c>
      <c r="AK434" t="str">
        <f>HYPERLINK("http://www.proteinatlas.org/P08913","no")</f>
        <v>no</v>
      </c>
      <c r="AL434" t="s">
        <v>4639</v>
      </c>
      <c r="AM434">
        <v>150</v>
      </c>
    </row>
    <row r="435" spans="1:39" x14ac:dyDescent="0.35">
      <c r="A435" t="s">
        <v>4640</v>
      </c>
      <c r="B435" t="str">
        <f>HYPERLINK("http://www.uniprot.org/uniprot/P08922","P08922")</f>
        <v>P08922</v>
      </c>
      <c r="C435" t="s">
        <v>4641</v>
      </c>
      <c r="D435" t="s">
        <v>4642</v>
      </c>
      <c r="E435" t="s">
        <v>39</v>
      </c>
      <c r="F435" t="s">
        <v>40</v>
      </c>
      <c r="H435">
        <v>2347</v>
      </c>
      <c r="I435">
        <v>1</v>
      </c>
      <c r="J435">
        <v>1</v>
      </c>
      <c r="K435" t="s">
        <v>4643</v>
      </c>
      <c r="L435" t="s">
        <v>57</v>
      </c>
      <c r="N435">
        <v>0.84630000000000005</v>
      </c>
      <c r="O435" s="1">
        <v>1</v>
      </c>
      <c r="P435" t="s">
        <v>4644</v>
      </c>
      <c r="Q435" t="s">
        <v>4645</v>
      </c>
      <c r="S435" t="s">
        <v>166</v>
      </c>
      <c r="T435" t="s">
        <v>1411</v>
      </c>
      <c r="U435" t="s">
        <v>4646</v>
      </c>
      <c r="V435">
        <v>31</v>
      </c>
      <c r="Y435">
        <v>605</v>
      </c>
      <c r="AE435" t="s">
        <v>332</v>
      </c>
      <c r="AF435" t="s">
        <v>4647</v>
      </c>
      <c r="AG435" t="s">
        <v>4648</v>
      </c>
      <c r="AH435" t="str">
        <f>HYPERLINK("http://compartments.jensenlab.org/Entity?figures=subcell_cell_%&amp;knowledge=10&amp;textmining=10&amp;experiments=10&amp;predictions=10&amp;type1=9606&amp;type2=-22&amp;id1=ENSP00000357494","link")</f>
        <v>link</v>
      </c>
      <c r="AI435" t="s">
        <v>65</v>
      </c>
      <c r="AJ435" t="s">
        <v>51</v>
      </c>
      <c r="AK435" t="str">
        <f>HYPERLINK("http://www.proteinatlas.org/P08922","HPA049098")</f>
        <v>HPA049098</v>
      </c>
      <c r="AM435">
        <v>6098</v>
      </c>
    </row>
    <row r="436" spans="1:39" x14ac:dyDescent="0.35">
      <c r="A436" t="s">
        <v>4649</v>
      </c>
      <c r="B436" t="str">
        <f>HYPERLINK("http://www.uniprot.org/uniprot/P08962","P08962")</f>
        <v>P08962</v>
      </c>
      <c r="C436" t="s">
        <v>4650</v>
      </c>
      <c r="D436" t="s">
        <v>4651</v>
      </c>
      <c r="E436" t="s">
        <v>39</v>
      </c>
      <c r="F436" t="s">
        <v>40</v>
      </c>
      <c r="H436">
        <v>238</v>
      </c>
      <c r="I436">
        <v>4</v>
      </c>
      <c r="J436">
        <v>0</v>
      </c>
      <c r="K436" t="s">
        <v>4652</v>
      </c>
      <c r="L436" t="s">
        <v>101</v>
      </c>
      <c r="N436">
        <v>0.79039999999999999</v>
      </c>
      <c r="O436" s="1">
        <v>1</v>
      </c>
      <c r="P436" t="s">
        <v>4653</v>
      </c>
      <c r="Q436" t="s">
        <v>4654</v>
      </c>
      <c r="R436" t="s">
        <v>4651</v>
      </c>
      <c r="S436" t="s">
        <v>91</v>
      </c>
      <c r="T436" t="s">
        <v>135</v>
      </c>
      <c r="U436" t="s">
        <v>4655</v>
      </c>
      <c r="V436">
        <v>3</v>
      </c>
      <c r="W436" t="s">
        <v>4655</v>
      </c>
      <c r="Z436" t="s">
        <v>107</v>
      </c>
      <c r="AA436">
        <v>10</v>
      </c>
      <c r="AB436" t="s">
        <v>4656</v>
      </c>
      <c r="AC436" t="s">
        <v>4655</v>
      </c>
      <c r="AD436" t="s">
        <v>4657</v>
      </c>
      <c r="AE436" t="s">
        <v>4658</v>
      </c>
      <c r="AF436" t="s">
        <v>4659</v>
      </c>
      <c r="AG436" t="s">
        <v>4660</v>
      </c>
      <c r="AH436" t="str">
        <f>HYPERLINK("http://compartments.jensenlab.org/Entity?figures=subcell_cell_%&amp;knowledge=10&amp;textmining=10&amp;experiments=10&amp;predictions=10&amp;type1=9606&amp;type2=-22&amp;id1=ENSP00000257857","link")</f>
        <v>link</v>
      </c>
      <c r="AI436" t="s">
        <v>4661</v>
      </c>
      <c r="AJ436" t="s">
        <v>4662</v>
      </c>
      <c r="AK436" t="str">
        <f>HYPERLINK("http://www.proteinatlas.org/P08962","HPA010088;CAB026356")</f>
        <v>HPA010088;CAB026356</v>
      </c>
      <c r="AM436">
        <v>967</v>
      </c>
    </row>
    <row r="437" spans="1:39" x14ac:dyDescent="0.35">
      <c r="A437" t="s">
        <v>4663</v>
      </c>
      <c r="B437" t="str">
        <f>HYPERLINK("http://www.uniprot.org/uniprot/P08F94","P08F94")</f>
        <v>P08F94</v>
      </c>
      <c r="C437" t="s">
        <v>4664</v>
      </c>
      <c r="D437" t="s">
        <v>4665</v>
      </c>
      <c r="E437" t="s">
        <v>39</v>
      </c>
      <c r="F437" t="s">
        <v>40</v>
      </c>
      <c r="H437">
        <v>4074</v>
      </c>
      <c r="I437">
        <v>1</v>
      </c>
      <c r="J437">
        <v>1</v>
      </c>
      <c r="K437" t="s">
        <v>4666</v>
      </c>
      <c r="L437" t="s">
        <v>57</v>
      </c>
      <c r="N437">
        <v>0.89019999999999999</v>
      </c>
      <c r="O437" s="1">
        <v>1</v>
      </c>
      <c r="P437" t="s">
        <v>4667</v>
      </c>
      <c r="Q437" t="s">
        <v>4668</v>
      </c>
      <c r="S437" t="s">
        <v>60</v>
      </c>
      <c r="T437" t="s">
        <v>60</v>
      </c>
      <c r="U437" t="s">
        <v>4669</v>
      </c>
      <c r="V437">
        <v>64</v>
      </c>
      <c r="AE437" t="s">
        <v>4670</v>
      </c>
      <c r="AF437" t="s">
        <v>4671</v>
      </c>
      <c r="AG437" t="s">
        <v>4672</v>
      </c>
      <c r="AH437" t="str">
        <f>HYPERLINK("http://compartments.jensenlab.org/Entity?figures=subcell_cell_%&amp;knowledge=10&amp;textmining=10&amp;experiments=10&amp;predictions=10&amp;type1=9606&amp;type2=-22&amp;id1=ENSP00000360158","link")</f>
        <v>link</v>
      </c>
      <c r="AI437" t="s">
        <v>3768</v>
      </c>
      <c r="AJ437" t="s">
        <v>1811</v>
      </c>
      <c r="AK437" t="str">
        <f>HYPERLINK("http://www.proteinatlas.org/P08F94","HPA031227")</f>
        <v>HPA031227</v>
      </c>
      <c r="AM437">
        <v>5314</v>
      </c>
    </row>
    <row r="438" spans="1:39" x14ac:dyDescent="0.35">
      <c r="A438" t="s">
        <v>4673</v>
      </c>
      <c r="B438" t="str">
        <f>HYPERLINK("http://www.uniprot.org/uniprot/P09131","P09131")</f>
        <v>P09131</v>
      </c>
      <c r="C438" t="s">
        <v>4674</v>
      </c>
      <c r="D438" t="s">
        <v>4675</v>
      </c>
      <c r="E438" t="s">
        <v>39</v>
      </c>
      <c r="F438" t="s">
        <v>40</v>
      </c>
      <c r="H438">
        <v>477</v>
      </c>
      <c r="I438">
        <v>8</v>
      </c>
      <c r="J438">
        <v>0</v>
      </c>
      <c r="K438" t="s">
        <v>4676</v>
      </c>
      <c r="L438" t="s">
        <v>42</v>
      </c>
      <c r="N438">
        <v>0.64870000000000005</v>
      </c>
      <c r="O438" s="1">
        <v>2</v>
      </c>
      <c r="P438" t="s">
        <v>4677</v>
      </c>
      <c r="Q438" t="s">
        <v>4678</v>
      </c>
      <c r="S438" t="s">
        <v>45</v>
      </c>
      <c r="T438" t="s">
        <v>4679</v>
      </c>
      <c r="U438" t="s">
        <v>4680</v>
      </c>
      <c r="V438">
        <v>2</v>
      </c>
      <c r="AE438" t="s">
        <v>48</v>
      </c>
      <c r="AF438" t="s">
        <v>4681</v>
      </c>
      <c r="AG438" t="s">
        <v>4682</v>
      </c>
      <c r="AH438" t="str">
        <f>HYPERLINK("http://compartments.jensenlab.org/Entity?figures=subcell_cell_%&amp;knowledge=10&amp;textmining=10&amp;experiments=10&amp;predictions=10&amp;type1=9606&amp;type2=-22&amp;id1=ENSP00000263512","link")</f>
        <v>link</v>
      </c>
      <c r="AJ438" t="s">
        <v>51</v>
      </c>
      <c r="AK438" t="str">
        <f>HYPERLINK("http://www.proteinatlas.org/P09131","HPA021656")</f>
        <v>HPA021656</v>
      </c>
      <c r="AM438">
        <v>8273</v>
      </c>
    </row>
    <row r="439" spans="1:39" x14ac:dyDescent="0.35">
      <c r="A439" t="s">
        <v>4683</v>
      </c>
      <c r="B439" t="str">
        <f>HYPERLINK("http://www.uniprot.org/uniprot/P09326","P09326")</f>
        <v>P09326</v>
      </c>
      <c r="C439" t="s">
        <v>4684</v>
      </c>
      <c r="D439" t="s">
        <v>4685</v>
      </c>
      <c r="E439" t="s">
        <v>39</v>
      </c>
      <c r="F439" t="s">
        <v>239</v>
      </c>
      <c r="H439">
        <v>243</v>
      </c>
      <c r="I439">
        <v>0</v>
      </c>
      <c r="J439">
        <v>1</v>
      </c>
      <c r="K439" t="s">
        <v>4686</v>
      </c>
      <c r="L439" t="s">
        <v>996</v>
      </c>
      <c r="N439">
        <v>0.77639999999999998</v>
      </c>
      <c r="O439" s="1" t="s">
        <v>997</v>
      </c>
      <c r="P439" t="s">
        <v>4687</v>
      </c>
      <c r="Q439" t="s">
        <v>4688</v>
      </c>
      <c r="R439" t="s">
        <v>4685</v>
      </c>
      <c r="S439" t="s">
        <v>60</v>
      </c>
      <c r="T439" t="s">
        <v>60</v>
      </c>
      <c r="U439" t="s">
        <v>4689</v>
      </c>
      <c r="V439">
        <v>6</v>
      </c>
      <c r="W439" t="s">
        <v>4689</v>
      </c>
      <c r="Z439" t="s">
        <v>107</v>
      </c>
      <c r="AA439">
        <v>45</v>
      </c>
      <c r="AB439" t="s">
        <v>4690</v>
      </c>
      <c r="AC439" t="s">
        <v>4689</v>
      </c>
      <c r="AD439" t="s">
        <v>4691</v>
      </c>
      <c r="AE439" t="s">
        <v>243</v>
      </c>
      <c r="AF439" t="s">
        <v>4692</v>
      </c>
      <c r="AG439" t="s">
        <v>4693</v>
      </c>
      <c r="AH439" t="str">
        <f>HYPERLINK("http://compartments.jensenlab.org/Entity?figures=subcell_cell_%&amp;knowledge=10&amp;textmining=10&amp;experiments=10&amp;predictions=10&amp;type1=9606&amp;type2=-22&amp;id1=ENSP00000357025","link")</f>
        <v>link</v>
      </c>
      <c r="AI439" t="s">
        <v>65</v>
      </c>
      <c r="AJ439" t="s">
        <v>51</v>
      </c>
      <c r="AK439" t="str">
        <f>HYPERLINK("http://www.proteinatlas.org/P09326","CAB002497")</f>
        <v>CAB002497</v>
      </c>
      <c r="AM439">
        <v>962</v>
      </c>
    </row>
    <row r="440" spans="1:39" x14ac:dyDescent="0.35">
      <c r="A440" t="s">
        <v>4694</v>
      </c>
      <c r="B440" t="str">
        <f>HYPERLINK("http://www.uniprot.org/uniprot/P09564","P09564")</f>
        <v>P09564</v>
      </c>
      <c r="C440" t="s">
        <v>4695</v>
      </c>
      <c r="D440" t="s">
        <v>4696</v>
      </c>
      <c r="E440" t="s">
        <v>39</v>
      </c>
      <c r="F440" t="s">
        <v>40</v>
      </c>
      <c r="H440">
        <v>240</v>
      </c>
      <c r="I440">
        <v>1</v>
      </c>
      <c r="J440">
        <v>1</v>
      </c>
      <c r="K440" t="s">
        <v>4697</v>
      </c>
      <c r="L440" t="s">
        <v>101</v>
      </c>
      <c r="N440">
        <v>0.89219999999999999</v>
      </c>
      <c r="O440" s="1">
        <v>1</v>
      </c>
      <c r="P440" t="s">
        <v>4698</v>
      </c>
      <c r="Q440" t="s">
        <v>4699</v>
      </c>
      <c r="R440" t="s">
        <v>4696</v>
      </c>
      <c r="S440" t="s">
        <v>60</v>
      </c>
      <c r="T440" t="s">
        <v>60</v>
      </c>
      <c r="U440" t="s">
        <v>4700</v>
      </c>
      <c r="V440">
        <v>2</v>
      </c>
      <c r="Z440" t="s">
        <v>107</v>
      </c>
      <c r="AA440">
        <v>13</v>
      </c>
      <c r="AB440" t="s">
        <v>4701</v>
      </c>
      <c r="AC440" t="s">
        <v>4700</v>
      </c>
      <c r="AD440" t="s">
        <v>4702</v>
      </c>
      <c r="AE440" t="s">
        <v>144</v>
      </c>
      <c r="AF440" t="s">
        <v>4703</v>
      </c>
      <c r="AG440" t="s">
        <v>4704</v>
      </c>
      <c r="AH440" t="str">
        <f>HYPERLINK("http://compartments.jensenlab.org/Entity?figures=subcell_cell_%&amp;knowledge=10&amp;textmining=10&amp;experiments=10&amp;predictions=10&amp;type1=9606&amp;type2=-22&amp;id1=ENSP00000312027","link")</f>
        <v>link</v>
      </c>
      <c r="AJ440" t="s">
        <v>51</v>
      </c>
      <c r="AK440" t="str">
        <f>HYPERLINK("http://www.proteinatlas.org/P09564","CAB002594;HPA039079")</f>
        <v>CAB002594;HPA039079</v>
      </c>
      <c r="AM440">
        <v>924</v>
      </c>
    </row>
    <row r="441" spans="1:39" x14ac:dyDescent="0.35">
      <c r="A441" t="s">
        <v>4705</v>
      </c>
      <c r="B441" t="str">
        <f>HYPERLINK("http://www.uniprot.org/uniprot/P09603","P09603")</f>
        <v>P09603</v>
      </c>
      <c r="C441" t="s">
        <v>4706</v>
      </c>
      <c r="D441" t="s">
        <v>4707</v>
      </c>
      <c r="E441" t="s">
        <v>39</v>
      </c>
      <c r="F441" t="s">
        <v>55</v>
      </c>
      <c r="H441">
        <v>554</v>
      </c>
      <c r="I441">
        <v>1</v>
      </c>
      <c r="J441">
        <v>1</v>
      </c>
      <c r="K441" t="s">
        <v>4708</v>
      </c>
      <c r="L441" t="s">
        <v>101</v>
      </c>
      <c r="M441" t="s">
        <v>39</v>
      </c>
      <c r="N441">
        <v>0.89200000000000002</v>
      </c>
      <c r="O441" s="1">
        <v>1</v>
      </c>
      <c r="P441" t="s">
        <v>4709</v>
      </c>
      <c r="Q441" t="s">
        <v>4710</v>
      </c>
      <c r="S441" t="s">
        <v>60</v>
      </c>
      <c r="T441" t="s">
        <v>60</v>
      </c>
      <c r="U441" t="s">
        <v>4711</v>
      </c>
      <c r="V441">
        <v>3</v>
      </c>
      <c r="W441" t="s">
        <v>4712</v>
      </c>
      <c r="X441" t="s">
        <v>4713</v>
      </c>
      <c r="Z441" t="s">
        <v>107</v>
      </c>
      <c r="AA441">
        <v>3</v>
      </c>
      <c r="AB441" t="s">
        <v>4714</v>
      </c>
      <c r="AC441">
        <v>154</v>
      </c>
      <c r="AD441" t="s">
        <v>4715</v>
      </c>
      <c r="AE441" t="s">
        <v>3583</v>
      </c>
      <c r="AF441" t="s">
        <v>4716</v>
      </c>
      <c r="AG441" t="s">
        <v>4717</v>
      </c>
      <c r="AH441" t="str">
        <f>HYPERLINK("http://compartments.jensenlab.org/Entity?figures=subcell_cell_%&amp;knowledge=10&amp;textmining=10&amp;experiments=10&amp;predictions=10&amp;type1=9606&amp;type2=-22&amp;id1=ENSP00000327513","link")</f>
        <v>link</v>
      </c>
      <c r="AI441" t="s">
        <v>1058</v>
      </c>
      <c r="AJ441" t="s">
        <v>902</v>
      </c>
      <c r="AK441" t="str">
        <f>HYPERLINK("http://www.proteinatlas.org/P09603","no")</f>
        <v>no</v>
      </c>
      <c r="AM441">
        <v>1435</v>
      </c>
    </row>
    <row r="442" spans="1:39" x14ac:dyDescent="0.35">
      <c r="A442" t="s">
        <v>4718</v>
      </c>
      <c r="B442" t="str">
        <f>HYPERLINK("http://www.uniprot.org/uniprot/P09619","P09619")</f>
        <v>P09619</v>
      </c>
      <c r="C442" t="s">
        <v>4719</v>
      </c>
      <c r="D442" t="s">
        <v>4720</v>
      </c>
      <c r="E442" t="s">
        <v>39</v>
      </c>
      <c r="F442" t="s">
        <v>55</v>
      </c>
      <c r="H442">
        <v>1106</v>
      </c>
      <c r="I442">
        <v>1</v>
      </c>
      <c r="J442">
        <v>1</v>
      </c>
      <c r="K442" t="s">
        <v>4721</v>
      </c>
      <c r="L442" t="s">
        <v>101</v>
      </c>
      <c r="M442" t="s">
        <v>39</v>
      </c>
      <c r="N442">
        <v>1</v>
      </c>
      <c r="O442" s="1">
        <v>1</v>
      </c>
      <c r="P442" t="s">
        <v>4722</v>
      </c>
      <c r="Q442" t="s">
        <v>4723</v>
      </c>
      <c r="R442" t="s">
        <v>4724</v>
      </c>
      <c r="S442" t="s">
        <v>166</v>
      </c>
      <c r="T442" t="s">
        <v>4272</v>
      </c>
      <c r="U442" t="s">
        <v>4725</v>
      </c>
      <c r="V442">
        <v>11</v>
      </c>
      <c r="W442" t="s">
        <v>4725</v>
      </c>
      <c r="Z442" t="s">
        <v>107</v>
      </c>
      <c r="AA442">
        <v>7</v>
      </c>
      <c r="AB442" t="s">
        <v>4726</v>
      </c>
      <c r="AC442" t="s">
        <v>4727</v>
      </c>
      <c r="AD442" t="s">
        <v>4728</v>
      </c>
      <c r="AE442" t="s">
        <v>4729</v>
      </c>
      <c r="AF442" t="s">
        <v>4730</v>
      </c>
      <c r="AG442" t="s">
        <v>4731</v>
      </c>
      <c r="AH442" t="str">
        <f>HYPERLINK("http://compartments.jensenlab.org/Entity?figures=subcell_cell_%&amp;knowledge=10&amp;textmining=10&amp;experiments=10&amp;predictions=10&amp;type1=9606&amp;type2=-22&amp;id1=ENSP00000261799","link")</f>
        <v>link</v>
      </c>
      <c r="AI442" t="s">
        <v>4732</v>
      </c>
      <c r="AJ442" t="s">
        <v>299</v>
      </c>
      <c r="AK442" t="str">
        <f>HYPERLINK("http://www.proteinatlas.org/P09619","CAB003842;CAB018144;HPA028499")</f>
        <v>CAB003842;CAB018144;HPA028499</v>
      </c>
      <c r="AL442" t="s">
        <v>4733</v>
      </c>
      <c r="AM442">
        <v>5159</v>
      </c>
    </row>
    <row r="443" spans="1:39" x14ac:dyDescent="0.35">
      <c r="A443" t="s">
        <v>4734</v>
      </c>
      <c r="B443" t="str">
        <f>HYPERLINK("http://www.uniprot.org/uniprot/P09693","P09693")</f>
        <v>P09693</v>
      </c>
      <c r="C443" t="s">
        <v>4735</v>
      </c>
      <c r="D443" t="s">
        <v>4736</v>
      </c>
      <c r="E443" t="s">
        <v>39</v>
      </c>
      <c r="F443" t="s">
        <v>40</v>
      </c>
      <c r="H443">
        <v>182</v>
      </c>
      <c r="I443">
        <v>1</v>
      </c>
      <c r="J443">
        <v>1</v>
      </c>
      <c r="K443" t="s">
        <v>4737</v>
      </c>
      <c r="L443" t="s">
        <v>101</v>
      </c>
      <c r="N443">
        <v>0.8044</v>
      </c>
      <c r="O443" s="1">
        <v>1</v>
      </c>
      <c r="P443" t="s">
        <v>4738</v>
      </c>
      <c r="Q443" t="s">
        <v>4739</v>
      </c>
      <c r="R443" t="s">
        <v>4740</v>
      </c>
      <c r="S443" t="s">
        <v>60</v>
      </c>
      <c r="T443" t="s">
        <v>60</v>
      </c>
      <c r="U443" t="s">
        <v>4741</v>
      </c>
      <c r="V443">
        <v>2</v>
      </c>
      <c r="W443">
        <v>52</v>
      </c>
      <c r="Z443" t="s">
        <v>107</v>
      </c>
      <c r="AA443">
        <v>1</v>
      </c>
      <c r="AB443" t="s">
        <v>4742</v>
      </c>
      <c r="AC443">
        <v>52</v>
      </c>
      <c r="AD443" t="s">
        <v>4743</v>
      </c>
      <c r="AE443" t="s">
        <v>144</v>
      </c>
      <c r="AF443" t="s">
        <v>4744</v>
      </c>
      <c r="AG443" t="s">
        <v>4745</v>
      </c>
      <c r="AH443" t="str">
        <f>HYPERLINK("http://compartments.jensenlab.org/Entity?figures=subcell_cell_%&amp;knowledge=10&amp;textmining=10&amp;experiments=10&amp;predictions=10&amp;type1=9606&amp;type2=-22&amp;id1=ENSP00000431445","link")</f>
        <v>link</v>
      </c>
      <c r="AK443" t="str">
        <f>HYPERLINK("http://www.proteinatlas.org/P09693","CAB017520;HPA038494")</f>
        <v>CAB017520;HPA038494</v>
      </c>
      <c r="AL443" t="s">
        <v>3887</v>
      </c>
      <c r="AM443">
        <v>917</v>
      </c>
    </row>
    <row r="444" spans="1:39" x14ac:dyDescent="0.35">
      <c r="A444" t="s">
        <v>4746</v>
      </c>
      <c r="B444" t="str">
        <f>HYPERLINK("http://www.uniprot.org/uniprot/P09758","P09758")</f>
        <v>P09758</v>
      </c>
      <c r="C444" t="s">
        <v>4747</v>
      </c>
      <c r="D444" t="s">
        <v>4748</v>
      </c>
      <c r="E444" t="s">
        <v>39</v>
      </c>
      <c r="F444" t="s">
        <v>40</v>
      </c>
      <c r="H444">
        <v>323</v>
      </c>
      <c r="I444">
        <v>1</v>
      </c>
      <c r="J444">
        <v>1</v>
      </c>
      <c r="K444" t="s">
        <v>4749</v>
      </c>
      <c r="L444" t="s">
        <v>101</v>
      </c>
      <c r="N444">
        <v>0.93210000000000004</v>
      </c>
      <c r="O444" s="1">
        <v>1</v>
      </c>
      <c r="P444" t="s">
        <v>4750</v>
      </c>
      <c r="Q444" t="s">
        <v>4751</v>
      </c>
      <c r="S444" t="s">
        <v>60</v>
      </c>
      <c r="T444" t="s">
        <v>60</v>
      </c>
      <c r="U444" t="s">
        <v>4752</v>
      </c>
      <c r="V444">
        <v>4</v>
      </c>
      <c r="W444" t="s">
        <v>4753</v>
      </c>
      <c r="Z444" t="s">
        <v>107</v>
      </c>
      <c r="AA444">
        <v>4</v>
      </c>
      <c r="AB444" t="s">
        <v>4754</v>
      </c>
      <c r="AC444">
        <v>168</v>
      </c>
      <c r="AD444" t="s">
        <v>4755</v>
      </c>
      <c r="AE444" t="s">
        <v>144</v>
      </c>
      <c r="AF444" t="s">
        <v>4756</v>
      </c>
      <c r="AG444" t="s">
        <v>4757</v>
      </c>
      <c r="AH444" t="str">
        <f>HYPERLINK("http://compartments.jensenlab.org/Entity?figures=subcell_cell_%&amp;knowledge=10&amp;textmining=10&amp;experiments=10&amp;predictions=10&amp;type1=9606&amp;type2=-22&amp;id1=ENSP00000360269","link")</f>
        <v>link</v>
      </c>
      <c r="AJ444" t="s">
        <v>4758</v>
      </c>
      <c r="AK444" t="str">
        <f>HYPERLINK("http://www.proteinatlas.org/P09758","HPA043104;HPA055067;CAB072852")</f>
        <v>HPA043104;HPA055067;CAB072852</v>
      </c>
      <c r="AM444">
        <v>4070</v>
      </c>
    </row>
    <row r="445" spans="1:39" x14ac:dyDescent="0.35">
      <c r="A445" t="s">
        <v>4759</v>
      </c>
      <c r="B445" t="str">
        <f>HYPERLINK("http://www.uniprot.org/uniprot/P09848","P09848")</f>
        <v>P09848</v>
      </c>
      <c r="C445" t="s">
        <v>4760</v>
      </c>
      <c r="D445" t="s">
        <v>4761</v>
      </c>
      <c r="E445" t="s">
        <v>39</v>
      </c>
      <c r="F445" t="s">
        <v>55</v>
      </c>
      <c r="H445">
        <v>1927</v>
      </c>
      <c r="I445">
        <v>1</v>
      </c>
      <c r="J445">
        <v>1</v>
      </c>
      <c r="K445" t="s">
        <v>4762</v>
      </c>
      <c r="L445" t="s">
        <v>57</v>
      </c>
      <c r="M445" t="s">
        <v>39</v>
      </c>
      <c r="N445">
        <v>0.8306</v>
      </c>
      <c r="O445" s="1">
        <v>1</v>
      </c>
      <c r="P445" t="s">
        <v>4763</v>
      </c>
      <c r="Q445" t="s">
        <v>4764</v>
      </c>
      <c r="S445" t="s">
        <v>947</v>
      </c>
      <c r="T445" t="s">
        <v>4765</v>
      </c>
      <c r="U445" t="s">
        <v>4766</v>
      </c>
      <c r="V445">
        <v>15</v>
      </c>
      <c r="W445" t="s">
        <v>4767</v>
      </c>
      <c r="AE445" t="s">
        <v>4768</v>
      </c>
      <c r="AF445" t="s">
        <v>4769</v>
      </c>
      <c r="AG445" t="s">
        <v>4770</v>
      </c>
      <c r="AH445" t="str">
        <f>HYPERLINK("http://compartments.jensenlab.org/Entity?figures=subcell_cell_%&amp;knowledge=10&amp;textmining=10&amp;experiments=10&amp;predictions=10&amp;type1=9606&amp;type2=-22&amp;id1=ENSP00000264162","link")</f>
        <v>link</v>
      </c>
      <c r="AI445" t="s">
        <v>65</v>
      </c>
      <c r="AJ445" t="s">
        <v>51</v>
      </c>
      <c r="AK445" t="str">
        <f>HYPERLINK("http://www.proteinatlas.org/P09848","HPA007408")</f>
        <v>HPA007408</v>
      </c>
      <c r="AL445" t="s">
        <v>4771</v>
      </c>
      <c r="AM445">
        <v>3938</v>
      </c>
    </row>
    <row r="446" spans="1:39" x14ac:dyDescent="0.35">
      <c r="A446" t="s">
        <v>4772</v>
      </c>
      <c r="B446" t="str">
        <f>HYPERLINK("http://www.uniprot.org/uniprot/P09923","P09923")</f>
        <v>P09923</v>
      </c>
      <c r="C446" t="s">
        <v>4773</v>
      </c>
      <c r="D446" t="s">
        <v>4774</v>
      </c>
      <c r="E446" t="s">
        <v>39</v>
      </c>
      <c r="F446" t="s">
        <v>239</v>
      </c>
      <c r="H446">
        <v>528</v>
      </c>
      <c r="I446">
        <v>0</v>
      </c>
      <c r="J446">
        <v>1</v>
      </c>
      <c r="K446" t="s">
        <v>4775</v>
      </c>
      <c r="L446" t="s">
        <v>57</v>
      </c>
      <c r="N446">
        <v>0.68459999999999999</v>
      </c>
      <c r="O446" s="1" t="s">
        <v>241</v>
      </c>
      <c r="P446" t="s">
        <v>4776</v>
      </c>
      <c r="Q446" t="s">
        <v>4777</v>
      </c>
      <c r="U446" t="s">
        <v>4778</v>
      </c>
      <c r="V446">
        <v>3</v>
      </c>
      <c r="W446" t="s">
        <v>4778</v>
      </c>
      <c r="Y446">
        <v>264</v>
      </c>
      <c r="AE446" t="s">
        <v>243</v>
      </c>
      <c r="AF446" t="s">
        <v>4779</v>
      </c>
      <c r="AG446" t="s">
        <v>4780</v>
      </c>
      <c r="AH446" t="str">
        <f>HYPERLINK("http://compartments.jensenlab.org/Entity?figures=subcell_cell_%&amp;knowledge=10&amp;textmining=10&amp;experiments=10&amp;predictions=10&amp;type1=9606&amp;type2=-22&amp;id1=ENSP00000295463","link")</f>
        <v>link</v>
      </c>
      <c r="AI446" t="s">
        <v>65</v>
      </c>
      <c r="AJ446" t="s">
        <v>51</v>
      </c>
      <c r="AK446" t="str">
        <f>HYPERLINK("http://www.proteinatlas.org/P09923","HPA038764;HPA038765;HPA051699")</f>
        <v>HPA038764;HPA038765;HPA051699</v>
      </c>
      <c r="AM446">
        <v>248</v>
      </c>
    </row>
    <row r="447" spans="1:39" x14ac:dyDescent="0.35">
      <c r="A447" t="s">
        <v>4781</v>
      </c>
      <c r="B447" t="str">
        <f>HYPERLINK("http://www.uniprot.org/uniprot/P09958","P09958")</f>
        <v>P09958</v>
      </c>
      <c r="C447" t="s">
        <v>4782</v>
      </c>
      <c r="D447" t="s">
        <v>4783</v>
      </c>
      <c r="E447" t="s">
        <v>39</v>
      </c>
      <c r="F447" t="s">
        <v>40</v>
      </c>
      <c r="H447">
        <v>794</v>
      </c>
      <c r="I447">
        <v>1</v>
      </c>
      <c r="J447">
        <v>1</v>
      </c>
      <c r="K447" t="s">
        <v>4784</v>
      </c>
      <c r="L447" t="s">
        <v>42</v>
      </c>
      <c r="N447">
        <v>0.89419999999999999</v>
      </c>
      <c r="O447" s="1">
        <v>1</v>
      </c>
      <c r="P447" t="s">
        <v>4785</v>
      </c>
      <c r="Q447" t="s">
        <v>4786</v>
      </c>
      <c r="S447" t="s">
        <v>947</v>
      </c>
      <c r="T447" t="s">
        <v>4787</v>
      </c>
      <c r="U447" t="s">
        <v>4788</v>
      </c>
      <c r="V447">
        <v>3</v>
      </c>
      <c r="W447" t="s">
        <v>4788</v>
      </c>
      <c r="X447" t="s">
        <v>4789</v>
      </c>
      <c r="Y447">
        <v>6</v>
      </c>
      <c r="AE447" t="s">
        <v>4790</v>
      </c>
      <c r="AF447" t="s">
        <v>4791</v>
      </c>
      <c r="AG447" t="s">
        <v>4792</v>
      </c>
      <c r="AH447" t="str">
        <f>HYPERLINK("http://compartments.jensenlab.org/Entity?figures=subcell_cell_%&amp;knowledge=10&amp;textmining=10&amp;experiments=10&amp;predictions=10&amp;type1=9606&amp;type2=-22&amp;id1=ENSP00000268171","link")</f>
        <v>link</v>
      </c>
      <c r="AI447" t="s">
        <v>1216</v>
      </c>
      <c r="AJ447" t="s">
        <v>981</v>
      </c>
      <c r="AK447" t="str">
        <f>HYPERLINK("http://www.proteinatlas.org/P09958","CAB009499")</f>
        <v>CAB009499</v>
      </c>
      <c r="AM447">
        <v>5045</v>
      </c>
    </row>
    <row r="448" spans="1:39" x14ac:dyDescent="0.35">
      <c r="A448" t="s">
        <v>4793</v>
      </c>
      <c r="B448" t="str">
        <f>HYPERLINK("http://www.uniprot.org/uniprot/P0C604","P0C604")</f>
        <v>P0C604</v>
      </c>
      <c r="C448" t="s">
        <v>4794</v>
      </c>
      <c r="D448" t="s">
        <v>4795</v>
      </c>
      <c r="E448" t="s">
        <v>39</v>
      </c>
      <c r="F448" t="s">
        <v>40</v>
      </c>
      <c r="H448">
        <v>315</v>
      </c>
      <c r="I448">
        <v>7</v>
      </c>
      <c r="J448">
        <v>0</v>
      </c>
      <c r="K448" t="s">
        <v>4796</v>
      </c>
      <c r="L448" t="s">
        <v>57</v>
      </c>
      <c r="N448">
        <v>0.97799999999999998</v>
      </c>
      <c r="O448" s="1">
        <v>1</v>
      </c>
      <c r="S448" t="s">
        <v>166</v>
      </c>
      <c r="T448" t="s">
        <v>2880</v>
      </c>
      <c r="U448">
        <v>6</v>
      </c>
      <c r="V448">
        <v>1</v>
      </c>
      <c r="AE448" t="s">
        <v>74</v>
      </c>
      <c r="AF448" t="s">
        <v>169</v>
      </c>
      <c r="AG448" t="s">
        <v>4797</v>
      </c>
      <c r="AK448" t="str">
        <f>HYPERLINK("http://www.proteinatlas.org/P0C604","no")</f>
        <v>no</v>
      </c>
    </row>
    <row r="449" spans="1:39" x14ac:dyDescent="0.35">
      <c r="A449" t="s">
        <v>4798</v>
      </c>
      <c r="B449" t="str">
        <f>HYPERLINK("http://www.uniprot.org/uniprot/P0C617","P0C617")</f>
        <v>P0C617</v>
      </c>
      <c r="C449" t="s">
        <v>4799</v>
      </c>
      <c r="D449" t="s">
        <v>4800</v>
      </c>
      <c r="E449" t="s">
        <v>39</v>
      </c>
      <c r="F449" t="s">
        <v>40</v>
      </c>
      <c r="H449">
        <v>328</v>
      </c>
      <c r="I449">
        <v>7</v>
      </c>
      <c r="J449">
        <v>0</v>
      </c>
      <c r="K449" t="s">
        <v>4801</v>
      </c>
      <c r="L449" t="s">
        <v>57</v>
      </c>
      <c r="N449">
        <v>0.96809999999999996</v>
      </c>
      <c r="O449" s="1">
        <v>1</v>
      </c>
      <c r="S449" t="s">
        <v>166</v>
      </c>
      <c r="T449" t="s">
        <v>167</v>
      </c>
      <c r="U449">
        <v>21</v>
      </c>
      <c r="V449">
        <v>1</v>
      </c>
      <c r="AE449" t="s">
        <v>74</v>
      </c>
      <c r="AF449" t="s">
        <v>549</v>
      </c>
      <c r="AG449" t="s">
        <v>4802</v>
      </c>
      <c r="AK449" t="str">
        <f>HYPERLINK("http://www.proteinatlas.org/P0C617","no")</f>
        <v>no</v>
      </c>
    </row>
    <row r="450" spans="1:39" x14ac:dyDescent="0.35">
      <c r="A450" t="s">
        <v>4803</v>
      </c>
      <c r="B450" t="str">
        <f>HYPERLINK("http://www.uniprot.org/uniprot/P0C623","P0C623")</f>
        <v>P0C623</v>
      </c>
      <c r="C450" t="s">
        <v>4804</v>
      </c>
      <c r="D450" t="s">
        <v>4805</v>
      </c>
      <c r="E450" t="s">
        <v>39</v>
      </c>
      <c r="F450" t="s">
        <v>40</v>
      </c>
      <c r="H450">
        <v>313</v>
      </c>
      <c r="I450">
        <v>7</v>
      </c>
      <c r="J450">
        <v>0</v>
      </c>
      <c r="K450" t="s">
        <v>4806</v>
      </c>
      <c r="L450" t="s">
        <v>57</v>
      </c>
      <c r="N450">
        <v>0.98</v>
      </c>
      <c r="O450" s="1">
        <v>1</v>
      </c>
      <c r="S450" t="s">
        <v>166</v>
      </c>
      <c r="T450" t="s">
        <v>167</v>
      </c>
      <c r="U450" t="s">
        <v>4807</v>
      </c>
      <c r="V450">
        <v>1</v>
      </c>
      <c r="AE450" t="s">
        <v>74</v>
      </c>
      <c r="AF450" t="s">
        <v>169</v>
      </c>
      <c r="AG450" t="s">
        <v>4808</v>
      </c>
      <c r="AK450" t="str">
        <f>HYPERLINK("http://www.proteinatlas.org/P0C623","no")</f>
        <v>no</v>
      </c>
    </row>
    <row r="451" spans="1:39" x14ac:dyDescent="0.35">
      <c r="A451" t="s">
        <v>4809</v>
      </c>
      <c r="B451" t="str">
        <f>HYPERLINK("http://www.uniprot.org/uniprot/P0C626","P0C626")</f>
        <v>P0C626</v>
      </c>
      <c r="C451" t="s">
        <v>4810</v>
      </c>
      <c r="D451" t="s">
        <v>4811</v>
      </c>
      <c r="E451" t="s">
        <v>39</v>
      </c>
      <c r="F451" t="s">
        <v>40</v>
      </c>
      <c r="H451">
        <v>314</v>
      </c>
      <c r="I451">
        <v>7</v>
      </c>
      <c r="J451">
        <v>0</v>
      </c>
      <c r="K451" t="s">
        <v>4812</v>
      </c>
      <c r="L451" t="s">
        <v>57</v>
      </c>
      <c r="N451">
        <v>0.85429999999999995</v>
      </c>
      <c r="O451" s="1">
        <v>1</v>
      </c>
      <c r="S451" t="s">
        <v>166</v>
      </c>
      <c r="T451" t="s">
        <v>167</v>
      </c>
      <c r="U451">
        <v>5</v>
      </c>
      <c r="V451">
        <v>1</v>
      </c>
      <c r="AE451" t="s">
        <v>74</v>
      </c>
      <c r="AF451" t="s">
        <v>967</v>
      </c>
      <c r="AG451" t="s">
        <v>4813</v>
      </c>
      <c r="AK451" t="str">
        <f>HYPERLINK("http://www.proteinatlas.org/P0C626","no")</f>
        <v>no</v>
      </c>
    </row>
    <row r="452" spans="1:39" x14ac:dyDescent="0.35">
      <c r="A452" t="s">
        <v>4814</v>
      </c>
      <c r="B452" t="str">
        <f>HYPERLINK("http://www.uniprot.org/uniprot/P0C628","P0C628")</f>
        <v>P0C628</v>
      </c>
      <c r="C452" t="s">
        <v>4815</v>
      </c>
      <c r="D452" t="s">
        <v>4816</v>
      </c>
      <c r="E452" t="s">
        <v>39</v>
      </c>
      <c r="F452" t="s">
        <v>40</v>
      </c>
      <c r="H452">
        <v>307</v>
      </c>
      <c r="I452">
        <v>7</v>
      </c>
      <c r="J452">
        <v>0</v>
      </c>
      <c r="K452" t="s">
        <v>4817</v>
      </c>
      <c r="L452" t="s">
        <v>57</v>
      </c>
      <c r="N452">
        <v>0.76049999999999995</v>
      </c>
      <c r="O452" s="1">
        <v>1</v>
      </c>
      <c r="S452" t="s">
        <v>166</v>
      </c>
      <c r="T452" t="s">
        <v>167</v>
      </c>
      <c r="U452">
        <v>107</v>
      </c>
      <c r="V452">
        <v>0</v>
      </c>
      <c r="AE452" t="s">
        <v>74</v>
      </c>
      <c r="AF452" t="s">
        <v>368</v>
      </c>
      <c r="AG452" t="s">
        <v>4818</v>
      </c>
      <c r="AK452" t="str">
        <f>HYPERLINK("http://www.proteinatlas.org/P0C628","no")</f>
        <v>no</v>
      </c>
    </row>
    <row r="453" spans="1:39" x14ac:dyDescent="0.35">
      <c r="A453" t="s">
        <v>4819</v>
      </c>
      <c r="B453" t="str">
        <f>HYPERLINK("http://www.uniprot.org/uniprot/P0C629","P0C629")</f>
        <v>P0C629</v>
      </c>
      <c r="C453" t="s">
        <v>4820</v>
      </c>
      <c r="D453" t="s">
        <v>4821</v>
      </c>
      <c r="E453" t="s">
        <v>39</v>
      </c>
      <c r="F453" t="s">
        <v>40</v>
      </c>
      <c r="H453">
        <v>311</v>
      </c>
      <c r="I453">
        <v>7</v>
      </c>
      <c r="J453">
        <v>0</v>
      </c>
      <c r="K453" t="s">
        <v>4822</v>
      </c>
      <c r="L453" t="s">
        <v>57</v>
      </c>
      <c r="N453">
        <v>0.82440000000000002</v>
      </c>
      <c r="O453" s="1">
        <v>1</v>
      </c>
      <c r="S453" t="s">
        <v>166</v>
      </c>
      <c r="T453" t="s">
        <v>167</v>
      </c>
      <c r="V453">
        <v>0</v>
      </c>
      <c r="AE453" t="s">
        <v>74</v>
      </c>
      <c r="AF453" t="s">
        <v>368</v>
      </c>
      <c r="AG453" t="s">
        <v>4823</v>
      </c>
      <c r="AK453" t="str">
        <f>HYPERLINK("http://www.proteinatlas.org/P0C629","no")</f>
        <v>no</v>
      </c>
    </row>
    <row r="454" spans="1:39" x14ac:dyDescent="0.35">
      <c r="A454" t="s">
        <v>4824</v>
      </c>
      <c r="B454" t="str">
        <f>HYPERLINK("http://www.uniprot.org/uniprot/P0C645","P0C645")</f>
        <v>P0C645</v>
      </c>
      <c r="C454" t="s">
        <v>4825</v>
      </c>
      <c r="D454" t="s">
        <v>4826</v>
      </c>
      <c r="E454" t="s">
        <v>39</v>
      </c>
      <c r="F454" t="s">
        <v>40</v>
      </c>
      <c r="H454">
        <v>316</v>
      </c>
      <c r="I454">
        <v>7</v>
      </c>
      <c r="J454">
        <v>0</v>
      </c>
      <c r="K454" t="s">
        <v>4827</v>
      </c>
      <c r="L454" t="s">
        <v>57</v>
      </c>
      <c r="N454">
        <v>0.92810000000000004</v>
      </c>
      <c r="O454" s="1">
        <v>1</v>
      </c>
      <c r="S454" t="s">
        <v>166</v>
      </c>
      <c r="T454" t="s">
        <v>167</v>
      </c>
      <c r="U454" t="s">
        <v>4828</v>
      </c>
      <c r="V454">
        <v>1</v>
      </c>
      <c r="AE454" t="s">
        <v>74</v>
      </c>
      <c r="AF454" t="s">
        <v>169</v>
      </c>
      <c r="AG454" t="s">
        <v>4829</v>
      </c>
      <c r="AK454" t="str">
        <f>HYPERLINK("http://www.proteinatlas.org/P0C645","no")</f>
        <v>no</v>
      </c>
    </row>
    <row r="455" spans="1:39" x14ac:dyDescent="0.35">
      <c r="A455" t="s">
        <v>4830</v>
      </c>
      <c r="B455" t="str">
        <f>HYPERLINK("http://www.uniprot.org/uniprot/P0C646","P0C646")</f>
        <v>P0C646</v>
      </c>
      <c r="C455" t="s">
        <v>4831</v>
      </c>
      <c r="D455" t="s">
        <v>4832</v>
      </c>
      <c r="E455" t="s">
        <v>39</v>
      </c>
      <c r="F455" t="s">
        <v>40</v>
      </c>
      <c r="H455">
        <v>297</v>
      </c>
      <c r="I455">
        <v>7</v>
      </c>
      <c r="J455">
        <v>0</v>
      </c>
      <c r="K455" t="s">
        <v>4833</v>
      </c>
      <c r="L455" t="s">
        <v>57</v>
      </c>
      <c r="N455">
        <v>0.73450000000000004</v>
      </c>
      <c r="O455" s="1">
        <v>2</v>
      </c>
      <c r="S455" t="s">
        <v>166</v>
      </c>
      <c r="T455" t="s">
        <v>167</v>
      </c>
      <c r="V455">
        <v>0</v>
      </c>
      <c r="AE455" t="s">
        <v>74</v>
      </c>
      <c r="AF455" t="s">
        <v>368</v>
      </c>
      <c r="AG455" t="s">
        <v>4834</v>
      </c>
      <c r="AK455" t="str">
        <f>HYPERLINK("http://www.proteinatlas.org/P0C646","no")</f>
        <v>no</v>
      </c>
    </row>
    <row r="456" spans="1:39" x14ac:dyDescent="0.35">
      <c r="A456" t="s">
        <v>4835</v>
      </c>
      <c r="B456" t="str">
        <f>HYPERLINK("http://www.uniprot.org/uniprot/P0C6S8","P0C6S8")</f>
        <v>P0C6S8</v>
      </c>
      <c r="C456" t="s">
        <v>4836</v>
      </c>
      <c r="D456" t="s">
        <v>4837</v>
      </c>
      <c r="E456" t="s">
        <v>39</v>
      </c>
      <c r="F456" t="s">
        <v>40</v>
      </c>
      <c r="H456">
        <v>592</v>
      </c>
      <c r="I456">
        <v>1</v>
      </c>
      <c r="J456">
        <v>1</v>
      </c>
      <c r="K456" t="s">
        <v>4838</v>
      </c>
      <c r="L456" t="s">
        <v>57</v>
      </c>
      <c r="N456">
        <v>0.85029999999999994</v>
      </c>
      <c r="O456" s="1">
        <v>1</v>
      </c>
      <c r="P456" t="s">
        <v>4839</v>
      </c>
      <c r="Q456" t="s">
        <v>4840</v>
      </c>
      <c r="S456" t="s">
        <v>91</v>
      </c>
      <c r="T456" t="s">
        <v>260</v>
      </c>
      <c r="U456" t="s">
        <v>4841</v>
      </c>
      <c r="V456">
        <v>9</v>
      </c>
      <c r="AE456" t="s">
        <v>144</v>
      </c>
      <c r="AF456" t="s">
        <v>2643</v>
      </c>
      <c r="AG456" t="s">
        <v>4842</v>
      </c>
      <c r="AH456" t="str">
        <f>HYPERLINK("http://compartments.jensenlab.org/Entity?figures=subcell_cell_%&amp;knowledge=10&amp;textmining=10&amp;experiments=10&amp;predictions=10&amp;type1=9606&amp;type2=-22&amp;id1=ENSP00000467753","link")</f>
        <v>link</v>
      </c>
      <c r="AK456" t="str">
        <f>HYPERLINK("http://www.proteinatlas.org/P0C6S8","HPA055932")</f>
        <v>HPA055932</v>
      </c>
      <c r="AM456">
        <v>645191</v>
      </c>
    </row>
    <row r="457" spans="1:39" x14ac:dyDescent="0.35">
      <c r="A457" t="s">
        <v>4843</v>
      </c>
      <c r="B457" t="str">
        <f>HYPERLINK("http://www.uniprot.org/uniprot/P0C7N1","P0C7N1")</f>
        <v>P0C7N1</v>
      </c>
      <c r="C457" t="s">
        <v>4844</v>
      </c>
      <c r="D457" t="s">
        <v>4845</v>
      </c>
      <c r="E457" t="s">
        <v>39</v>
      </c>
      <c r="F457" t="s">
        <v>40</v>
      </c>
      <c r="H457">
        <v>319</v>
      </c>
      <c r="I457">
        <v>7</v>
      </c>
      <c r="J457">
        <v>0</v>
      </c>
      <c r="K457" t="s">
        <v>4846</v>
      </c>
      <c r="L457" t="s">
        <v>57</v>
      </c>
      <c r="N457">
        <v>0.96409999999999996</v>
      </c>
      <c r="O457" s="1">
        <v>1</v>
      </c>
      <c r="S457" t="s">
        <v>166</v>
      </c>
      <c r="T457" t="s">
        <v>167</v>
      </c>
      <c r="U457">
        <v>5</v>
      </c>
      <c r="V457">
        <v>1</v>
      </c>
      <c r="AE457" t="s">
        <v>74</v>
      </c>
      <c r="AF457" t="s">
        <v>549</v>
      </c>
      <c r="AG457" t="s">
        <v>4847</v>
      </c>
      <c r="AK457" t="str">
        <f>HYPERLINK("http://www.proteinatlas.org/P0C7N1","no")</f>
        <v>no</v>
      </c>
    </row>
    <row r="458" spans="1:39" x14ac:dyDescent="0.35">
      <c r="A458" t="s">
        <v>4848</v>
      </c>
      <c r="B458" t="str">
        <f>HYPERLINK("http://www.uniprot.org/uniprot/P0C7N5","P0C7N5")</f>
        <v>P0C7N5</v>
      </c>
      <c r="C458" t="s">
        <v>4849</v>
      </c>
      <c r="D458" t="s">
        <v>4850</v>
      </c>
      <c r="E458" t="s">
        <v>39</v>
      </c>
      <c r="F458" t="s">
        <v>40</v>
      </c>
      <c r="H458">
        <v>309</v>
      </c>
      <c r="I458">
        <v>7</v>
      </c>
      <c r="J458">
        <v>0</v>
      </c>
      <c r="K458" t="s">
        <v>4851</v>
      </c>
      <c r="L458" t="s">
        <v>57</v>
      </c>
      <c r="N458">
        <v>0.99</v>
      </c>
      <c r="O458" s="1">
        <v>1</v>
      </c>
      <c r="S458" t="s">
        <v>166</v>
      </c>
      <c r="T458" t="s">
        <v>167</v>
      </c>
      <c r="U458">
        <v>5</v>
      </c>
      <c r="V458">
        <v>1</v>
      </c>
      <c r="AE458" t="s">
        <v>74</v>
      </c>
      <c r="AF458" t="s">
        <v>549</v>
      </c>
      <c r="AG458" t="s">
        <v>4852</v>
      </c>
      <c r="AK458" t="str">
        <f>HYPERLINK("http://www.proteinatlas.org/P0C7N5","no")</f>
        <v>no</v>
      </c>
      <c r="AM458">
        <v>504190</v>
      </c>
    </row>
    <row r="459" spans="1:39" x14ac:dyDescent="0.35">
      <c r="A459" t="s">
        <v>4853</v>
      </c>
      <c r="B459" t="str">
        <f>HYPERLINK("http://www.uniprot.org/uniprot/P0C7N8","P0C7N8")</f>
        <v>P0C7N8</v>
      </c>
      <c r="C459" t="s">
        <v>4854</v>
      </c>
      <c r="D459" t="s">
        <v>4855</v>
      </c>
      <c r="E459" t="s">
        <v>39</v>
      </c>
      <c r="F459" t="s">
        <v>40</v>
      </c>
      <c r="H459">
        <v>305</v>
      </c>
      <c r="I459">
        <v>7</v>
      </c>
      <c r="J459">
        <v>0</v>
      </c>
      <c r="K459" t="s">
        <v>4856</v>
      </c>
      <c r="L459" t="s">
        <v>57</v>
      </c>
      <c r="N459">
        <v>0.94010000000000005</v>
      </c>
      <c r="O459" s="1">
        <v>1</v>
      </c>
      <c r="S459" t="s">
        <v>166</v>
      </c>
      <c r="T459" t="s">
        <v>167</v>
      </c>
      <c r="U459" t="s">
        <v>4857</v>
      </c>
      <c r="V459">
        <v>1</v>
      </c>
      <c r="AE459" t="s">
        <v>74</v>
      </c>
      <c r="AF459" t="s">
        <v>549</v>
      </c>
      <c r="AG459" t="s">
        <v>4858</v>
      </c>
      <c r="AK459" t="str">
        <f>HYPERLINK("http://www.proteinatlas.org/P0C7N8","no")</f>
        <v>no</v>
      </c>
    </row>
    <row r="460" spans="1:39" x14ac:dyDescent="0.35">
      <c r="A460" t="s">
        <v>4859</v>
      </c>
      <c r="B460" t="str">
        <f>HYPERLINK("http://www.uniprot.org/uniprot/P0C7T2","P0C7T2")</f>
        <v>P0C7T2</v>
      </c>
      <c r="C460" t="s">
        <v>4860</v>
      </c>
      <c r="D460" t="s">
        <v>4861</v>
      </c>
      <c r="E460" t="s">
        <v>39</v>
      </c>
      <c r="F460" t="s">
        <v>40</v>
      </c>
      <c r="H460">
        <v>308</v>
      </c>
      <c r="I460">
        <v>7</v>
      </c>
      <c r="J460">
        <v>0</v>
      </c>
      <c r="K460" t="s">
        <v>4862</v>
      </c>
      <c r="L460" t="s">
        <v>57</v>
      </c>
      <c r="N460">
        <v>0.65069999999999995</v>
      </c>
      <c r="O460" s="1">
        <v>2</v>
      </c>
      <c r="P460" t="s">
        <v>4863</v>
      </c>
      <c r="Q460" t="s">
        <v>4864</v>
      </c>
      <c r="S460" t="s">
        <v>166</v>
      </c>
      <c r="T460" t="s">
        <v>167</v>
      </c>
      <c r="V460">
        <v>0</v>
      </c>
      <c r="AE460" t="s">
        <v>74</v>
      </c>
      <c r="AF460" t="s">
        <v>277</v>
      </c>
      <c r="AG460" t="s">
        <v>4865</v>
      </c>
      <c r="AH460" t="str">
        <f>HYPERLINK("http://compartments.jensenlab.org/Entity?figures=subcell_cell_%&amp;knowledge=10&amp;textmining=10&amp;experiments=10&amp;predictions=10&amp;type1=9606&amp;type2=-22&amp;id1=ENSP00000475521","link")</f>
        <v>link</v>
      </c>
      <c r="AK460" t="str">
        <f>HYPERLINK("http://www.proteinatlas.org/P0C7T2","no")</f>
        <v>no</v>
      </c>
    </row>
    <row r="461" spans="1:39" x14ac:dyDescent="0.35">
      <c r="A461" t="s">
        <v>4866</v>
      </c>
      <c r="B461" t="str">
        <f>HYPERLINK("http://www.uniprot.org/uniprot/P0C7T3","P0C7T3")</f>
        <v>P0C7T3</v>
      </c>
      <c r="C461" t="s">
        <v>4867</v>
      </c>
      <c r="D461" t="s">
        <v>4868</v>
      </c>
      <c r="E461" t="s">
        <v>39</v>
      </c>
      <c r="F461" t="s">
        <v>40</v>
      </c>
      <c r="H461">
        <v>313</v>
      </c>
      <c r="I461">
        <v>7</v>
      </c>
      <c r="J461">
        <v>0</v>
      </c>
      <c r="K461" t="s">
        <v>4869</v>
      </c>
      <c r="L461" t="s">
        <v>57</v>
      </c>
      <c r="N461">
        <v>0.94810000000000005</v>
      </c>
      <c r="O461" s="1">
        <v>1</v>
      </c>
      <c r="P461" t="s">
        <v>4870</v>
      </c>
      <c r="Q461" t="s">
        <v>4871</v>
      </c>
      <c r="S461" t="s">
        <v>166</v>
      </c>
      <c r="T461" t="s">
        <v>2880</v>
      </c>
      <c r="U461" t="s">
        <v>4872</v>
      </c>
      <c r="V461">
        <v>4</v>
      </c>
      <c r="Y461">
        <v>26</v>
      </c>
      <c r="AE461" t="s">
        <v>74</v>
      </c>
      <c r="AF461" t="s">
        <v>549</v>
      </c>
      <c r="AG461" t="s">
        <v>4873</v>
      </c>
      <c r="AH461" t="str">
        <f>HYPERLINK("http://compartments.jensenlab.org/Entity?figures=subcell_cell_%&amp;knowledge=10&amp;textmining=10&amp;experiments=10&amp;predictions=10&amp;type1=9606&amp;type2=-22&amp;id1=ENSP00000481594","link")</f>
        <v>link</v>
      </c>
      <c r="AK461" t="str">
        <f>HYPERLINK("http://www.proteinatlas.org/P0C7T3","no")</f>
        <v>no</v>
      </c>
      <c r="AM461">
        <v>390084</v>
      </c>
    </row>
    <row r="462" spans="1:39" x14ac:dyDescent="0.35">
      <c r="A462" t="s">
        <v>4874</v>
      </c>
      <c r="B462" t="str">
        <f>HYPERLINK("http://www.uniprot.org/uniprot/P0C7U0","P0C7U0")</f>
        <v>P0C7U0</v>
      </c>
      <c r="C462" t="s">
        <v>4875</v>
      </c>
      <c r="D462" t="s">
        <v>4876</v>
      </c>
      <c r="E462" t="s">
        <v>39</v>
      </c>
      <c r="F462" t="s">
        <v>40</v>
      </c>
      <c r="H462">
        <v>828</v>
      </c>
      <c r="I462">
        <v>1</v>
      </c>
      <c r="J462">
        <v>1</v>
      </c>
      <c r="K462" t="s">
        <v>4877</v>
      </c>
      <c r="L462" t="s">
        <v>101</v>
      </c>
      <c r="N462">
        <v>0.92020000000000002</v>
      </c>
      <c r="O462" s="1">
        <v>1</v>
      </c>
      <c r="P462" t="s">
        <v>4878</v>
      </c>
      <c r="Q462" t="s">
        <v>4879</v>
      </c>
      <c r="S462" t="s">
        <v>91</v>
      </c>
      <c r="T462" t="s">
        <v>260</v>
      </c>
      <c r="U462" t="s">
        <v>4880</v>
      </c>
      <c r="V462">
        <v>8</v>
      </c>
      <c r="Z462" t="s">
        <v>107</v>
      </c>
      <c r="AA462">
        <v>2</v>
      </c>
      <c r="AB462" t="s">
        <v>4881</v>
      </c>
      <c r="AC462" t="s">
        <v>4882</v>
      </c>
      <c r="AD462" t="s">
        <v>4883</v>
      </c>
      <c r="AE462" t="s">
        <v>4884</v>
      </c>
      <c r="AF462" t="s">
        <v>4885</v>
      </c>
      <c r="AG462" t="s">
        <v>4886</v>
      </c>
      <c r="AH462" t="str">
        <f>HYPERLINK("http://compartments.jensenlab.org/Entity?figures=subcell_cell_%&amp;knowledge=10&amp;textmining=10&amp;experiments=10&amp;predictions=10&amp;type1=9606&amp;type2=-22&amp;id1=ENSP00000456548","link")</f>
        <v>link</v>
      </c>
      <c r="AK462" t="str">
        <f>HYPERLINK("http://www.proteinatlas.org/P0C7U0","no")</f>
        <v>no</v>
      </c>
      <c r="AM462">
        <v>392617</v>
      </c>
    </row>
    <row r="463" spans="1:39" x14ac:dyDescent="0.35">
      <c r="A463" t="s">
        <v>4887</v>
      </c>
      <c r="B463" t="str">
        <f>HYPERLINK("http://www.uniprot.org/uniprot/P0C7U3","P0C7U3")</f>
        <v>P0C7U3</v>
      </c>
      <c r="C463" t="s">
        <v>4888</v>
      </c>
      <c r="D463" t="s">
        <v>4889</v>
      </c>
      <c r="E463" t="s">
        <v>39</v>
      </c>
      <c r="F463" t="s">
        <v>40</v>
      </c>
      <c r="H463">
        <v>371</v>
      </c>
      <c r="I463">
        <v>5</v>
      </c>
      <c r="J463">
        <v>0</v>
      </c>
      <c r="K463" t="s">
        <v>4890</v>
      </c>
      <c r="L463" t="s">
        <v>42</v>
      </c>
      <c r="N463">
        <v>0.6946</v>
      </c>
      <c r="O463" s="1">
        <v>2</v>
      </c>
      <c r="P463" t="s">
        <v>4891</v>
      </c>
      <c r="Q463" t="s">
        <v>4892</v>
      </c>
      <c r="S463" t="s">
        <v>947</v>
      </c>
      <c r="T463" t="s">
        <v>4893</v>
      </c>
      <c r="U463">
        <v>105</v>
      </c>
      <c r="V463">
        <v>1</v>
      </c>
      <c r="AE463" t="s">
        <v>48</v>
      </c>
      <c r="AF463" t="s">
        <v>4894</v>
      </c>
      <c r="AG463" t="s">
        <v>4895</v>
      </c>
      <c r="AH463" t="str">
        <f>HYPERLINK("http://compartments.jensenlab.org/Entity?figures=subcell_cell_%&amp;knowledge=10&amp;textmining=10&amp;experiments=10&amp;predictions=10&amp;type1=9606&amp;type2=-22&amp;id1=ENSP00000445280","link")</f>
        <v>link</v>
      </c>
      <c r="AK463" t="str">
        <f>HYPERLINK("http://www.proteinatlas.org/P0C7U3","HPA057886")</f>
        <v>HPA057886</v>
      </c>
      <c r="AM463">
        <v>653082</v>
      </c>
    </row>
    <row r="464" spans="1:39" x14ac:dyDescent="0.35">
      <c r="A464" t="s">
        <v>4896</v>
      </c>
      <c r="B464" t="str">
        <f>HYPERLINK("http://www.uniprot.org/uniprot/P0CG37","P0CG37")</f>
        <v>P0CG37</v>
      </c>
      <c r="C464" t="s">
        <v>4897</v>
      </c>
      <c r="D464" t="s">
        <v>4898</v>
      </c>
      <c r="E464" t="s">
        <v>39</v>
      </c>
      <c r="F464" t="s">
        <v>239</v>
      </c>
      <c r="H464">
        <v>223</v>
      </c>
      <c r="I464">
        <v>0</v>
      </c>
      <c r="J464">
        <v>1</v>
      </c>
      <c r="K464" t="s">
        <v>4899</v>
      </c>
      <c r="L464" t="s">
        <v>57</v>
      </c>
      <c r="N464">
        <v>0.63870000000000005</v>
      </c>
      <c r="O464" s="1" t="s">
        <v>241</v>
      </c>
      <c r="P464" t="s">
        <v>4900</v>
      </c>
      <c r="Q464" t="s">
        <v>4901</v>
      </c>
      <c r="S464" t="s">
        <v>60</v>
      </c>
      <c r="T464" t="s">
        <v>60</v>
      </c>
      <c r="U464">
        <v>52</v>
      </c>
      <c r="V464">
        <v>1</v>
      </c>
      <c r="W464">
        <v>52</v>
      </c>
      <c r="AE464" t="s">
        <v>2453</v>
      </c>
      <c r="AF464" t="s">
        <v>4902</v>
      </c>
      <c r="AG464" t="s">
        <v>4903</v>
      </c>
      <c r="AH464" t="str">
        <f>HYPERLINK("http://compartments.jensenlab.org/Entity?figures=subcell_cell_%&amp;knowledge=10&amp;textmining=10&amp;experiments=10&amp;predictions=10&amp;type1=9606&amp;type2=-22&amp;id1=ENSP00000259216","link")</f>
        <v>link</v>
      </c>
      <c r="AI464" t="s">
        <v>1058</v>
      </c>
      <c r="AJ464" t="s">
        <v>902</v>
      </c>
      <c r="AK464" t="str">
        <f>HYPERLINK("http://www.proteinatlas.org/P0CG37","HPA041773")</f>
        <v>HPA041773</v>
      </c>
      <c r="AM464">
        <v>55997</v>
      </c>
    </row>
    <row r="465" spans="1:39" x14ac:dyDescent="0.35">
      <c r="A465" t="s">
        <v>4904</v>
      </c>
      <c r="B465" t="str">
        <f>HYPERLINK("http://www.uniprot.org/uniprot/P0DKB5","P0DKB5")</f>
        <v>P0DKB5</v>
      </c>
      <c r="C465" t="s">
        <v>4905</v>
      </c>
      <c r="D465" t="s">
        <v>4906</v>
      </c>
      <c r="E465" t="s">
        <v>39</v>
      </c>
      <c r="F465" t="s">
        <v>40</v>
      </c>
      <c r="H465">
        <v>382</v>
      </c>
      <c r="I465">
        <v>1</v>
      </c>
      <c r="J465">
        <v>1</v>
      </c>
      <c r="K465" t="s">
        <v>4907</v>
      </c>
      <c r="L465" t="s">
        <v>57</v>
      </c>
      <c r="N465">
        <v>0.61880000000000002</v>
      </c>
      <c r="O465" s="1">
        <v>2</v>
      </c>
      <c r="P465" t="s">
        <v>4908</v>
      </c>
      <c r="Q465" t="s">
        <v>4909</v>
      </c>
      <c r="S465" t="s">
        <v>91</v>
      </c>
      <c r="T465" t="s">
        <v>260</v>
      </c>
      <c r="U465" t="s">
        <v>4910</v>
      </c>
      <c r="V465">
        <v>3</v>
      </c>
      <c r="AE465" t="s">
        <v>144</v>
      </c>
      <c r="AF465" t="s">
        <v>4911</v>
      </c>
      <c r="AG465" t="s">
        <v>4912</v>
      </c>
      <c r="AH465" t="str">
        <f>HYPERLINK("http://compartments.jensenlab.org/Entity?figures=subcell_cell_%&amp;knowledge=10&amp;textmining=10&amp;experiments=10&amp;predictions=10&amp;type1=9606&amp;type2=-22&amp;id1=ENSP00000474988","link")</f>
        <v>link</v>
      </c>
      <c r="AK465" t="str">
        <f>HYPERLINK("http://www.proteinatlas.org/P0DKB5","no")</f>
        <v>no</v>
      </c>
      <c r="AM465" s="4">
        <v>101000000</v>
      </c>
    </row>
    <row r="466" spans="1:39" x14ac:dyDescent="0.35">
      <c r="A466" t="s">
        <v>4913</v>
      </c>
      <c r="B466" t="str">
        <f>HYPERLINK("http://www.uniprot.org/uniprot/P10314","P10314")</f>
        <v>P10314</v>
      </c>
      <c r="C466" t="s">
        <v>4914</v>
      </c>
      <c r="D466" t="s">
        <v>3647</v>
      </c>
      <c r="E466" t="s">
        <v>39</v>
      </c>
      <c r="F466" t="s">
        <v>40</v>
      </c>
      <c r="H466">
        <v>365</v>
      </c>
      <c r="I466">
        <v>1</v>
      </c>
      <c r="J466">
        <v>1</v>
      </c>
      <c r="K466" t="s">
        <v>4915</v>
      </c>
      <c r="L466" t="s">
        <v>57</v>
      </c>
      <c r="N466">
        <v>0.73650000000000004</v>
      </c>
      <c r="O466" s="1">
        <v>2</v>
      </c>
      <c r="P466" t="s">
        <v>4916</v>
      </c>
      <c r="Q466" t="s">
        <v>4917</v>
      </c>
      <c r="S466" t="s">
        <v>91</v>
      </c>
      <c r="T466" t="s">
        <v>3641</v>
      </c>
      <c r="U466">
        <v>110</v>
      </c>
      <c r="V466">
        <v>1</v>
      </c>
      <c r="AE466" t="s">
        <v>144</v>
      </c>
      <c r="AF466" t="s">
        <v>4918</v>
      </c>
      <c r="AG466" t="s">
        <v>4919</v>
      </c>
      <c r="AH466" t="str">
        <f>HYPERLINK("http://compartments.jensenlab.org/Entity?figures=subcell_cell_%&amp;knowledge=10&amp;textmining=10&amp;experiments=10&amp;predictions=10&amp;type1=9606&amp;type2=-22&amp;id1=ENSP00000410645","link")</f>
        <v>link</v>
      </c>
      <c r="AJ466" t="s">
        <v>51</v>
      </c>
      <c r="AK466" t="str">
        <f>HYPERLINK("http://www.proteinatlas.org/P10314","no")</f>
        <v>no</v>
      </c>
    </row>
    <row r="467" spans="1:39" x14ac:dyDescent="0.35">
      <c r="A467" t="s">
        <v>4920</v>
      </c>
      <c r="B467" t="str">
        <f>HYPERLINK("http://www.uniprot.org/uniprot/P10316","P10316")</f>
        <v>P10316</v>
      </c>
      <c r="C467" t="s">
        <v>4921</v>
      </c>
      <c r="D467" t="s">
        <v>3647</v>
      </c>
      <c r="E467" t="s">
        <v>39</v>
      </c>
      <c r="F467" t="s">
        <v>40</v>
      </c>
      <c r="H467">
        <v>365</v>
      </c>
      <c r="I467">
        <v>1</v>
      </c>
      <c r="J467">
        <v>1</v>
      </c>
      <c r="K467" t="s">
        <v>3648</v>
      </c>
      <c r="L467" t="s">
        <v>57</v>
      </c>
      <c r="N467">
        <v>0.76049999999999995</v>
      </c>
      <c r="O467" s="1">
        <v>1</v>
      </c>
      <c r="P467" t="s">
        <v>3649</v>
      </c>
      <c r="Q467" t="s">
        <v>3650</v>
      </c>
      <c r="S467" t="s">
        <v>91</v>
      </c>
      <c r="T467" t="s">
        <v>3641</v>
      </c>
      <c r="U467">
        <v>110</v>
      </c>
      <c r="V467">
        <v>1</v>
      </c>
      <c r="X467" t="s">
        <v>3651</v>
      </c>
      <c r="AE467" t="s">
        <v>144</v>
      </c>
      <c r="AF467" t="s">
        <v>4922</v>
      </c>
      <c r="AG467" t="s">
        <v>4923</v>
      </c>
      <c r="AH467" t="str">
        <f>HYPERLINK("http://compartments.jensenlab.org/Entity?figures=subcell_cell_%&amp;knowledge=10&amp;textmining=10&amp;experiments=10&amp;predictions=10&amp;type1=9606&amp;type2=-22&amp;id1=ENSP00000403575","link")</f>
        <v>link</v>
      </c>
      <c r="AK467" t="str">
        <f>HYPERLINK("http://www.proteinatlas.org/P10316","no")</f>
        <v>no</v>
      </c>
    </row>
    <row r="468" spans="1:39" x14ac:dyDescent="0.35">
      <c r="A468" t="s">
        <v>4924</v>
      </c>
      <c r="B468" t="str">
        <f>HYPERLINK("http://www.uniprot.org/uniprot/P10319","P10319")</f>
        <v>P10319</v>
      </c>
      <c r="C468" t="s">
        <v>4925</v>
      </c>
      <c r="D468" t="s">
        <v>3637</v>
      </c>
      <c r="E468" t="s">
        <v>39</v>
      </c>
      <c r="F468" t="s">
        <v>40</v>
      </c>
      <c r="H468">
        <v>362</v>
      </c>
      <c r="I468">
        <v>1</v>
      </c>
      <c r="J468">
        <v>1</v>
      </c>
      <c r="K468" t="s">
        <v>4926</v>
      </c>
      <c r="L468" t="s">
        <v>57</v>
      </c>
      <c r="N468">
        <v>0.77639999999999998</v>
      </c>
      <c r="O468" s="1">
        <v>1</v>
      </c>
      <c r="P468" t="s">
        <v>3779</v>
      </c>
      <c r="Q468" t="s">
        <v>3780</v>
      </c>
      <c r="S468" t="s">
        <v>91</v>
      </c>
      <c r="T468" t="s">
        <v>3641</v>
      </c>
      <c r="U468">
        <v>110</v>
      </c>
      <c r="V468">
        <v>1</v>
      </c>
      <c r="AE468" t="s">
        <v>144</v>
      </c>
      <c r="AF468" t="s">
        <v>4918</v>
      </c>
      <c r="AG468" t="s">
        <v>4927</v>
      </c>
      <c r="AH468" t="str">
        <f>HYPERLINK("http://compartments.jensenlab.org/Entity?figures=subcell_cell_%&amp;knowledge=10&amp;textmining=10&amp;experiments=10&amp;predictions=10&amp;type1=9606&amp;type2=-22&amp;id1=ENSP00000405178","link")</f>
        <v>link</v>
      </c>
      <c r="AK468" t="str">
        <f>HYPERLINK("http://www.proteinatlas.org/P10319","no")</f>
        <v>no</v>
      </c>
    </row>
    <row r="469" spans="1:39" x14ac:dyDescent="0.35">
      <c r="A469" t="s">
        <v>4928</v>
      </c>
      <c r="B469" t="str">
        <f>HYPERLINK("http://www.uniprot.org/uniprot/P10321","P10321")</f>
        <v>P10321</v>
      </c>
      <c r="C469" t="s">
        <v>4929</v>
      </c>
      <c r="D469" t="s">
        <v>3849</v>
      </c>
      <c r="E469" t="s">
        <v>39</v>
      </c>
      <c r="F469" t="s">
        <v>40</v>
      </c>
      <c r="H469">
        <v>366</v>
      </c>
      <c r="I469">
        <v>1</v>
      </c>
      <c r="J469">
        <v>1</v>
      </c>
      <c r="K469" t="s">
        <v>4930</v>
      </c>
      <c r="L469" t="s">
        <v>101</v>
      </c>
      <c r="N469">
        <v>0.81240000000000001</v>
      </c>
      <c r="O469" s="1">
        <v>1</v>
      </c>
      <c r="P469" t="s">
        <v>4931</v>
      </c>
      <c r="Q469" t="s">
        <v>4932</v>
      </c>
      <c r="S469" t="s">
        <v>91</v>
      </c>
      <c r="T469" t="s">
        <v>3641</v>
      </c>
      <c r="U469">
        <v>110</v>
      </c>
      <c r="V469">
        <v>1</v>
      </c>
      <c r="Z469" t="s">
        <v>107</v>
      </c>
      <c r="AA469">
        <v>1</v>
      </c>
      <c r="AB469" t="s">
        <v>4933</v>
      </c>
      <c r="AC469">
        <v>110</v>
      </c>
      <c r="AD469" t="s">
        <v>4934</v>
      </c>
      <c r="AE469" t="s">
        <v>144</v>
      </c>
      <c r="AF469" t="s">
        <v>3855</v>
      </c>
      <c r="AG469" t="s">
        <v>4935</v>
      </c>
      <c r="AH469" t="str">
        <f>HYPERLINK("http://compartments.jensenlab.org/Entity?figures=subcell_cell_%&amp;knowledge=10&amp;textmining=10&amp;experiments=10&amp;predictions=10&amp;type1=9606&amp;type2=-22&amp;id1=ENSP00000365402","link")</f>
        <v>link</v>
      </c>
      <c r="AJ469" t="s">
        <v>3644</v>
      </c>
      <c r="AK469" t="str">
        <f>HYPERLINK("http://www.proteinatlas.org/P10321","no")</f>
        <v>no</v>
      </c>
      <c r="AM469">
        <v>3107</v>
      </c>
    </row>
    <row r="470" spans="1:39" x14ac:dyDescent="0.35">
      <c r="A470" t="s">
        <v>4936</v>
      </c>
      <c r="B470" t="str">
        <f>HYPERLINK("http://www.uniprot.org/uniprot/P10586","P10586")</f>
        <v>P10586</v>
      </c>
      <c r="C470" t="s">
        <v>4937</v>
      </c>
      <c r="D470" t="s">
        <v>4938</v>
      </c>
      <c r="E470" t="s">
        <v>39</v>
      </c>
      <c r="F470" t="s">
        <v>40</v>
      </c>
      <c r="H470">
        <v>1907</v>
      </c>
      <c r="I470">
        <v>1</v>
      </c>
      <c r="J470">
        <v>1</v>
      </c>
      <c r="K470" t="s">
        <v>4939</v>
      </c>
      <c r="L470" t="s">
        <v>101</v>
      </c>
      <c r="N470">
        <v>0.93410000000000004</v>
      </c>
      <c r="O470" s="1">
        <v>1</v>
      </c>
      <c r="P470" t="s">
        <v>4940</v>
      </c>
      <c r="Q470" t="s">
        <v>4941</v>
      </c>
      <c r="S470" t="s">
        <v>166</v>
      </c>
      <c r="T470" t="s">
        <v>1161</v>
      </c>
      <c r="U470" t="s">
        <v>4942</v>
      </c>
      <c r="V470">
        <v>5</v>
      </c>
      <c r="W470" t="s">
        <v>4943</v>
      </c>
      <c r="Z470" t="s">
        <v>107</v>
      </c>
      <c r="AA470">
        <v>7</v>
      </c>
      <c r="AB470" t="s">
        <v>4944</v>
      </c>
      <c r="AC470" t="s">
        <v>4945</v>
      </c>
      <c r="AD470" t="s">
        <v>4946</v>
      </c>
      <c r="AE470" t="s">
        <v>144</v>
      </c>
      <c r="AF470" t="s">
        <v>4947</v>
      </c>
      <c r="AG470" t="s">
        <v>4948</v>
      </c>
      <c r="AH470" t="str">
        <f>HYPERLINK("http://compartments.jensenlab.org/Entity?figures=subcell_cell_%&amp;knowledge=10&amp;textmining=10&amp;experiments=10&amp;predictions=10&amp;type1=9606&amp;type2=-22&amp;id1=ENSP00000353030","link")</f>
        <v>link</v>
      </c>
      <c r="AJ470" t="s">
        <v>1791</v>
      </c>
      <c r="AK470" t="str">
        <f>HYPERLINK("http://www.proteinatlas.org/P10586","HPA012710")</f>
        <v>HPA012710</v>
      </c>
      <c r="AM470">
        <v>5792</v>
      </c>
    </row>
    <row r="471" spans="1:39" x14ac:dyDescent="0.35">
      <c r="A471" t="s">
        <v>4949</v>
      </c>
      <c r="B471" t="str">
        <f>HYPERLINK("http://www.uniprot.org/uniprot/P10646","P10646")</f>
        <v>P10646</v>
      </c>
      <c r="C471" t="s">
        <v>4950</v>
      </c>
      <c r="D471" t="s">
        <v>4951</v>
      </c>
      <c r="E471" t="s">
        <v>39</v>
      </c>
      <c r="F471" t="s">
        <v>239</v>
      </c>
      <c r="H471">
        <v>304</v>
      </c>
      <c r="I471">
        <v>0</v>
      </c>
      <c r="J471">
        <v>1</v>
      </c>
      <c r="K471" t="s">
        <v>4952</v>
      </c>
      <c r="L471" t="s">
        <v>996</v>
      </c>
      <c r="N471">
        <v>0.68459999999999999</v>
      </c>
      <c r="O471" s="1" t="s">
        <v>241</v>
      </c>
      <c r="P471" t="s">
        <v>4953</v>
      </c>
      <c r="Q471" t="s">
        <v>4954</v>
      </c>
      <c r="U471" t="s">
        <v>4955</v>
      </c>
      <c r="V471">
        <v>3</v>
      </c>
      <c r="W471" t="s">
        <v>4955</v>
      </c>
      <c r="X471" t="s">
        <v>4956</v>
      </c>
      <c r="Y471" t="s">
        <v>4957</v>
      </c>
      <c r="Z471" t="s">
        <v>107</v>
      </c>
      <c r="AA471">
        <v>2</v>
      </c>
      <c r="AB471" t="s">
        <v>4958</v>
      </c>
      <c r="AC471">
        <v>145</v>
      </c>
      <c r="AD471" t="s">
        <v>4959</v>
      </c>
      <c r="AE471" t="s">
        <v>4960</v>
      </c>
      <c r="AF471" t="s">
        <v>4961</v>
      </c>
      <c r="AG471" t="s">
        <v>4962</v>
      </c>
      <c r="AH471" t="str">
        <f>HYPERLINK("http://compartments.jensenlab.org/Entity?figures=subcell_cell_%&amp;knowledge=10&amp;textmining=10&amp;experiments=10&amp;predictions=10&amp;type1=9606&amp;type2=-22&amp;id1=ENSP00000233156","link")</f>
        <v>link</v>
      </c>
      <c r="AI471" t="s">
        <v>113</v>
      </c>
      <c r="AJ471" t="s">
        <v>902</v>
      </c>
      <c r="AK471" t="str">
        <f>HYPERLINK("http://www.proteinatlas.org/P10646","HPA005575;CAB020842")</f>
        <v>HPA005575;CAB020842</v>
      </c>
      <c r="AL471" t="s">
        <v>4963</v>
      </c>
      <c r="AM471">
        <v>7035</v>
      </c>
    </row>
    <row r="472" spans="1:39" x14ac:dyDescent="0.35">
      <c r="A472" t="s">
        <v>4964</v>
      </c>
      <c r="B472" t="str">
        <f>HYPERLINK("http://www.uniprot.org/uniprot/P10696","P10696")</f>
        <v>P10696</v>
      </c>
      <c r="C472" t="s">
        <v>4965</v>
      </c>
      <c r="D472" t="s">
        <v>4966</v>
      </c>
      <c r="E472" t="s">
        <v>39</v>
      </c>
      <c r="F472" t="s">
        <v>239</v>
      </c>
      <c r="H472">
        <v>532</v>
      </c>
      <c r="I472">
        <v>0</v>
      </c>
      <c r="J472">
        <v>1</v>
      </c>
      <c r="K472" t="s">
        <v>4967</v>
      </c>
      <c r="L472" t="s">
        <v>57</v>
      </c>
      <c r="N472">
        <v>0.62280000000000002</v>
      </c>
      <c r="O472" s="1" t="s">
        <v>241</v>
      </c>
      <c r="P472" t="s">
        <v>4968</v>
      </c>
      <c r="Q472" t="s">
        <v>4969</v>
      </c>
      <c r="U472" t="s">
        <v>4970</v>
      </c>
      <c r="V472">
        <v>2</v>
      </c>
      <c r="W472" t="s">
        <v>4970</v>
      </c>
      <c r="AE472" t="s">
        <v>243</v>
      </c>
      <c r="AF472" t="s">
        <v>4971</v>
      </c>
      <c r="AG472" t="s">
        <v>4972</v>
      </c>
      <c r="AH472" t="str">
        <f>HYPERLINK("http://compartments.jensenlab.org/Entity?figures=subcell_cell_%&amp;knowledge=10&amp;textmining=10&amp;experiments=10&amp;predictions=10&amp;type1=9606&amp;type2=-22&amp;id1=ENSP00000295453","link")</f>
        <v>link</v>
      </c>
      <c r="AI472" t="s">
        <v>65</v>
      </c>
      <c r="AJ472" t="s">
        <v>51</v>
      </c>
      <c r="AK472" t="str">
        <f>HYPERLINK("http://www.proteinatlas.org/P10696","CAB020698;HPA038764;HPA038765;HPA051699")</f>
        <v>CAB020698;HPA038764;HPA038765;HPA051699</v>
      </c>
      <c r="AL472" t="s">
        <v>4973</v>
      </c>
      <c r="AM472">
        <v>251</v>
      </c>
    </row>
    <row r="473" spans="1:39" x14ac:dyDescent="0.35">
      <c r="A473" t="s">
        <v>4974</v>
      </c>
      <c r="B473" t="str">
        <f>HYPERLINK("http://www.uniprot.org/uniprot/P10721","P10721")</f>
        <v>P10721</v>
      </c>
      <c r="C473" t="s">
        <v>4975</v>
      </c>
      <c r="D473" t="s">
        <v>4976</v>
      </c>
      <c r="E473" t="s">
        <v>39</v>
      </c>
      <c r="F473" t="s">
        <v>55</v>
      </c>
      <c r="H473">
        <v>976</v>
      </c>
      <c r="I473">
        <v>1</v>
      </c>
      <c r="J473">
        <v>1</v>
      </c>
      <c r="K473" t="s">
        <v>4977</v>
      </c>
      <c r="L473" t="s">
        <v>101</v>
      </c>
      <c r="M473" t="s">
        <v>39</v>
      </c>
      <c r="N473">
        <v>0.98319999999999996</v>
      </c>
      <c r="O473" s="1">
        <v>1</v>
      </c>
      <c r="P473" t="s">
        <v>4978</v>
      </c>
      <c r="Q473" t="s">
        <v>4979</v>
      </c>
      <c r="R473" t="s">
        <v>4980</v>
      </c>
      <c r="S473" t="s">
        <v>166</v>
      </c>
      <c r="T473" t="s">
        <v>4272</v>
      </c>
      <c r="U473" t="s">
        <v>4981</v>
      </c>
      <c r="V473">
        <v>10</v>
      </c>
      <c r="W473" t="s">
        <v>4981</v>
      </c>
      <c r="X473" t="s">
        <v>4982</v>
      </c>
      <c r="Z473" t="s">
        <v>107</v>
      </c>
      <c r="AA473">
        <v>1</v>
      </c>
      <c r="AB473" t="s">
        <v>4983</v>
      </c>
      <c r="AC473">
        <v>130</v>
      </c>
      <c r="AD473" t="s">
        <v>4984</v>
      </c>
      <c r="AE473" t="s">
        <v>4985</v>
      </c>
      <c r="AF473" t="s">
        <v>4986</v>
      </c>
      <c r="AG473" t="s">
        <v>4987</v>
      </c>
      <c r="AH473" t="str">
        <f>HYPERLINK("http://compartments.jensenlab.org/Entity?figures=subcell_cell_%&amp;knowledge=10&amp;textmining=10&amp;experiments=10&amp;predictions=10&amp;type1=9606&amp;type2=-22&amp;id1=ENSP00000288135","link")</f>
        <v>link</v>
      </c>
      <c r="AI473" t="s">
        <v>65</v>
      </c>
      <c r="AJ473" t="s">
        <v>4988</v>
      </c>
      <c r="AK473" t="str">
        <f>HYPERLINK("http://www.proteinatlas.org/P10721","CAB003288;HPA004471;CAB068253")</f>
        <v>CAB003288;HPA004471;CAB068253</v>
      </c>
      <c r="AL473" t="s">
        <v>4989</v>
      </c>
      <c r="AM473">
        <v>3815</v>
      </c>
    </row>
    <row r="474" spans="1:39" x14ac:dyDescent="0.35">
      <c r="A474" t="s">
        <v>4990</v>
      </c>
      <c r="B474" t="str">
        <f>HYPERLINK("http://www.uniprot.org/uniprot/P10747","P10747")</f>
        <v>P10747</v>
      </c>
      <c r="C474" t="s">
        <v>4991</v>
      </c>
      <c r="D474" t="s">
        <v>4992</v>
      </c>
      <c r="E474" t="s">
        <v>39</v>
      </c>
      <c r="F474" t="s">
        <v>40</v>
      </c>
      <c r="H474">
        <v>220</v>
      </c>
      <c r="I474">
        <v>1</v>
      </c>
      <c r="J474">
        <v>1</v>
      </c>
      <c r="K474" t="s">
        <v>4993</v>
      </c>
      <c r="L474" t="s">
        <v>101</v>
      </c>
      <c r="N474">
        <v>0.87619999999999998</v>
      </c>
      <c r="O474" s="1">
        <v>1</v>
      </c>
      <c r="P474" t="s">
        <v>4994</v>
      </c>
      <c r="Q474" t="s">
        <v>4995</v>
      </c>
      <c r="R474" t="s">
        <v>4992</v>
      </c>
      <c r="S474" t="s">
        <v>60</v>
      </c>
      <c r="T474" t="s">
        <v>60</v>
      </c>
      <c r="U474" t="s">
        <v>4996</v>
      </c>
      <c r="V474">
        <v>5</v>
      </c>
      <c r="W474" t="s">
        <v>4996</v>
      </c>
      <c r="X474">
        <v>202</v>
      </c>
      <c r="Y474" t="s">
        <v>4997</v>
      </c>
      <c r="Z474" t="s">
        <v>107</v>
      </c>
      <c r="AA474">
        <v>18</v>
      </c>
      <c r="AB474" t="s">
        <v>4998</v>
      </c>
      <c r="AC474" t="s">
        <v>4999</v>
      </c>
      <c r="AD474" t="s">
        <v>5000</v>
      </c>
      <c r="AE474" t="s">
        <v>144</v>
      </c>
      <c r="AF474" t="s">
        <v>5001</v>
      </c>
      <c r="AG474" t="s">
        <v>5002</v>
      </c>
      <c r="AH474" t="str">
        <f>HYPERLINK("http://compartments.jensenlab.org/Entity?figures=subcell_cell_%&amp;knowledge=10&amp;textmining=10&amp;experiments=10&amp;predictions=10&amp;type1=9606&amp;type2=-22&amp;id1=ENSP00000324890","link")</f>
        <v>link</v>
      </c>
      <c r="AI474" t="s">
        <v>65</v>
      </c>
      <c r="AJ474" t="s">
        <v>4758</v>
      </c>
      <c r="AK474" t="str">
        <f>HYPERLINK("http://www.proteinatlas.org/P10747","no")</f>
        <v>no</v>
      </c>
      <c r="AM474">
        <v>940</v>
      </c>
    </row>
    <row r="475" spans="1:39" x14ac:dyDescent="0.35">
      <c r="A475" t="s">
        <v>5003</v>
      </c>
      <c r="B475" t="str">
        <f>HYPERLINK("http://www.uniprot.org/uniprot/P10912","P10912")</f>
        <v>P10912</v>
      </c>
      <c r="C475" t="s">
        <v>5004</v>
      </c>
      <c r="D475" t="s">
        <v>5005</v>
      </c>
      <c r="E475" t="s">
        <v>39</v>
      </c>
      <c r="F475" t="s">
        <v>40</v>
      </c>
      <c r="H475">
        <v>638</v>
      </c>
      <c r="I475">
        <v>1</v>
      </c>
      <c r="J475">
        <v>1</v>
      </c>
      <c r="K475" t="s">
        <v>5006</v>
      </c>
      <c r="L475" t="s">
        <v>57</v>
      </c>
      <c r="N475">
        <v>0.93410000000000004</v>
      </c>
      <c r="O475" s="1">
        <v>1</v>
      </c>
      <c r="P475" t="s">
        <v>5007</v>
      </c>
      <c r="Q475" t="s">
        <v>5008</v>
      </c>
      <c r="S475" t="s">
        <v>166</v>
      </c>
      <c r="T475" t="s">
        <v>3171</v>
      </c>
      <c r="U475" t="s">
        <v>5009</v>
      </c>
      <c r="V475">
        <v>5</v>
      </c>
      <c r="W475" t="s">
        <v>5010</v>
      </c>
      <c r="X475" t="s">
        <v>5011</v>
      </c>
      <c r="AE475" t="s">
        <v>5012</v>
      </c>
      <c r="AF475" t="s">
        <v>5013</v>
      </c>
      <c r="AG475" t="s">
        <v>5014</v>
      </c>
      <c r="AH475" t="str">
        <f>HYPERLINK("http://compartments.jensenlab.org/Entity?figures=subcell_cell_%&amp;knowledge=10&amp;textmining=10&amp;experiments=10&amp;predictions=10&amp;type1=9606&amp;type2=-22&amp;id1=ENSP00000230882","link")</f>
        <v>link</v>
      </c>
      <c r="AI475" t="s">
        <v>1058</v>
      </c>
      <c r="AJ475" t="s">
        <v>1715</v>
      </c>
      <c r="AK475" t="str">
        <f>HYPERLINK("http://www.proteinatlas.org/P10912","no")</f>
        <v>no</v>
      </c>
      <c r="AL475" t="s">
        <v>5015</v>
      </c>
      <c r="AM475">
        <v>2690</v>
      </c>
    </row>
    <row r="476" spans="1:39" x14ac:dyDescent="0.35">
      <c r="A476" t="s">
        <v>5016</v>
      </c>
      <c r="B476" t="str">
        <f>HYPERLINK("http://www.uniprot.org/uniprot/P10966","P10966")</f>
        <v>P10966</v>
      </c>
      <c r="C476" t="s">
        <v>5017</v>
      </c>
      <c r="D476" t="s">
        <v>5018</v>
      </c>
      <c r="E476" t="s">
        <v>39</v>
      </c>
      <c r="F476" t="s">
        <v>40</v>
      </c>
      <c r="H476">
        <v>210</v>
      </c>
      <c r="I476">
        <v>1</v>
      </c>
      <c r="J476">
        <v>1</v>
      </c>
      <c r="K476" t="s">
        <v>5019</v>
      </c>
      <c r="L476" t="s">
        <v>57</v>
      </c>
      <c r="N476">
        <v>0.8004</v>
      </c>
      <c r="O476" s="1">
        <v>1</v>
      </c>
      <c r="P476" t="s">
        <v>5020</v>
      </c>
      <c r="Q476" t="s">
        <v>5021</v>
      </c>
      <c r="R476" t="s">
        <v>5022</v>
      </c>
      <c r="S476" t="s">
        <v>60</v>
      </c>
      <c r="T476" t="s">
        <v>60</v>
      </c>
      <c r="U476">
        <v>102</v>
      </c>
      <c r="V476">
        <v>1</v>
      </c>
      <c r="W476">
        <v>102</v>
      </c>
      <c r="X476" t="s">
        <v>5023</v>
      </c>
      <c r="AE476" t="s">
        <v>5024</v>
      </c>
      <c r="AF476" t="s">
        <v>5025</v>
      </c>
      <c r="AG476" t="s">
        <v>5026</v>
      </c>
      <c r="AH476" t="str">
        <f>HYPERLINK("http://compartments.jensenlab.org/Entity?figures=subcell_cell_%&amp;knowledge=10&amp;textmining=10&amp;experiments=10&amp;predictions=10&amp;type1=9606&amp;type2=-22&amp;id1=ENSP00000375070","link")</f>
        <v>link</v>
      </c>
      <c r="AK476" t="str">
        <f>HYPERLINK("http://www.proteinatlas.org/P10966","CAB004353")</f>
        <v>CAB004353</v>
      </c>
      <c r="AM476">
        <v>926</v>
      </c>
    </row>
    <row r="477" spans="1:39" x14ac:dyDescent="0.35">
      <c r="A477" t="s">
        <v>5027</v>
      </c>
      <c r="B477" t="str">
        <f>HYPERLINK("http://www.uniprot.org/uniprot/P11049","P11049")</f>
        <v>P11049</v>
      </c>
      <c r="C477" t="s">
        <v>5028</v>
      </c>
      <c r="D477" t="s">
        <v>5029</v>
      </c>
      <c r="E477" t="s">
        <v>39</v>
      </c>
      <c r="F477" t="s">
        <v>40</v>
      </c>
      <c r="H477">
        <v>281</v>
      </c>
      <c r="I477">
        <v>4</v>
      </c>
      <c r="J477">
        <v>0</v>
      </c>
      <c r="K477" t="s">
        <v>5030</v>
      </c>
      <c r="L477" t="s">
        <v>101</v>
      </c>
      <c r="N477">
        <v>0.5988</v>
      </c>
      <c r="O477" s="1">
        <v>2</v>
      </c>
      <c r="P477" t="s">
        <v>5031</v>
      </c>
      <c r="Q477" t="s">
        <v>5032</v>
      </c>
      <c r="R477" t="s">
        <v>5029</v>
      </c>
      <c r="S477" t="s">
        <v>91</v>
      </c>
      <c r="T477" t="s">
        <v>135</v>
      </c>
      <c r="U477" t="s">
        <v>5033</v>
      </c>
      <c r="V477">
        <v>3</v>
      </c>
      <c r="Z477" t="s">
        <v>123</v>
      </c>
      <c r="AA477">
        <v>13</v>
      </c>
      <c r="AB477" t="s">
        <v>5034</v>
      </c>
      <c r="AC477" t="s">
        <v>5033</v>
      </c>
      <c r="AD477" t="s">
        <v>5035</v>
      </c>
      <c r="AE477" t="s">
        <v>48</v>
      </c>
      <c r="AF477" t="s">
        <v>2332</v>
      </c>
      <c r="AG477" t="s">
        <v>5036</v>
      </c>
      <c r="AH477" t="str">
        <f>HYPERLINK("http://compartments.jensenlab.org/Entity?figures=subcell_cell_%&amp;knowledge=10&amp;textmining=10&amp;experiments=10&amp;predictions=10&amp;type1=9606&amp;type2=-22&amp;id1=ENSP00000325708","link")</f>
        <v>link</v>
      </c>
      <c r="AI477" t="s">
        <v>65</v>
      </c>
      <c r="AJ477" t="s">
        <v>51</v>
      </c>
      <c r="AK477" t="str">
        <f>HYPERLINK("http://www.proteinatlas.org/P11049","CAB002492;HPA032120;HPA032121")</f>
        <v>CAB002492;HPA032120;HPA032121</v>
      </c>
      <c r="AM477">
        <v>951</v>
      </c>
    </row>
    <row r="478" spans="1:39" x14ac:dyDescent="0.35">
      <c r="A478" t="s">
        <v>5037</v>
      </c>
      <c r="B478" t="str">
        <f>HYPERLINK("http://www.uniprot.org/uniprot/P11117","P11117")</f>
        <v>P11117</v>
      </c>
      <c r="C478" t="s">
        <v>5038</v>
      </c>
      <c r="D478" t="s">
        <v>5039</v>
      </c>
      <c r="E478" t="s">
        <v>39</v>
      </c>
      <c r="F478" t="s">
        <v>40</v>
      </c>
      <c r="H478">
        <v>423</v>
      </c>
      <c r="I478">
        <v>1</v>
      </c>
      <c r="J478">
        <v>1</v>
      </c>
      <c r="K478" t="s">
        <v>5040</v>
      </c>
      <c r="L478" t="s">
        <v>101</v>
      </c>
      <c r="N478">
        <v>0.91020000000000001</v>
      </c>
      <c r="O478" s="1">
        <v>1</v>
      </c>
      <c r="P478" t="s">
        <v>5041</v>
      </c>
      <c r="Q478" t="s">
        <v>5042</v>
      </c>
      <c r="S478" t="s">
        <v>947</v>
      </c>
      <c r="T478" t="s">
        <v>1117</v>
      </c>
      <c r="U478" t="s">
        <v>5043</v>
      </c>
      <c r="V478">
        <v>8</v>
      </c>
      <c r="W478" t="s">
        <v>5043</v>
      </c>
      <c r="Z478" t="s">
        <v>107</v>
      </c>
      <c r="AA478">
        <v>6</v>
      </c>
      <c r="AB478" t="s">
        <v>5044</v>
      </c>
      <c r="AC478" t="s">
        <v>5045</v>
      </c>
      <c r="AD478" t="s">
        <v>5046</v>
      </c>
      <c r="AE478" t="s">
        <v>5047</v>
      </c>
      <c r="AF478" t="s">
        <v>5048</v>
      </c>
      <c r="AG478" t="s">
        <v>5049</v>
      </c>
      <c r="AH478" t="str">
        <f>HYPERLINK("http://compartments.jensenlab.org/Entity?figures=subcell_cell_%&amp;knowledge=10&amp;textmining=10&amp;experiments=10&amp;predictions=10&amp;type1=9606&amp;type2=-22&amp;id1=ENSP00000256997","link")</f>
        <v>link</v>
      </c>
      <c r="AI478" t="s">
        <v>1487</v>
      </c>
      <c r="AJ478" t="s">
        <v>1488</v>
      </c>
      <c r="AK478" t="str">
        <f>HYPERLINK("http://www.proteinatlas.org/P11117","no")</f>
        <v>no</v>
      </c>
      <c r="AM478">
        <v>53</v>
      </c>
    </row>
    <row r="479" spans="1:39" x14ac:dyDescent="0.35">
      <c r="A479" t="s">
        <v>5050</v>
      </c>
      <c r="B479" t="str">
        <f>HYPERLINK("http://www.uniprot.org/uniprot/P11166","P11166")</f>
        <v>P11166</v>
      </c>
      <c r="C479" t="s">
        <v>5051</v>
      </c>
      <c r="D479" t="s">
        <v>5052</v>
      </c>
      <c r="E479" t="s">
        <v>39</v>
      </c>
      <c r="F479" t="s">
        <v>55</v>
      </c>
      <c r="H479">
        <v>492</v>
      </c>
      <c r="I479">
        <v>12</v>
      </c>
      <c r="J479">
        <v>0</v>
      </c>
      <c r="K479" t="s">
        <v>5053</v>
      </c>
      <c r="L479" t="s">
        <v>101</v>
      </c>
      <c r="M479" t="s">
        <v>39</v>
      </c>
      <c r="N479">
        <v>0.87309999999999999</v>
      </c>
      <c r="O479" s="1">
        <v>1</v>
      </c>
      <c r="P479" t="s">
        <v>5054</v>
      </c>
      <c r="Q479" t="s">
        <v>5055</v>
      </c>
      <c r="S479" t="s">
        <v>45</v>
      </c>
      <c r="T479" t="s">
        <v>3338</v>
      </c>
      <c r="U479" t="s">
        <v>5056</v>
      </c>
      <c r="V479">
        <v>1</v>
      </c>
      <c r="W479" t="s">
        <v>5056</v>
      </c>
      <c r="Z479" t="s">
        <v>107</v>
      </c>
      <c r="AA479">
        <v>13</v>
      </c>
      <c r="AB479" t="s">
        <v>5057</v>
      </c>
      <c r="AC479">
        <v>45</v>
      </c>
      <c r="AD479" t="s">
        <v>5058</v>
      </c>
      <c r="AE479" t="s">
        <v>3985</v>
      </c>
      <c r="AF479" t="s">
        <v>5059</v>
      </c>
      <c r="AG479" t="s">
        <v>5060</v>
      </c>
      <c r="AH479" t="str">
        <f>HYPERLINK("http://compartments.jensenlab.org/Entity?figures=subcell_cell_%&amp;knowledge=10&amp;textmining=10&amp;experiments=10&amp;predictions=10&amp;type1=9606&amp;type2=-22&amp;id1=ENSP00000416293","link")</f>
        <v>link</v>
      </c>
      <c r="AI479" t="s">
        <v>65</v>
      </c>
      <c r="AJ479" t="s">
        <v>2873</v>
      </c>
      <c r="AK479" t="str">
        <f>HYPERLINK("http://www.proteinatlas.org/P11166","CAB002759;HPA031345;HPA058494")</f>
        <v>CAB002759;HPA031345;HPA058494</v>
      </c>
      <c r="AM479">
        <v>6513</v>
      </c>
    </row>
    <row r="480" spans="1:39" x14ac:dyDescent="0.35">
      <c r="A480" t="s">
        <v>5061</v>
      </c>
      <c r="B480" t="str">
        <f>HYPERLINK("http://www.uniprot.org/uniprot/P11168","P11168")</f>
        <v>P11168</v>
      </c>
      <c r="C480" t="s">
        <v>5062</v>
      </c>
      <c r="D480" t="s">
        <v>5063</v>
      </c>
      <c r="E480" t="s">
        <v>39</v>
      </c>
      <c r="F480" t="s">
        <v>40</v>
      </c>
      <c r="H480">
        <v>524</v>
      </c>
      <c r="I480">
        <v>12</v>
      </c>
      <c r="J480">
        <v>0</v>
      </c>
      <c r="K480" t="s">
        <v>5064</v>
      </c>
      <c r="L480" t="s">
        <v>57</v>
      </c>
      <c r="N480">
        <v>0.85629999999999995</v>
      </c>
      <c r="O480" s="1">
        <v>1</v>
      </c>
      <c r="P480" t="s">
        <v>5065</v>
      </c>
      <c r="Q480" t="s">
        <v>5066</v>
      </c>
      <c r="S480" t="s">
        <v>45</v>
      </c>
      <c r="T480" t="s">
        <v>3338</v>
      </c>
      <c r="U480" t="s">
        <v>5067</v>
      </c>
      <c r="V480">
        <v>1</v>
      </c>
      <c r="W480" t="s">
        <v>5068</v>
      </c>
      <c r="AE480" t="s">
        <v>48</v>
      </c>
      <c r="AF480" t="s">
        <v>5069</v>
      </c>
      <c r="AG480" t="s">
        <v>5070</v>
      </c>
      <c r="AH480" t="str">
        <f>HYPERLINK("http://compartments.jensenlab.org/Entity?figures=subcell_cell_%&amp;knowledge=10&amp;textmining=10&amp;experiments=10&amp;predictions=10&amp;type1=9606&amp;type2=-22&amp;id1=ENSP00000323568","link")</f>
        <v>link</v>
      </c>
      <c r="AJ480" t="s">
        <v>5071</v>
      </c>
      <c r="AK480" t="str">
        <f>HYPERLINK("http://www.proteinatlas.org/P11168","CAB010444;HPA028997")</f>
        <v>CAB010444;HPA028997</v>
      </c>
      <c r="AL480" t="s">
        <v>5072</v>
      </c>
      <c r="AM480">
        <v>6514</v>
      </c>
    </row>
    <row r="481" spans="1:39" x14ac:dyDescent="0.35">
      <c r="A481" t="s">
        <v>5073</v>
      </c>
      <c r="B481" t="str">
        <f>HYPERLINK("http://www.uniprot.org/uniprot/P11169","P11169")</f>
        <v>P11169</v>
      </c>
      <c r="C481" t="s">
        <v>5074</v>
      </c>
      <c r="D481" t="s">
        <v>5075</v>
      </c>
      <c r="E481" t="s">
        <v>39</v>
      </c>
      <c r="F481" t="s">
        <v>40</v>
      </c>
      <c r="H481">
        <v>496</v>
      </c>
      <c r="I481">
        <v>12</v>
      </c>
      <c r="J481">
        <v>0</v>
      </c>
      <c r="K481" t="s">
        <v>5076</v>
      </c>
      <c r="L481" t="s">
        <v>57</v>
      </c>
      <c r="N481">
        <v>0.85829999999999995</v>
      </c>
      <c r="O481" s="1">
        <v>1</v>
      </c>
      <c r="P481" t="s">
        <v>5077</v>
      </c>
      <c r="Q481" t="s">
        <v>5078</v>
      </c>
      <c r="S481" t="s">
        <v>45</v>
      </c>
      <c r="T481" t="s">
        <v>3338</v>
      </c>
      <c r="U481" t="s">
        <v>5079</v>
      </c>
      <c r="V481">
        <v>1</v>
      </c>
      <c r="AE481" t="s">
        <v>48</v>
      </c>
      <c r="AF481" t="s">
        <v>5080</v>
      </c>
      <c r="AG481" t="s">
        <v>5081</v>
      </c>
      <c r="AH481" t="str">
        <f>HYPERLINK("http://compartments.jensenlab.org/Entity?figures=subcell_cell_%&amp;knowledge=10&amp;textmining=10&amp;experiments=10&amp;predictions=10&amp;type1=9606&amp;type2=-22&amp;id1=ENSP00000075120","link")</f>
        <v>link</v>
      </c>
      <c r="AJ481" t="s">
        <v>51</v>
      </c>
      <c r="AK481" t="str">
        <f>HYPERLINK("http://www.proteinatlas.org/P11169","CAB002763;HPA006539")</f>
        <v>CAB002763;HPA006539</v>
      </c>
      <c r="AM481">
        <v>6515</v>
      </c>
    </row>
    <row r="482" spans="1:39" x14ac:dyDescent="0.35">
      <c r="A482" t="s">
        <v>5082</v>
      </c>
      <c r="B482" t="str">
        <f>HYPERLINK("http://www.uniprot.org/uniprot/P11215","P11215")</f>
        <v>P11215</v>
      </c>
      <c r="C482" t="s">
        <v>5083</v>
      </c>
      <c r="D482" t="s">
        <v>5084</v>
      </c>
      <c r="E482" t="s">
        <v>39</v>
      </c>
      <c r="F482" t="s">
        <v>40</v>
      </c>
      <c r="H482">
        <v>1152</v>
      </c>
      <c r="I482">
        <v>1</v>
      </c>
      <c r="J482">
        <v>1</v>
      </c>
      <c r="K482" t="s">
        <v>5085</v>
      </c>
      <c r="L482" t="s">
        <v>101</v>
      </c>
      <c r="N482">
        <v>0.86629999999999996</v>
      </c>
      <c r="O482" s="1">
        <v>1</v>
      </c>
      <c r="P482" t="s">
        <v>5086</v>
      </c>
      <c r="Q482" t="s">
        <v>5087</v>
      </c>
      <c r="R482" t="s">
        <v>5088</v>
      </c>
      <c r="S482" t="s">
        <v>166</v>
      </c>
      <c r="T482" t="s">
        <v>2763</v>
      </c>
      <c r="U482" t="s">
        <v>5089</v>
      </c>
      <c r="V482">
        <v>19</v>
      </c>
      <c r="W482" t="s">
        <v>5090</v>
      </c>
      <c r="X482" t="s">
        <v>5091</v>
      </c>
      <c r="Y482" t="s">
        <v>5092</v>
      </c>
      <c r="Z482" t="s">
        <v>107</v>
      </c>
      <c r="AA482">
        <v>20</v>
      </c>
      <c r="AB482" t="s">
        <v>5093</v>
      </c>
      <c r="AC482" t="s">
        <v>5094</v>
      </c>
      <c r="AD482" t="s">
        <v>5095</v>
      </c>
      <c r="AE482" t="s">
        <v>144</v>
      </c>
      <c r="AF482" t="s">
        <v>5096</v>
      </c>
      <c r="AG482" t="s">
        <v>5097</v>
      </c>
      <c r="AH482" t="str">
        <f>HYPERLINK("http://compartments.jensenlab.org/Entity?figures=subcell_cell_%&amp;knowledge=10&amp;textmining=10&amp;experiments=10&amp;predictions=10&amp;type1=9606&amp;type2=-22&amp;id1=ENSP00000287497","link")</f>
        <v>link</v>
      </c>
      <c r="AJ482" t="s">
        <v>51</v>
      </c>
      <c r="AK482" t="str">
        <f>HYPERLINK("http://www.proteinatlas.org/P11215","HPA002274;CAB025091")</f>
        <v>HPA002274;CAB025091</v>
      </c>
      <c r="AM482">
        <v>3684</v>
      </c>
    </row>
    <row r="483" spans="1:39" x14ac:dyDescent="0.35">
      <c r="A483" t="s">
        <v>5098</v>
      </c>
      <c r="B483" t="str">
        <f>HYPERLINK("http://www.uniprot.org/uniprot/P11229","P11229")</f>
        <v>P11229</v>
      </c>
      <c r="C483" t="s">
        <v>5099</v>
      </c>
      <c r="D483" t="s">
        <v>5100</v>
      </c>
      <c r="E483" t="s">
        <v>39</v>
      </c>
      <c r="F483" t="s">
        <v>55</v>
      </c>
      <c r="H483">
        <v>460</v>
      </c>
      <c r="I483">
        <v>7</v>
      </c>
      <c r="J483">
        <v>0</v>
      </c>
      <c r="K483" t="s">
        <v>5101</v>
      </c>
      <c r="L483" t="s">
        <v>57</v>
      </c>
      <c r="M483" t="s">
        <v>39</v>
      </c>
      <c r="N483">
        <v>0.84899999999999998</v>
      </c>
      <c r="O483" s="1">
        <v>1</v>
      </c>
      <c r="P483" t="s">
        <v>5102</v>
      </c>
      <c r="Q483" t="s">
        <v>5103</v>
      </c>
      <c r="S483" t="s">
        <v>166</v>
      </c>
      <c r="T483" t="s">
        <v>838</v>
      </c>
      <c r="U483" t="s">
        <v>5104</v>
      </c>
      <c r="V483">
        <v>2</v>
      </c>
      <c r="W483" t="s">
        <v>5105</v>
      </c>
      <c r="AE483" t="s">
        <v>619</v>
      </c>
      <c r="AF483" t="s">
        <v>5106</v>
      </c>
      <c r="AG483" t="s">
        <v>5107</v>
      </c>
      <c r="AH483" t="str">
        <f>HYPERLINK("http://compartments.jensenlab.org/Entity?figures=subcell_cell_%&amp;knowledge=10&amp;textmining=10&amp;experiments=10&amp;predictions=10&amp;type1=9606&amp;type2=-22&amp;id1=ENSP00000306490","link")</f>
        <v>link</v>
      </c>
      <c r="AI483" t="s">
        <v>65</v>
      </c>
      <c r="AJ483" t="s">
        <v>1811</v>
      </c>
      <c r="AK483" t="str">
        <f>HYPERLINK("http://www.proteinatlas.org/P11229","HPA014101;CAB022366")</f>
        <v>HPA014101;CAB022366</v>
      </c>
      <c r="AL483" t="s">
        <v>5108</v>
      </c>
      <c r="AM483">
        <v>1128</v>
      </c>
    </row>
    <row r="484" spans="1:39" x14ac:dyDescent="0.35">
      <c r="A484" t="s">
        <v>5109</v>
      </c>
      <c r="B484" t="str">
        <f>HYPERLINK("http://www.uniprot.org/uniprot/P11230","P11230")</f>
        <v>P11230</v>
      </c>
      <c r="C484" t="s">
        <v>5110</v>
      </c>
      <c r="D484" t="s">
        <v>5111</v>
      </c>
      <c r="E484" t="s">
        <v>39</v>
      </c>
      <c r="F484" t="s">
        <v>55</v>
      </c>
      <c r="H484">
        <v>501</v>
      </c>
      <c r="I484">
        <v>4</v>
      </c>
      <c r="J484">
        <v>1</v>
      </c>
      <c r="K484" t="s">
        <v>5112</v>
      </c>
      <c r="L484" t="s">
        <v>57</v>
      </c>
      <c r="M484" t="s">
        <v>39</v>
      </c>
      <c r="N484">
        <v>0.65700000000000003</v>
      </c>
      <c r="O484" s="1">
        <v>2</v>
      </c>
      <c r="P484" t="s">
        <v>5113</v>
      </c>
      <c r="Q484" t="s">
        <v>5114</v>
      </c>
      <c r="S484" t="s">
        <v>45</v>
      </c>
      <c r="T484" t="s">
        <v>195</v>
      </c>
      <c r="U484">
        <v>164</v>
      </c>
      <c r="V484">
        <v>1</v>
      </c>
      <c r="AE484" t="s">
        <v>619</v>
      </c>
      <c r="AF484" t="s">
        <v>5115</v>
      </c>
      <c r="AG484" t="s">
        <v>5116</v>
      </c>
      <c r="AH484" t="str">
        <f>HYPERLINK("http://compartments.jensenlab.org/Entity?figures=subcell_cell_%&amp;knowledge=10&amp;textmining=10&amp;experiments=10&amp;predictions=10&amp;type1=9606&amp;type2=-22&amp;id1=ENSP00000304290","link")</f>
        <v>link</v>
      </c>
      <c r="AI484" t="s">
        <v>65</v>
      </c>
      <c r="AJ484" t="s">
        <v>51</v>
      </c>
      <c r="AK484" t="str">
        <f>HYPERLINK("http://www.proteinatlas.org/P11230","HPA005822;CAB011200")</f>
        <v>HPA005822;CAB011200</v>
      </c>
      <c r="AL484" t="s">
        <v>3744</v>
      </c>
      <c r="AM484">
        <v>1140</v>
      </c>
    </row>
    <row r="485" spans="1:39" x14ac:dyDescent="0.35">
      <c r="A485" t="s">
        <v>5117</v>
      </c>
      <c r="B485" t="str">
        <f>HYPERLINK("http://www.uniprot.org/uniprot/P11279","P11279")</f>
        <v>P11279</v>
      </c>
      <c r="C485" t="s">
        <v>5118</v>
      </c>
      <c r="D485" t="s">
        <v>5119</v>
      </c>
      <c r="E485" t="s">
        <v>39</v>
      </c>
      <c r="F485" t="s">
        <v>55</v>
      </c>
      <c r="H485">
        <v>417</v>
      </c>
      <c r="I485">
        <v>1</v>
      </c>
      <c r="J485">
        <v>1</v>
      </c>
      <c r="K485" t="s">
        <v>5120</v>
      </c>
      <c r="L485" t="s">
        <v>101</v>
      </c>
      <c r="M485" t="s">
        <v>39</v>
      </c>
      <c r="N485">
        <v>0.96089999999999998</v>
      </c>
      <c r="O485" s="1">
        <v>1</v>
      </c>
      <c r="P485" t="s">
        <v>5121</v>
      </c>
      <c r="Q485" t="s">
        <v>5122</v>
      </c>
      <c r="R485" t="s">
        <v>5123</v>
      </c>
      <c r="S485" t="s">
        <v>166</v>
      </c>
      <c r="T485" t="s">
        <v>5124</v>
      </c>
      <c r="U485" t="s">
        <v>5125</v>
      </c>
      <c r="V485">
        <v>18</v>
      </c>
      <c r="W485" t="s">
        <v>5125</v>
      </c>
      <c r="Z485" t="s">
        <v>107</v>
      </c>
      <c r="AA485">
        <v>40</v>
      </c>
      <c r="AB485" t="s">
        <v>5126</v>
      </c>
      <c r="AC485" t="s">
        <v>5127</v>
      </c>
      <c r="AD485" t="s">
        <v>5128</v>
      </c>
      <c r="AE485" t="s">
        <v>5129</v>
      </c>
      <c r="AF485" t="s">
        <v>5130</v>
      </c>
      <c r="AG485" t="s">
        <v>5131</v>
      </c>
      <c r="AH485" t="str">
        <f>HYPERLINK("http://compartments.jensenlab.org/Entity?figures=subcell_cell_%&amp;knowledge=10&amp;textmining=10&amp;experiments=10&amp;predictions=10&amp;type1=9606&amp;type2=-22&amp;id1=ENSP00000333298","link")</f>
        <v>link</v>
      </c>
      <c r="AI485" t="s">
        <v>4661</v>
      </c>
      <c r="AJ485" t="s">
        <v>4662</v>
      </c>
      <c r="AK485" t="str">
        <f>HYPERLINK("http://www.proteinatlas.org/P11279","CAB004260;HPA014750")</f>
        <v>CAB004260;HPA014750</v>
      </c>
      <c r="AM485">
        <v>3916</v>
      </c>
    </row>
    <row r="486" spans="1:39" x14ac:dyDescent="0.35">
      <c r="A486" t="s">
        <v>5132</v>
      </c>
      <c r="B486" t="str">
        <f>HYPERLINK("http://www.uniprot.org/uniprot/P11362","P11362")</f>
        <v>P11362</v>
      </c>
      <c r="C486" t="s">
        <v>5133</v>
      </c>
      <c r="D486" t="s">
        <v>5134</v>
      </c>
      <c r="E486" t="s">
        <v>39</v>
      </c>
      <c r="F486" t="s">
        <v>55</v>
      </c>
      <c r="H486">
        <v>822</v>
      </c>
      <c r="I486">
        <v>1</v>
      </c>
      <c r="J486">
        <v>1</v>
      </c>
      <c r="K486" t="s">
        <v>5135</v>
      </c>
      <c r="L486" t="s">
        <v>101</v>
      </c>
      <c r="M486" t="s">
        <v>39</v>
      </c>
      <c r="N486">
        <v>0.97140000000000004</v>
      </c>
      <c r="O486" s="1">
        <v>1</v>
      </c>
      <c r="P486" t="s">
        <v>5136</v>
      </c>
      <c r="Q486" t="s">
        <v>5137</v>
      </c>
      <c r="R486" t="s">
        <v>5138</v>
      </c>
      <c r="S486" t="s">
        <v>166</v>
      </c>
      <c r="T486" t="s">
        <v>5139</v>
      </c>
      <c r="U486" t="s">
        <v>5140</v>
      </c>
      <c r="V486">
        <v>8</v>
      </c>
      <c r="W486" t="s">
        <v>5141</v>
      </c>
      <c r="X486" t="s">
        <v>5142</v>
      </c>
      <c r="Z486" t="s">
        <v>107</v>
      </c>
      <c r="AA486">
        <v>6</v>
      </c>
      <c r="AB486" t="s">
        <v>5143</v>
      </c>
      <c r="AC486" t="s">
        <v>5144</v>
      </c>
      <c r="AD486" t="s">
        <v>5145</v>
      </c>
      <c r="AE486" t="s">
        <v>5146</v>
      </c>
      <c r="AF486" t="s">
        <v>5147</v>
      </c>
      <c r="AG486" t="s">
        <v>5148</v>
      </c>
      <c r="AH486" t="str">
        <f>HYPERLINK("http://compartments.jensenlab.org/Entity?figures=subcell_cell_%&amp;knowledge=10&amp;textmining=10&amp;experiments=10&amp;predictions=10&amp;type1=9606&amp;type2=-22&amp;id1=ENSP00000400162","link")</f>
        <v>link</v>
      </c>
      <c r="AK486" t="str">
        <f>HYPERLINK("http://www.proteinatlas.org/P11362","CAB033614;HPA056402")</f>
        <v>CAB033614;HPA056402</v>
      </c>
      <c r="AL486" t="s">
        <v>5149</v>
      </c>
      <c r="AM486">
        <v>2260</v>
      </c>
    </row>
    <row r="487" spans="1:39" x14ac:dyDescent="0.35">
      <c r="A487" t="s">
        <v>5150</v>
      </c>
      <c r="B487" t="str">
        <f>HYPERLINK("http://www.uniprot.org/uniprot/P11717","P11717")</f>
        <v>P11717</v>
      </c>
      <c r="C487" t="s">
        <v>5151</v>
      </c>
      <c r="D487" t="s">
        <v>5152</v>
      </c>
      <c r="E487" t="s">
        <v>39</v>
      </c>
      <c r="F487" t="s">
        <v>40</v>
      </c>
      <c r="H487">
        <v>2491</v>
      </c>
      <c r="I487">
        <v>1</v>
      </c>
      <c r="J487">
        <v>1</v>
      </c>
      <c r="K487" t="s">
        <v>5153</v>
      </c>
      <c r="L487" t="s">
        <v>101</v>
      </c>
      <c r="N487">
        <v>0.94810000000000005</v>
      </c>
      <c r="O487" s="1">
        <v>1</v>
      </c>
      <c r="P487" t="s">
        <v>5154</v>
      </c>
      <c r="Q487" t="s">
        <v>5155</v>
      </c>
      <c r="R487" t="s">
        <v>5156</v>
      </c>
      <c r="S487" t="s">
        <v>60</v>
      </c>
      <c r="T487" t="s">
        <v>60</v>
      </c>
      <c r="U487" t="s">
        <v>5157</v>
      </c>
      <c r="V487">
        <v>18</v>
      </c>
      <c r="W487" t="s">
        <v>5158</v>
      </c>
      <c r="Z487" t="s">
        <v>107</v>
      </c>
      <c r="AA487">
        <v>37</v>
      </c>
      <c r="AB487" t="s">
        <v>5159</v>
      </c>
      <c r="AC487" t="s">
        <v>5160</v>
      </c>
      <c r="AD487" t="s">
        <v>5161</v>
      </c>
      <c r="AE487" t="s">
        <v>5162</v>
      </c>
      <c r="AF487" t="s">
        <v>5163</v>
      </c>
      <c r="AG487" t="s">
        <v>5164</v>
      </c>
      <c r="AH487" t="str">
        <f>HYPERLINK("http://compartments.jensenlab.org/Entity?figures=subcell_cell_%&amp;knowledge=10&amp;textmining=10&amp;experiments=10&amp;predictions=10&amp;type1=9606&amp;type2=-22&amp;id1=ENSP00000349437","link")</f>
        <v>link</v>
      </c>
      <c r="AI487" t="s">
        <v>5165</v>
      </c>
      <c r="AJ487" t="s">
        <v>5166</v>
      </c>
      <c r="AK487" t="str">
        <f>HYPERLINK("http://www.proteinatlas.org/P11717","CAB009661;HPA011332")</f>
        <v>CAB009661;HPA011332</v>
      </c>
      <c r="AL487" t="s">
        <v>5167</v>
      </c>
      <c r="AM487">
        <v>3482</v>
      </c>
    </row>
    <row r="488" spans="1:39" x14ac:dyDescent="0.35">
      <c r="A488" t="s">
        <v>5168</v>
      </c>
      <c r="B488" t="str">
        <f>HYPERLINK("http://www.uniprot.org/uniprot/P11836","P11836")</f>
        <v>P11836</v>
      </c>
      <c r="C488" t="s">
        <v>5169</v>
      </c>
      <c r="D488" t="s">
        <v>5170</v>
      </c>
      <c r="E488" t="s">
        <v>39</v>
      </c>
      <c r="F488" t="s">
        <v>40</v>
      </c>
      <c r="H488">
        <v>297</v>
      </c>
      <c r="I488">
        <v>4</v>
      </c>
      <c r="J488">
        <v>0</v>
      </c>
      <c r="K488" t="s">
        <v>5171</v>
      </c>
      <c r="L488" t="s">
        <v>57</v>
      </c>
      <c r="N488">
        <v>0.64470000000000005</v>
      </c>
      <c r="O488" s="1">
        <v>2</v>
      </c>
      <c r="P488" t="s">
        <v>5172</v>
      </c>
      <c r="Q488" t="s">
        <v>5173</v>
      </c>
      <c r="R488" t="s">
        <v>5174</v>
      </c>
      <c r="S488" t="s">
        <v>91</v>
      </c>
      <c r="T488" t="s">
        <v>5175</v>
      </c>
      <c r="U488" t="s">
        <v>5176</v>
      </c>
      <c r="V488">
        <v>0</v>
      </c>
      <c r="W488" t="s">
        <v>5177</v>
      </c>
      <c r="X488" t="s">
        <v>5178</v>
      </c>
      <c r="AE488" t="s">
        <v>5179</v>
      </c>
      <c r="AF488" t="s">
        <v>5180</v>
      </c>
      <c r="AG488" t="s">
        <v>5181</v>
      </c>
      <c r="AH488" t="str">
        <f>HYPERLINK("http://compartments.jensenlab.org/Entity?figures=subcell_cell_%&amp;knowledge=10&amp;textmining=10&amp;experiments=10&amp;predictions=10&amp;type1=9606&amp;type2=-22&amp;id1=ENSP00000314620","link")</f>
        <v>link</v>
      </c>
      <c r="AJ488" t="s">
        <v>2873</v>
      </c>
      <c r="AK488" t="str">
        <f>HYPERLINK("http://www.proteinatlas.org/P11836","CAB000015;HPA014341;HPA014391")</f>
        <v>CAB000015;HPA014341;HPA014391</v>
      </c>
      <c r="AL488" t="s">
        <v>5182</v>
      </c>
      <c r="AM488">
        <v>931</v>
      </c>
    </row>
    <row r="489" spans="1:39" x14ac:dyDescent="0.35">
      <c r="A489" t="s">
        <v>5183</v>
      </c>
      <c r="B489" t="str">
        <f>HYPERLINK("http://www.uniprot.org/uniprot/P11912","P11912")</f>
        <v>P11912</v>
      </c>
      <c r="C489" t="s">
        <v>5184</v>
      </c>
      <c r="D489" t="s">
        <v>5185</v>
      </c>
      <c r="E489" t="s">
        <v>39</v>
      </c>
      <c r="F489" t="s">
        <v>55</v>
      </c>
      <c r="H489">
        <v>226</v>
      </c>
      <c r="I489">
        <v>1</v>
      </c>
      <c r="J489">
        <v>1</v>
      </c>
      <c r="K489" t="s">
        <v>5186</v>
      </c>
      <c r="L489" t="s">
        <v>101</v>
      </c>
      <c r="M489" t="s">
        <v>39</v>
      </c>
      <c r="N489">
        <v>0.90820000000000001</v>
      </c>
      <c r="O489" s="1">
        <v>1</v>
      </c>
      <c r="P489" t="s">
        <v>5187</v>
      </c>
      <c r="Q489" t="s">
        <v>5188</v>
      </c>
      <c r="R489" t="s">
        <v>5189</v>
      </c>
      <c r="S489" t="s">
        <v>60</v>
      </c>
      <c r="T489" t="s">
        <v>60</v>
      </c>
      <c r="U489" t="s">
        <v>5190</v>
      </c>
      <c r="V489">
        <v>6</v>
      </c>
      <c r="W489" t="s">
        <v>5190</v>
      </c>
      <c r="Z489" t="s">
        <v>107</v>
      </c>
      <c r="AA489">
        <v>20</v>
      </c>
      <c r="AB489" t="s">
        <v>5191</v>
      </c>
      <c r="AC489" t="s">
        <v>5190</v>
      </c>
      <c r="AD489" t="s">
        <v>5192</v>
      </c>
      <c r="AE489" t="s">
        <v>332</v>
      </c>
      <c r="AF489" t="s">
        <v>5193</v>
      </c>
      <c r="AG489" t="s">
        <v>5194</v>
      </c>
      <c r="AH489" t="str">
        <f>HYPERLINK("http://compartments.jensenlab.org/Entity?figures=subcell_cell_%&amp;knowledge=10&amp;textmining=10&amp;experiments=10&amp;predictions=10&amp;type1=9606&amp;type2=-22&amp;id1=ENSP00000221972","link")</f>
        <v>link</v>
      </c>
      <c r="AI489" t="s">
        <v>65</v>
      </c>
      <c r="AJ489" t="s">
        <v>1791</v>
      </c>
      <c r="AK489" t="str">
        <f>HYPERLINK("http://www.proteinatlas.org/P11912","CAB000019;HPA017748")</f>
        <v>CAB000019;HPA017748</v>
      </c>
      <c r="AM489">
        <v>973</v>
      </c>
    </row>
    <row r="490" spans="1:39" x14ac:dyDescent="0.35">
      <c r="A490" t="s">
        <v>5195</v>
      </c>
      <c r="B490" t="str">
        <f>HYPERLINK("http://www.uniprot.org/uniprot/P12314","P12314")</f>
        <v>P12314</v>
      </c>
      <c r="C490" t="s">
        <v>5196</v>
      </c>
      <c r="D490" t="s">
        <v>5197</v>
      </c>
      <c r="E490" t="s">
        <v>39</v>
      </c>
      <c r="F490" t="s">
        <v>55</v>
      </c>
      <c r="H490">
        <v>374</v>
      </c>
      <c r="I490">
        <v>1</v>
      </c>
      <c r="J490">
        <v>1</v>
      </c>
      <c r="K490" t="s">
        <v>5198</v>
      </c>
      <c r="L490" t="s">
        <v>101</v>
      </c>
      <c r="M490" t="s">
        <v>39</v>
      </c>
      <c r="N490">
        <v>0.89139999999999997</v>
      </c>
      <c r="O490" s="1">
        <v>1</v>
      </c>
      <c r="P490" t="s">
        <v>5199</v>
      </c>
      <c r="Q490" t="s">
        <v>5200</v>
      </c>
      <c r="R490" t="s">
        <v>5201</v>
      </c>
      <c r="S490" t="s">
        <v>166</v>
      </c>
      <c r="T490" t="s">
        <v>478</v>
      </c>
      <c r="U490" t="s">
        <v>5202</v>
      </c>
      <c r="V490">
        <v>7</v>
      </c>
      <c r="W490" t="s">
        <v>5202</v>
      </c>
      <c r="Y490" t="s">
        <v>5203</v>
      </c>
      <c r="Z490" t="s">
        <v>107</v>
      </c>
      <c r="AA490">
        <v>3</v>
      </c>
      <c r="AB490" t="s">
        <v>5204</v>
      </c>
      <c r="AC490" t="s">
        <v>5205</v>
      </c>
      <c r="AD490" t="s">
        <v>5206</v>
      </c>
      <c r="AE490" t="s">
        <v>332</v>
      </c>
      <c r="AF490" t="s">
        <v>5207</v>
      </c>
      <c r="AG490" t="s">
        <v>5208</v>
      </c>
      <c r="AH490" t="str">
        <f>HYPERLINK("http://compartments.jensenlab.org/Entity?figures=subcell_cell_%&amp;knowledge=10&amp;textmining=10&amp;experiments=10&amp;predictions=10&amp;type1=9606&amp;type2=-22&amp;id1=ENSP00000358165","link")</f>
        <v>link</v>
      </c>
      <c r="AI490" t="s">
        <v>65</v>
      </c>
      <c r="AJ490" t="s">
        <v>1791</v>
      </c>
      <c r="AK490" t="str">
        <f>HYPERLINK("http://www.proteinatlas.org/P12314","no")</f>
        <v>no</v>
      </c>
      <c r="AL490" t="s">
        <v>5209</v>
      </c>
      <c r="AM490">
        <v>2209</v>
      </c>
    </row>
    <row r="491" spans="1:39" x14ac:dyDescent="0.35">
      <c r="A491" t="s">
        <v>5210</v>
      </c>
      <c r="B491" t="str">
        <f>HYPERLINK("http://www.uniprot.org/uniprot/P12318","P12318")</f>
        <v>P12318</v>
      </c>
      <c r="C491" t="s">
        <v>5211</v>
      </c>
      <c r="D491" t="s">
        <v>5212</v>
      </c>
      <c r="E491" t="s">
        <v>39</v>
      </c>
      <c r="F491" t="s">
        <v>40</v>
      </c>
      <c r="H491">
        <v>317</v>
      </c>
      <c r="I491">
        <v>1</v>
      </c>
      <c r="J491">
        <v>1</v>
      </c>
      <c r="K491" t="s">
        <v>5213</v>
      </c>
      <c r="L491" t="s">
        <v>57</v>
      </c>
      <c r="N491">
        <v>0.95009999999999994</v>
      </c>
      <c r="O491" s="1">
        <v>1</v>
      </c>
      <c r="P491" t="s">
        <v>5214</v>
      </c>
      <c r="Q491" t="s">
        <v>5215</v>
      </c>
      <c r="R491" t="s">
        <v>5216</v>
      </c>
      <c r="S491" t="s">
        <v>166</v>
      </c>
      <c r="T491" t="s">
        <v>478</v>
      </c>
      <c r="U491" t="s">
        <v>5217</v>
      </c>
      <c r="V491">
        <v>2</v>
      </c>
      <c r="Y491" t="s">
        <v>5218</v>
      </c>
      <c r="AE491" t="s">
        <v>332</v>
      </c>
      <c r="AF491" t="s">
        <v>5219</v>
      </c>
      <c r="AG491" t="s">
        <v>5220</v>
      </c>
      <c r="AH491" t="str">
        <f>HYPERLINK("http://compartments.jensenlab.org/Entity?figures=subcell_cell_%&amp;knowledge=10&amp;textmining=10&amp;experiments=10&amp;predictions=10&amp;type1=9606&amp;type2=-22&amp;id1=ENSP00000271450","link")</f>
        <v>link</v>
      </c>
      <c r="AI491" t="s">
        <v>65</v>
      </c>
      <c r="AJ491" t="s">
        <v>51</v>
      </c>
      <c r="AK491" t="str">
        <f>HYPERLINK("http://www.proteinatlas.org/P12318","HPA010718;HPA014730")</f>
        <v>HPA010718;HPA014730</v>
      </c>
      <c r="AL491" t="s">
        <v>2456</v>
      </c>
      <c r="AM491">
        <v>2212</v>
      </c>
    </row>
    <row r="492" spans="1:39" x14ac:dyDescent="0.35">
      <c r="A492" t="s">
        <v>5221</v>
      </c>
      <c r="B492" t="str">
        <f>HYPERLINK("http://www.uniprot.org/uniprot/P12319","P12319")</f>
        <v>P12319</v>
      </c>
      <c r="C492" t="s">
        <v>5222</v>
      </c>
      <c r="D492" t="s">
        <v>5223</v>
      </c>
      <c r="E492" t="s">
        <v>39</v>
      </c>
      <c r="F492" t="s">
        <v>40</v>
      </c>
      <c r="H492">
        <v>257</v>
      </c>
      <c r="I492">
        <v>1</v>
      </c>
      <c r="J492">
        <v>1</v>
      </c>
      <c r="K492" t="s">
        <v>5224</v>
      </c>
      <c r="L492" t="s">
        <v>57</v>
      </c>
      <c r="N492">
        <v>0.80640000000000001</v>
      </c>
      <c r="O492" s="1">
        <v>1</v>
      </c>
      <c r="P492" t="s">
        <v>5225</v>
      </c>
      <c r="Q492" t="s">
        <v>5226</v>
      </c>
      <c r="S492" t="s">
        <v>166</v>
      </c>
      <c r="T492" t="s">
        <v>478</v>
      </c>
      <c r="U492" t="s">
        <v>5227</v>
      </c>
      <c r="V492">
        <v>7</v>
      </c>
      <c r="W492" t="s">
        <v>5227</v>
      </c>
      <c r="Y492">
        <v>135</v>
      </c>
      <c r="AE492" t="s">
        <v>332</v>
      </c>
      <c r="AF492" t="s">
        <v>5228</v>
      </c>
      <c r="AG492" t="s">
        <v>5229</v>
      </c>
      <c r="AH492" t="str">
        <f>HYPERLINK("http://compartments.jensenlab.org/Entity?figures=subcell_cell_%&amp;knowledge=10&amp;textmining=10&amp;experiments=10&amp;predictions=10&amp;type1=9606&amp;type2=-22&amp;id1=ENSP00000357097","link")</f>
        <v>link</v>
      </c>
      <c r="AK492" t="str">
        <f>HYPERLINK("http://www.proteinatlas.org/P12319","CAB022102")</f>
        <v>CAB022102</v>
      </c>
      <c r="AL492" t="s">
        <v>5230</v>
      </c>
      <c r="AM492">
        <v>2205</v>
      </c>
    </row>
    <row r="493" spans="1:39" x14ac:dyDescent="0.35">
      <c r="A493" t="s">
        <v>5231</v>
      </c>
      <c r="B493" t="str">
        <f>HYPERLINK("http://www.uniprot.org/uniprot/P12821","P12821")</f>
        <v>P12821</v>
      </c>
      <c r="C493" t="s">
        <v>5232</v>
      </c>
      <c r="D493" t="s">
        <v>5233</v>
      </c>
      <c r="E493" t="s">
        <v>39</v>
      </c>
      <c r="F493" t="s">
        <v>55</v>
      </c>
      <c r="H493">
        <v>1306</v>
      </c>
      <c r="I493">
        <v>1</v>
      </c>
      <c r="J493">
        <v>1</v>
      </c>
      <c r="K493" t="s">
        <v>5234</v>
      </c>
      <c r="L493" t="s">
        <v>101</v>
      </c>
      <c r="M493" t="s">
        <v>39</v>
      </c>
      <c r="N493">
        <v>0.71350000000000002</v>
      </c>
      <c r="O493" s="1">
        <v>2</v>
      </c>
      <c r="P493" t="s">
        <v>5235</v>
      </c>
      <c r="Q493" t="s">
        <v>5236</v>
      </c>
      <c r="R493" t="s">
        <v>5237</v>
      </c>
      <c r="S493" t="s">
        <v>947</v>
      </c>
      <c r="T493" t="s">
        <v>5238</v>
      </c>
      <c r="U493" t="s">
        <v>5239</v>
      </c>
      <c r="V493">
        <v>17</v>
      </c>
      <c r="W493" t="s">
        <v>5239</v>
      </c>
      <c r="Y493" t="s">
        <v>5240</v>
      </c>
      <c r="Z493" t="s">
        <v>107</v>
      </c>
      <c r="AA493">
        <v>6</v>
      </c>
      <c r="AB493" t="s">
        <v>5241</v>
      </c>
      <c r="AC493" t="s">
        <v>5242</v>
      </c>
      <c r="AD493" t="s">
        <v>5243</v>
      </c>
      <c r="AE493" t="s">
        <v>5244</v>
      </c>
      <c r="AF493" t="s">
        <v>5245</v>
      </c>
      <c r="AG493" t="s">
        <v>5246</v>
      </c>
      <c r="AH493" t="str">
        <f>HYPERLINK("http://compartments.jensenlab.org/Entity?figures=subcell_cell_%&amp;knowledge=10&amp;textmining=10&amp;experiments=10&amp;predictions=10&amp;type1=9606&amp;type2=-22&amp;id1=ENSP00000290866","link")</f>
        <v>link</v>
      </c>
      <c r="AI493" t="s">
        <v>1058</v>
      </c>
      <c r="AJ493" t="s">
        <v>3634</v>
      </c>
      <c r="AK493" t="str">
        <f>HYPERLINK("http://www.proteinatlas.org/P12821","CAB002426;CAB002921;HPA029298")</f>
        <v>CAB002426;CAB002921;HPA029298</v>
      </c>
      <c r="AL493" t="s">
        <v>5247</v>
      </c>
      <c r="AM493">
        <v>1636</v>
      </c>
    </row>
    <row r="494" spans="1:39" x14ac:dyDescent="0.35">
      <c r="A494" t="s">
        <v>5248</v>
      </c>
      <c r="B494" t="str">
        <f>HYPERLINK("http://www.uniprot.org/uniprot/P12830","P12830")</f>
        <v>P12830</v>
      </c>
      <c r="C494" t="s">
        <v>5249</v>
      </c>
      <c r="D494" t="s">
        <v>5250</v>
      </c>
      <c r="E494" t="s">
        <v>39</v>
      </c>
      <c r="F494" t="s">
        <v>55</v>
      </c>
      <c r="H494">
        <v>882</v>
      </c>
      <c r="I494">
        <v>1</v>
      </c>
      <c r="J494">
        <v>1</v>
      </c>
      <c r="K494" t="s">
        <v>5251</v>
      </c>
      <c r="L494" t="s">
        <v>101</v>
      </c>
      <c r="M494" t="s">
        <v>39</v>
      </c>
      <c r="N494">
        <v>0.94330000000000003</v>
      </c>
      <c r="O494" s="1">
        <v>1</v>
      </c>
      <c r="P494" t="s">
        <v>5252</v>
      </c>
      <c r="Q494" t="s">
        <v>5253</v>
      </c>
      <c r="R494" t="s">
        <v>5254</v>
      </c>
      <c r="S494" t="s">
        <v>91</v>
      </c>
      <c r="T494" t="s">
        <v>2622</v>
      </c>
      <c r="U494" t="s">
        <v>5255</v>
      </c>
      <c r="V494">
        <v>5</v>
      </c>
      <c r="W494" t="s">
        <v>5256</v>
      </c>
      <c r="Z494" t="s">
        <v>107</v>
      </c>
      <c r="AA494">
        <v>1</v>
      </c>
      <c r="AB494" t="s">
        <v>5257</v>
      </c>
      <c r="AC494">
        <v>558</v>
      </c>
      <c r="AD494" t="s">
        <v>5258</v>
      </c>
      <c r="AE494" t="s">
        <v>5259</v>
      </c>
      <c r="AF494" t="s">
        <v>5260</v>
      </c>
      <c r="AG494" t="s">
        <v>5261</v>
      </c>
      <c r="AH494" t="str">
        <f>HYPERLINK("http://compartments.jensenlab.org/Entity?figures=subcell_cell_%&amp;knowledge=10&amp;textmining=10&amp;experiments=10&amp;predictions=10&amp;type1=9606&amp;type2=-22&amp;id1=ENSP00000261769","link")</f>
        <v>link</v>
      </c>
      <c r="AI494" t="s">
        <v>4125</v>
      </c>
      <c r="AJ494" t="s">
        <v>5262</v>
      </c>
      <c r="AK494" t="str">
        <f>HYPERLINK("http://www.proteinatlas.org/P12830","CAB000087;HPA004812;CAB028364")</f>
        <v>CAB000087;HPA004812;CAB028364</v>
      </c>
      <c r="AM494">
        <v>999</v>
      </c>
    </row>
    <row r="495" spans="1:39" x14ac:dyDescent="0.35">
      <c r="A495" t="s">
        <v>5263</v>
      </c>
      <c r="B495" t="str">
        <f>HYPERLINK("http://www.uniprot.org/uniprot/P13224","P13224")</f>
        <v>P13224</v>
      </c>
      <c r="C495" t="s">
        <v>5264</v>
      </c>
      <c r="D495" t="s">
        <v>5265</v>
      </c>
      <c r="E495" t="s">
        <v>39</v>
      </c>
      <c r="F495" t="s">
        <v>40</v>
      </c>
      <c r="H495">
        <v>206</v>
      </c>
      <c r="I495">
        <v>1</v>
      </c>
      <c r="J495">
        <v>1</v>
      </c>
      <c r="K495" t="s">
        <v>5266</v>
      </c>
      <c r="L495" t="s">
        <v>57</v>
      </c>
      <c r="N495">
        <v>0.70860000000000001</v>
      </c>
      <c r="O495" s="1">
        <v>2</v>
      </c>
      <c r="P495" t="s">
        <v>5267</v>
      </c>
      <c r="Q495" t="s">
        <v>5268</v>
      </c>
      <c r="R495" t="s">
        <v>5269</v>
      </c>
      <c r="S495" t="s">
        <v>91</v>
      </c>
      <c r="T495" t="s">
        <v>260</v>
      </c>
      <c r="U495">
        <v>66</v>
      </c>
      <c r="V495">
        <v>1</v>
      </c>
      <c r="W495">
        <v>66</v>
      </c>
      <c r="AE495" t="s">
        <v>144</v>
      </c>
      <c r="AF495" t="s">
        <v>5270</v>
      </c>
      <c r="AG495" t="s">
        <v>5271</v>
      </c>
      <c r="AH495" t="str">
        <f>HYPERLINK("http://compartments.jensenlab.org/Entity?figures=subcell_cell_%&amp;knowledge=10&amp;textmining=10&amp;experiments=10&amp;predictions=10&amp;type1=9606&amp;type2=-22&amp;id1=ENSP00000383382","link")</f>
        <v>link</v>
      </c>
      <c r="AJ495" t="s">
        <v>51</v>
      </c>
      <c r="AK495" t="str">
        <f>HYPERLINK("http://www.proteinatlas.org/P13224","no")</f>
        <v>no</v>
      </c>
      <c r="AM495">
        <v>2812</v>
      </c>
    </row>
    <row r="496" spans="1:39" x14ac:dyDescent="0.35">
      <c r="A496" t="s">
        <v>5272</v>
      </c>
      <c r="B496" t="str">
        <f>HYPERLINK("http://www.uniprot.org/uniprot/P13385","P13385")</f>
        <v>P13385</v>
      </c>
      <c r="C496" t="s">
        <v>5273</v>
      </c>
      <c r="D496" t="s">
        <v>5274</v>
      </c>
      <c r="E496" t="s">
        <v>39</v>
      </c>
      <c r="F496" t="s">
        <v>239</v>
      </c>
      <c r="H496">
        <v>188</v>
      </c>
      <c r="I496">
        <v>0</v>
      </c>
      <c r="J496">
        <v>1</v>
      </c>
      <c r="K496" t="s">
        <v>5275</v>
      </c>
      <c r="L496" t="s">
        <v>57</v>
      </c>
      <c r="N496">
        <v>0.68859999999999999</v>
      </c>
      <c r="O496" s="1" t="s">
        <v>241</v>
      </c>
      <c r="P496" t="s">
        <v>5276</v>
      </c>
      <c r="Q496" t="s">
        <v>5277</v>
      </c>
      <c r="S496" t="s">
        <v>60</v>
      </c>
      <c r="T496" t="s">
        <v>60</v>
      </c>
      <c r="U496">
        <v>79</v>
      </c>
      <c r="V496">
        <v>1</v>
      </c>
      <c r="W496">
        <v>79</v>
      </c>
      <c r="X496">
        <v>40</v>
      </c>
      <c r="AE496" t="s">
        <v>243</v>
      </c>
      <c r="AF496" t="s">
        <v>5278</v>
      </c>
      <c r="AG496" t="s">
        <v>5279</v>
      </c>
      <c r="AH496" t="str">
        <f>HYPERLINK("http://compartments.jensenlab.org/Entity?figures=subcell_cell_%&amp;knowledge=10&amp;textmining=10&amp;experiments=10&amp;predictions=10&amp;type1=9606&amp;type2=-22&amp;id1=ENSP00000296145","link")</f>
        <v>link</v>
      </c>
      <c r="AI496" t="s">
        <v>1058</v>
      </c>
      <c r="AJ496" t="s">
        <v>5280</v>
      </c>
      <c r="AK496" t="str">
        <f>HYPERLINK("http://www.proteinatlas.org/P13385","no")</f>
        <v>no</v>
      </c>
      <c r="AM496">
        <v>6997</v>
      </c>
    </row>
    <row r="497" spans="1:39" x14ac:dyDescent="0.35">
      <c r="A497" t="s">
        <v>5281</v>
      </c>
      <c r="B497" t="str">
        <f>HYPERLINK("http://www.uniprot.org/uniprot/P13473","P13473")</f>
        <v>P13473</v>
      </c>
      <c r="C497" t="s">
        <v>5282</v>
      </c>
      <c r="D497" t="s">
        <v>5283</v>
      </c>
      <c r="E497" t="s">
        <v>39</v>
      </c>
      <c r="F497" t="s">
        <v>55</v>
      </c>
      <c r="H497">
        <v>410</v>
      </c>
      <c r="I497">
        <v>1</v>
      </c>
      <c r="J497">
        <v>1</v>
      </c>
      <c r="K497" t="s">
        <v>5284</v>
      </c>
      <c r="L497" t="s">
        <v>101</v>
      </c>
      <c r="M497" t="s">
        <v>39</v>
      </c>
      <c r="N497">
        <v>0.93</v>
      </c>
      <c r="O497" s="1">
        <v>1</v>
      </c>
      <c r="P497" t="s">
        <v>5285</v>
      </c>
      <c r="Q497" t="s">
        <v>5286</v>
      </c>
      <c r="R497" t="s">
        <v>5287</v>
      </c>
      <c r="S497" t="s">
        <v>166</v>
      </c>
      <c r="T497" t="s">
        <v>5124</v>
      </c>
      <c r="U497" t="s">
        <v>5288</v>
      </c>
      <c r="V497">
        <v>16</v>
      </c>
      <c r="W497" t="s">
        <v>5288</v>
      </c>
      <c r="X497" t="s">
        <v>5289</v>
      </c>
      <c r="Z497" t="s">
        <v>107</v>
      </c>
      <c r="AA497">
        <v>41</v>
      </c>
      <c r="AB497" t="s">
        <v>5290</v>
      </c>
      <c r="AC497" t="s">
        <v>5291</v>
      </c>
      <c r="AD497" t="s">
        <v>5292</v>
      </c>
      <c r="AE497" t="s">
        <v>5293</v>
      </c>
      <c r="AF497" t="s">
        <v>5294</v>
      </c>
      <c r="AG497" t="s">
        <v>5295</v>
      </c>
      <c r="AH497" t="str">
        <f>HYPERLINK("http://compartments.jensenlab.org/Entity?figures=subcell_cell_%&amp;knowledge=10&amp;textmining=10&amp;experiments=10&amp;predictions=10&amp;type1=9606&amp;type2=-22&amp;id1=ENSP00000200639","link")</f>
        <v>link</v>
      </c>
      <c r="AK497" t="str">
        <f>HYPERLINK("http://www.proteinatlas.org/P13473","CAB005272;HPA029100")</f>
        <v>CAB005272;HPA029100</v>
      </c>
      <c r="AM497">
        <v>3920</v>
      </c>
    </row>
    <row r="498" spans="1:39" x14ac:dyDescent="0.35">
      <c r="A498" t="s">
        <v>5296</v>
      </c>
      <c r="B498" t="str">
        <f>HYPERLINK("http://www.uniprot.org/uniprot/P13591","P13591")</f>
        <v>P13591</v>
      </c>
      <c r="C498" t="s">
        <v>5297</v>
      </c>
      <c r="D498" t="s">
        <v>5298</v>
      </c>
      <c r="E498" t="s">
        <v>39</v>
      </c>
      <c r="F498" t="s">
        <v>239</v>
      </c>
      <c r="H498">
        <v>858</v>
      </c>
      <c r="I498">
        <v>1</v>
      </c>
      <c r="J498">
        <v>1</v>
      </c>
      <c r="K498" t="s">
        <v>5299</v>
      </c>
      <c r="L498" t="s">
        <v>101</v>
      </c>
      <c r="M498" t="s">
        <v>39</v>
      </c>
      <c r="N498">
        <v>0.81320000000000003</v>
      </c>
      <c r="O498" s="1">
        <v>1</v>
      </c>
      <c r="P498" t="s">
        <v>5300</v>
      </c>
      <c r="Q498" t="s">
        <v>5301</v>
      </c>
      <c r="R498" t="s">
        <v>5302</v>
      </c>
      <c r="S498" t="s">
        <v>91</v>
      </c>
      <c r="T498" t="s">
        <v>555</v>
      </c>
      <c r="U498" t="s">
        <v>5303</v>
      </c>
      <c r="V498">
        <v>7</v>
      </c>
      <c r="W498" t="s">
        <v>5303</v>
      </c>
      <c r="Y498" t="s">
        <v>5304</v>
      </c>
      <c r="Z498" t="s">
        <v>107</v>
      </c>
      <c r="AA498">
        <v>9</v>
      </c>
      <c r="AB498" t="s">
        <v>5305</v>
      </c>
      <c r="AC498" t="s">
        <v>5306</v>
      </c>
      <c r="AD498" t="s">
        <v>5307</v>
      </c>
      <c r="AE498" t="s">
        <v>5308</v>
      </c>
      <c r="AF498" t="s">
        <v>5309</v>
      </c>
      <c r="AG498" t="s">
        <v>5310</v>
      </c>
      <c r="AH498" t="str">
        <f>HYPERLINK("http://compartments.jensenlab.org/Entity?figures=subcell_cell_%&amp;knowledge=10&amp;textmining=10&amp;experiments=10&amp;predictions=10&amp;type1=9606&amp;type2=-22&amp;id1=ENSP00000484943","link")</f>
        <v>link</v>
      </c>
      <c r="AK498" t="str">
        <f>HYPERLINK("http://www.proteinatlas.org/P13591","CAB000142;CAB018071;HPA039835")</f>
        <v>CAB000142;CAB018071;HPA039835</v>
      </c>
      <c r="AM498">
        <v>4684</v>
      </c>
    </row>
    <row r="499" spans="1:39" x14ac:dyDescent="0.35">
      <c r="A499" t="s">
        <v>5311</v>
      </c>
      <c r="B499" t="str">
        <f>HYPERLINK("http://www.uniprot.org/uniprot/P13598","P13598")</f>
        <v>P13598</v>
      </c>
      <c r="C499" t="s">
        <v>5312</v>
      </c>
      <c r="D499" t="s">
        <v>5313</v>
      </c>
      <c r="E499" t="s">
        <v>39</v>
      </c>
      <c r="F499" t="s">
        <v>40</v>
      </c>
      <c r="H499">
        <v>275</v>
      </c>
      <c r="I499">
        <v>1</v>
      </c>
      <c r="J499">
        <v>1</v>
      </c>
      <c r="K499" t="s">
        <v>5314</v>
      </c>
      <c r="L499" t="s">
        <v>101</v>
      </c>
      <c r="N499">
        <v>0.88819999999999999</v>
      </c>
      <c r="O499" s="1">
        <v>1</v>
      </c>
      <c r="P499" t="s">
        <v>5315</v>
      </c>
      <c r="Q499" t="s">
        <v>5316</v>
      </c>
      <c r="R499" t="s">
        <v>5317</v>
      </c>
      <c r="S499" t="s">
        <v>60</v>
      </c>
      <c r="T499" t="s">
        <v>60</v>
      </c>
      <c r="U499" t="s">
        <v>5318</v>
      </c>
      <c r="V499">
        <v>6</v>
      </c>
      <c r="W499" t="s">
        <v>5319</v>
      </c>
      <c r="Z499" t="s">
        <v>107</v>
      </c>
      <c r="AA499">
        <v>44</v>
      </c>
      <c r="AB499" t="s">
        <v>5320</v>
      </c>
      <c r="AC499" t="s">
        <v>5318</v>
      </c>
      <c r="AD499" t="s">
        <v>5321</v>
      </c>
      <c r="AE499" t="s">
        <v>144</v>
      </c>
      <c r="AF499" t="s">
        <v>5322</v>
      </c>
      <c r="AG499" t="s">
        <v>5323</v>
      </c>
      <c r="AH499" t="str">
        <f>HYPERLINK("http://compartments.jensenlab.org/Entity?figures=subcell_cell_%&amp;knowledge=10&amp;textmining=10&amp;experiments=10&amp;predictions=10&amp;type1=9606&amp;type2=-22&amp;id1=ENSP00000415283","link")</f>
        <v>link</v>
      </c>
      <c r="AK499" t="str">
        <f>HYPERLINK("http://www.proteinatlas.org/P13598","HPA002020")</f>
        <v>HPA002020</v>
      </c>
      <c r="AM499">
        <v>3384</v>
      </c>
    </row>
    <row r="500" spans="1:39" x14ac:dyDescent="0.35">
      <c r="A500" t="s">
        <v>5324</v>
      </c>
      <c r="B500" t="str">
        <f>HYPERLINK("http://www.uniprot.org/uniprot/P13612","P13612")</f>
        <v>P13612</v>
      </c>
      <c r="C500" t="s">
        <v>5325</v>
      </c>
      <c r="D500" t="s">
        <v>5326</v>
      </c>
      <c r="E500" t="s">
        <v>39</v>
      </c>
      <c r="F500" t="s">
        <v>40</v>
      </c>
      <c r="H500">
        <v>1032</v>
      </c>
      <c r="I500">
        <v>1</v>
      </c>
      <c r="J500">
        <v>1</v>
      </c>
      <c r="K500" t="s">
        <v>5327</v>
      </c>
      <c r="L500" t="s">
        <v>101</v>
      </c>
      <c r="N500">
        <v>0.91620000000000001</v>
      </c>
      <c r="O500" s="1">
        <v>1</v>
      </c>
      <c r="P500" t="s">
        <v>5328</v>
      </c>
      <c r="Q500" t="s">
        <v>5329</v>
      </c>
      <c r="R500" t="s">
        <v>5330</v>
      </c>
      <c r="S500" t="s">
        <v>166</v>
      </c>
      <c r="T500" t="s">
        <v>2763</v>
      </c>
      <c r="U500" t="s">
        <v>5331</v>
      </c>
      <c r="V500">
        <v>11</v>
      </c>
      <c r="W500" t="s">
        <v>5332</v>
      </c>
      <c r="X500" t="s">
        <v>5333</v>
      </c>
      <c r="Z500" t="s">
        <v>107</v>
      </c>
      <c r="AA500">
        <v>43</v>
      </c>
      <c r="AB500" t="s">
        <v>5334</v>
      </c>
      <c r="AC500" t="s">
        <v>5335</v>
      </c>
      <c r="AD500" t="s">
        <v>5336</v>
      </c>
      <c r="AE500" t="s">
        <v>144</v>
      </c>
      <c r="AF500" t="s">
        <v>5337</v>
      </c>
      <c r="AG500" t="s">
        <v>5338</v>
      </c>
      <c r="AH500" t="str">
        <f>HYPERLINK("http://compartments.jensenlab.org/Entity?figures=subcell_cell_%&amp;knowledge=10&amp;textmining=10&amp;experiments=10&amp;predictions=10&amp;type1=9606&amp;type2=-22&amp;id1=ENSP00000380227","link")</f>
        <v>link</v>
      </c>
      <c r="AJ500" t="s">
        <v>51</v>
      </c>
      <c r="AK500" t="str">
        <f>HYPERLINK("http://www.proteinatlas.org/P13612","no")</f>
        <v>no</v>
      </c>
      <c r="AL500" t="s">
        <v>5339</v>
      </c>
      <c r="AM500">
        <v>3676</v>
      </c>
    </row>
    <row r="501" spans="1:39" x14ac:dyDescent="0.35">
      <c r="A501" t="s">
        <v>5340</v>
      </c>
      <c r="B501" t="str">
        <f>HYPERLINK("http://www.uniprot.org/uniprot/P13637","P13637")</f>
        <v>P13637</v>
      </c>
      <c r="C501" t="s">
        <v>5341</v>
      </c>
      <c r="D501" t="s">
        <v>5342</v>
      </c>
      <c r="E501" t="s">
        <v>39</v>
      </c>
      <c r="F501" t="s">
        <v>40</v>
      </c>
      <c r="H501">
        <v>1013</v>
      </c>
      <c r="I501">
        <v>10</v>
      </c>
      <c r="J501">
        <v>0</v>
      </c>
      <c r="K501" t="s">
        <v>5343</v>
      </c>
      <c r="L501" t="s">
        <v>57</v>
      </c>
      <c r="N501">
        <v>0.67859999999999998</v>
      </c>
      <c r="O501" s="1">
        <v>2</v>
      </c>
      <c r="P501" t="s">
        <v>5344</v>
      </c>
      <c r="Q501" t="s">
        <v>5345</v>
      </c>
      <c r="S501" t="s">
        <v>45</v>
      </c>
      <c r="T501" t="s">
        <v>3982</v>
      </c>
      <c r="U501" t="s">
        <v>5346</v>
      </c>
      <c r="V501">
        <v>0</v>
      </c>
      <c r="AE501" t="s">
        <v>74</v>
      </c>
      <c r="AF501" t="s">
        <v>5347</v>
      </c>
      <c r="AG501" t="s">
        <v>5348</v>
      </c>
      <c r="AH501" t="str">
        <f>HYPERLINK("http://compartments.jensenlab.org/Entity?figures=subcell_cell_%&amp;knowledge=10&amp;textmining=10&amp;experiments=10&amp;predictions=10&amp;type1=9606&amp;type2=-22&amp;id1=ENSP00000302397","link")</f>
        <v>link</v>
      </c>
      <c r="AI501" t="s">
        <v>3445</v>
      </c>
      <c r="AJ501" t="s">
        <v>5349</v>
      </c>
      <c r="AK501" t="str">
        <f>HYPERLINK("http://www.proteinatlas.org/P13637","CAB033630;HPA045367;HPA056446")</f>
        <v>CAB033630;HPA045367;HPA056446</v>
      </c>
      <c r="AM501">
        <v>478</v>
      </c>
    </row>
    <row r="502" spans="1:39" x14ac:dyDescent="0.35">
      <c r="A502" t="s">
        <v>5350</v>
      </c>
      <c r="B502" t="str">
        <f>HYPERLINK("http://www.uniprot.org/uniprot/P13688","P13688")</f>
        <v>P13688</v>
      </c>
      <c r="C502" t="s">
        <v>5351</v>
      </c>
      <c r="D502" t="s">
        <v>5352</v>
      </c>
      <c r="E502" t="s">
        <v>39</v>
      </c>
      <c r="F502" t="s">
        <v>55</v>
      </c>
      <c r="H502">
        <v>526</v>
      </c>
      <c r="I502">
        <v>1</v>
      </c>
      <c r="J502">
        <v>1</v>
      </c>
      <c r="K502" t="s">
        <v>5353</v>
      </c>
      <c r="L502" t="s">
        <v>101</v>
      </c>
      <c r="M502" t="s">
        <v>39</v>
      </c>
      <c r="N502">
        <v>0.98040000000000005</v>
      </c>
      <c r="O502" s="1">
        <v>1</v>
      </c>
      <c r="P502" t="s">
        <v>5354</v>
      </c>
      <c r="Q502" t="s">
        <v>5355</v>
      </c>
      <c r="R502" t="s">
        <v>5356</v>
      </c>
      <c r="S502" t="s">
        <v>91</v>
      </c>
      <c r="T502" t="s">
        <v>555</v>
      </c>
      <c r="U502" t="s">
        <v>5357</v>
      </c>
      <c r="V502">
        <v>20</v>
      </c>
      <c r="W502" t="s">
        <v>5357</v>
      </c>
      <c r="Z502" t="s">
        <v>107</v>
      </c>
      <c r="AA502">
        <v>9</v>
      </c>
      <c r="AB502" t="s">
        <v>5358</v>
      </c>
      <c r="AC502" t="s">
        <v>5359</v>
      </c>
      <c r="AD502" t="s">
        <v>5360</v>
      </c>
      <c r="AE502" t="s">
        <v>5361</v>
      </c>
      <c r="AF502" t="s">
        <v>5362</v>
      </c>
      <c r="AG502" t="s">
        <v>5363</v>
      </c>
      <c r="AH502" t="str">
        <f>HYPERLINK("http://compartments.jensenlab.org/Entity?figures=subcell_cell_%&amp;knowledge=10&amp;textmining=10&amp;experiments=10&amp;predictions=10&amp;type1=9606&amp;type2=-22&amp;id1=ENSP00000161559","link")</f>
        <v>link</v>
      </c>
      <c r="AI502" t="s">
        <v>1058</v>
      </c>
      <c r="AJ502" t="s">
        <v>902</v>
      </c>
      <c r="AK502" t="str">
        <f>HYPERLINK("http://www.proteinatlas.org/P13688","CAB002146;HPA011041")</f>
        <v>CAB002146;HPA011041</v>
      </c>
      <c r="AL502" t="s">
        <v>5364</v>
      </c>
      <c r="AM502">
        <v>634</v>
      </c>
    </row>
    <row r="503" spans="1:39" x14ac:dyDescent="0.35">
      <c r="A503" t="s">
        <v>5365</v>
      </c>
      <c r="B503" t="str">
        <f>HYPERLINK("http://www.uniprot.org/uniprot/P13726","P13726")</f>
        <v>P13726</v>
      </c>
      <c r="C503" t="s">
        <v>5366</v>
      </c>
      <c r="D503" t="s">
        <v>5367</v>
      </c>
      <c r="E503" t="s">
        <v>39</v>
      </c>
      <c r="F503" t="s">
        <v>40</v>
      </c>
      <c r="H503">
        <v>295</v>
      </c>
      <c r="I503">
        <v>1</v>
      </c>
      <c r="J503">
        <v>1</v>
      </c>
      <c r="K503" t="s">
        <v>5368</v>
      </c>
      <c r="L503" t="s">
        <v>101</v>
      </c>
      <c r="N503">
        <v>0.93810000000000004</v>
      </c>
      <c r="O503" s="1">
        <v>1</v>
      </c>
      <c r="P503" t="s">
        <v>5369</v>
      </c>
      <c r="Q503" t="s">
        <v>5370</v>
      </c>
      <c r="R503" t="s">
        <v>5371</v>
      </c>
      <c r="S503" t="s">
        <v>60</v>
      </c>
      <c r="T503" t="s">
        <v>60</v>
      </c>
      <c r="U503" t="s">
        <v>5372</v>
      </c>
      <c r="V503">
        <v>3</v>
      </c>
      <c r="W503" t="s">
        <v>5372</v>
      </c>
      <c r="X503">
        <v>285</v>
      </c>
      <c r="Y503" t="s">
        <v>5373</v>
      </c>
      <c r="Z503" t="s">
        <v>107</v>
      </c>
      <c r="AA503">
        <v>20</v>
      </c>
      <c r="AB503" t="s">
        <v>5374</v>
      </c>
      <c r="AC503" t="s">
        <v>5375</v>
      </c>
      <c r="AD503" t="s">
        <v>5376</v>
      </c>
      <c r="AE503" t="s">
        <v>1434</v>
      </c>
      <c r="AF503" t="s">
        <v>5377</v>
      </c>
      <c r="AG503" t="s">
        <v>5378</v>
      </c>
      <c r="AH503" t="str">
        <f>HYPERLINK("http://compartments.jensenlab.org/Entity?figures=subcell_cell_%&amp;knowledge=10&amp;textmining=10&amp;experiments=10&amp;predictions=10&amp;type1=9606&amp;type2=-22&amp;id1=ENSP00000334145","link")</f>
        <v>link</v>
      </c>
      <c r="AI503" t="s">
        <v>113</v>
      </c>
      <c r="AJ503" t="s">
        <v>1767</v>
      </c>
      <c r="AK503" t="str">
        <f>HYPERLINK("http://www.proteinatlas.org/P13726","CAB009438;HPA049292")</f>
        <v>CAB009438;HPA049292</v>
      </c>
      <c r="AL503" t="s">
        <v>5379</v>
      </c>
      <c r="AM503">
        <v>2152</v>
      </c>
    </row>
    <row r="504" spans="1:39" x14ac:dyDescent="0.35">
      <c r="A504" t="s">
        <v>5380</v>
      </c>
      <c r="B504" t="str">
        <f>HYPERLINK("http://www.uniprot.org/uniprot/P13746","P13746")</f>
        <v>P13746</v>
      </c>
      <c r="C504" t="s">
        <v>5381</v>
      </c>
      <c r="D504" t="s">
        <v>3647</v>
      </c>
      <c r="E504" t="s">
        <v>39</v>
      </c>
      <c r="F504" t="s">
        <v>40</v>
      </c>
      <c r="H504">
        <v>365</v>
      </c>
      <c r="I504">
        <v>1</v>
      </c>
      <c r="J504">
        <v>1</v>
      </c>
      <c r="K504" t="s">
        <v>3648</v>
      </c>
      <c r="L504" t="s">
        <v>57</v>
      </c>
      <c r="N504">
        <v>0.86229999999999996</v>
      </c>
      <c r="O504" s="1">
        <v>1</v>
      </c>
      <c r="P504" t="s">
        <v>3890</v>
      </c>
      <c r="Q504" t="s">
        <v>3891</v>
      </c>
      <c r="S504" t="s">
        <v>91</v>
      </c>
      <c r="T504" t="s">
        <v>3641</v>
      </c>
      <c r="U504">
        <v>110</v>
      </c>
      <c r="V504">
        <v>1</v>
      </c>
      <c r="W504">
        <v>110</v>
      </c>
      <c r="X504">
        <v>350</v>
      </c>
      <c r="AE504" t="s">
        <v>144</v>
      </c>
      <c r="AF504" t="s">
        <v>5382</v>
      </c>
      <c r="AG504" t="s">
        <v>5383</v>
      </c>
      <c r="AH504" t="str">
        <f>HYPERLINK("http://compartments.jensenlab.org/Entity?figures=subcell_cell_%&amp;knowledge=10&amp;textmining=10&amp;experiments=10&amp;predictions=10&amp;type1=9606&amp;type2=-22&amp;id1=ENSP00000366005","link")</f>
        <v>link</v>
      </c>
      <c r="AI504" t="s">
        <v>65</v>
      </c>
      <c r="AJ504" t="s">
        <v>3644</v>
      </c>
      <c r="AK504" t="str">
        <f>HYPERLINK("http://www.proteinatlas.org/P13746","no")</f>
        <v>no</v>
      </c>
    </row>
    <row r="505" spans="1:39" x14ac:dyDescent="0.35">
      <c r="A505" t="s">
        <v>5384</v>
      </c>
      <c r="B505" t="str">
        <f>HYPERLINK("http://www.uniprot.org/uniprot/P13747","P13747")</f>
        <v>P13747</v>
      </c>
      <c r="C505" t="s">
        <v>5385</v>
      </c>
      <c r="D505" t="s">
        <v>5386</v>
      </c>
      <c r="E505" t="s">
        <v>39</v>
      </c>
      <c r="F505" t="s">
        <v>40</v>
      </c>
      <c r="H505">
        <v>358</v>
      </c>
      <c r="I505">
        <v>1</v>
      </c>
      <c r="J505">
        <v>1</v>
      </c>
      <c r="K505" t="s">
        <v>5387</v>
      </c>
      <c r="L505" t="s">
        <v>101</v>
      </c>
      <c r="N505">
        <v>0.75049999999999994</v>
      </c>
      <c r="O505" s="1">
        <v>1</v>
      </c>
      <c r="P505" t="s">
        <v>5388</v>
      </c>
      <c r="Q505" t="s">
        <v>5389</v>
      </c>
      <c r="S505" t="s">
        <v>91</v>
      </c>
      <c r="T505" t="s">
        <v>3641</v>
      </c>
      <c r="U505">
        <v>107</v>
      </c>
      <c r="V505">
        <v>1</v>
      </c>
      <c r="Z505" t="s">
        <v>107</v>
      </c>
      <c r="AA505">
        <v>1</v>
      </c>
      <c r="AB505" t="s">
        <v>5390</v>
      </c>
      <c r="AC505">
        <v>107</v>
      </c>
      <c r="AD505" t="s">
        <v>5391</v>
      </c>
      <c r="AE505" t="s">
        <v>144</v>
      </c>
      <c r="AF505" t="s">
        <v>5392</v>
      </c>
      <c r="AG505" t="s">
        <v>5393</v>
      </c>
      <c r="AH505" t="str">
        <f>HYPERLINK("http://compartments.jensenlab.org/Entity?figures=subcell_cell_%&amp;knowledge=10&amp;textmining=10&amp;experiments=10&amp;predictions=10&amp;type1=9606&amp;type2=-22&amp;id1=ENSP00000373091","link")</f>
        <v>link</v>
      </c>
      <c r="AJ505" t="s">
        <v>5394</v>
      </c>
      <c r="AK505" t="str">
        <f>HYPERLINK("http://www.proteinatlas.org/P13747","no")</f>
        <v>no</v>
      </c>
      <c r="AM505">
        <v>3133</v>
      </c>
    </row>
    <row r="506" spans="1:39" x14ac:dyDescent="0.35">
      <c r="A506" t="s">
        <v>5395</v>
      </c>
      <c r="B506" t="str">
        <f>HYPERLINK("http://www.uniprot.org/uniprot/P13760","P13760")</f>
        <v>P13760</v>
      </c>
      <c r="C506" t="s">
        <v>5396</v>
      </c>
      <c r="D506" t="s">
        <v>3712</v>
      </c>
      <c r="E506" t="s">
        <v>39</v>
      </c>
      <c r="F506" t="s">
        <v>55</v>
      </c>
      <c r="H506">
        <v>266</v>
      </c>
      <c r="I506">
        <v>1</v>
      </c>
      <c r="J506">
        <v>1</v>
      </c>
      <c r="K506" t="s">
        <v>3713</v>
      </c>
      <c r="L506" t="s">
        <v>101</v>
      </c>
      <c r="M506" t="s">
        <v>39</v>
      </c>
      <c r="N506">
        <v>0.86409999999999998</v>
      </c>
      <c r="O506" s="1">
        <v>1</v>
      </c>
      <c r="P506" t="s">
        <v>5397</v>
      </c>
      <c r="Q506" t="s">
        <v>5398</v>
      </c>
      <c r="S506" t="s">
        <v>91</v>
      </c>
      <c r="T506" t="s">
        <v>3641</v>
      </c>
      <c r="U506">
        <v>48</v>
      </c>
      <c r="V506">
        <v>1</v>
      </c>
      <c r="W506">
        <v>48</v>
      </c>
      <c r="Z506" t="s">
        <v>107</v>
      </c>
      <c r="AA506">
        <v>5</v>
      </c>
      <c r="AB506" t="s">
        <v>5399</v>
      </c>
      <c r="AC506">
        <v>48</v>
      </c>
      <c r="AD506" t="s">
        <v>5400</v>
      </c>
      <c r="AE506" t="s">
        <v>3717</v>
      </c>
      <c r="AF506" t="s">
        <v>3724</v>
      </c>
      <c r="AG506" t="s">
        <v>5401</v>
      </c>
      <c r="AH506" t="str">
        <f>HYPERLINK("http://compartments.jensenlab.org/Entity?figures=subcell_cell_%&amp;knowledge=10&amp;textmining=10&amp;experiments=10&amp;predictions=10&amp;type1=9606&amp;type2=-22&amp;id1=ENSP00000403458","link")</f>
        <v>link</v>
      </c>
      <c r="AK506" t="str">
        <f>HYPERLINK("http://www.proteinatlas.org/P13760","no")</f>
        <v>no</v>
      </c>
    </row>
    <row r="507" spans="1:39" x14ac:dyDescent="0.35">
      <c r="A507" t="s">
        <v>5402</v>
      </c>
      <c r="B507" t="str">
        <f>HYPERLINK("http://www.uniprot.org/uniprot/P13761","P13761")</f>
        <v>P13761</v>
      </c>
      <c r="C507" t="s">
        <v>5403</v>
      </c>
      <c r="D507" t="s">
        <v>3712</v>
      </c>
      <c r="E507" t="s">
        <v>39</v>
      </c>
      <c r="F507" t="s">
        <v>55</v>
      </c>
      <c r="H507">
        <v>266</v>
      </c>
      <c r="I507">
        <v>1</v>
      </c>
      <c r="J507">
        <v>1</v>
      </c>
      <c r="K507" t="s">
        <v>3713</v>
      </c>
      <c r="L507" t="s">
        <v>101</v>
      </c>
      <c r="N507">
        <v>0.93810000000000004</v>
      </c>
      <c r="O507" s="1">
        <v>1</v>
      </c>
      <c r="P507" t="s">
        <v>5404</v>
      </c>
      <c r="Q507" t="s">
        <v>5405</v>
      </c>
      <c r="S507" t="s">
        <v>91</v>
      </c>
      <c r="T507" t="s">
        <v>3641</v>
      </c>
      <c r="U507">
        <v>48</v>
      </c>
      <c r="V507">
        <v>1</v>
      </c>
      <c r="W507">
        <v>48</v>
      </c>
      <c r="Y507" t="s">
        <v>3716</v>
      </c>
      <c r="Z507" t="s">
        <v>107</v>
      </c>
      <c r="AA507">
        <v>1</v>
      </c>
      <c r="AB507" t="s">
        <v>5406</v>
      </c>
      <c r="AC507">
        <v>48</v>
      </c>
      <c r="AD507" t="s">
        <v>5407</v>
      </c>
      <c r="AE507" t="s">
        <v>3717</v>
      </c>
      <c r="AF507" t="s">
        <v>5408</v>
      </c>
      <c r="AG507" t="s">
        <v>5409</v>
      </c>
      <c r="AH507" t="str">
        <f>HYPERLINK("http://compartments.jensenlab.org/Entity?figures=subcell_cell_%&amp;knowledge=10&amp;textmining=10&amp;experiments=10&amp;predictions=10&amp;type1=9606&amp;type2=-22&amp;id1=ENSP00000405960","link")</f>
        <v>link</v>
      </c>
      <c r="AK507" t="str">
        <f>HYPERLINK("http://www.proteinatlas.org/P13761","no")</f>
        <v>no</v>
      </c>
    </row>
    <row r="508" spans="1:39" x14ac:dyDescent="0.35">
      <c r="A508" t="s">
        <v>5410</v>
      </c>
      <c r="B508" t="str">
        <f>HYPERLINK("http://www.uniprot.org/uniprot/P13762","P13762")</f>
        <v>P13762</v>
      </c>
      <c r="C508" t="s">
        <v>5411</v>
      </c>
      <c r="D508" t="s">
        <v>5412</v>
      </c>
      <c r="E508" t="s">
        <v>39</v>
      </c>
      <c r="F508" t="s">
        <v>55</v>
      </c>
      <c r="H508">
        <v>266</v>
      </c>
      <c r="I508">
        <v>1</v>
      </c>
      <c r="J508">
        <v>1</v>
      </c>
      <c r="K508" t="s">
        <v>3713</v>
      </c>
      <c r="L508" t="s">
        <v>101</v>
      </c>
      <c r="N508">
        <v>0.84630000000000005</v>
      </c>
      <c r="O508" s="1">
        <v>1</v>
      </c>
      <c r="P508" t="s">
        <v>5413</v>
      </c>
      <c r="Q508" t="s">
        <v>5414</v>
      </c>
      <c r="S508" t="s">
        <v>91</v>
      </c>
      <c r="T508" t="s">
        <v>3641</v>
      </c>
      <c r="U508">
        <v>48</v>
      </c>
      <c r="V508">
        <v>1</v>
      </c>
      <c r="W508">
        <v>48</v>
      </c>
      <c r="Y508" t="s">
        <v>5415</v>
      </c>
      <c r="Z508" t="s">
        <v>107</v>
      </c>
      <c r="AA508">
        <v>2</v>
      </c>
      <c r="AB508" t="s">
        <v>5416</v>
      </c>
      <c r="AC508">
        <v>48</v>
      </c>
      <c r="AD508" t="s">
        <v>5417</v>
      </c>
      <c r="AE508" t="s">
        <v>3678</v>
      </c>
      <c r="AF508" t="s">
        <v>5408</v>
      </c>
      <c r="AG508" t="s">
        <v>5418</v>
      </c>
      <c r="AH508" t="str">
        <f>HYPERLINK("http://compartments.jensenlab.org/Entity?figures=subcell_cell_%&amp;knowledge=10&amp;textmining=10&amp;experiments=10&amp;predictions=10&amp;type1=9606&amp;type2=-22&amp;id1=ENSP00000410857","link")</f>
        <v>link</v>
      </c>
      <c r="AI508" t="s">
        <v>3694</v>
      </c>
      <c r="AJ508" t="s">
        <v>1630</v>
      </c>
      <c r="AK508" t="str">
        <f>HYPERLINK("http://www.proteinatlas.org/P13762","no")</f>
        <v>no</v>
      </c>
      <c r="AM508">
        <v>3126</v>
      </c>
    </row>
    <row r="509" spans="1:39" x14ac:dyDescent="0.35">
      <c r="A509" t="s">
        <v>5419</v>
      </c>
      <c r="B509" t="str">
        <f>HYPERLINK("http://www.uniprot.org/uniprot/P13765","P13765")</f>
        <v>P13765</v>
      </c>
      <c r="C509" t="s">
        <v>5420</v>
      </c>
      <c r="D509" t="s">
        <v>5421</v>
      </c>
      <c r="E509" t="s">
        <v>39</v>
      </c>
      <c r="F509" t="s">
        <v>40</v>
      </c>
      <c r="H509">
        <v>273</v>
      </c>
      <c r="I509">
        <v>1</v>
      </c>
      <c r="J509">
        <v>1</v>
      </c>
      <c r="K509" t="s">
        <v>5422</v>
      </c>
      <c r="L509" t="s">
        <v>57</v>
      </c>
      <c r="N509">
        <v>0.88419999999999999</v>
      </c>
      <c r="O509" s="1">
        <v>1</v>
      </c>
      <c r="P509" t="s">
        <v>5423</v>
      </c>
      <c r="Q509" t="s">
        <v>5424</v>
      </c>
      <c r="S509" t="s">
        <v>91</v>
      </c>
      <c r="T509" t="s">
        <v>3641</v>
      </c>
      <c r="U509" t="s">
        <v>5425</v>
      </c>
      <c r="V509">
        <v>1</v>
      </c>
      <c r="W509" t="s">
        <v>5425</v>
      </c>
      <c r="Y509" t="s">
        <v>5426</v>
      </c>
      <c r="AE509" t="s">
        <v>4162</v>
      </c>
      <c r="AF509" t="s">
        <v>4163</v>
      </c>
      <c r="AG509" t="s">
        <v>5427</v>
      </c>
      <c r="AH509" t="str">
        <f>HYPERLINK("http://compartments.jensenlab.org/Entity?figures=subcell_cell_%&amp;knowledge=10&amp;textmining=10&amp;experiments=10&amp;predictions=10&amp;type1=9606&amp;type2=-22&amp;id1=ENSP00000395780","link")</f>
        <v>link</v>
      </c>
      <c r="AI509" t="s">
        <v>4165</v>
      </c>
      <c r="AJ509" t="s">
        <v>4166</v>
      </c>
      <c r="AK509" t="str">
        <f>HYPERLINK("http://www.proteinatlas.org/P13765","HPA013846")</f>
        <v>HPA013846</v>
      </c>
      <c r="AM509">
        <v>3112</v>
      </c>
    </row>
    <row r="510" spans="1:39" x14ac:dyDescent="0.35">
      <c r="A510" t="s">
        <v>5428</v>
      </c>
      <c r="B510" t="str">
        <f>HYPERLINK("http://www.uniprot.org/uniprot/P13866","P13866")</f>
        <v>P13866</v>
      </c>
      <c r="C510" t="s">
        <v>5429</v>
      </c>
      <c r="D510" t="s">
        <v>5430</v>
      </c>
      <c r="E510" t="s">
        <v>39</v>
      </c>
      <c r="F510" t="s">
        <v>40</v>
      </c>
      <c r="H510">
        <v>664</v>
      </c>
      <c r="I510">
        <v>13</v>
      </c>
      <c r="J510">
        <v>0</v>
      </c>
      <c r="K510" t="s">
        <v>5431</v>
      </c>
      <c r="L510" t="s">
        <v>101</v>
      </c>
      <c r="N510">
        <v>0.77839999999999998</v>
      </c>
      <c r="O510" s="1">
        <v>1</v>
      </c>
      <c r="P510" t="s">
        <v>5432</v>
      </c>
      <c r="Q510" t="s">
        <v>5433</v>
      </c>
      <c r="S510" t="s">
        <v>45</v>
      </c>
      <c r="T510" t="s">
        <v>72</v>
      </c>
      <c r="U510" t="s">
        <v>5434</v>
      </c>
      <c r="V510">
        <v>1</v>
      </c>
      <c r="W510">
        <v>248</v>
      </c>
      <c r="Z510" t="s">
        <v>123</v>
      </c>
      <c r="AA510">
        <v>1</v>
      </c>
      <c r="AB510" t="s">
        <v>5435</v>
      </c>
      <c r="AC510">
        <v>248</v>
      </c>
      <c r="AD510" t="s">
        <v>5436</v>
      </c>
      <c r="AE510" t="s">
        <v>48</v>
      </c>
      <c r="AF510" t="s">
        <v>5437</v>
      </c>
      <c r="AG510" t="s">
        <v>5438</v>
      </c>
      <c r="AH510" t="str">
        <f>HYPERLINK("http://compartments.jensenlab.org/Entity?figures=subcell_cell_%&amp;knowledge=10&amp;textmining=10&amp;experiments=10&amp;predictions=10&amp;type1=9606&amp;type2=-22&amp;id1=ENSP00000266088","link")</f>
        <v>link</v>
      </c>
      <c r="AJ510" t="s">
        <v>51</v>
      </c>
      <c r="AK510" t="str">
        <f>HYPERLINK("http://www.proteinatlas.org/P13866","CAB015467;HPA051805;HPA055106")</f>
        <v>CAB015467;HPA051805;HPA055106</v>
      </c>
      <c r="AL510" t="s">
        <v>5439</v>
      </c>
      <c r="AM510">
        <v>6523</v>
      </c>
    </row>
    <row r="511" spans="1:39" x14ac:dyDescent="0.35">
      <c r="A511" t="s">
        <v>5440</v>
      </c>
      <c r="B511" t="str">
        <f>HYPERLINK("http://www.uniprot.org/uniprot/P13945","P13945")</f>
        <v>P13945</v>
      </c>
      <c r="C511" t="s">
        <v>5441</v>
      </c>
      <c r="D511" t="s">
        <v>5442</v>
      </c>
      <c r="E511" t="s">
        <v>39</v>
      </c>
      <c r="F511" t="s">
        <v>40</v>
      </c>
      <c r="H511">
        <v>408</v>
      </c>
      <c r="I511">
        <v>7</v>
      </c>
      <c r="J511">
        <v>0</v>
      </c>
      <c r="K511" t="s">
        <v>5443</v>
      </c>
      <c r="L511" t="s">
        <v>57</v>
      </c>
      <c r="N511">
        <v>0.93010000000000004</v>
      </c>
      <c r="O511" s="1">
        <v>1</v>
      </c>
      <c r="P511" t="s">
        <v>5444</v>
      </c>
      <c r="Q511" t="s">
        <v>5445</v>
      </c>
      <c r="S511" t="s">
        <v>166</v>
      </c>
      <c r="T511" t="s">
        <v>838</v>
      </c>
      <c r="U511" t="s">
        <v>5446</v>
      </c>
      <c r="V511">
        <v>2</v>
      </c>
      <c r="AE511" t="s">
        <v>74</v>
      </c>
      <c r="AF511" t="s">
        <v>5447</v>
      </c>
      <c r="AG511" t="s">
        <v>5448</v>
      </c>
      <c r="AH511" t="str">
        <f>HYPERLINK("http://compartments.jensenlab.org/Entity?figures=subcell_cell_%&amp;knowledge=10&amp;textmining=10&amp;experiments=10&amp;predictions=10&amp;type1=9606&amp;type2=-22&amp;id1=ENSP00000343782","link")</f>
        <v>link</v>
      </c>
      <c r="AI511" t="s">
        <v>65</v>
      </c>
      <c r="AJ511" t="s">
        <v>2873</v>
      </c>
      <c r="AK511" t="str">
        <f>HYPERLINK("http://www.proteinatlas.org/P13945","no")</f>
        <v>no</v>
      </c>
      <c r="AL511" t="s">
        <v>5449</v>
      </c>
      <c r="AM511">
        <v>155</v>
      </c>
    </row>
    <row r="512" spans="1:39" x14ac:dyDescent="0.35">
      <c r="A512" t="s">
        <v>5450</v>
      </c>
      <c r="B512" t="str">
        <f>HYPERLINK("http://www.uniprot.org/uniprot/P13987","P13987")</f>
        <v>P13987</v>
      </c>
      <c r="C512" t="s">
        <v>5451</v>
      </c>
      <c r="D512" t="s">
        <v>5452</v>
      </c>
      <c r="E512" t="s">
        <v>39</v>
      </c>
      <c r="F512" t="s">
        <v>239</v>
      </c>
      <c r="H512">
        <v>128</v>
      </c>
      <c r="I512">
        <v>0</v>
      </c>
      <c r="J512">
        <v>1</v>
      </c>
      <c r="K512" t="s">
        <v>5453</v>
      </c>
      <c r="L512" t="s">
        <v>996</v>
      </c>
      <c r="N512">
        <v>0.75049999999999994</v>
      </c>
      <c r="O512" s="1" t="s">
        <v>997</v>
      </c>
      <c r="P512" t="s">
        <v>5454</v>
      </c>
      <c r="Q512" t="s">
        <v>5455</v>
      </c>
      <c r="R512" t="s">
        <v>5452</v>
      </c>
      <c r="U512">
        <v>43</v>
      </c>
      <c r="V512">
        <v>1</v>
      </c>
      <c r="W512" t="s">
        <v>5456</v>
      </c>
      <c r="Y512" t="s">
        <v>5457</v>
      </c>
      <c r="Z512" t="s">
        <v>107</v>
      </c>
      <c r="AA512">
        <v>6</v>
      </c>
      <c r="AB512" t="s">
        <v>5458</v>
      </c>
      <c r="AC512">
        <v>43</v>
      </c>
      <c r="AD512" t="s">
        <v>5459</v>
      </c>
      <c r="AE512" t="s">
        <v>2453</v>
      </c>
      <c r="AF512" t="s">
        <v>5460</v>
      </c>
      <c r="AG512" t="s">
        <v>5461</v>
      </c>
      <c r="AH512" t="str">
        <f>HYPERLINK("http://compartments.jensenlab.org/Entity?figures=subcell_cell_%&amp;knowledge=10&amp;textmining=10&amp;experiments=10&amp;predictions=10&amp;type1=9606&amp;type2=-22&amp;id1=ENSP00000340210","link")</f>
        <v>link</v>
      </c>
      <c r="AI512" t="s">
        <v>1058</v>
      </c>
      <c r="AJ512" t="s">
        <v>902</v>
      </c>
      <c r="AK512" t="str">
        <f>HYPERLINK("http://www.proteinatlas.org/P13987","CAB001448;HPA026494")</f>
        <v>CAB001448;HPA026494</v>
      </c>
      <c r="AM512">
        <v>966</v>
      </c>
    </row>
    <row r="513" spans="1:39" x14ac:dyDescent="0.35">
      <c r="A513" t="s">
        <v>5462</v>
      </c>
      <c r="B513" t="str">
        <f>HYPERLINK("http://www.uniprot.org/uniprot/P14151","P14151")</f>
        <v>P14151</v>
      </c>
      <c r="C513" t="s">
        <v>5463</v>
      </c>
      <c r="D513" t="s">
        <v>5464</v>
      </c>
      <c r="E513" t="s">
        <v>39</v>
      </c>
      <c r="F513" t="s">
        <v>40</v>
      </c>
      <c r="H513">
        <v>372</v>
      </c>
      <c r="I513">
        <v>1</v>
      </c>
      <c r="J513">
        <v>1</v>
      </c>
      <c r="K513" t="s">
        <v>5465</v>
      </c>
      <c r="L513" t="s">
        <v>101</v>
      </c>
      <c r="N513">
        <v>0.85429999999999995</v>
      </c>
      <c r="O513" s="1">
        <v>1</v>
      </c>
      <c r="P513" t="s">
        <v>5466</v>
      </c>
      <c r="R513" t="s">
        <v>5467</v>
      </c>
      <c r="S513" t="s">
        <v>166</v>
      </c>
      <c r="T513" t="s">
        <v>5468</v>
      </c>
      <c r="U513" t="s">
        <v>5469</v>
      </c>
      <c r="V513">
        <v>7</v>
      </c>
      <c r="W513" t="s">
        <v>5470</v>
      </c>
      <c r="X513" t="s">
        <v>5471</v>
      </c>
      <c r="Z513" t="s">
        <v>107</v>
      </c>
      <c r="AA513">
        <v>3</v>
      </c>
      <c r="AB513" t="s">
        <v>5472</v>
      </c>
      <c r="AC513" t="s">
        <v>5473</v>
      </c>
      <c r="AD513" t="s">
        <v>5474</v>
      </c>
      <c r="AE513" t="s">
        <v>144</v>
      </c>
      <c r="AF513" t="s">
        <v>5475</v>
      </c>
      <c r="AG513" t="s">
        <v>5476</v>
      </c>
      <c r="AK513" t="str">
        <f>HYPERLINK("http://www.proteinatlas.org/P14151","CAB002144")</f>
        <v>CAB002144</v>
      </c>
      <c r="AM513">
        <v>6402</v>
      </c>
    </row>
    <row r="514" spans="1:39" x14ac:dyDescent="0.35">
      <c r="A514" t="s">
        <v>5477</v>
      </c>
      <c r="B514" t="str">
        <f>HYPERLINK("http://www.uniprot.org/uniprot/P14207","P14207")</f>
        <v>P14207</v>
      </c>
      <c r="C514" t="s">
        <v>5478</v>
      </c>
      <c r="D514" t="s">
        <v>5479</v>
      </c>
      <c r="E514" t="s">
        <v>39</v>
      </c>
      <c r="F514" t="s">
        <v>239</v>
      </c>
      <c r="H514">
        <v>255</v>
      </c>
      <c r="I514">
        <v>0</v>
      </c>
      <c r="J514">
        <v>1</v>
      </c>
      <c r="K514" t="s">
        <v>5480</v>
      </c>
      <c r="L514" t="s">
        <v>57</v>
      </c>
      <c r="N514">
        <v>0.73650000000000004</v>
      </c>
      <c r="O514" s="1" t="s">
        <v>241</v>
      </c>
      <c r="P514" t="s">
        <v>5481</v>
      </c>
      <c r="Q514" t="s">
        <v>5482</v>
      </c>
      <c r="S514" t="s">
        <v>60</v>
      </c>
      <c r="T514" t="s">
        <v>60</v>
      </c>
      <c r="U514" t="s">
        <v>5483</v>
      </c>
      <c r="V514">
        <v>2</v>
      </c>
      <c r="W514" t="s">
        <v>5483</v>
      </c>
      <c r="AE514" t="s">
        <v>2453</v>
      </c>
      <c r="AF514" t="s">
        <v>5484</v>
      </c>
      <c r="AG514" t="s">
        <v>5485</v>
      </c>
      <c r="AH514" t="str">
        <f>HYPERLINK("http://compartments.jensenlab.org/Entity?figures=subcell_cell_%&amp;knowledge=10&amp;textmining=10&amp;experiments=10&amp;predictions=10&amp;type1=9606&amp;type2=-22&amp;id1=ENSP00000298223","link")</f>
        <v>link</v>
      </c>
      <c r="AI514" t="s">
        <v>65</v>
      </c>
      <c r="AJ514" t="s">
        <v>902</v>
      </c>
      <c r="AK514" t="str">
        <f>HYPERLINK("http://www.proteinatlas.org/P14207","no")</f>
        <v>no</v>
      </c>
      <c r="AL514" t="s">
        <v>5486</v>
      </c>
      <c r="AM514">
        <v>2350</v>
      </c>
    </row>
    <row r="515" spans="1:39" x14ac:dyDescent="0.35">
      <c r="A515" t="s">
        <v>5487</v>
      </c>
      <c r="B515" t="str">
        <f>HYPERLINK("http://www.uniprot.org/uniprot/P14384","P14384")</f>
        <v>P14384</v>
      </c>
      <c r="C515" t="s">
        <v>5488</v>
      </c>
      <c r="D515" t="s">
        <v>5489</v>
      </c>
      <c r="E515" t="s">
        <v>39</v>
      </c>
      <c r="F515" t="s">
        <v>239</v>
      </c>
      <c r="H515">
        <v>443</v>
      </c>
      <c r="I515">
        <v>0</v>
      </c>
      <c r="J515">
        <v>1</v>
      </c>
      <c r="K515" t="s">
        <v>5490</v>
      </c>
      <c r="L515" t="s">
        <v>996</v>
      </c>
      <c r="N515">
        <v>0.7026</v>
      </c>
      <c r="O515" s="1" t="s">
        <v>241</v>
      </c>
      <c r="P515" t="s">
        <v>5491</v>
      </c>
      <c r="Q515" t="s">
        <v>5492</v>
      </c>
      <c r="S515" t="s">
        <v>947</v>
      </c>
      <c r="T515" t="s">
        <v>2866</v>
      </c>
      <c r="U515" t="s">
        <v>5493</v>
      </c>
      <c r="V515">
        <v>5</v>
      </c>
      <c r="W515" t="s">
        <v>5494</v>
      </c>
      <c r="Z515" t="s">
        <v>107</v>
      </c>
      <c r="AA515">
        <v>20</v>
      </c>
      <c r="AB515" t="s">
        <v>5495</v>
      </c>
      <c r="AC515" t="s">
        <v>5496</v>
      </c>
      <c r="AD515" t="s">
        <v>5497</v>
      </c>
      <c r="AE515" t="s">
        <v>243</v>
      </c>
      <c r="AF515" t="s">
        <v>5498</v>
      </c>
      <c r="AG515" t="s">
        <v>5499</v>
      </c>
      <c r="AH515" t="str">
        <f>HYPERLINK("http://compartments.jensenlab.org/Entity?figures=subcell_cell_%&amp;knowledge=10&amp;textmining=10&amp;experiments=10&amp;predictions=10&amp;type1=9606&amp;type2=-22&amp;id1=ENSP00000339157","link")</f>
        <v>link</v>
      </c>
      <c r="AI515" t="s">
        <v>65</v>
      </c>
      <c r="AJ515" t="s">
        <v>299</v>
      </c>
      <c r="AK515" t="str">
        <f>HYPERLINK("http://www.proteinatlas.org/P14384","HPA002657")</f>
        <v>HPA002657</v>
      </c>
      <c r="AM515">
        <v>1368</v>
      </c>
    </row>
    <row r="516" spans="1:39" x14ac:dyDescent="0.35">
      <c r="A516" t="s">
        <v>5500</v>
      </c>
      <c r="B516" t="str">
        <f>HYPERLINK("http://www.uniprot.org/uniprot/P14415","P14415")</f>
        <v>P14415</v>
      </c>
      <c r="C516" t="s">
        <v>5501</v>
      </c>
      <c r="D516" t="s">
        <v>5502</v>
      </c>
      <c r="E516" t="s">
        <v>39</v>
      </c>
      <c r="F516" t="s">
        <v>55</v>
      </c>
      <c r="H516">
        <v>290</v>
      </c>
      <c r="I516">
        <v>1</v>
      </c>
      <c r="J516">
        <v>0</v>
      </c>
      <c r="K516" t="s">
        <v>5503</v>
      </c>
      <c r="L516" t="s">
        <v>101</v>
      </c>
      <c r="M516" t="s">
        <v>39</v>
      </c>
      <c r="N516">
        <v>0.53120000000000001</v>
      </c>
      <c r="O516" s="1">
        <v>3</v>
      </c>
      <c r="P516" t="s">
        <v>5504</v>
      </c>
      <c r="Q516" t="s">
        <v>5505</v>
      </c>
      <c r="S516" t="s">
        <v>45</v>
      </c>
      <c r="T516" t="s">
        <v>3995</v>
      </c>
      <c r="U516" t="s">
        <v>5506</v>
      </c>
      <c r="V516">
        <v>9</v>
      </c>
      <c r="Z516" t="s">
        <v>107</v>
      </c>
      <c r="AA516">
        <v>2</v>
      </c>
      <c r="AB516" t="s">
        <v>5507</v>
      </c>
      <c r="AC516" t="s">
        <v>5508</v>
      </c>
      <c r="AD516" t="s">
        <v>5509</v>
      </c>
      <c r="AE516" t="s">
        <v>764</v>
      </c>
      <c r="AF516" t="s">
        <v>5510</v>
      </c>
      <c r="AG516" t="s">
        <v>5511</v>
      </c>
      <c r="AH516" t="str">
        <f>HYPERLINK("http://compartments.jensenlab.org/Entity?figures=subcell_cell_%&amp;knowledge=10&amp;textmining=10&amp;experiments=10&amp;predictions=10&amp;type1=9606&amp;type2=-22&amp;id1=ENSP00000250111","link")</f>
        <v>link</v>
      </c>
      <c r="AJ516" t="s">
        <v>2124</v>
      </c>
      <c r="AK516" t="str">
        <f>HYPERLINK("http://www.proteinatlas.org/P14415","HPA010698")</f>
        <v>HPA010698</v>
      </c>
      <c r="AM516">
        <v>482</v>
      </c>
    </row>
    <row r="517" spans="1:39" x14ac:dyDescent="0.35">
      <c r="A517" t="s">
        <v>5512</v>
      </c>
      <c r="B517" t="str">
        <f>HYPERLINK("http://www.uniprot.org/uniprot/P14416","P14416")</f>
        <v>P14416</v>
      </c>
      <c r="C517" t="s">
        <v>5513</v>
      </c>
      <c r="D517" t="s">
        <v>5514</v>
      </c>
      <c r="E517" t="s">
        <v>39</v>
      </c>
      <c r="F517" t="s">
        <v>40</v>
      </c>
      <c r="H517">
        <v>443</v>
      </c>
      <c r="I517">
        <v>7</v>
      </c>
      <c r="J517">
        <v>0</v>
      </c>
      <c r="K517" t="s">
        <v>5515</v>
      </c>
      <c r="L517" t="s">
        <v>57</v>
      </c>
      <c r="N517">
        <v>0.82440000000000002</v>
      </c>
      <c r="O517" s="1">
        <v>1</v>
      </c>
      <c r="P517" t="s">
        <v>5516</v>
      </c>
      <c r="Q517" t="s">
        <v>5517</v>
      </c>
      <c r="S517" t="s">
        <v>166</v>
      </c>
      <c r="T517" t="s">
        <v>838</v>
      </c>
      <c r="U517" t="s">
        <v>5518</v>
      </c>
      <c r="V517">
        <v>3</v>
      </c>
      <c r="W517">
        <v>243</v>
      </c>
      <c r="X517" t="s">
        <v>5519</v>
      </c>
      <c r="AE517" t="s">
        <v>74</v>
      </c>
      <c r="AF517" t="s">
        <v>5520</v>
      </c>
      <c r="AG517" t="s">
        <v>5521</v>
      </c>
      <c r="AH517" t="str">
        <f>HYPERLINK("http://compartments.jensenlab.org/Entity?figures=subcell_cell_%&amp;knowledge=10&amp;textmining=10&amp;experiments=10&amp;predictions=10&amp;type1=9606&amp;type2=-22&amp;id1=ENSP00000354859","link")</f>
        <v>link</v>
      </c>
      <c r="AI517" t="s">
        <v>65</v>
      </c>
      <c r="AJ517" t="s">
        <v>1811</v>
      </c>
      <c r="AK517" t="str">
        <f>HYPERLINK("http://www.proteinatlas.org/P14416","HPA015691")</f>
        <v>HPA015691</v>
      </c>
      <c r="AL517" t="s">
        <v>5522</v>
      </c>
      <c r="AM517">
        <v>1813</v>
      </c>
    </row>
    <row r="518" spans="1:39" x14ac:dyDescent="0.35">
      <c r="A518" t="s">
        <v>5523</v>
      </c>
      <c r="B518" t="str">
        <f>HYPERLINK("http://www.uniprot.org/uniprot/P14616","P14616")</f>
        <v>P14616</v>
      </c>
      <c r="C518" t="s">
        <v>5524</v>
      </c>
      <c r="D518" t="s">
        <v>5525</v>
      </c>
      <c r="E518" t="s">
        <v>39</v>
      </c>
      <c r="F518" t="s">
        <v>40</v>
      </c>
      <c r="H518">
        <v>1297</v>
      </c>
      <c r="I518">
        <v>1</v>
      </c>
      <c r="J518">
        <v>1</v>
      </c>
      <c r="K518" t="s">
        <v>5526</v>
      </c>
      <c r="L518" t="s">
        <v>57</v>
      </c>
      <c r="N518">
        <v>0.98599999999999999</v>
      </c>
      <c r="O518" s="1">
        <v>1</v>
      </c>
      <c r="P518" t="s">
        <v>5527</v>
      </c>
      <c r="Q518" t="s">
        <v>5528</v>
      </c>
      <c r="S518" t="s">
        <v>166</v>
      </c>
      <c r="T518" t="s">
        <v>4146</v>
      </c>
      <c r="U518" t="s">
        <v>5529</v>
      </c>
      <c r="V518">
        <v>11</v>
      </c>
      <c r="W518" t="s">
        <v>5530</v>
      </c>
      <c r="AE518" t="s">
        <v>144</v>
      </c>
      <c r="AF518" t="s">
        <v>5531</v>
      </c>
      <c r="AG518" t="s">
        <v>5532</v>
      </c>
      <c r="AH518" t="str">
        <f>HYPERLINK("http://compartments.jensenlab.org/Entity?figures=subcell_cell_%&amp;knowledge=10&amp;textmining=10&amp;experiments=10&amp;predictions=10&amp;type1=9606&amp;type2=-22&amp;id1=ENSP00000357178","link")</f>
        <v>link</v>
      </c>
      <c r="AI518" t="s">
        <v>65</v>
      </c>
      <c r="AJ518" t="s">
        <v>51</v>
      </c>
      <c r="AK518" t="str">
        <f>HYPERLINK("http://www.proteinatlas.org/P14616","HPA025285")</f>
        <v>HPA025285</v>
      </c>
      <c r="AM518">
        <v>3645</v>
      </c>
    </row>
    <row r="519" spans="1:39" x14ac:dyDescent="0.35">
      <c r="A519" t="s">
        <v>5533</v>
      </c>
      <c r="B519" t="str">
        <f>HYPERLINK("http://www.uniprot.org/uniprot/P14672","P14672")</f>
        <v>P14672</v>
      </c>
      <c r="C519" t="s">
        <v>5534</v>
      </c>
      <c r="D519" t="s">
        <v>5535</v>
      </c>
      <c r="E519" t="s">
        <v>39</v>
      </c>
      <c r="F519" t="s">
        <v>55</v>
      </c>
      <c r="H519">
        <v>509</v>
      </c>
      <c r="I519">
        <v>12</v>
      </c>
      <c r="J519">
        <v>0</v>
      </c>
      <c r="K519" t="s">
        <v>5536</v>
      </c>
      <c r="L519" t="s">
        <v>101</v>
      </c>
      <c r="M519" t="s">
        <v>39</v>
      </c>
      <c r="N519">
        <v>0.82069999999999999</v>
      </c>
      <c r="O519" s="1">
        <v>1</v>
      </c>
      <c r="P519" t="s">
        <v>5537</v>
      </c>
      <c r="Q519" t="s">
        <v>5538</v>
      </c>
      <c r="S519" t="s">
        <v>45</v>
      </c>
      <c r="T519" t="s">
        <v>3338</v>
      </c>
      <c r="U519" t="s">
        <v>5539</v>
      </c>
      <c r="V519">
        <v>1</v>
      </c>
      <c r="W519" t="s">
        <v>5539</v>
      </c>
      <c r="X519">
        <v>488</v>
      </c>
      <c r="Z519" t="s">
        <v>107</v>
      </c>
      <c r="AA519">
        <v>1</v>
      </c>
      <c r="AB519" t="s">
        <v>5540</v>
      </c>
      <c r="AC519">
        <v>57</v>
      </c>
      <c r="AD519" t="s">
        <v>5541</v>
      </c>
      <c r="AE519" t="s">
        <v>5542</v>
      </c>
      <c r="AF519" t="s">
        <v>5543</v>
      </c>
      <c r="AG519" t="s">
        <v>5544</v>
      </c>
      <c r="AH519" t="str">
        <f>HYPERLINK("http://compartments.jensenlab.org/Entity?figures=subcell_cell_%&amp;knowledge=10&amp;textmining=10&amp;experiments=10&amp;predictions=10&amp;type1=9606&amp;type2=-22&amp;id1=ENSP00000320935","link")</f>
        <v>link</v>
      </c>
      <c r="AI519" t="s">
        <v>65</v>
      </c>
      <c r="AJ519" t="s">
        <v>5545</v>
      </c>
      <c r="AK519" t="str">
        <f>HYPERLINK("http://www.proteinatlas.org/P14672","CAB016544")</f>
        <v>CAB016544</v>
      </c>
      <c r="AM519">
        <v>6517</v>
      </c>
    </row>
    <row r="520" spans="1:39" x14ac:dyDescent="0.35">
      <c r="A520" t="s">
        <v>5546</v>
      </c>
      <c r="B520" t="str">
        <f>HYPERLINK("http://www.uniprot.org/uniprot/P14679","P14679")</f>
        <v>P14679</v>
      </c>
      <c r="C520" t="s">
        <v>5547</v>
      </c>
      <c r="D520" t="s">
        <v>5548</v>
      </c>
      <c r="E520" t="s">
        <v>39</v>
      </c>
      <c r="F520" t="s">
        <v>40</v>
      </c>
      <c r="H520">
        <v>529</v>
      </c>
      <c r="I520">
        <v>1</v>
      </c>
      <c r="J520">
        <v>1</v>
      </c>
      <c r="K520" t="s">
        <v>5549</v>
      </c>
      <c r="L520" t="s">
        <v>101</v>
      </c>
      <c r="N520">
        <v>0.83430000000000004</v>
      </c>
      <c r="O520" s="1">
        <v>1</v>
      </c>
      <c r="P520" t="s">
        <v>5550</v>
      </c>
      <c r="Q520" t="s">
        <v>5551</v>
      </c>
      <c r="S520" t="s">
        <v>947</v>
      </c>
      <c r="T520" t="s">
        <v>5552</v>
      </c>
      <c r="U520" t="s">
        <v>5553</v>
      </c>
      <c r="V520">
        <v>7</v>
      </c>
      <c r="W520" t="s">
        <v>5554</v>
      </c>
      <c r="Z520" t="s">
        <v>107</v>
      </c>
      <c r="AA520">
        <v>3</v>
      </c>
      <c r="AB520" t="s">
        <v>5555</v>
      </c>
      <c r="AC520" t="s">
        <v>5556</v>
      </c>
      <c r="AD520" t="s">
        <v>5557</v>
      </c>
      <c r="AE520" t="s">
        <v>5558</v>
      </c>
      <c r="AF520" t="s">
        <v>5559</v>
      </c>
      <c r="AG520" t="s">
        <v>5560</v>
      </c>
      <c r="AH520" t="str">
        <f>HYPERLINK("http://compartments.jensenlab.org/Entity?figures=subcell_cell_%&amp;knowledge=10&amp;textmining=10&amp;experiments=10&amp;predictions=10&amp;type1=9606&amp;type2=-22&amp;id1=ENSP00000263321","link")</f>
        <v>link</v>
      </c>
      <c r="AI520" t="s">
        <v>1487</v>
      </c>
      <c r="AJ520" t="s">
        <v>5561</v>
      </c>
      <c r="AK520" t="str">
        <f>HYPERLINK("http://www.proteinatlas.org/P14679","CAB000079")</f>
        <v>CAB000079</v>
      </c>
      <c r="AL520" t="s">
        <v>5562</v>
      </c>
      <c r="AM520">
        <v>7299</v>
      </c>
    </row>
    <row r="521" spans="1:39" x14ac:dyDescent="0.35">
      <c r="A521" t="s">
        <v>5563</v>
      </c>
      <c r="B521" t="str">
        <f>HYPERLINK("http://www.uniprot.org/uniprot/P14778","P14778")</f>
        <v>P14778</v>
      </c>
      <c r="C521" t="s">
        <v>5564</v>
      </c>
      <c r="D521" t="s">
        <v>5565</v>
      </c>
      <c r="E521" t="s">
        <v>39</v>
      </c>
      <c r="F521" t="s">
        <v>55</v>
      </c>
      <c r="H521">
        <v>569</v>
      </c>
      <c r="I521">
        <v>1</v>
      </c>
      <c r="J521">
        <v>1</v>
      </c>
      <c r="K521" t="s">
        <v>5566</v>
      </c>
      <c r="L521" t="s">
        <v>101</v>
      </c>
      <c r="M521" t="s">
        <v>39</v>
      </c>
      <c r="N521">
        <v>0.88700000000000001</v>
      </c>
      <c r="O521" s="1">
        <v>1</v>
      </c>
      <c r="P521" t="s">
        <v>5567</v>
      </c>
      <c r="Q521" t="s">
        <v>5568</v>
      </c>
      <c r="R521" t="s">
        <v>5569</v>
      </c>
      <c r="S521" t="s">
        <v>166</v>
      </c>
      <c r="T521" t="s">
        <v>3171</v>
      </c>
      <c r="U521" t="s">
        <v>5570</v>
      </c>
      <c r="V521">
        <v>6</v>
      </c>
      <c r="W521" t="s">
        <v>5570</v>
      </c>
      <c r="Y521" t="s">
        <v>5571</v>
      </c>
      <c r="Z521" t="s">
        <v>107</v>
      </c>
      <c r="AA521">
        <v>2</v>
      </c>
      <c r="AB521" t="s">
        <v>5572</v>
      </c>
      <c r="AC521" t="s">
        <v>5573</v>
      </c>
      <c r="AD521" t="s">
        <v>5574</v>
      </c>
      <c r="AE521" t="s">
        <v>5575</v>
      </c>
      <c r="AF521" t="s">
        <v>5576</v>
      </c>
      <c r="AG521" t="s">
        <v>5577</v>
      </c>
      <c r="AH521" t="str">
        <f>HYPERLINK("http://compartments.jensenlab.org/Entity?figures=subcell_cell_%&amp;knowledge=10&amp;textmining=10&amp;experiments=10&amp;predictions=10&amp;type1=9606&amp;type2=-22&amp;id1=ENSP00000386380","link")</f>
        <v>link</v>
      </c>
      <c r="AK521" t="str">
        <f>HYPERLINK("http://www.proteinatlas.org/P14778","CAB007779")</f>
        <v>CAB007779</v>
      </c>
      <c r="AL521" t="s">
        <v>5578</v>
      </c>
      <c r="AM521">
        <v>3554</v>
      </c>
    </row>
    <row r="522" spans="1:39" x14ac:dyDescent="0.35">
      <c r="A522" t="s">
        <v>5579</v>
      </c>
      <c r="B522" t="str">
        <f>HYPERLINK("http://www.uniprot.org/uniprot/P14784","P14784")</f>
        <v>P14784</v>
      </c>
      <c r="C522" t="s">
        <v>5580</v>
      </c>
      <c r="D522" t="s">
        <v>5581</v>
      </c>
      <c r="E522" t="s">
        <v>39</v>
      </c>
      <c r="F522" t="s">
        <v>40</v>
      </c>
      <c r="H522">
        <v>551</v>
      </c>
      <c r="I522">
        <v>1</v>
      </c>
      <c r="J522">
        <v>1</v>
      </c>
      <c r="K522" t="s">
        <v>5582</v>
      </c>
      <c r="L522" t="s">
        <v>101</v>
      </c>
      <c r="N522">
        <v>0.94410000000000005</v>
      </c>
      <c r="O522" s="1">
        <v>1</v>
      </c>
      <c r="P522" t="s">
        <v>5583</v>
      </c>
      <c r="Q522" t="s">
        <v>5584</v>
      </c>
      <c r="R522" t="s">
        <v>5585</v>
      </c>
      <c r="S522" t="s">
        <v>166</v>
      </c>
      <c r="T522" t="s">
        <v>3171</v>
      </c>
      <c r="U522" t="s">
        <v>5586</v>
      </c>
      <c r="V522">
        <v>4</v>
      </c>
      <c r="W522" t="s">
        <v>5586</v>
      </c>
      <c r="X522" t="s">
        <v>5587</v>
      </c>
      <c r="Y522">
        <v>220</v>
      </c>
      <c r="Z522" t="s">
        <v>107</v>
      </c>
      <c r="AA522">
        <v>3</v>
      </c>
      <c r="AB522" t="s">
        <v>5588</v>
      </c>
      <c r="AC522" t="s">
        <v>5589</v>
      </c>
      <c r="AD522" t="s">
        <v>5590</v>
      </c>
      <c r="AE522" t="s">
        <v>144</v>
      </c>
      <c r="AF522" t="s">
        <v>5591</v>
      </c>
      <c r="AG522" t="s">
        <v>5592</v>
      </c>
      <c r="AH522" t="str">
        <f>HYPERLINK("http://compartments.jensenlab.org/Entity?figures=subcell_cell_%&amp;knowledge=10&amp;textmining=10&amp;experiments=10&amp;predictions=10&amp;type1=9606&amp;type2=-22&amp;id1=ENSP00000216223","link")</f>
        <v>link</v>
      </c>
      <c r="AJ522" t="s">
        <v>51</v>
      </c>
      <c r="AK522" t="str">
        <f>HYPERLINK("http://www.proteinatlas.org/P14784","HPA062657")</f>
        <v>HPA062657</v>
      </c>
      <c r="AL522" t="s">
        <v>3600</v>
      </c>
      <c r="AM522">
        <v>3560</v>
      </c>
    </row>
    <row r="523" spans="1:39" x14ac:dyDescent="0.35">
      <c r="A523" t="s">
        <v>5593</v>
      </c>
      <c r="B523" t="str">
        <f>HYPERLINK("http://www.uniprot.org/uniprot/P14867","P14867")</f>
        <v>P14867</v>
      </c>
      <c r="C523" t="s">
        <v>5594</v>
      </c>
      <c r="D523" t="s">
        <v>5595</v>
      </c>
      <c r="E523" t="s">
        <v>39</v>
      </c>
      <c r="F523" t="s">
        <v>55</v>
      </c>
      <c r="H523">
        <v>456</v>
      </c>
      <c r="I523">
        <v>4</v>
      </c>
      <c r="J523">
        <v>1</v>
      </c>
      <c r="K523" t="s">
        <v>5596</v>
      </c>
      <c r="L523" t="s">
        <v>57</v>
      </c>
      <c r="N523">
        <v>0.92020000000000002</v>
      </c>
      <c r="O523" s="1">
        <v>1</v>
      </c>
      <c r="P523" t="s">
        <v>5597</v>
      </c>
      <c r="Q523" t="s">
        <v>5598</v>
      </c>
      <c r="S523" t="s">
        <v>45</v>
      </c>
      <c r="T523" t="s">
        <v>195</v>
      </c>
      <c r="U523" t="s">
        <v>5599</v>
      </c>
      <c r="V523">
        <v>2</v>
      </c>
      <c r="W523" t="s">
        <v>5599</v>
      </c>
      <c r="AE523" t="s">
        <v>619</v>
      </c>
      <c r="AF523" t="s">
        <v>5600</v>
      </c>
      <c r="AG523" t="s">
        <v>5601</v>
      </c>
      <c r="AH523" t="str">
        <f>HYPERLINK("http://compartments.jensenlab.org/Entity?figures=subcell_cell_%&amp;knowledge=10&amp;textmining=10&amp;experiments=10&amp;predictions=10&amp;type1=9606&amp;type2=-22&amp;id1=ENSP00000023897","link")</f>
        <v>link</v>
      </c>
      <c r="AI523" t="s">
        <v>65</v>
      </c>
      <c r="AJ523" t="s">
        <v>51</v>
      </c>
      <c r="AK523" t="str">
        <f>HYPERLINK("http://www.proteinatlas.org/P14867","CAB022502;HPA055746")</f>
        <v>CAB022502;HPA055746</v>
      </c>
      <c r="AL523" t="s">
        <v>5602</v>
      </c>
      <c r="AM523">
        <v>2554</v>
      </c>
    </row>
    <row r="524" spans="1:39" x14ac:dyDescent="0.35">
      <c r="A524" t="s">
        <v>5603</v>
      </c>
      <c r="B524" t="str">
        <f>HYPERLINK("http://www.uniprot.org/uniprot/P15144","P15144")</f>
        <v>P15144</v>
      </c>
      <c r="C524" t="s">
        <v>5604</v>
      </c>
      <c r="D524" t="s">
        <v>5605</v>
      </c>
      <c r="E524" t="s">
        <v>39</v>
      </c>
      <c r="F524" t="s">
        <v>55</v>
      </c>
      <c r="H524">
        <v>967</v>
      </c>
      <c r="I524">
        <v>1</v>
      </c>
      <c r="J524">
        <v>0</v>
      </c>
      <c r="K524" t="s">
        <v>5606</v>
      </c>
      <c r="L524" t="s">
        <v>101</v>
      </c>
      <c r="M524" t="s">
        <v>39</v>
      </c>
      <c r="N524">
        <v>0.62960000000000005</v>
      </c>
      <c r="O524" s="1">
        <v>2</v>
      </c>
      <c r="P524" t="s">
        <v>5607</v>
      </c>
      <c r="Q524" t="s">
        <v>5608</v>
      </c>
      <c r="R524" t="s">
        <v>5609</v>
      </c>
      <c r="S524" t="s">
        <v>947</v>
      </c>
      <c r="T524" t="s">
        <v>5610</v>
      </c>
      <c r="U524" t="s">
        <v>5611</v>
      </c>
      <c r="V524">
        <v>11</v>
      </c>
      <c r="W524" t="s">
        <v>5611</v>
      </c>
      <c r="X524" t="s">
        <v>5612</v>
      </c>
      <c r="Z524" t="s">
        <v>107</v>
      </c>
      <c r="AA524">
        <v>46</v>
      </c>
      <c r="AB524" t="s">
        <v>5613</v>
      </c>
      <c r="AC524" t="s">
        <v>5614</v>
      </c>
      <c r="AD524" t="s">
        <v>5615</v>
      </c>
      <c r="AE524" t="s">
        <v>5616</v>
      </c>
      <c r="AF524" t="s">
        <v>5617</v>
      </c>
      <c r="AG524" t="s">
        <v>5618</v>
      </c>
      <c r="AH524" t="str">
        <f>HYPERLINK("http://compartments.jensenlab.org/Entity?figures=subcell_cell_%&amp;knowledge=10&amp;textmining=10&amp;experiments=10&amp;predictions=10&amp;type1=9606&amp;type2=-22&amp;id1=ENSP00000300060","link")</f>
        <v>link</v>
      </c>
      <c r="AI524" t="s">
        <v>65</v>
      </c>
      <c r="AJ524" t="s">
        <v>4758</v>
      </c>
      <c r="AK524" t="str">
        <f>HYPERLINK("http://www.proteinatlas.org/P15144","CAB002417;HPA004625")</f>
        <v>CAB002417;HPA004625</v>
      </c>
      <c r="AL524" t="s">
        <v>5619</v>
      </c>
      <c r="AM524">
        <v>290</v>
      </c>
    </row>
    <row r="525" spans="1:39" x14ac:dyDescent="0.35">
      <c r="A525" t="s">
        <v>5620</v>
      </c>
      <c r="B525" t="str">
        <f>HYPERLINK("http://www.uniprot.org/uniprot/P15151","P15151")</f>
        <v>P15151</v>
      </c>
      <c r="C525" t="s">
        <v>5621</v>
      </c>
      <c r="D525" t="s">
        <v>5622</v>
      </c>
      <c r="E525" t="s">
        <v>39</v>
      </c>
      <c r="F525" t="s">
        <v>55</v>
      </c>
      <c r="H525">
        <v>417</v>
      </c>
      <c r="I525">
        <v>1</v>
      </c>
      <c r="J525">
        <v>1</v>
      </c>
      <c r="K525" t="s">
        <v>5623</v>
      </c>
      <c r="L525" t="s">
        <v>101</v>
      </c>
      <c r="M525" t="s">
        <v>39</v>
      </c>
      <c r="N525">
        <v>0.92820000000000003</v>
      </c>
      <c r="O525" s="1">
        <v>1</v>
      </c>
      <c r="P525" t="s">
        <v>5624</v>
      </c>
      <c r="Q525" t="s">
        <v>5625</v>
      </c>
      <c r="R525" t="s">
        <v>5626</v>
      </c>
      <c r="S525" t="s">
        <v>166</v>
      </c>
      <c r="T525" t="s">
        <v>5627</v>
      </c>
      <c r="U525" t="s">
        <v>5628</v>
      </c>
      <c r="V525">
        <v>8</v>
      </c>
      <c r="W525" t="s">
        <v>5628</v>
      </c>
      <c r="X525" t="s">
        <v>5629</v>
      </c>
      <c r="Z525" t="s">
        <v>107</v>
      </c>
      <c r="AA525">
        <v>17</v>
      </c>
      <c r="AB525" t="s">
        <v>5630</v>
      </c>
      <c r="AC525" t="s">
        <v>5631</v>
      </c>
      <c r="AD525" t="s">
        <v>5632</v>
      </c>
      <c r="AE525" t="s">
        <v>5633</v>
      </c>
      <c r="AF525" t="s">
        <v>5634</v>
      </c>
      <c r="AG525" t="s">
        <v>5635</v>
      </c>
      <c r="AH525" t="str">
        <f>HYPERLINK("http://compartments.jensenlab.org/Entity?figures=subcell_cell_%&amp;knowledge=10&amp;textmining=10&amp;experiments=10&amp;predictions=10&amp;type1=9606&amp;type2=-22&amp;id1=ENSP00000402060","link")</f>
        <v>link</v>
      </c>
      <c r="AI525" t="s">
        <v>1058</v>
      </c>
      <c r="AJ525" t="s">
        <v>4988</v>
      </c>
      <c r="AK525" t="str">
        <f>HYPERLINK("http://www.proteinatlas.org/P15151","HPA012568")</f>
        <v>HPA012568</v>
      </c>
      <c r="AM525">
        <v>5817</v>
      </c>
    </row>
    <row r="526" spans="1:39" x14ac:dyDescent="0.35">
      <c r="A526" t="s">
        <v>5636</v>
      </c>
      <c r="B526" t="str">
        <f>HYPERLINK("http://www.uniprot.org/uniprot/P15260","P15260")</f>
        <v>P15260</v>
      </c>
      <c r="C526" t="s">
        <v>5637</v>
      </c>
      <c r="D526" t="s">
        <v>5638</v>
      </c>
      <c r="E526" t="s">
        <v>39</v>
      </c>
      <c r="F526" t="s">
        <v>40</v>
      </c>
      <c r="H526">
        <v>489</v>
      </c>
      <c r="I526">
        <v>1</v>
      </c>
      <c r="J526">
        <v>1</v>
      </c>
      <c r="K526" t="s">
        <v>5639</v>
      </c>
      <c r="L526" t="s">
        <v>101</v>
      </c>
      <c r="N526">
        <v>0.96209999999999996</v>
      </c>
      <c r="O526" s="1">
        <v>1</v>
      </c>
      <c r="P526" t="s">
        <v>5640</v>
      </c>
      <c r="Q526" t="s">
        <v>5641</v>
      </c>
      <c r="R526" t="s">
        <v>5642</v>
      </c>
      <c r="S526" t="s">
        <v>166</v>
      </c>
      <c r="T526" t="s">
        <v>5643</v>
      </c>
      <c r="U526" t="s">
        <v>5644</v>
      </c>
      <c r="V526">
        <v>5</v>
      </c>
      <c r="W526">
        <v>34</v>
      </c>
      <c r="Z526" t="s">
        <v>107</v>
      </c>
      <c r="AA526">
        <v>2</v>
      </c>
      <c r="AB526" t="s">
        <v>5645</v>
      </c>
      <c r="AC526">
        <v>179</v>
      </c>
      <c r="AD526" t="s">
        <v>5646</v>
      </c>
      <c r="AE526" t="s">
        <v>144</v>
      </c>
      <c r="AF526" t="s">
        <v>5647</v>
      </c>
      <c r="AG526" t="s">
        <v>5648</v>
      </c>
      <c r="AH526" t="str">
        <f>HYPERLINK("http://compartments.jensenlab.org/Entity?figures=subcell_cell_%&amp;knowledge=10&amp;textmining=10&amp;experiments=10&amp;predictions=10&amp;type1=9606&amp;type2=-22&amp;id1=ENSP00000356713","link")</f>
        <v>link</v>
      </c>
      <c r="AJ526" t="s">
        <v>51</v>
      </c>
      <c r="AK526" t="str">
        <f>HYPERLINK("http://www.proteinatlas.org/P15260","CAB004444;HPA029213")</f>
        <v>CAB004444;HPA029213</v>
      </c>
      <c r="AL526" t="s">
        <v>5649</v>
      </c>
      <c r="AM526">
        <v>3459</v>
      </c>
    </row>
    <row r="527" spans="1:39" x14ac:dyDescent="0.35">
      <c r="A527" t="s">
        <v>5650</v>
      </c>
      <c r="B527" t="str">
        <f>HYPERLINK("http://www.uniprot.org/uniprot/P15328","P15328")</f>
        <v>P15328</v>
      </c>
      <c r="C527" t="s">
        <v>5651</v>
      </c>
      <c r="D527" t="s">
        <v>5652</v>
      </c>
      <c r="E527" t="s">
        <v>39</v>
      </c>
      <c r="F527" t="s">
        <v>239</v>
      </c>
      <c r="H527">
        <v>257</v>
      </c>
      <c r="I527">
        <v>0</v>
      </c>
      <c r="J527">
        <v>1</v>
      </c>
      <c r="K527" t="s">
        <v>5653</v>
      </c>
      <c r="L527" t="s">
        <v>996</v>
      </c>
      <c r="N527">
        <v>0.72850000000000004</v>
      </c>
      <c r="O527" s="1" t="s">
        <v>241</v>
      </c>
      <c r="P527" t="s">
        <v>5654</v>
      </c>
      <c r="Q527" t="s">
        <v>5655</v>
      </c>
      <c r="S527" t="s">
        <v>60</v>
      </c>
      <c r="T527" t="s">
        <v>60</v>
      </c>
      <c r="U527" t="s">
        <v>5656</v>
      </c>
      <c r="V527">
        <v>3</v>
      </c>
      <c r="W527" t="s">
        <v>5656</v>
      </c>
      <c r="Y527">
        <v>239</v>
      </c>
      <c r="Z527" t="s">
        <v>107</v>
      </c>
      <c r="AA527">
        <v>6</v>
      </c>
      <c r="AB527" t="s">
        <v>5657</v>
      </c>
      <c r="AC527" t="s">
        <v>5658</v>
      </c>
      <c r="AD527" t="s">
        <v>5659</v>
      </c>
      <c r="AE527" t="s">
        <v>5660</v>
      </c>
      <c r="AF527" t="s">
        <v>5661</v>
      </c>
      <c r="AG527" t="s">
        <v>5662</v>
      </c>
      <c r="AH527" t="str">
        <f>HYPERLINK("http://compartments.jensenlab.org/Entity?figures=subcell_cell_%&amp;knowledge=10&amp;textmining=10&amp;experiments=10&amp;predictions=10&amp;type1=9606&amp;type2=-22&amp;id1=ENSP00000308137","link")</f>
        <v>link</v>
      </c>
      <c r="AI527" t="s">
        <v>65</v>
      </c>
      <c r="AJ527" t="s">
        <v>902</v>
      </c>
      <c r="AK527" t="str">
        <f>HYPERLINK("http://www.proteinatlas.org/P15328","no")</f>
        <v>no</v>
      </c>
      <c r="AM527">
        <v>2348</v>
      </c>
    </row>
    <row r="528" spans="1:39" x14ac:dyDescent="0.35">
      <c r="A528" t="s">
        <v>5663</v>
      </c>
      <c r="B528" t="str">
        <f>HYPERLINK("http://www.uniprot.org/uniprot/P15391","P15391")</f>
        <v>P15391</v>
      </c>
      <c r="C528" t="s">
        <v>5664</v>
      </c>
      <c r="D528" t="s">
        <v>5665</v>
      </c>
      <c r="E528" t="s">
        <v>39</v>
      </c>
      <c r="F528" t="s">
        <v>55</v>
      </c>
      <c r="H528">
        <v>556</v>
      </c>
      <c r="I528">
        <v>1</v>
      </c>
      <c r="J528">
        <v>1</v>
      </c>
      <c r="K528" t="s">
        <v>5666</v>
      </c>
      <c r="L528" t="s">
        <v>101</v>
      </c>
      <c r="M528" t="s">
        <v>39</v>
      </c>
      <c r="N528">
        <v>0.86209999999999998</v>
      </c>
      <c r="O528" s="1">
        <v>1</v>
      </c>
      <c r="P528" t="s">
        <v>5667</v>
      </c>
      <c r="Q528" t="s">
        <v>5668</v>
      </c>
      <c r="R528" t="s">
        <v>5665</v>
      </c>
      <c r="S528" t="s">
        <v>60</v>
      </c>
      <c r="T528" t="s">
        <v>60</v>
      </c>
      <c r="U528" t="s">
        <v>5669</v>
      </c>
      <c r="V528">
        <v>5</v>
      </c>
      <c r="W528" t="s">
        <v>5670</v>
      </c>
      <c r="Z528" t="s">
        <v>107</v>
      </c>
      <c r="AA528">
        <v>4</v>
      </c>
      <c r="AB528" t="s">
        <v>5671</v>
      </c>
      <c r="AC528" t="s">
        <v>5672</v>
      </c>
      <c r="AD528" t="s">
        <v>5673</v>
      </c>
      <c r="AE528" t="s">
        <v>144</v>
      </c>
      <c r="AF528" t="s">
        <v>5674</v>
      </c>
      <c r="AG528" t="s">
        <v>5675</v>
      </c>
      <c r="AH528" t="str">
        <f>HYPERLINK("http://compartments.jensenlab.org/Entity?figures=subcell_cell_%&amp;knowledge=10&amp;textmining=10&amp;experiments=10&amp;predictions=10&amp;type1=9606&amp;type2=-22&amp;id1=ENSP00000313419","link")</f>
        <v>link</v>
      </c>
      <c r="AI528" t="s">
        <v>65</v>
      </c>
      <c r="AJ528" t="s">
        <v>51</v>
      </c>
      <c r="AK528" t="str">
        <f>HYPERLINK("http://www.proteinatlas.org/P15391","CAB016110")</f>
        <v>CAB016110</v>
      </c>
      <c r="AM528">
        <v>930</v>
      </c>
    </row>
    <row r="529" spans="1:39" x14ac:dyDescent="0.35">
      <c r="A529" t="s">
        <v>5676</v>
      </c>
      <c r="B529" t="str">
        <f>HYPERLINK("http://www.uniprot.org/uniprot/P15509","P15509")</f>
        <v>P15509</v>
      </c>
      <c r="C529" t="s">
        <v>5677</v>
      </c>
      <c r="D529" t="s">
        <v>5678</v>
      </c>
      <c r="E529" t="s">
        <v>39</v>
      </c>
      <c r="F529" t="s">
        <v>55</v>
      </c>
      <c r="H529">
        <v>400</v>
      </c>
      <c r="I529">
        <v>1</v>
      </c>
      <c r="J529">
        <v>1</v>
      </c>
      <c r="K529" t="s">
        <v>5679</v>
      </c>
      <c r="L529" t="s">
        <v>101</v>
      </c>
      <c r="M529" t="s">
        <v>39</v>
      </c>
      <c r="N529">
        <v>0.91120000000000001</v>
      </c>
      <c r="O529" s="1">
        <v>1</v>
      </c>
      <c r="P529" t="s">
        <v>5680</v>
      </c>
      <c r="Q529" t="s">
        <v>5681</v>
      </c>
      <c r="R529" t="s">
        <v>5682</v>
      </c>
      <c r="S529" t="s">
        <v>166</v>
      </c>
      <c r="T529" t="s">
        <v>3171</v>
      </c>
      <c r="U529" t="s">
        <v>5683</v>
      </c>
      <c r="V529">
        <v>11</v>
      </c>
      <c r="W529" t="s">
        <v>5683</v>
      </c>
      <c r="Y529">
        <v>306</v>
      </c>
      <c r="Z529" t="s">
        <v>107</v>
      </c>
      <c r="AA529">
        <v>3</v>
      </c>
      <c r="AB529" t="s">
        <v>5684</v>
      </c>
      <c r="AC529" t="s">
        <v>5685</v>
      </c>
      <c r="AD529" t="s">
        <v>5686</v>
      </c>
      <c r="AE529" t="s">
        <v>1712</v>
      </c>
      <c r="AF529" t="s">
        <v>5687</v>
      </c>
      <c r="AG529" t="s">
        <v>5688</v>
      </c>
      <c r="AH529" t="str">
        <f>HYPERLINK("http://compartments.jensenlab.org/Entity?figures=subcell_cell_%&amp;knowledge=10&amp;textmining=10&amp;experiments=10&amp;predictions=10&amp;type1=9606&amp;type2=-22&amp;id1=ENSP00000370935","link")</f>
        <v>link</v>
      </c>
      <c r="AI529" t="s">
        <v>65</v>
      </c>
      <c r="AJ529" t="s">
        <v>902</v>
      </c>
      <c r="AK529" t="str">
        <f>HYPERLINK("http://www.proteinatlas.org/P15509","CAB016148")</f>
        <v>CAB016148</v>
      </c>
      <c r="AL529" t="s">
        <v>5689</v>
      </c>
      <c r="AM529">
        <v>1438</v>
      </c>
    </row>
    <row r="530" spans="1:39" x14ac:dyDescent="0.35">
      <c r="A530" t="s">
        <v>5690</v>
      </c>
      <c r="B530" t="str">
        <f>HYPERLINK("http://www.uniprot.org/uniprot/P15514","P15514")</f>
        <v>P15514</v>
      </c>
      <c r="C530" t="s">
        <v>5691</v>
      </c>
      <c r="D530" t="s">
        <v>5692</v>
      </c>
      <c r="E530" t="s">
        <v>39</v>
      </c>
      <c r="F530" t="s">
        <v>40</v>
      </c>
      <c r="H530">
        <v>252</v>
      </c>
      <c r="I530">
        <v>1</v>
      </c>
      <c r="J530">
        <v>1</v>
      </c>
      <c r="K530" t="s">
        <v>5693</v>
      </c>
      <c r="L530" t="s">
        <v>118</v>
      </c>
      <c r="N530">
        <v>0.89219999999999999</v>
      </c>
      <c r="O530" s="1">
        <v>1</v>
      </c>
      <c r="P530" t="s">
        <v>5694</v>
      </c>
      <c r="Q530" t="s">
        <v>5695</v>
      </c>
      <c r="S530" t="s">
        <v>60</v>
      </c>
      <c r="T530" t="s">
        <v>60</v>
      </c>
      <c r="U530" t="s">
        <v>5696</v>
      </c>
      <c r="V530">
        <v>3</v>
      </c>
      <c r="W530" t="s">
        <v>5696</v>
      </c>
      <c r="Z530" t="s">
        <v>107</v>
      </c>
      <c r="AA530">
        <v>1</v>
      </c>
      <c r="AB530" t="s">
        <v>5697</v>
      </c>
      <c r="AC530">
        <v>30</v>
      </c>
      <c r="AD530" t="s">
        <v>5698</v>
      </c>
      <c r="AE530" t="s">
        <v>94</v>
      </c>
      <c r="AF530" t="s">
        <v>5699</v>
      </c>
      <c r="AG530" t="s">
        <v>5700</v>
      </c>
      <c r="AH530" t="str">
        <f>HYPERLINK("http://compartments.jensenlab.org/Entity?figures=subcell_cell_%&amp;knowledge=10&amp;textmining=10&amp;experiments=10&amp;predictions=10&amp;type1=9606&amp;type2=-22&amp;id1=ENSP00000379097","link")</f>
        <v>link</v>
      </c>
      <c r="AK530" t="str">
        <f>HYPERLINK("http://www.proteinatlas.org/P15514","HPA008720;CAB023519")</f>
        <v>HPA008720;CAB023519</v>
      </c>
      <c r="AM530">
        <v>374</v>
      </c>
    </row>
    <row r="531" spans="1:39" x14ac:dyDescent="0.35">
      <c r="A531" t="s">
        <v>5701</v>
      </c>
      <c r="B531" t="str">
        <f>HYPERLINK("http://www.uniprot.org/uniprot/P15529","P15529")</f>
        <v>P15529</v>
      </c>
      <c r="C531" t="s">
        <v>5702</v>
      </c>
      <c r="D531" t="s">
        <v>5703</v>
      </c>
      <c r="E531" t="s">
        <v>39</v>
      </c>
      <c r="F531" t="s">
        <v>40</v>
      </c>
      <c r="H531">
        <v>392</v>
      </c>
      <c r="I531">
        <v>1</v>
      </c>
      <c r="J531">
        <v>1</v>
      </c>
      <c r="K531" t="s">
        <v>5704</v>
      </c>
      <c r="L531" t="s">
        <v>101</v>
      </c>
      <c r="N531">
        <v>0.88019999999999998</v>
      </c>
      <c r="O531" s="1">
        <v>1</v>
      </c>
      <c r="P531" t="s">
        <v>5705</v>
      </c>
      <c r="Q531" t="s">
        <v>5706</v>
      </c>
      <c r="R531" t="s">
        <v>5703</v>
      </c>
      <c r="S531" t="s">
        <v>60</v>
      </c>
      <c r="T531" t="s">
        <v>60</v>
      </c>
      <c r="U531" t="s">
        <v>5707</v>
      </c>
      <c r="V531">
        <v>3</v>
      </c>
      <c r="W531" t="s">
        <v>5707</v>
      </c>
      <c r="Y531" t="s">
        <v>5708</v>
      </c>
      <c r="Z531" t="s">
        <v>107</v>
      </c>
      <c r="AA531">
        <v>11</v>
      </c>
      <c r="AB531" t="s">
        <v>5709</v>
      </c>
      <c r="AC531" t="s">
        <v>5707</v>
      </c>
      <c r="AD531" t="s">
        <v>5710</v>
      </c>
      <c r="AE531" t="s">
        <v>5711</v>
      </c>
      <c r="AF531" t="s">
        <v>5712</v>
      </c>
      <c r="AG531" t="s">
        <v>5713</v>
      </c>
      <c r="AH531" t="str">
        <f>HYPERLINK("http://compartments.jensenlab.org/Entity?figures=subcell_cell_%&amp;knowledge=10&amp;textmining=10&amp;experiments=10&amp;predictions=10&amp;type1=9606&amp;type2=-22&amp;id1=ENSP00000350893","link")</f>
        <v>link</v>
      </c>
      <c r="AK531" t="str">
        <f>HYPERLINK("http://www.proteinatlas.org/P15529","CAB010401;HPA016903")</f>
        <v>CAB010401;HPA016903</v>
      </c>
      <c r="AM531">
        <v>4179</v>
      </c>
    </row>
    <row r="532" spans="1:39" x14ac:dyDescent="0.35">
      <c r="A532" t="s">
        <v>5714</v>
      </c>
      <c r="B532" t="str">
        <f>HYPERLINK("http://www.uniprot.org/uniprot/P15812","P15812")</f>
        <v>P15812</v>
      </c>
      <c r="C532" t="s">
        <v>5715</v>
      </c>
      <c r="D532" t="s">
        <v>5716</v>
      </c>
      <c r="E532" t="s">
        <v>39</v>
      </c>
      <c r="F532" t="s">
        <v>40</v>
      </c>
      <c r="H532">
        <v>388</v>
      </c>
      <c r="I532">
        <v>1</v>
      </c>
      <c r="J532">
        <v>1</v>
      </c>
      <c r="K532" t="s">
        <v>5717</v>
      </c>
      <c r="L532" t="s">
        <v>42</v>
      </c>
      <c r="N532">
        <v>0.9022</v>
      </c>
      <c r="O532" s="1">
        <v>1</v>
      </c>
      <c r="P532" t="s">
        <v>5718</v>
      </c>
      <c r="Q532" t="s">
        <v>5719</v>
      </c>
      <c r="R532" t="s">
        <v>5720</v>
      </c>
      <c r="S532" t="s">
        <v>166</v>
      </c>
      <c r="T532" t="s">
        <v>4120</v>
      </c>
      <c r="U532" t="s">
        <v>5721</v>
      </c>
      <c r="V532">
        <v>2</v>
      </c>
      <c r="W532" t="s">
        <v>5721</v>
      </c>
      <c r="Y532">
        <v>241</v>
      </c>
      <c r="AE532" t="s">
        <v>5722</v>
      </c>
      <c r="AF532" t="s">
        <v>5723</v>
      </c>
      <c r="AG532" t="s">
        <v>5724</v>
      </c>
      <c r="AH532" t="str">
        <f>HYPERLINK("http://compartments.jensenlab.org/Entity?figures=subcell_cell_%&amp;knowledge=10&amp;textmining=10&amp;experiments=10&amp;predictions=10&amp;type1=9606&amp;type2=-22&amp;id1=ENSP00000357149","link")</f>
        <v>link</v>
      </c>
      <c r="AI532" t="s">
        <v>5725</v>
      </c>
      <c r="AJ532" t="s">
        <v>5726</v>
      </c>
      <c r="AK532" t="str">
        <f>HYPERLINK("http://www.proteinatlas.org/P15812","HPA057769")</f>
        <v>HPA057769</v>
      </c>
      <c r="AM532">
        <v>913</v>
      </c>
    </row>
    <row r="533" spans="1:39" x14ac:dyDescent="0.35">
      <c r="A533" t="s">
        <v>5727</v>
      </c>
      <c r="B533" t="str">
        <f>HYPERLINK("http://www.uniprot.org/uniprot/P15813","P15813")</f>
        <v>P15813</v>
      </c>
      <c r="C533" t="s">
        <v>5728</v>
      </c>
      <c r="D533" t="s">
        <v>5729</v>
      </c>
      <c r="E533" t="s">
        <v>39</v>
      </c>
      <c r="F533" t="s">
        <v>55</v>
      </c>
      <c r="H533">
        <v>335</v>
      </c>
      <c r="I533">
        <v>1</v>
      </c>
      <c r="J533">
        <v>1</v>
      </c>
      <c r="K533" t="s">
        <v>5730</v>
      </c>
      <c r="L533" t="s">
        <v>101</v>
      </c>
      <c r="M533" t="s">
        <v>39</v>
      </c>
      <c r="N533">
        <v>0.85419999999999996</v>
      </c>
      <c r="O533" s="1">
        <v>1</v>
      </c>
      <c r="P533" t="s">
        <v>5731</v>
      </c>
      <c r="Q533" t="s">
        <v>5732</v>
      </c>
      <c r="R533" t="s">
        <v>5733</v>
      </c>
      <c r="S533" t="s">
        <v>166</v>
      </c>
      <c r="T533" t="s">
        <v>4120</v>
      </c>
      <c r="U533" t="s">
        <v>5734</v>
      </c>
      <c r="V533">
        <v>4</v>
      </c>
      <c r="W533" t="s">
        <v>5734</v>
      </c>
      <c r="Y533" t="s">
        <v>5735</v>
      </c>
      <c r="Z533" t="s">
        <v>107</v>
      </c>
      <c r="AA533">
        <v>2</v>
      </c>
      <c r="AB533" t="s">
        <v>5736</v>
      </c>
      <c r="AC533">
        <v>60</v>
      </c>
      <c r="AD533" t="s">
        <v>5737</v>
      </c>
      <c r="AE533" t="s">
        <v>5738</v>
      </c>
      <c r="AF533" t="s">
        <v>5739</v>
      </c>
      <c r="AG533" t="s">
        <v>5740</v>
      </c>
      <c r="AH533" t="str">
        <f>HYPERLINK("http://compartments.jensenlab.org/Entity?figures=subcell_cell_%&amp;knowledge=10&amp;textmining=10&amp;experiments=10&amp;predictions=10&amp;type1=9606&amp;type2=-22&amp;id1=ENSP00000357153","link")</f>
        <v>link</v>
      </c>
      <c r="AI533" t="s">
        <v>4661</v>
      </c>
      <c r="AJ533" t="s">
        <v>2124</v>
      </c>
      <c r="AK533" t="str">
        <f>HYPERLINK("http://www.proteinatlas.org/P15813","CAB016107")</f>
        <v>CAB016107</v>
      </c>
      <c r="AM533">
        <v>912</v>
      </c>
    </row>
    <row r="534" spans="1:39" x14ac:dyDescent="0.35">
      <c r="A534" t="s">
        <v>5741</v>
      </c>
      <c r="B534" t="str">
        <f>HYPERLINK("http://www.uniprot.org/uniprot/P15941","P15941")</f>
        <v>P15941</v>
      </c>
      <c r="C534" t="s">
        <v>5742</v>
      </c>
      <c r="D534" t="s">
        <v>5743</v>
      </c>
      <c r="E534" t="s">
        <v>39</v>
      </c>
      <c r="F534" t="s">
        <v>40</v>
      </c>
      <c r="H534">
        <v>1255</v>
      </c>
      <c r="I534">
        <v>1</v>
      </c>
      <c r="J534">
        <v>1</v>
      </c>
      <c r="K534" t="s">
        <v>5744</v>
      </c>
      <c r="L534" t="s">
        <v>57</v>
      </c>
      <c r="N534">
        <v>0.77249999999999996</v>
      </c>
      <c r="O534" s="1">
        <v>1</v>
      </c>
      <c r="P534" t="s">
        <v>5745</v>
      </c>
      <c r="Q534" t="s">
        <v>5746</v>
      </c>
      <c r="R534" t="s">
        <v>5747</v>
      </c>
      <c r="S534" t="s">
        <v>60</v>
      </c>
      <c r="T534" t="s">
        <v>60</v>
      </c>
      <c r="U534" t="s">
        <v>5748</v>
      </c>
      <c r="V534">
        <v>5</v>
      </c>
      <c r="W534" t="s">
        <v>5748</v>
      </c>
      <c r="X534" t="s">
        <v>5749</v>
      </c>
      <c r="AE534" t="s">
        <v>5750</v>
      </c>
      <c r="AF534" t="s">
        <v>5751</v>
      </c>
      <c r="AG534" t="s">
        <v>5752</v>
      </c>
      <c r="AH534" t="str">
        <f>HYPERLINK("http://compartments.jensenlab.org/Entity?figures=subcell_cell_%&amp;knowledge=10&amp;textmining=10&amp;experiments=10&amp;predictions=10&amp;type1=9606&amp;type2=-22&amp;id1=ENSP00000481231","link")</f>
        <v>link</v>
      </c>
      <c r="AK534" t="str">
        <f>HYPERLINK("http://www.proteinatlas.org/P15941","CAB000036;CAB001986;HPA004179;HPA007235;HPA008855")</f>
        <v>CAB000036;CAB001986;HPA004179;HPA007235;HPA008855</v>
      </c>
      <c r="AM534">
        <v>4582</v>
      </c>
    </row>
    <row r="535" spans="1:39" x14ac:dyDescent="0.35">
      <c r="A535" t="s">
        <v>5753</v>
      </c>
      <c r="B535" t="str">
        <f>HYPERLINK("http://www.uniprot.org/uniprot/P16066","P16066")</f>
        <v>P16066</v>
      </c>
      <c r="C535" t="s">
        <v>5754</v>
      </c>
      <c r="D535" t="s">
        <v>5755</v>
      </c>
      <c r="E535" t="s">
        <v>39</v>
      </c>
      <c r="F535" t="s">
        <v>40</v>
      </c>
      <c r="H535">
        <v>1061</v>
      </c>
      <c r="I535">
        <v>1</v>
      </c>
      <c r="J535">
        <v>1</v>
      </c>
      <c r="K535" t="s">
        <v>5756</v>
      </c>
      <c r="L535" t="s">
        <v>101</v>
      </c>
      <c r="N535">
        <v>0.8962</v>
      </c>
      <c r="O535" s="1">
        <v>1</v>
      </c>
      <c r="P535" t="s">
        <v>5757</v>
      </c>
      <c r="Q535" t="s">
        <v>5758</v>
      </c>
      <c r="S535" t="s">
        <v>166</v>
      </c>
      <c r="T535" t="s">
        <v>5759</v>
      </c>
      <c r="U535" t="s">
        <v>5760</v>
      </c>
      <c r="V535">
        <v>7</v>
      </c>
      <c r="W535" t="s">
        <v>5761</v>
      </c>
      <c r="Z535" t="s">
        <v>107</v>
      </c>
      <c r="AA535">
        <v>1</v>
      </c>
      <c r="AB535" t="s">
        <v>5762</v>
      </c>
      <c r="AC535">
        <v>379</v>
      </c>
      <c r="AD535" t="s">
        <v>5763</v>
      </c>
      <c r="AE535" t="s">
        <v>144</v>
      </c>
      <c r="AF535" t="s">
        <v>5764</v>
      </c>
      <c r="AG535" t="s">
        <v>5765</v>
      </c>
      <c r="AH535" t="str">
        <f>HYPERLINK("http://compartments.jensenlab.org/Entity?figures=subcell_cell_%&amp;knowledge=10&amp;textmining=10&amp;experiments=10&amp;predictions=10&amp;type1=9606&amp;type2=-22&amp;id1=ENSP00000357669","link")</f>
        <v>link</v>
      </c>
      <c r="AJ535" t="s">
        <v>113</v>
      </c>
      <c r="AK535" t="str">
        <f>HYPERLINK("http://www.proteinatlas.org/P16066","HPA031087")</f>
        <v>HPA031087</v>
      </c>
      <c r="AL535" t="s">
        <v>5766</v>
      </c>
      <c r="AM535">
        <v>4881</v>
      </c>
    </row>
    <row r="536" spans="1:39" x14ac:dyDescent="0.35">
      <c r="A536" t="s">
        <v>5767</v>
      </c>
      <c r="B536" t="str">
        <f>HYPERLINK("http://www.uniprot.org/uniprot/P16070","P16070")</f>
        <v>P16070</v>
      </c>
      <c r="C536" t="s">
        <v>5768</v>
      </c>
      <c r="D536" t="s">
        <v>5769</v>
      </c>
      <c r="E536" t="s">
        <v>39</v>
      </c>
      <c r="F536" t="s">
        <v>55</v>
      </c>
      <c r="H536">
        <v>742</v>
      </c>
      <c r="I536">
        <v>1</v>
      </c>
      <c r="J536">
        <v>1</v>
      </c>
      <c r="K536" t="s">
        <v>5770</v>
      </c>
      <c r="L536" t="s">
        <v>101</v>
      </c>
      <c r="M536" t="s">
        <v>39</v>
      </c>
      <c r="N536">
        <v>0.96089999999999998</v>
      </c>
      <c r="O536" s="1">
        <v>1</v>
      </c>
      <c r="P536" t="s">
        <v>5771</v>
      </c>
      <c r="Q536" t="s">
        <v>5772</v>
      </c>
      <c r="R536" t="s">
        <v>5769</v>
      </c>
      <c r="S536" t="s">
        <v>60</v>
      </c>
      <c r="T536" t="s">
        <v>60</v>
      </c>
      <c r="U536" t="s">
        <v>5773</v>
      </c>
      <c r="V536">
        <v>9</v>
      </c>
      <c r="W536" t="s">
        <v>5774</v>
      </c>
      <c r="X536" t="s">
        <v>5775</v>
      </c>
      <c r="Y536" t="s">
        <v>5776</v>
      </c>
      <c r="Z536" t="s">
        <v>107</v>
      </c>
      <c r="AA536">
        <v>41</v>
      </c>
      <c r="AB536" t="s">
        <v>5777</v>
      </c>
      <c r="AC536" t="s">
        <v>5778</v>
      </c>
      <c r="AD536" t="s">
        <v>5779</v>
      </c>
      <c r="AE536" t="s">
        <v>332</v>
      </c>
      <c r="AF536" t="s">
        <v>5780</v>
      </c>
      <c r="AG536" t="s">
        <v>5781</v>
      </c>
      <c r="AH536" t="str">
        <f>HYPERLINK("http://compartments.jensenlab.org/Entity?figures=subcell_cell_%&amp;knowledge=10&amp;textmining=10&amp;experiments=10&amp;predictions=10&amp;type1=9606&amp;type2=-22&amp;id1=ENSP00000398632","link")</f>
        <v>link</v>
      </c>
      <c r="AK536" t="str">
        <f>HYPERLINK("http://www.proteinatlas.org/P16070","CAB000112;CAB000316;HPA005785")</f>
        <v>CAB000112;CAB000316;HPA005785</v>
      </c>
      <c r="AL536" t="s">
        <v>5782</v>
      </c>
      <c r="AM536">
        <v>960</v>
      </c>
    </row>
    <row r="537" spans="1:39" x14ac:dyDescent="0.35">
      <c r="A537" t="s">
        <v>5783</v>
      </c>
      <c r="B537" t="str">
        <f>HYPERLINK("http://www.uniprot.org/uniprot/P16109","P16109")</f>
        <v>P16109</v>
      </c>
      <c r="C537" t="s">
        <v>5784</v>
      </c>
      <c r="D537" t="s">
        <v>5785</v>
      </c>
      <c r="E537" t="s">
        <v>39</v>
      </c>
      <c r="F537" t="s">
        <v>40</v>
      </c>
      <c r="H537">
        <v>830</v>
      </c>
      <c r="I537">
        <v>1</v>
      </c>
      <c r="J537">
        <v>1</v>
      </c>
      <c r="K537" t="s">
        <v>5786</v>
      </c>
      <c r="L537" t="s">
        <v>101</v>
      </c>
      <c r="N537">
        <v>0.92220000000000002</v>
      </c>
      <c r="O537" s="1">
        <v>1</v>
      </c>
      <c r="P537" t="s">
        <v>5787</v>
      </c>
      <c r="Q537" t="s">
        <v>5788</v>
      </c>
      <c r="R537" t="s">
        <v>5789</v>
      </c>
      <c r="S537" t="s">
        <v>166</v>
      </c>
      <c r="T537" t="s">
        <v>5468</v>
      </c>
      <c r="U537" t="s">
        <v>5790</v>
      </c>
      <c r="V537">
        <v>13</v>
      </c>
      <c r="W537" t="s">
        <v>5790</v>
      </c>
      <c r="Z537" t="s">
        <v>107</v>
      </c>
      <c r="AA537">
        <v>1</v>
      </c>
      <c r="AB537" t="s">
        <v>5791</v>
      </c>
      <c r="AC537">
        <v>54</v>
      </c>
      <c r="AD537" t="s">
        <v>5792</v>
      </c>
      <c r="AE537" t="s">
        <v>144</v>
      </c>
      <c r="AF537" t="s">
        <v>5793</v>
      </c>
      <c r="AG537" t="s">
        <v>5794</v>
      </c>
      <c r="AH537" t="str">
        <f>HYPERLINK("http://compartments.jensenlab.org/Entity?figures=subcell_cell_%&amp;knowledge=10&amp;textmining=10&amp;experiments=10&amp;predictions=10&amp;type1=9606&amp;type2=-22&amp;id1=ENSP00000263686","link")</f>
        <v>link</v>
      </c>
      <c r="AJ537" t="s">
        <v>3586</v>
      </c>
      <c r="AK537" t="str">
        <f>HYPERLINK("http://www.proteinatlas.org/P16109","CAB002145;HPA002655;HPA005990")</f>
        <v>CAB002145;HPA002655;HPA005990</v>
      </c>
      <c r="AL537" t="s">
        <v>5795</v>
      </c>
      <c r="AM537">
        <v>6403</v>
      </c>
    </row>
    <row r="538" spans="1:39" x14ac:dyDescent="0.35">
      <c r="A538" t="s">
        <v>5796</v>
      </c>
      <c r="B538" t="str">
        <f>HYPERLINK("http://www.uniprot.org/uniprot/P16144","P16144")</f>
        <v>P16144</v>
      </c>
      <c r="C538" t="s">
        <v>5797</v>
      </c>
      <c r="D538" t="s">
        <v>5798</v>
      </c>
      <c r="E538" t="s">
        <v>39</v>
      </c>
      <c r="F538" t="s">
        <v>55</v>
      </c>
      <c r="H538">
        <v>1822</v>
      </c>
      <c r="I538">
        <v>1</v>
      </c>
      <c r="J538">
        <v>1</v>
      </c>
      <c r="K538" t="s">
        <v>5799</v>
      </c>
      <c r="L538" t="s">
        <v>101</v>
      </c>
      <c r="M538" t="s">
        <v>39</v>
      </c>
      <c r="N538">
        <v>0.90800000000000003</v>
      </c>
      <c r="O538" s="1">
        <v>1</v>
      </c>
      <c r="P538" t="s">
        <v>5800</v>
      </c>
      <c r="Q538" t="s">
        <v>5801</v>
      </c>
      <c r="R538" t="s">
        <v>5802</v>
      </c>
      <c r="S538" t="s">
        <v>166</v>
      </c>
      <c r="T538" t="s">
        <v>2763</v>
      </c>
      <c r="U538" t="s">
        <v>5803</v>
      </c>
      <c r="V538">
        <v>5</v>
      </c>
      <c r="W538" t="s">
        <v>5804</v>
      </c>
      <c r="Z538" t="s">
        <v>107</v>
      </c>
      <c r="AA538">
        <v>9</v>
      </c>
      <c r="AB538" t="s">
        <v>5805</v>
      </c>
      <c r="AC538" t="s">
        <v>5806</v>
      </c>
      <c r="AD538" t="s">
        <v>5807</v>
      </c>
      <c r="AE538" t="s">
        <v>5808</v>
      </c>
      <c r="AF538" t="s">
        <v>5809</v>
      </c>
      <c r="AG538" t="s">
        <v>5810</v>
      </c>
      <c r="AH538" t="str">
        <f>HYPERLINK("http://compartments.jensenlab.org/Entity?figures=subcell_cell_%&amp;knowledge=10&amp;textmining=10&amp;experiments=10&amp;predictions=10&amp;type1=9606&amp;type2=-22&amp;id1=ENSP00000200181","link")</f>
        <v>link</v>
      </c>
      <c r="AI538" t="s">
        <v>65</v>
      </c>
      <c r="AJ538" t="s">
        <v>902</v>
      </c>
      <c r="AK538" t="str">
        <f>HYPERLINK("http://www.proteinatlas.org/P16144","CAB002422;CAB005258;HPA036348;HPA036349")</f>
        <v>CAB002422;CAB005258;HPA036348;HPA036349</v>
      </c>
      <c r="AM538">
        <v>3691</v>
      </c>
    </row>
    <row r="539" spans="1:39" x14ac:dyDescent="0.35">
      <c r="A539" t="s">
        <v>5811</v>
      </c>
      <c r="B539" t="str">
        <f>HYPERLINK("http://www.uniprot.org/uniprot/P16150","P16150")</f>
        <v>P16150</v>
      </c>
      <c r="C539" t="s">
        <v>5812</v>
      </c>
      <c r="D539" t="s">
        <v>5813</v>
      </c>
      <c r="E539" t="s">
        <v>39</v>
      </c>
      <c r="F539" t="s">
        <v>40</v>
      </c>
      <c r="H539">
        <v>400</v>
      </c>
      <c r="I539">
        <v>1</v>
      </c>
      <c r="J539">
        <v>1</v>
      </c>
      <c r="K539" t="s">
        <v>5814</v>
      </c>
      <c r="L539" t="s">
        <v>57</v>
      </c>
      <c r="N539">
        <v>0.8044</v>
      </c>
      <c r="O539" s="1">
        <v>1</v>
      </c>
      <c r="P539" t="s">
        <v>5815</v>
      </c>
      <c r="Q539" t="s">
        <v>5816</v>
      </c>
      <c r="R539" t="s">
        <v>5817</v>
      </c>
      <c r="S539" t="s">
        <v>60</v>
      </c>
      <c r="T539" t="s">
        <v>60</v>
      </c>
      <c r="U539">
        <v>239</v>
      </c>
      <c r="V539">
        <v>1</v>
      </c>
      <c r="W539">
        <v>239</v>
      </c>
      <c r="X539" t="s">
        <v>5818</v>
      </c>
      <c r="AE539" t="s">
        <v>144</v>
      </c>
      <c r="AF539" t="s">
        <v>5819</v>
      </c>
      <c r="AG539" t="s">
        <v>5820</v>
      </c>
      <c r="AH539" t="str">
        <f>HYPERLINK("http://compartments.jensenlab.org/Entity?figures=subcell_cell_%&amp;knowledge=10&amp;textmining=10&amp;experiments=10&amp;predictions=10&amp;type1=9606&amp;type2=-22&amp;id1=ENSP00000353238","link")</f>
        <v>link</v>
      </c>
      <c r="AI539" t="s">
        <v>113</v>
      </c>
      <c r="AJ539" t="s">
        <v>902</v>
      </c>
      <c r="AK539" t="str">
        <f>HYPERLINK("http://www.proteinatlas.org/P16150","CAB002666;HPA055244")</f>
        <v>CAB002666;HPA055244</v>
      </c>
      <c r="AM539" t="s">
        <v>5821</v>
      </c>
    </row>
    <row r="540" spans="1:39" x14ac:dyDescent="0.35">
      <c r="A540" t="s">
        <v>5822</v>
      </c>
      <c r="B540" t="str">
        <f>HYPERLINK("http://www.uniprot.org/uniprot/P16188","P16188")</f>
        <v>P16188</v>
      </c>
      <c r="C540" t="s">
        <v>5823</v>
      </c>
      <c r="D540" t="s">
        <v>3647</v>
      </c>
      <c r="E540" t="s">
        <v>39</v>
      </c>
      <c r="F540" t="s">
        <v>40</v>
      </c>
      <c r="H540">
        <v>365</v>
      </c>
      <c r="I540">
        <v>1</v>
      </c>
      <c r="J540">
        <v>1</v>
      </c>
      <c r="K540" t="s">
        <v>3648</v>
      </c>
      <c r="L540" t="s">
        <v>57</v>
      </c>
      <c r="N540">
        <v>0.86829999999999996</v>
      </c>
      <c r="O540" s="1">
        <v>1</v>
      </c>
      <c r="P540" t="s">
        <v>3890</v>
      </c>
      <c r="Q540" t="s">
        <v>3891</v>
      </c>
      <c r="S540" t="s">
        <v>91</v>
      </c>
      <c r="T540" t="s">
        <v>3641</v>
      </c>
      <c r="U540">
        <v>110</v>
      </c>
      <c r="V540">
        <v>1</v>
      </c>
      <c r="W540">
        <v>110</v>
      </c>
      <c r="X540">
        <v>350</v>
      </c>
      <c r="AE540" t="s">
        <v>144</v>
      </c>
      <c r="AF540" t="s">
        <v>4922</v>
      </c>
      <c r="AG540" t="s">
        <v>5824</v>
      </c>
      <c r="AH540" t="str">
        <f>HYPERLINK("http://compartments.jensenlab.org/Entity?figures=subcell_cell_%&amp;knowledge=10&amp;textmining=10&amp;experiments=10&amp;predictions=10&amp;type1=9606&amp;type2=-22&amp;id1=ENSP00000366005","link")</f>
        <v>link</v>
      </c>
      <c r="AI540" t="s">
        <v>65</v>
      </c>
      <c r="AJ540" t="s">
        <v>3644</v>
      </c>
      <c r="AK540" t="str">
        <f>HYPERLINK("http://www.proteinatlas.org/P16188","no")</f>
        <v>no</v>
      </c>
    </row>
    <row r="541" spans="1:39" x14ac:dyDescent="0.35">
      <c r="A541" t="s">
        <v>5825</v>
      </c>
      <c r="B541" t="str">
        <f>HYPERLINK("http://www.uniprot.org/uniprot/P16189","P16189")</f>
        <v>P16189</v>
      </c>
      <c r="C541" t="s">
        <v>5826</v>
      </c>
      <c r="D541" t="s">
        <v>3647</v>
      </c>
      <c r="E541" t="s">
        <v>39</v>
      </c>
      <c r="F541" t="s">
        <v>40</v>
      </c>
      <c r="H541">
        <v>365</v>
      </c>
      <c r="I541">
        <v>1</v>
      </c>
      <c r="J541">
        <v>1</v>
      </c>
      <c r="K541" t="s">
        <v>4915</v>
      </c>
      <c r="L541" t="s">
        <v>57</v>
      </c>
      <c r="N541">
        <v>0.73850000000000005</v>
      </c>
      <c r="O541" s="1">
        <v>2</v>
      </c>
      <c r="P541" t="s">
        <v>5827</v>
      </c>
      <c r="Q541" t="s">
        <v>5828</v>
      </c>
      <c r="S541" t="s">
        <v>91</v>
      </c>
      <c r="T541" t="s">
        <v>3641</v>
      </c>
      <c r="U541">
        <v>110</v>
      </c>
      <c r="V541">
        <v>1</v>
      </c>
      <c r="X541">
        <v>350</v>
      </c>
      <c r="AE541" t="s">
        <v>144</v>
      </c>
      <c r="AF541" t="s">
        <v>4922</v>
      </c>
      <c r="AG541" t="s">
        <v>5829</v>
      </c>
      <c r="AH541" t="str">
        <f>HYPERLINK("http://compartments.jensenlab.org/Entity?figures=subcell_cell_%&amp;knowledge=10&amp;textmining=10&amp;experiments=10&amp;predictions=10&amp;type1=9606&amp;type2=-22&amp;id1=ENSP00000408986","link")</f>
        <v>link</v>
      </c>
      <c r="AK541" t="str">
        <f>HYPERLINK("http://www.proteinatlas.org/P16189","no")</f>
        <v>no</v>
      </c>
    </row>
    <row r="542" spans="1:39" x14ac:dyDescent="0.35">
      <c r="A542" t="s">
        <v>5830</v>
      </c>
      <c r="B542" t="str">
        <f>HYPERLINK("http://www.uniprot.org/uniprot/P16190","P16190")</f>
        <v>P16190</v>
      </c>
      <c r="C542" t="s">
        <v>5831</v>
      </c>
      <c r="D542" t="s">
        <v>3647</v>
      </c>
      <c r="E542" t="s">
        <v>39</v>
      </c>
      <c r="F542" t="s">
        <v>40</v>
      </c>
      <c r="H542">
        <v>365</v>
      </c>
      <c r="I542">
        <v>1</v>
      </c>
      <c r="J542">
        <v>1</v>
      </c>
      <c r="K542" t="s">
        <v>4915</v>
      </c>
      <c r="L542" t="s">
        <v>57</v>
      </c>
      <c r="N542">
        <v>0.76449999999999996</v>
      </c>
      <c r="O542" s="1">
        <v>1</v>
      </c>
      <c r="P542" t="s">
        <v>5827</v>
      </c>
      <c r="Q542" t="s">
        <v>5828</v>
      </c>
      <c r="S542" t="s">
        <v>91</v>
      </c>
      <c r="T542" t="s">
        <v>3641</v>
      </c>
      <c r="U542">
        <v>110</v>
      </c>
      <c r="V542">
        <v>1</v>
      </c>
      <c r="X542">
        <v>350</v>
      </c>
      <c r="AE542" t="s">
        <v>144</v>
      </c>
      <c r="AF542" t="s">
        <v>4922</v>
      </c>
      <c r="AG542" t="s">
        <v>5832</v>
      </c>
      <c r="AH542" t="str">
        <f>HYPERLINK("http://compartments.jensenlab.org/Entity?figures=subcell_cell_%&amp;knowledge=10&amp;textmining=10&amp;experiments=10&amp;predictions=10&amp;type1=9606&amp;type2=-22&amp;id1=ENSP00000408986","link")</f>
        <v>link</v>
      </c>
      <c r="AK542" t="str">
        <f>HYPERLINK("http://www.proteinatlas.org/P16190","no")</f>
        <v>no</v>
      </c>
    </row>
    <row r="543" spans="1:39" x14ac:dyDescent="0.35">
      <c r="A543" t="s">
        <v>5833</v>
      </c>
      <c r="B543" t="str">
        <f>HYPERLINK("http://www.uniprot.org/uniprot/P16234","P16234")</f>
        <v>P16234</v>
      </c>
      <c r="C543" t="s">
        <v>5834</v>
      </c>
      <c r="D543" t="s">
        <v>5835</v>
      </c>
      <c r="E543" t="s">
        <v>39</v>
      </c>
      <c r="F543" t="s">
        <v>55</v>
      </c>
      <c r="H543">
        <v>1089</v>
      </c>
      <c r="I543">
        <v>1</v>
      </c>
      <c r="J543">
        <v>1</v>
      </c>
      <c r="K543" t="s">
        <v>5836</v>
      </c>
      <c r="L543" t="s">
        <v>101</v>
      </c>
      <c r="M543" t="s">
        <v>39</v>
      </c>
      <c r="N543">
        <v>0.9899</v>
      </c>
      <c r="O543" s="1">
        <v>1</v>
      </c>
      <c r="P543" t="s">
        <v>5837</v>
      </c>
      <c r="Q543" t="s">
        <v>5838</v>
      </c>
      <c r="R543" t="s">
        <v>5839</v>
      </c>
      <c r="S543" t="s">
        <v>166</v>
      </c>
      <c r="T543" t="s">
        <v>4272</v>
      </c>
      <c r="U543" t="s">
        <v>5840</v>
      </c>
      <c r="V543">
        <v>8</v>
      </c>
      <c r="W543" t="s">
        <v>5840</v>
      </c>
      <c r="X543" t="s">
        <v>5841</v>
      </c>
      <c r="Z543" t="s">
        <v>107</v>
      </c>
      <c r="AA543">
        <v>6</v>
      </c>
      <c r="AB543" t="s">
        <v>5842</v>
      </c>
      <c r="AC543" t="s">
        <v>5843</v>
      </c>
      <c r="AD543" t="s">
        <v>5844</v>
      </c>
      <c r="AE543" t="s">
        <v>1023</v>
      </c>
      <c r="AF543" t="s">
        <v>5845</v>
      </c>
      <c r="AG543" t="s">
        <v>5846</v>
      </c>
      <c r="AH543" t="str">
        <f>HYPERLINK("http://compartments.jensenlab.org/Entity?figures=subcell_cell_%&amp;knowledge=10&amp;textmining=10&amp;experiments=10&amp;predictions=10&amp;type1=9606&amp;type2=-22&amp;id1=ENSP00000257290","link")</f>
        <v>link</v>
      </c>
      <c r="AI543" t="s">
        <v>65</v>
      </c>
      <c r="AJ543" t="s">
        <v>299</v>
      </c>
      <c r="AK543" t="str">
        <f>HYPERLINK("http://www.proteinatlas.org/P16234","CAB018143")</f>
        <v>CAB018143</v>
      </c>
      <c r="AL543" t="s">
        <v>5847</v>
      </c>
      <c r="AM543">
        <v>5156</v>
      </c>
    </row>
    <row r="544" spans="1:39" x14ac:dyDescent="0.35">
      <c r="A544" t="s">
        <v>5848</v>
      </c>
      <c r="B544" t="str">
        <f>HYPERLINK("http://www.uniprot.org/uniprot/P16284","P16284")</f>
        <v>P16284</v>
      </c>
      <c r="C544" t="s">
        <v>5849</v>
      </c>
      <c r="D544" t="s">
        <v>5850</v>
      </c>
      <c r="E544" t="s">
        <v>39</v>
      </c>
      <c r="F544" t="s">
        <v>55</v>
      </c>
      <c r="H544">
        <v>738</v>
      </c>
      <c r="I544">
        <v>1</v>
      </c>
      <c r="J544">
        <v>1</v>
      </c>
      <c r="K544" t="s">
        <v>5851</v>
      </c>
      <c r="L544" t="s">
        <v>101</v>
      </c>
      <c r="M544" t="s">
        <v>39</v>
      </c>
      <c r="N544">
        <v>0.93410000000000004</v>
      </c>
      <c r="O544" s="1">
        <v>1</v>
      </c>
      <c r="R544" t="s">
        <v>5852</v>
      </c>
      <c r="S544" t="s">
        <v>60</v>
      </c>
      <c r="T544" t="s">
        <v>60</v>
      </c>
      <c r="U544" t="s">
        <v>5853</v>
      </c>
      <c r="V544">
        <v>9</v>
      </c>
      <c r="W544" t="s">
        <v>5854</v>
      </c>
      <c r="X544" t="s">
        <v>5855</v>
      </c>
      <c r="Z544" t="s">
        <v>107</v>
      </c>
      <c r="AA544">
        <v>32</v>
      </c>
      <c r="AB544" t="s">
        <v>5856</v>
      </c>
      <c r="AC544" t="s">
        <v>5853</v>
      </c>
      <c r="AD544" t="s">
        <v>5857</v>
      </c>
      <c r="AE544" t="s">
        <v>5858</v>
      </c>
      <c r="AF544" t="s">
        <v>5859</v>
      </c>
      <c r="AG544" t="s">
        <v>5860</v>
      </c>
      <c r="AK544" t="str">
        <f>HYPERLINK("http://www.proteinatlas.org/P16284","no")</f>
        <v>no</v>
      </c>
      <c r="AM544">
        <v>5175</v>
      </c>
    </row>
    <row r="545" spans="1:39" x14ac:dyDescent="0.35">
      <c r="A545" t="s">
        <v>5861</v>
      </c>
      <c r="B545" t="str">
        <f>HYPERLINK("http://www.uniprot.org/uniprot/P16410","P16410")</f>
        <v>P16410</v>
      </c>
      <c r="C545" t="s">
        <v>5862</v>
      </c>
      <c r="D545" t="s">
        <v>5863</v>
      </c>
      <c r="E545" t="s">
        <v>39</v>
      </c>
      <c r="F545" t="s">
        <v>40</v>
      </c>
      <c r="H545">
        <v>223</v>
      </c>
      <c r="I545">
        <v>1</v>
      </c>
      <c r="J545">
        <v>1</v>
      </c>
      <c r="K545" t="s">
        <v>5864</v>
      </c>
      <c r="L545" t="s">
        <v>57</v>
      </c>
      <c r="N545">
        <v>0.85029999999999994</v>
      </c>
      <c r="O545" s="1">
        <v>1</v>
      </c>
      <c r="P545" t="s">
        <v>5865</v>
      </c>
      <c r="Q545" t="s">
        <v>5866</v>
      </c>
      <c r="R545" t="s">
        <v>5867</v>
      </c>
      <c r="S545" t="s">
        <v>60</v>
      </c>
      <c r="T545" t="s">
        <v>60</v>
      </c>
      <c r="U545" t="s">
        <v>5868</v>
      </c>
      <c r="V545">
        <v>2</v>
      </c>
      <c r="W545" t="s">
        <v>5868</v>
      </c>
      <c r="X545">
        <v>207</v>
      </c>
      <c r="AE545" t="s">
        <v>332</v>
      </c>
      <c r="AF545" t="s">
        <v>5869</v>
      </c>
      <c r="AG545" t="s">
        <v>5870</v>
      </c>
      <c r="AH545" t="str">
        <f>HYPERLINK("http://compartments.jensenlab.org/Entity?figures=subcell_cell_%&amp;knowledge=10&amp;textmining=10&amp;experiments=10&amp;predictions=10&amp;type1=9606&amp;type2=-22&amp;id1=ENSP00000303939","link")</f>
        <v>link</v>
      </c>
      <c r="AI545" t="s">
        <v>65</v>
      </c>
      <c r="AJ545" t="s">
        <v>3228</v>
      </c>
      <c r="AK545" t="str">
        <f>HYPERLINK("http://www.proteinatlas.org/P16410","no")</f>
        <v>no</v>
      </c>
      <c r="AL545" t="s">
        <v>5871</v>
      </c>
      <c r="AM545">
        <v>1493</v>
      </c>
    </row>
    <row r="546" spans="1:39" x14ac:dyDescent="0.35">
      <c r="A546" t="s">
        <v>5872</v>
      </c>
      <c r="B546" t="str">
        <f>HYPERLINK("http://www.uniprot.org/uniprot/P16422","P16422")</f>
        <v>P16422</v>
      </c>
      <c r="C546" t="s">
        <v>5873</v>
      </c>
      <c r="D546" t="s">
        <v>5874</v>
      </c>
      <c r="E546" t="s">
        <v>39</v>
      </c>
      <c r="F546" t="s">
        <v>55</v>
      </c>
      <c r="H546">
        <v>314</v>
      </c>
      <c r="I546">
        <v>1</v>
      </c>
      <c r="J546">
        <v>1</v>
      </c>
      <c r="K546" t="s">
        <v>5875</v>
      </c>
      <c r="L546" t="s">
        <v>101</v>
      </c>
      <c r="M546" t="s">
        <v>39</v>
      </c>
      <c r="N546">
        <v>0.9</v>
      </c>
      <c r="O546" s="1">
        <v>1</v>
      </c>
      <c r="P546" t="s">
        <v>5876</v>
      </c>
      <c r="Q546" t="s">
        <v>5877</v>
      </c>
      <c r="R546" t="s">
        <v>5878</v>
      </c>
      <c r="S546" t="s">
        <v>60</v>
      </c>
      <c r="T546" t="s">
        <v>60</v>
      </c>
      <c r="U546" t="s">
        <v>5879</v>
      </c>
      <c r="V546">
        <v>3</v>
      </c>
      <c r="W546" t="s">
        <v>5879</v>
      </c>
      <c r="Z546" t="s">
        <v>107</v>
      </c>
      <c r="AA546">
        <v>3</v>
      </c>
      <c r="AB546" t="s">
        <v>5880</v>
      </c>
      <c r="AC546" t="s">
        <v>5881</v>
      </c>
      <c r="AD546" t="s">
        <v>5882</v>
      </c>
      <c r="AE546" t="s">
        <v>5883</v>
      </c>
      <c r="AF546" t="s">
        <v>5884</v>
      </c>
      <c r="AG546" t="s">
        <v>5885</v>
      </c>
      <c r="AH546" t="str">
        <f>HYPERLINK("http://compartments.jensenlab.org/Entity?figures=subcell_cell_%&amp;knowledge=10&amp;textmining=10&amp;experiments=10&amp;predictions=10&amp;type1=9606&amp;type2=-22&amp;id1=ENSP00000263735","link")</f>
        <v>link</v>
      </c>
      <c r="AI546" t="s">
        <v>65</v>
      </c>
      <c r="AJ546" t="s">
        <v>51</v>
      </c>
      <c r="AK546" t="str">
        <f>HYPERLINK("http://www.proteinatlas.org/P16422","CAB003809;HPA026761;CAB030012")</f>
        <v>CAB003809;HPA026761;CAB030012</v>
      </c>
      <c r="AM546">
        <v>4072</v>
      </c>
    </row>
    <row r="547" spans="1:39" x14ac:dyDescent="0.35">
      <c r="A547" t="s">
        <v>5886</v>
      </c>
      <c r="B547" t="str">
        <f>HYPERLINK("http://www.uniprot.org/uniprot/P16444","P16444")</f>
        <v>P16444</v>
      </c>
      <c r="C547" t="s">
        <v>5887</v>
      </c>
      <c r="D547" t="s">
        <v>5888</v>
      </c>
      <c r="E547" t="s">
        <v>39</v>
      </c>
      <c r="F547" t="s">
        <v>239</v>
      </c>
      <c r="H547">
        <v>411</v>
      </c>
      <c r="I547">
        <v>0</v>
      </c>
      <c r="J547">
        <v>1</v>
      </c>
      <c r="K547" t="s">
        <v>5889</v>
      </c>
      <c r="L547" t="s">
        <v>996</v>
      </c>
      <c r="N547">
        <v>0.73250000000000004</v>
      </c>
      <c r="O547" s="1" t="s">
        <v>241</v>
      </c>
      <c r="P547" t="s">
        <v>5890</v>
      </c>
      <c r="Q547" t="s">
        <v>5891</v>
      </c>
      <c r="S547" t="s">
        <v>947</v>
      </c>
      <c r="T547" t="s">
        <v>5892</v>
      </c>
      <c r="U547" t="s">
        <v>5893</v>
      </c>
      <c r="V547">
        <v>4</v>
      </c>
      <c r="W547" t="s">
        <v>5893</v>
      </c>
      <c r="Y547" t="s">
        <v>5894</v>
      </c>
      <c r="Z547" t="s">
        <v>107</v>
      </c>
      <c r="AA547">
        <v>6</v>
      </c>
      <c r="AB547" t="s">
        <v>5895</v>
      </c>
      <c r="AC547" t="s">
        <v>5896</v>
      </c>
      <c r="AD547" t="s">
        <v>5897</v>
      </c>
      <c r="AE547" t="s">
        <v>5898</v>
      </c>
      <c r="AF547" t="s">
        <v>5899</v>
      </c>
      <c r="AG547" t="s">
        <v>5900</v>
      </c>
      <c r="AH547" t="str">
        <f>HYPERLINK("http://compartments.jensenlab.org/Entity?figures=subcell_cell_%&amp;knowledge=10&amp;textmining=10&amp;experiments=10&amp;predictions=10&amp;type1=9606&amp;type2=-22&amp;id1=ENSP00000261615","link")</f>
        <v>link</v>
      </c>
      <c r="AI547" t="s">
        <v>65</v>
      </c>
      <c r="AJ547" t="s">
        <v>902</v>
      </c>
      <c r="AK547" t="str">
        <f>HYPERLINK("http://www.proteinatlas.org/P16444","HPA009426;HPA012783")</f>
        <v>HPA009426;HPA012783</v>
      </c>
      <c r="AL547" t="s">
        <v>5901</v>
      </c>
      <c r="AM547">
        <v>1800</v>
      </c>
    </row>
    <row r="548" spans="1:39" x14ac:dyDescent="0.35">
      <c r="A548" t="s">
        <v>5902</v>
      </c>
      <c r="B548" t="str">
        <f>HYPERLINK("http://www.uniprot.org/uniprot/P16471","P16471")</f>
        <v>P16471</v>
      </c>
      <c r="C548" t="s">
        <v>5903</v>
      </c>
      <c r="D548" t="s">
        <v>5904</v>
      </c>
      <c r="E548" t="s">
        <v>39</v>
      </c>
      <c r="F548" t="s">
        <v>40</v>
      </c>
      <c r="H548">
        <v>622</v>
      </c>
      <c r="I548">
        <v>1</v>
      </c>
      <c r="J548">
        <v>1</v>
      </c>
      <c r="K548" t="s">
        <v>5905</v>
      </c>
      <c r="L548" t="s">
        <v>57</v>
      </c>
      <c r="N548">
        <v>0.91420000000000001</v>
      </c>
      <c r="O548" s="1">
        <v>1</v>
      </c>
      <c r="P548" t="s">
        <v>5906</v>
      </c>
      <c r="Q548" t="s">
        <v>5907</v>
      </c>
      <c r="S548" t="s">
        <v>166</v>
      </c>
      <c r="T548" t="s">
        <v>3171</v>
      </c>
      <c r="U548" t="s">
        <v>5908</v>
      </c>
      <c r="V548">
        <v>3</v>
      </c>
      <c r="W548" t="s">
        <v>5909</v>
      </c>
      <c r="X548" t="s">
        <v>5910</v>
      </c>
      <c r="Y548" t="s">
        <v>5911</v>
      </c>
      <c r="AE548" t="s">
        <v>1434</v>
      </c>
      <c r="AF548" t="s">
        <v>5912</v>
      </c>
      <c r="AG548" t="s">
        <v>5913</v>
      </c>
      <c r="AH548" t="str">
        <f>HYPERLINK("http://compartments.jensenlab.org/Entity?figures=subcell_cell_%&amp;knowledge=10&amp;textmining=10&amp;experiments=10&amp;predictions=10&amp;type1=9606&amp;type2=-22&amp;id1=ENSP00000482954","link")</f>
        <v>link</v>
      </c>
      <c r="AK548" t="str">
        <f>HYPERLINK("http://www.proteinatlas.org/P16471","no")</f>
        <v>no</v>
      </c>
      <c r="AL548" t="s">
        <v>5914</v>
      </c>
      <c r="AM548">
        <v>5618</v>
      </c>
    </row>
    <row r="549" spans="1:39" x14ac:dyDescent="0.35">
      <c r="A549" t="s">
        <v>5915</v>
      </c>
      <c r="B549" t="str">
        <f>HYPERLINK("http://www.uniprot.org/uniprot/P16473","P16473")</f>
        <v>P16473</v>
      </c>
      <c r="C549" t="s">
        <v>5916</v>
      </c>
      <c r="D549" t="s">
        <v>5917</v>
      </c>
      <c r="E549" t="s">
        <v>39</v>
      </c>
      <c r="F549" t="s">
        <v>55</v>
      </c>
      <c r="H549">
        <v>764</v>
      </c>
      <c r="I549">
        <v>7</v>
      </c>
      <c r="J549">
        <v>1</v>
      </c>
      <c r="K549" t="s">
        <v>5918</v>
      </c>
      <c r="L549" t="s">
        <v>101</v>
      </c>
      <c r="M549" t="s">
        <v>39</v>
      </c>
      <c r="N549">
        <v>0.97019999999999995</v>
      </c>
      <c r="O549" s="1">
        <v>1</v>
      </c>
      <c r="P549" t="s">
        <v>5919</v>
      </c>
      <c r="S549" t="s">
        <v>166</v>
      </c>
      <c r="T549" t="s">
        <v>838</v>
      </c>
      <c r="U549" t="s">
        <v>5920</v>
      </c>
      <c r="V549">
        <v>6</v>
      </c>
      <c r="W549" t="s">
        <v>5921</v>
      </c>
      <c r="Z549" t="s">
        <v>107</v>
      </c>
      <c r="AA549">
        <v>2</v>
      </c>
      <c r="AB549" t="s">
        <v>5922</v>
      </c>
      <c r="AC549">
        <v>198</v>
      </c>
      <c r="AD549" t="s">
        <v>5923</v>
      </c>
      <c r="AE549" t="s">
        <v>74</v>
      </c>
      <c r="AF549" t="s">
        <v>5924</v>
      </c>
      <c r="AG549" t="s">
        <v>5925</v>
      </c>
      <c r="AK549" t="str">
        <f>HYPERLINK("http://www.proteinatlas.org/P16473","CAB000473;HPA026680")</f>
        <v>CAB000473;HPA026680</v>
      </c>
      <c r="AL549" t="s">
        <v>5926</v>
      </c>
      <c r="AM549">
        <v>7253</v>
      </c>
    </row>
    <row r="550" spans="1:39" x14ac:dyDescent="0.35">
      <c r="A550" t="s">
        <v>5927</v>
      </c>
      <c r="B550" t="str">
        <f>HYPERLINK("http://www.uniprot.org/uniprot/P16581","P16581")</f>
        <v>P16581</v>
      </c>
      <c r="C550" t="s">
        <v>5928</v>
      </c>
      <c r="D550" t="s">
        <v>5929</v>
      </c>
      <c r="E550" t="s">
        <v>39</v>
      </c>
      <c r="F550" t="s">
        <v>40</v>
      </c>
      <c r="H550">
        <v>610</v>
      </c>
      <c r="I550">
        <v>1</v>
      </c>
      <c r="J550">
        <v>1</v>
      </c>
      <c r="K550" t="s">
        <v>5930</v>
      </c>
      <c r="L550" t="s">
        <v>57</v>
      </c>
      <c r="N550">
        <v>0.93410000000000004</v>
      </c>
      <c r="O550" s="1">
        <v>1</v>
      </c>
      <c r="P550" t="s">
        <v>5931</v>
      </c>
      <c r="Q550" t="s">
        <v>5932</v>
      </c>
      <c r="R550" t="s">
        <v>5933</v>
      </c>
      <c r="S550" t="s">
        <v>166</v>
      </c>
      <c r="T550" t="s">
        <v>5468</v>
      </c>
      <c r="U550" t="s">
        <v>5934</v>
      </c>
      <c r="V550">
        <v>11</v>
      </c>
      <c r="W550" t="s">
        <v>5935</v>
      </c>
      <c r="X550" t="s">
        <v>5936</v>
      </c>
      <c r="AE550" t="s">
        <v>144</v>
      </c>
      <c r="AF550" t="s">
        <v>5937</v>
      </c>
      <c r="AG550" t="s">
        <v>5938</v>
      </c>
      <c r="AH550" t="str">
        <f>HYPERLINK("http://compartments.jensenlab.org/Entity?figures=subcell_cell_%&amp;knowledge=10&amp;textmining=10&amp;experiments=10&amp;predictions=10&amp;type1=9606&amp;type2=-22&amp;id1=ENSP00000331736","link")</f>
        <v>link</v>
      </c>
      <c r="AJ550" t="s">
        <v>4320</v>
      </c>
      <c r="AK550" t="str">
        <f>HYPERLINK("http://www.proteinatlas.org/P16581","CAB002143")</f>
        <v>CAB002143</v>
      </c>
      <c r="AL550" t="s">
        <v>5939</v>
      </c>
      <c r="AM550">
        <v>6401</v>
      </c>
    </row>
    <row r="551" spans="1:39" x14ac:dyDescent="0.35">
      <c r="A551" t="s">
        <v>5940</v>
      </c>
      <c r="B551" t="str">
        <f>HYPERLINK("http://www.uniprot.org/uniprot/P16671","P16671")</f>
        <v>P16671</v>
      </c>
      <c r="C551" t="s">
        <v>5941</v>
      </c>
      <c r="D551" t="s">
        <v>5942</v>
      </c>
      <c r="E551" t="s">
        <v>39</v>
      </c>
      <c r="F551" t="s">
        <v>40</v>
      </c>
      <c r="H551">
        <v>472</v>
      </c>
      <c r="I551">
        <v>2</v>
      </c>
      <c r="J551">
        <v>0</v>
      </c>
      <c r="K551" t="s">
        <v>5943</v>
      </c>
      <c r="L551" t="s">
        <v>101</v>
      </c>
      <c r="N551">
        <v>0.73250000000000004</v>
      </c>
      <c r="O551" s="1">
        <v>2</v>
      </c>
      <c r="P551" t="s">
        <v>5944</v>
      </c>
      <c r="Q551" t="s">
        <v>5945</v>
      </c>
      <c r="R551" t="s">
        <v>5942</v>
      </c>
      <c r="S551" t="s">
        <v>166</v>
      </c>
      <c r="T551" t="s">
        <v>5946</v>
      </c>
      <c r="U551" t="s">
        <v>5947</v>
      </c>
      <c r="V551">
        <v>10</v>
      </c>
      <c r="W551" t="s">
        <v>5947</v>
      </c>
      <c r="Z551" t="s">
        <v>123</v>
      </c>
      <c r="AA551">
        <v>54</v>
      </c>
      <c r="AB551" t="s">
        <v>5948</v>
      </c>
      <c r="AC551" t="s">
        <v>5949</v>
      </c>
      <c r="AD551" t="s">
        <v>5950</v>
      </c>
      <c r="AE551" t="s">
        <v>74</v>
      </c>
      <c r="AF551" t="s">
        <v>5951</v>
      </c>
      <c r="AG551" t="s">
        <v>5952</v>
      </c>
      <c r="AH551" t="str">
        <f>HYPERLINK("http://compartments.jensenlab.org/Entity?figures=subcell_cell_%&amp;knowledge=10&amp;textmining=10&amp;experiments=10&amp;predictions=10&amp;type1=9606&amp;type2=-22&amp;id1=ENSP00000308165","link")</f>
        <v>link</v>
      </c>
      <c r="AJ551" t="s">
        <v>3228</v>
      </c>
      <c r="AK551" t="str">
        <f>HYPERLINK("http://www.proteinatlas.org/P16671","HPA002018;CAB025866")</f>
        <v>HPA002018;CAB025866</v>
      </c>
      <c r="AM551">
        <v>948</v>
      </c>
    </row>
    <row r="552" spans="1:39" x14ac:dyDescent="0.35">
      <c r="A552" t="s">
        <v>5953</v>
      </c>
      <c r="B552" t="str">
        <f>HYPERLINK("http://www.uniprot.org/uniprot/P16871","P16871")</f>
        <v>P16871</v>
      </c>
      <c r="C552" t="s">
        <v>5954</v>
      </c>
      <c r="D552" t="s">
        <v>5955</v>
      </c>
      <c r="E552" t="s">
        <v>39</v>
      </c>
      <c r="F552" t="s">
        <v>55</v>
      </c>
      <c r="H552">
        <v>459</v>
      </c>
      <c r="I552">
        <v>1</v>
      </c>
      <c r="J552">
        <v>1</v>
      </c>
      <c r="K552" t="s">
        <v>5956</v>
      </c>
      <c r="L552" t="s">
        <v>101</v>
      </c>
      <c r="M552" t="s">
        <v>39</v>
      </c>
      <c r="N552">
        <v>0.96630000000000005</v>
      </c>
      <c r="O552" s="1">
        <v>1</v>
      </c>
      <c r="P552" t="s">
        <v>5957</v>
      </c>
      <c r="Q552" t="s">
        <v>5958</v>
      </c>
      <c r="R552" t="s">
        <v>5959</v>
      </c>
      <c r="S552" t="s">
        <v>166</v>
      </c>
      <c r="T552" t="s">
        <v>3171</v>
      </c>
      <c r="U552" t="s">
        <v>5960</v>
      </c>
      <c r="V552">
        <v>6</v>
      </c>
      <c r="W552" t="s">
        <v>5960</v>
      </c>
      <c r="X552" t="s">
        <v>5961</v>
      </c>
      <c r="Y552">
        <v>217</v>
      </c>
      <c r="Z552" t="s">
        <v>107</v>
      </c>
      <c r="AA552">
        <v>6</v>
      </c>
      <c r="AB552" t="s">
        <v>5962</v>
      </c>
      <c r="AC552" t="s">
        <v>5963</v>
      </c>
      <c r="AD552" t="s">
        <v>5964</v>
      </c>
      <c r="AE552" t="s">
        <v>5965</v>
      </c>
      <c r="AF552" t="s">
        <v>5966</v>
      </c>
      <c r="AG552" t="s">
        <v>5967</v>
      </c>
      <c r="AH552" t="str">
        <f>HYPERLINK("http://compartments.jensenlab.org/Entity?figures=subcell_cell_%&amp;knowledge=10&amp;textmining=10&amp;experiments=10&amp;predictions=10&amp;type1=9606&amp;type2=-22&amp;id1=ENSP00000306157","link")</f>
        <v>link</v>
      </c>
      <c r="AI552" t="s">
        <v>1058</v>
      </c>
      <c r="AJ552" t="s">
        <v>902</v>
      </c>
      <c r="AK552" t="str">
        <f>HYPERLINK("http://www.proteinatlas.org/P16871","CAB010215")</f>
        <v>CAB010215</v>
      </c>
      <c r="AM552">
        <v>3575</v>
      </c>
    </row>
    <row r="553" spans="1:39" x14ac:dyDescent="0.35">
      <c r="A553" t="s">
        <v>5968</v>
      </c>
      <c r="B553" t="str">
        <f>HYPERLINK("http://www.uniprot.org/uniprot/P17181","P17181")</f>
        <v>P17181</v>
      </c>
      <c r="C553" t="s">
        <v>5969</v>
      </c>
      <c r="D553" t="s">
        <v>5970</v>
      </c>
      <c r="E553" t="s">
        <v>39</v>
      </c>
      <c r="F553" t="s">
        <v>40</v>
      </c>
      <c r="H553">
        <v>557</v>
      </c>
      <c r="I553">
        <v>1</v>
      </c>
      <c r="J553">
        <v>1</v>
      </c>
      <c r="K553" t="s">
        <v>5971</v>
      </c>
      <c r="L553" t="s">
        <v>101</v>
      </c>
      <c r="N553">
        <v>0.89019999999999999</v>
      </c>
      <c r="O553" s="1">
        <v>1</v>
      </c>
      <c r="P553" t="s">
        <v>5972</v>
      </c>
      <c r="Q553" t="s">
        <v>5973</v>
      </c>
      <c r="S553" t="s">
        <v>166</v>
      </c>
      <c r="T553" t="s">
        <v>5643</v>
      </c>
      <c r="U553" t="s">
        <v>5974</v>
      </c>
      <c r="V553">
        <v>12</v>
      </c>
      <c r="W553" t="s">
        <v>5975</v>
      </c>
      <c r="Z553" t="s">
        <v>107</v>
      </c>
      <c r="AA553">
        <v>9</v>
      </c>
      <c r="AB553" t="s">
        <v>5976</v>
      </c>
      <c r="AC553" t="s">
        <v>5977</v>
      </c>
      <c r="AD553" t="s">
        <v>5978</v>
      </c>
      <c r="AE553" t="s">
        <v>144</v>
      </c>
      <c r="AF553" t="s">
        <v>5979</v>
      </c>
      <c r="AG553" t="s">
        <v>5980</v>
      </c>
      <c r="AH553" t="str">
        <f>HYPERLINK("http://compartments.jensenlab.org/Entity?figures=subcell_cell_%&amp;knowledge=10&amp;textmining=10&amp;experiments=10&amp;predictions=10&amp;type1=9606&amp;type2=-22&amp;id1=ENSP00000270139","link")</f>
        <v>link</v>
      </c>
      <c r="AJ553" t="s">
        <v>51</v>
      </c>
      <c r="AK553" t="str">
        <f>HYPERLINK("http://www.proteinatlas.org/P17181","HPA018015;HPA029226")</f>
        <v>HPA018015;HPA029226</v>
      </c>
      <c r="AL553" t="s">
        <v>5981</v>
      </c>
      <c r="AM553">
        <v>3454</v>
      </c>
    </row>
    <row r="554" spans="1:39" x14ac:dyDescent="0.35">
      <c r="A554" t="s">
        <v>5982</v>
      </c>
      <c r="B554" t="str">
        <f>HYPERLINK("http://www.uniprot.org/uniprot/P17301","P17301")</f>
        <v>P17301</v>
      </c>
      <c r="C554" t="s">
        <v>5983</v>
      </c>
      <c r="D554" t="s">
        <v>5984</v>
      </c>
      <c r="E554" t="s">
        <v>39</v>
      </c>
      <c r="F554" t="s">
        <v>40</v>
      </c>
      <c r="H554">
        <v>1181</v>
      </c>
      <c r="I554">
        <v>1</v>
      </c>
      <c r="J554">
        <v>1</v>
      </c>
      <c r="K554" t="s">
        <v>5985</v>
      </c>
      <c r="L554" t="s">
        <v>101</v>
      </c>
      <c r="N554">
        <v>0.92810000000000004</v>
      </c>
      <c r="O554" s="1">
        <v>1</v>
      </c>
      <c r="P554" t="s">
        <v>5986</v>
      </c>
      <c r="Q554" t="s">
        <v>5987</v>
      </c>
      <c r="R554" t="s">
        <v>5988</v>
      </c>
      <c r="S554" t="s">
        <v>166</v>
      </c>
      <c r="T554" t="s">
        <v>2763</v>
      </c>
      <c r="U554" t="s">
        <v>5989</v>
      </c>
      <c r="V554">
        <v>10</v>
      </c>
      <c r="W554" t="s">
        <v>5990</v>
      </c>
      <c r="X554" t="s">
        <v>5991</v>
      </c>
      <c r="Z554" t="s">
        <v>107</v>
      </c>
      <c r="AA554">
        <v>31</v>
      </c>
      <c r="AB554" t="s">
        <v>5992</v>
      </c>
      <c r="AC554" t="s">
        <v>5989</v>
      </c>
      <c r="AD554" t="s">
        <v>5993</v>
      </c>
      <c r="AE554" t="s">
        <v>144</v>
      </c>
      <c r="AF554" t="s">
        <v>5994</v>
      </c>
      <c r="AG554" t="s">
        <v>5995</v>
      </c>
      <c r="AH554" t="str">
        <f>HYPERLINK("http://compartments.jensenlab.org/Entity?figures=subcell_cell_%&amp;knowledge=10&amp;textmining=10&amp;experiments=10&amp;predictions=10&amp;type1=9606&amp;type2=-22&amp;id1=ENSP00000296585","link")</f>
        <v>link</v>
      </c>
      <c r="AJ554" t="s">
        <v>51</v>
      </c>
      <c r="AK554" t="str">
        <f>HYPERLINK("http://www.proteinatlas.org/P17301","CAB017690;HPA060991;HPA063556")</f>
        <v>CAB017690;HPA060991;HPA063556</v>
      </c>
      <c r="AM554">
        <v>3673</v>
      </c>
    </row>
    <row r="555" spans="1:39" x14ac:dyDescent="0.35">
      <c r="A555" t="s">
        <v>5996</v>
      </c>
      <c r="B555" t="str">
        <f>HYPERLINK("http://www.uniprot.org/uniprot/P17302","P17302")</f>
        <v>P17302</v>
      </c>
      <c r="C555" t="s">
        <v>5997</v>
      </c>
      <c r="D555" t="s">
        <v>5998</v>
      </c>
      <c r="E555" t="s">
        <v>39</v>
      </c>
      <c r="F555" t="s">
        <v>40</v>
      </c>
      <c r="H555">
        <v>382</v>
      </c>
      <c r="I555">
        <v>4</v>
      </c>
      <c r="J555">
        <v>0</v>
      </c>
      <c r="K555" t="s">
        <v>5999</v>
      </c>
      <c r="L555" t="s">
        <v>57</v>
      </c>
      <c r="N555">
        <v>0.59079999999999999</v>
      </c>
      <c r="O555" s="1">
        <v>2</v>
      </c>
      <c r="P555" t="s">
        <v>6000</v>
      </c>
      <c r="Q555" t="s">
        <v>6001</v>
      </c>
      <c r="S555" t="s">
        <v>91</v>
      </c>
      <c r="T555" t="s">
        <v>2797</v>
      </c>
      <c r="U555" t="s">
        <v>6002</v>
      </c>
      <c r="V555">
        <v>0</v>
      </c>
      <c r="W555" t="s">
        <v>6002</v>
      </c>
      <c r="AE555" t="s">
        <v>2798</v>
      </c>
      <c r="AF555" t="s">
        <v>6003</v>
      </c>
      <c r="AG555" t="s">
        <v>6004</v>
      </c>
      <c r="AH555" t="str">
        <f>HYPERLINK("http://compartments.jensenlab.org/Entity?figures=subcell_cell_%&amp;knowledge=10&amp;textmining=10&amp;experiments=10&amp;predictions=10&amp;type1=9606&amp;type2=-22&amp;id1=ENSP00000282561","link")</f>
        <v>link</v>
      </c>
      <c r="AI555" t="s">
        <v>65</v>
      </c>
      <c r="AJ555" t="s">
        <v>6005</v>
      </c>
      <c r="AK555" t="str">
        <f>HYPERLINK("http://www.proteinatlas.org/P17302","CAB010753;HPA035097")</f>
        <v>CAB010753;HPA035097</v>
      </c>
      <c r="AL555" t="s">
        <v>5939</v>
      </c>
      <c r="AM555">
        <v>2697</v>
      </c>
    </row>
    <row r="556" spans="1:39" x14ac:dyDescent="0.35">
      <c r="A556" t="s">
        <v>6006</v>
      </c>
      <c r="B556" t="str">
        <f>HYPERLINK("http://www.uniprot.org/uniprot/P17342","P17342")</f>
        <v>P17342</v>
      </c>
      <c r="C556" t="s">
        <v>6007</v>
      </c>
      <c r="D556" t="s">
        <v>6008</v>
      </c>
      <c r="E556" t="s">
        <v>39</v>
      </c>
      <c r="F556" t="s">
        <v>40</v>
      </c>
      <c r="H556">
        <v>541</v>
      </c>
      <c r="I556">
        <v>1</v>
      </c>
      <c r="J556">
        <v>1</v>
      </c>
      <c r="K556" t="s">
        <v>6009</v>
      </c>
      <c r="L556" t="s">
        <v>101</v>
      </c>
      <c r="N556">
        <v>0.88019999999999998</v>
      </c>
      <c r="O556" s="1">
        <v>1</v>
      </c>
      <c r="P556" t="s">
        <v>6010</v>
      </c>
      <c r="Q556" t="s">
        <v>6011</v>
      </c>
      <c r="S556" t="s">
        <v>166</v>
      </c>
      <c r="T556" t="s">
        <v>5759</v>
      </c>
      <c r="U556" t="s">
        <v>6012</v>
      </c>
      <c r="V556">
        <v>4</v>
      </c>
      <c r="W556" t="s">
        <v>6013</v>
      </c>
      <c r="Z556" t="s">
        <v>107</v>
      </c>
      <c r="AA556">
        <v>2</v>
      </c>
      <c r="AB556" t="s">
        <v>6014</v>
      </c>
      <c r="AC556" t="s">
        <v>6015</v>
      </c>
      <c r="AD556" t="s">
        <v>6016</v>
      </c>
      <c r="AE556" t="s">
        <v>144</v>
      </c>
      <c r="AF556" t="s">
        <v>6017</v>
      </c>
      <c r="AG556" t="s">
        <v>6018</v>
      </c>
      <c r="AH556" t="str">
        <f>HYPERLINK("http://compartments.jensenlab.org/Entity?figures=subcell_cell_%&amp;knowledge=10&amp;textmining=10&amp;experiments=10&amp;predictions=10&amp;type1=9606&amp;type2=-22&amp;id1=ENSP00000265074","link")</f>
        <v>link</v>
      </c>
      <c r="AK556" t="str">
        <f>HYPERLINK("http://www.proteinatlas.org/P17342","HPA031065")</f>
        <v>HPA031065</v>
      </c>
      <c r="AL556" t="s">
        <v>6019</v>
      </c>
      <c r="AM556">
        <v>4883</v>
      </c>
    </row>
    <row r="557" spans="1:39" x14ac:dyDescent="0.35">
      <c r="A557" t="s">
        <v>6020</v>
      </c>
      <c r="B557" t="str">
        <f>HYPERLINK("http://www.uniprot.org/uniprot/P17643","P17643")</f>
        <v>P17643</v>
      </c>
      <c r="C557" t="s">
        <v>6021</v>
      </c>
      <c r="D557" t="s">
        <v>6022</v>
      </c>
      <c r="E557" t="s">
        <v>39</v>
      </c>
      <c r="F557" t="s">
        <v>40</v>
      </c>
      <c r="H557">
        <v>537</v>
      </c>
      <c r="I557">
        <v>1</v>
      </c>
      <c r="J557">
        <v>1</v>
      </c>
      <c r="K557" t="s">
        <v>6023</v>
      </c>
      <c r="L557" t="s">
        <v>101</v>
      </c>
      <c r="N557">
        <v>0.9022</v>
      </c>
      <c r="O557" s="1">
        <v>1</v>
      </c>
      <c r="P557" t="s">
        <v>6024</v>
      </c>
      <c r="Q557" t="s">
        <v>6025</v>
      </c>
      <c r="S557" t="s">
        <v>60</v>
      </c>
      <c r="T557" t="s">
        <v>60</v>
      </c>
      <c r="U557" t="s">
        <v>6026</v>
      </c>
      <c r="V557">
        <v>6</v>
      </c>
      <c r="Z557" t="s">
        <v>107</v>
      </c>
      <c r="AA557">
        <v>3</v>
      </c>
      <c r="AB557" t="s">
        <v>6027</v>
      </c>
      <c r="AC557" t="s">
        <v>6028</v>
      </c>
      <c r="AD557" t="s">
        <v>6029</v>
      </c>
      <c r="AE557" t="s">
        <v>6030</v>
      </c>
      <c r="AF557" t="s">
        <v>6031</v>
      </c>
      <c r="AG557" t="s">
        <v>6032</v>
      </c>
      <c r="AH557" t="str">
        <f>HYPERLINK("http://compartments.jensenlab.org/Entity?figures=subcell_cell_%&amp;knowledge=10&amp;textmining=10&amp;experiments=10&amp;predictions=10&amp;type1=9606&amp;type2=-22&amp;id1=ENSP00000373570","link")</f>
        <v>link</v>
      </c>
      <c r="AI557" t="s">
        <v>6033</v>
      </c>
      <c r="AJ557" t="s">
        <v>6034</v>
      </c>
      <c r="AK557" t="str">
        <f>HYPERLINK("http://www.proteinatlas.org/P17643","HPA000937;CAB002520")</f>
        <v>HPA000937;CAB002520</v>
      </c>
      <c r="AM557">
        <v>7306</v>
      </c>
    </row>
    <row r="558" spans="1:39" x14ac:dyDescent="0.35">
      <c r="A558" t="s">
        <v>6035</v>
      </c>
      <c r="B558" t="str">
        <f>HYPERLINK("http://www.uniprot.org/uniprot/P17693","P17693")</f>
        <v>P17693</v>
      </c>
      <c r="C558" t="s">
        <v>6036</v>
      </c>
      <c r="D558" t="s">
        <v>6037</v>
      </c>
      <c r="E558" t="s">
        <v>39</v>
      </c>
      <c r="F558" t="s">
        <v>40</v>
      </c>
      <c r="H558">
        <v>338</v>
      </c>
      <c r="I558">
        <v>1</v>
      </c>
      <c r="J558">
        <v>1</v>
      </c>
      <c r="K558" t="s">
        <v>6038</v>
      </c>
      <c r="L558" t="s">
        <v>57</v>
      </c>
      <c r="N558">
        <v>0.62480000000000002</v>
      </c>
      <c r="O558" s="1">
        <v>2</v>
      </c>
      <c r="P558" t="s">
        <v>6039</v>
      </c>
      <c r="Q558" t="s">
        <v>6040</v>
      </c>
      <c r="S558" t="s">
        <v>91</v>
      </c>
      <c r="T558" t="s">
        <v>3641</v>
      </c>
      <c r="U558">
        <v>110</v>
      </c>
      <c r="V558">
        <v>1</v>
      </c>
      <c r="AE558" t="s">
        <v>144</v>
      </c>
      <c r="AF558" t="s">
        <v>6041</v>
      </c>
      <c r="AG558" t="s">
        <v>6042</v>
      </c>
      <c r="AH558" t="str">
        <f>HYPERLINK("http://compartments.jensenlab.org/Entity?figures=subcell_cell_%&amp;knowledge=10&amp;textmining=10&amp;experiments=10&amp;predictions=10&amp;type1=9606&amp;type2=-22&amp;id1=ENSP00000353472","link")</f>
        <v>link</v>
      </c>
      <c r="AJ558" t="s">
        <v>3644</v>
      </c>
      <c r="AK558" t="str">
        <f>HYPERLINK("http://www.proteinatlas.org/P17693","CAB016158")</f>
        <v>CAB016158</v>
      </c>
      <c r="AM558">
        <v>3135</v>
      </c>
    </row>
    <row r="559" spans="1:39" x14ac:dyDescent="0.35">
      <c r="A559" t="s">
        <v>6043</v>
      </c>
      <c r="B559" t="str">
        <f>HYPERLINK("http://www.uniprot.org/uniprot/P17787","P17787")</f>
        <v>P17787</v>
      </c>
      <c r="C559" t="s">
        <v>6044</v>
      </c>
      <c r="D559" t="s">
        <v>6045</v>
      </c>
      <c r="E559" t="s">
        <v>39</v>
      </c>
      <c r="F559" t="s">
        <v>55</v>
      </c>
      <c r="H559">
        <v>502</v>
      </c>
      <c r="I559">
        <v>4</v>
      </c>
      <c r="J559">
        <v>1</v>
      </c>
      <c r="K559" t="s">
        <v>6046</v>
      </c>
      <c r="L559" t="s">
        <v>57</v>
      </c>
      <c r="M559" t="s">
        <v>39</v>
      </c>
      <c r="N559">
        <v>0.99409999999999998</v>
      </c>
      <c r="O559" s="1">
        <v>1</v>
      </c>
      <c r="P559" t="s">
        <v>6047</v>
      </c>
      <c r="Q559" t="s">
        <v>6048</v>
      </c>
      <c r="S559" t="s">
        <v>45</v>
      </c>
      <c r="T559" t="s">
        <v>195</v>
      </c>
      <c r="U559" t="s">
        <v>6049</v>
      </c>
      <c r="V559">
        <v>3</v>
      </c>
      <c r="W559" t="s">
        <v>6050</v>
      </c>
      <c r="AE559" t="s">
        <v>619</v>
      </c>
      <c r="AF559" t="s">
        <v>6051</v>
      </c>
      <c r="AG559" t="s">
        <v>6052</v>
      </c>
      <c r="AH559" t="str">
        <f>HYPERLINK("http://compartments.jensenlab.org/Entity?figures=subcell_cell_%&amp;knowledge=10&amp;textmining=10&amp;experiments=10&amp;predictions=10&amp;type1=9606&amp;type2=-22&amp;id1=ENSP00000357461","link")</f>
        <v>link</v>
      </c>
      <c r="AI559" t="s">
        <v>65</v>
      </c>
      <c r="AJ559" t="s">
        <v>51</v>
      </c>
      <c r="AK559" t="str">
        <f>HYPERLINK("http://www.proteinatlas.org/P17787","HPA060894")</f>
        <v>HPA060894</v>
      </c>
      <c r="AL559" t="s">
        <v>6053</v>
      </c>
      <c r="AM559">
        <v>1141</v>
      </c>
    </row>
    <row r="560" spans="1:39" x14ac:dyDescent="0.35">
      <c r="A560" t="s">
        <v>6054</v>
      </c>
      <c r="B560" t="str">
        <f>HYPERLINK("http://www.uniprot.org/uniprot/P17813","P17813")</f>
        <v>P17813</v>
      </c>
      <c r="C560" t="s">
        <v>6055</v>
      </c>
      <c r="D560" t="s">
        <v>6056</v>
      </c>
      <c r="E560" t="s">
        <v>39</v>
      </c>
      <c r="F560" t="s">
        <v>40</v>
      </c>
      <c r="H560">
        <v>658</v>
      </c>
      <c r="I560">
        <v>1</v>
      </c>
      <c r="J560">
        <v>1</v>
      </c>
      <c r="K560" t="s">
        <v>6057</v>
      </c>
      <c r="L560" t="s">
        <v>101</v>
      </c>
      <c r="N560">
        <v>0.91620000000000001</v>
      </c>
      <c r="O560" s="1">
        <v>1</v>
      </c>
      <c r="P560" t="s">
        <v>6058</v>
      </c>
      <c r="Q560" t="s">
        <v>6059</v>
      </c>
      <c r="R560" t="s">
        <v>6060</v>
      </c>
      <c r="S560" t="s">
        <v>60</v>
      </c>
      <c r="T560" t="s">
        <v>60</v>
      </c>
      <c r="U560" t="s">
        <v>6061</v>
      </c>
      <c r="V560">
        <v>5</v>
      </c>
      <c r="W560" t="s">
        <v>6061</v>
      </c>
      <c r="X560" t="s">
        <v>6062</v>
      </c>
      <c r="Z560" t="s">
        <v>107</v>
      </c>
      <c r="AA560">
        <v>9</v>
      </c>
      <c r="AB560" t="s">
        <v>6063</v>
      </c>
      <c r="AC560" t="s">
        <v>6064</v>
      </c>
      <c r="AD560" t="s">
        <v>6065</v>
      </c>
      <c r="AE560" t="s">
        <v>144</v>
      </c>
      <c r="AF560" t="s">
        <v>6066</v>
      </c>
      <c r="AG560" t="s">
        <v>6067</v>
      </c>
      <c r="AH560" t="str">
        <f>HYPERLINK("http://compartments.jensenlab.org/Entity?figures=subcell_cell_%&amp;knowledge=10&amp;textmining=10&amp;experiments=10&amp;predictions=10&amp;type1=9606&amp;type2=-22&amp;id1=ENSP00000362299","link")</f>
        <v>link</v>
      </c>
      <c r="AJ560" t="s">
        <v>4988</v>
      </c>
      <c r="AK560" t="str">
        <f>HYPERLINK("http://www.proteinatlas.org/P17813","CAB000096;HPA011862")</f>
        <v>CAB000096;HPA011862</v>
      </c>
      <c r="AM560">
        <v>2022</v>
      </c>
    </row>
    <row r="561" spans="1:39" x14ac:dyDescent="0.35">
      <c r="A561" t="s">
        <v>6068</v>
      </c>
      <c r="B561" t="str">
        <f>HYPERLINK("http://www.uniprot.org/uniprot/P17927","P17927")</f>
        <v>P17927</v>
      </c>
      <c r="C561" t="s">
        <v>6069</v>
      </c>
      <c r="D561" t="s">
        <v>6070</v>
      </c>
      <c r="E561" t="s">
        <v>39</v>
      </c>
      <c r="F561" t="s">
        <v>40</v>
      </c>
      <c r="H561">
        <v>2039</v>
      </c>
      <c r="I561">
        <v>1</v>
      </c>
      <c r="J561">
        <v>1</v>
      </c>
      <c r="K561" t="s">
        <v>6071</v>
      </c>
      <c r="L561" t="s">
        <v>101</v>
      </c>
      <c r="N561">
        <v>0.94210000000000005</v>
      </c>
      <c r="O561" s="1">
        <v>1</v>
      </c>
      <c r="P561" t="s">
        <v>6072</v>
      </c>
      <c r="Q561" t="s">
        <v>6073</v>
      </c>
      <c r="R561" t="s">
        <v>6074</v>
      </c>
      <c r="S561" t="s">
        <v>60</v>
      </c>
      <c r="T561" t="s">
        <v>60</v>
      </c>
      <c r="U561" t="s">
        <v>6075</v>
      </c>
      <c r="V561">
        <v>25</v>
      </c>
      <c r="W561" t="s">
        <v>6075</v>
      </c>
      <c r="Y561" t="s">
        <v>6076</v>
      </c>
      <c r="Z561" t="s">
        <v>107</v>
      </c>
      <c r="AA561">
        <v>5</v>
      </c>
      <c r="AB561" t="s">
        <v>6077</v>
      </c>
      <c r="AC561" t="s">
        <v>6078</v>
      </c>
      <c r="AD561" t="s">
        <v>6079</v>
      </c>
      <c r="AE561" t="s">
        <v>144</v>
      </c>
      <c r="AF561" t="s">
        <v>6080</v>
      </c>
      <c r="AG561" t="s">
        <v>6081</v>
      </c>
      <c r="AH561" t="str">
        <f>HYPERLINK("http://compartments.jensenlab.org/Entity?figures=subcell_cell_%&amp;knowledge=10&amp;textmining=10&amp;experiments=10&amp;predictions=10&amp;type1=9606&amp;type2=-22&amp;id1=ENSP00000356018","link")</f>
        <v>link</v>
      </c>
      <c r="AK561" t="str">
        <f>HYPERLINK("http://www.proteinatlas.org/P17927","CAB002491;CAB016271;HPA042455;HPA043579;HPA049348")</f>
        <v>CAB002491;CAB016271;HPA042455;HPA043579;HPA049348</v>
      </c>
      <c r="AM561">
        <v>1378</v>
      </c>
    </row>
    <row r="562" spans="1:39" x14ac:dyDescent="0.35">
      <c r="A562" t="s">
        <v>6082</v>
      </c>
      <c r="B562" t="str">
        <f>HYPERLINK("http://www.uniprot.org/uniprot/P17948","P17948")</f>
        <v>P17948</v>
      </c>
      <c r="C562" t="s">
        <v>6083</v>
      </c>
      <c r="D562" t="s">
        <v>6084</v>
      </c>
      <c r="E562" t="s">
        <v>39</v>
      </c>
      <c r="F562" t="s">
        <v>55</v>
      </c>
      <c r="H562">
        <v>1338</v>
      </c>
      <c r="I562">
        <v>1</v>
      </c>
      <c r="J562">
        <v>1</v>
      </c>
      <c r="K562" t="s">
        <v>6085</v>
      </c>
      <c r="L562" t="s">
        <v>101</v>
      </c>
      <c r="M562" t="s">
        <v>39</v>
      </c>
      <c r="N562">
        <v>0.92230000000000001</v>
      </c>
      <c r="O562" s="1">
        <v>1</v>
      </c>
      <c r="P562" t="s">
        <v>6086</v>
      </c>
      <c r="Q562" t="s">
        <v>6087</v>
      </c>
      <c r="S562" t="s">
        <v>166</v>
      </c>
      <c r="T562" t="s">
        <v>1411</v>
      </c>
      <c r="U562" t="s">
        <v>6088</v>
      </c>
      <c r="V562">
        <v>13</v>
      </c>
      <c r="W562" t="s">
        <v>6088</v>
      </c>
      <c r="X562" t="s">
        <v>6089</v>
      </c>
      <c r="Z562" t="s">
        <v>107</v>
      </c>
      <c r="AA562">
        <v>1</v>
      </c>
      <c r="AB562" t="s">
        <v>6090</v>
      </c>
      <c r="AC562">
        <v>323</v>
      </c>
      <c r="AD562" t="s">
        <v>6091</v>
      </c>
      <c r="AE562" t="s">
        <v>6092</v>
      </c>
      <c r="AF562" t="s">
        <v>6093</v>
      </c>
      <c r="AG562" t="s">
        <v>6094</v>
      </c>
      <c r="AH562" t="str">
        <f>HYPERLINK("http://compartments.jensenlab.org/Entity?figures=subcell_cell_%&amp;knowledge=10&amp;textmining=10&amp;experiments=10&amp;predictions=10&amp;type1=9606&amp;type2=-22&amp;id1=ENSP00000282397","link")</f>
        <v>link</v>
      </c>
      <c r="AI562" t="s">
        <v>6095</v>
      </c>
      <c r="AJ562" t="s">
        <v>4988</v>
      </c>
      <c r="AK562" t="str">
        <f>HYPERLINK("http://www.proteinatlas.org/P17948","HPA011740;HPA014290;CAB068189;CAB068190")</f>
        <v>HPA011740;HPA014290;CAB068189;CAB068190</v>
      </c>
      <c r="AL562" t="s">
        <v>6096</v>
      </c>
      <c r="AM562">
        <v>2321</v>
      </c>
    </row>
    <row r="563" spans="1:39" x14ac:dyDescent="0.35">
      <c r="A563" t="s">
        <v>6097</v>
      </c>
      <c r="B563" t="str">
        <f>HYPERLINK("http://www.uniprot.org/uniprot/P18084","P18084")</f>
        <v>P18084</v>
      </c>
      <c r="C563" t="s">
        <v>6098</v>
      </c>
      <c r="D563" t="s">
        <v>6099</v>
      </c>
      <c r="E563" t="s">
        <v>39</v>
      </c>
      <c r="F563" t="s">
        <v>40</v>
      </c>
      <c r="H563">
        <v>799</v>
      </c>
      <c r="I563">
        <v>1</v>
      </c>
      <c r="J563">
        <v>1</v>
      </c>
      <c r="K563" t="s">
        <v>6100</v>
      </c>
      <c r="L563" t="s">
        <v>101</v>
      </c>
      <c r="N563">
        <v>0.94410000000000005</v>
      </c>
      <c r="O563" s="1">
        <v>1</v>
      </c>
      <c r="P563" t="s">
        <v>6101</v>
      </c>
      <c r="Q563" t="s">
        <v>6102</v>
      </c>
      <c r="S563" t="s">
        <v>166</v>
      </c>
      <c r="T563" t="s">
        <v>2763</v>
      </c>
      <c r="U563" t="s">
        <v>6103</v>
      </c>
      <c r="V563">
        <v>8</v>
      </c>
      <c r="W563" t="s">
        <v>6103</v>
      </c>
      <c r="Z563" t="s">
        <v>107</v>
      </c>
      <c r="AA563">
        <v>12</v>
      </c>
      <c r="AB563" t="s">
        <v>6104</v>
      </c>
      <c r="AC563" t="s">
        <v>6105</v>
      </c>
      <c r="AD563" t="s">
        <v>6106</v>
      </c>
      <c r="AE563" t="s">
        <v>144</v>
      </c>
      <c r="AF563" t="s">
        <v>6107</v>
      </c>
      <c r="AG563" t="s">
        <v>6108</v>
      </c>
      <c r="AH563" t="str">
        <f>HYPERLINK("http://compartments.jensenlab.org/Entity?figures=subcell_cell_%&amp;knowledge=10&amp;textmining=10&amp;experiments=10&amp;predictions=10&amp;type1=9606&amp;type2=-22&amp;id1=ENSP00000296181","link")</f>
        <v>link</v>
      </c>
      <c r="AJ563" t="s">
        <v>51</v>
      </c>
      <c r="AK563" t="str">
        <f>HYPERLINK("http://www.proteinatlas.org/P18084","HPA001820;CAB022050")</f>
        <v>HPA001820;CAB022050</v>
      </c>
      <c r="AM563">
        <v>3693</v>
      </c>
    </row>
    <row r="564" spans="1:39" x14ac:dyDescent="0.35">
      <c r="A564" t="s">
        <v>6109</v>
      </c>
      <c r="B564" t="str">
        <f>HYPERLINK("http://www.uniprot.org/uniprot/P18089","P18089")</f>
        <v>P18089</v>
      </c>
      <c r="C564" t="s">
        <v>6110</v>
      </c>
      <c r="D564" t="s">
        <v>6111</v>
      </c>
      <c r="E564" t="s">
        <v>39</v>
      </c>
      <c r="F564" t="s">
        <v>40</v>
      </c>
      <c r="H564">
        <v>447</v>
      </c>
      <c r="I564">
        <v>7</v>
      </c>
      <c r="J564">
        <v>0</v>
      </c>
      <c r="K564" t="s">
        <v>6112</v>
      </c>
      <c r="L564" t="s">
        <v>57</v>
      </c>
      <c r="N564">
        <v>0.71060000000000001</v>
      </c>
      <c r="O564" s="1">
        <v>2</v>
      </c>
      <c r="S564" t="s">
        <v>166</v>
      </c>
      <c r="T564" t="s">
        <v>838</v>
      </c>
      <c r="U564">
        <v>415</v>
      </c>
      <c r="V564">
        <v>0</v>
      </c>
      <c r="AE564" t="s">
        <v>74</v>
      </c>
      <c r="AF564" t="s">
        <v>6113</v>
      </c>
      <c r="AG564" t="s">
        <v>6114</v>
      </c>
      <c r="AK564" t="str">
        <f>HYPERLINK("http://www.proteinatlas.org/P18089","no")</f>
        <v>no</v>
      </c>
      <c r="AL564" t="s">
        <v>6115</v>
      </c>
      <c r="AM564">
        <v>151</v>
      </c>
    </row>
    <row r="565" spans="1:39" x14ac:dyDescent="0.35">
      <c r="A565" t="s">
        <v>6116</v>
      </c>
      <c r="B565" t="str">
        <f>HYPERLINK("http://www.uniprot.org/uniprot/P18433","P18433")</f>
        <v>P18433</v>
      </c>
      <c r="C565" t="s">
        <v>6117</v>
      </c>
      <c r="D565" t="s">
        <v>6118</v>
      </c>
      <c r="E565" t="s">
        <v>39</v>
      </c>
      <c r="F565" t="s">
        <v>40</v>
      </c>
      <c r="H565">
        <v>802</v>
      </c>
      <c r="I565">
        <v>1</v>
      </c>
      <c r="J565">
        <v>1</v>
      </c>
      <c r="K565" t="s">
        <v>6119</v>
      </c>
      <c r="L565" t="s">
        <v>101</v>
      </c>
      <c r="N565">
        <v>0.7944</v>
      </c>
      <c r="O565" s="1">
        <v>1</v>
      </c>
      <c r="P565" t="s">
        <v>6120</v>
      </c>
      <c r="S565" t="s">
        <v>166</v>
      </c>
      <c r="T565" t="s">
        <v>1161</v>
      </c>
      <c r="U565" t="s">
        <v>6121</v>
      </c>
      <c r="V565">
        <v>6</v>
      </c>
      <c r="W565" t="s">
        <v>6122</v>
      </c>
      <c r="Z565" t="s">
        <v>107</v>
      </c>
      <c r="AA565">
        <v>1</v>
      </c>
      <c r="AB565" t="s">
        <v>6123</v>
      </c>
      <c r="AC565">
        <v>36</v>
      </c>
      <c r="AD565" t="s">
        <v>6124</v>
      </c>
      <c r="AE565" t="s">
        <v>144</v>
      </c>
      <c r="AF565" t="s">
        <v>6125</v>
      </c>
      <c r="AG565" t="s">
        <v>6126</v>
      </c>
      <c r="AK565" t="str">
        <f>HYPERLINK("http://www.proteinatlas.org/P18433","HPA029412;CAB034366")</f>
        <v>HPA029412;CAB034366</v>
      </c>
      <c r="AM565">
        <v>5786</v>
      </c>
    </row>
    <row r="566" spans="1:39" x14ac:dyDescent="0.35">
      <c r="A566" t="s">
        <v>6127</v>
      </c>
      <c r="B566" t="str">
        <f>HYPERLINK("http://www.uniprot.org/uniprot/P18462","P18462")</f>
        <v>P18462</v>
      </c>
      <c r="C566" t="s">
        <v>6128</v>
      </c>
      <c r="D566" t="s">
        <v>3647</v>
      </c>
      <c r="E566" t="s">
        <v>39</v>
      </c>
      <c r="F566" t="s">
        <v>40</v>
      </c>
      <c r="H566">
        <v>365</v>
      </c>
      <c r="I566">
        <v>1</v>
      </c>
      <c r="J566">
        <v>1</v>
      </c>
      <c r="K566" t="s">
        <v>3648</v>
      </c>
      <c r="L566" t="s">
        <v>101</v>
      </c>
      <c r="N566">
        <v>0.77449999999999997</v>
      </c>
      <c r="O566" s="1">
        <v>1</v>
      </c>
      <c r="P566" t="s">
        <v>6129</v>
      </c>
      <c r="Q566" t="s">
        <v>6130</v>
      </c>
      <c r="S566" t="s">
        <v>91</v>
      </c>
      <c r="T566" t="s">
        <v>3641</v>
      </c>
      <c r="U566">
        <v>110</v>
      </c>
      <c r="V566">
        <v>1</v>
      </c>
      <c r="Z566" t="s">
        <v>107</v>
      </c>
      <c r="AA566">
        <v>1</v>
      </c>
      <c r="AB566" t="s">
        <v>6131</v>
      </c>
      <c r="AC566">
        <v>110</v>
      </c>
      <c r="AD566" t="s">
        <v>6132</v>
      </c>
      <c r="AE566" t="s">
        <v>144</v>
      </c>
      <c r="AF566" t="s">
        <v>4922</v>
      </c>
      <c r="AG566" t="s">
        <v>6133</v>
      </c>
      <c r="AH566" t="str">
        <f>HYPERLINK("http://compartments.jensenlab.org/Entity?figures=subcell_cell_%&amp;knowledge=10&amp;textmining=10&amp;experiments=10&amp;predictions=10&amp;type1=9606&amp;type2=-22&amp;id1=ENSP00000373100","link")</f>
        <v>link</v>
      </c>
      <c r="AK566" t="str">
        <f>HYPERLINK("http://www.proteinatlas.org/P18462","no")</f>
        <v>no</v>
      </c>
    </row>
    <row r="567" spans="1:39" x14ac:dyDescent="0.35">
      <c r="A567" t="s">
        <v>6134</v>
      </c>
      <c r="B567" t="str">
        <f>HYPERLINK("http://www.uniprot.org/uniprot/P18463","P18463")</f>
        <v>P18463</v>
      </c>
      <c r="C567" t="s">
        <v>6135</v>
      </c>
      <c r="D567" t="s">
        <v>3637</v>
      </c>
      <c r="E567" t="s">
        <v>39</v>
      </c>
      <c r="F567" t="s">
        <v>40</v>
      </c>
      <c r="H567">
        <v>362</v>
      </c>
      <c r="I567">
        <v>1</v>
      </c>
      <c r="J567">
        <v>1</v>
      </c>
      <c r="K567" t="s">
        <v>4926</v>
      </c>
      <c r="L567" t="s">
        <v>57</v>
      </c>
      <c r="N567">
        <v>0.78439999999999999</v>
      </c>
      <c r="O567" s="1">
        <v>1</v>
      </c>
      <c r="P567" t="s">
        <v>6136</v>
      </c>
      <c r="Q567" t="s">
        <v>6137</v>
      </c>
      <c r="S567" t="s">
        <v>91</v>
      </c>
      <c r="T567" t="s">
        <v>3641</v>
      </c>
      <c r="U567">
        <v>110</v>
      </c>
      <c r="V567">
        <v>1</v>
      </c>
      <c r="AE567" t="s">
        <v>144</v>
      </c>
      <c r="AF567" t="s">
        <v>4918</v>
      </c>
      <c r="AG567" t="s">
        <v>6138</v>
      </c>
      <c r="AH567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567" t="str">
        <f>HYPERLINK("http://www.proteinatlas.org/P18463","no")</f>
        <v>no</v>
      </c>
    </row>
    <row r="568" spans="1:39" x14ac:dyDescent="0.35">
      <c r="A568" t="s">
        <v>6139</v>
      </c>
      <c r="B568" t="str">
        <f>HYPERLINK("http://www.uniprot.org/uniprot/P18464","P18464")</f>
        <v>P18464</v>
      </c>
      <c r="C568" t="s">
        <v>6140</v>
      </c>
      <c r="D568" t="s">
        <v>3637</v>
      </c>
      <c r="E568" t="s">
        <v>39</v>
      </c>
      <c r="F568" t="s">
        <v>40</v>
      </c>
      <c r="H568">
        <v>362</v>
      </c>
      <c r="I568">
        <v>1</v>
      </c>
      <c r="J568">
        <v>1</v>
      </c>
      <c r="K568" t="s">
        <v>4926</v>
      </c>
      <c r="L568" t="s">
        <v>57</v>
      </c>
      <c r="N568">
        <v>0.77839999999999998</v>
      </c>
      <c r="O568" s="1">
        <v>1</v>
      </c>
      <c r="P568" t="s">
        <v>6136</v>
      </c>
      <c r="Q568" t="s">
        <v>6137</v>
      </c>
      <c r="S568" t="s">
        <v>91</v>
      </c>
      <c r="T568" t="s">
        <v>3641</v>
      </c>
      <c r="U568">
        <v>110</v>
      </c>
      <c r="V568">
        <v>1</v>
      </c>
      <c r="AE568" t="s">
        <v>144</v>
      </c>
      <c r="AF568" t="s">
        <v>3855</v>
      </c>
      <c r="AG568" t="s">
        <v>6141</v>
      </c>
      <c r="AH568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568" t="str">
        <f>HYPERLINK("http://www.proteinatlas.org/P18464","no")</f>
        <v>no</v>
      </c>
    </row>
    <row r="569" spans="1:39" x14ac:dyDescent="0.35">
      <c r="A569" t="s">
        <v>6142</v>
      </c>
      <c r="B569" t="str">
        <f>HYPERLINK("http://www.uniprot.org/uniprot/P18465","P18465")</f>
        <v>P18465</v>
      </c>
      <c r="C569" t="s">
        <v>6143</v>
      </c>
      <c r="D569" t="s">
        <v>3637</v>
      </c>
      <c r="E569" t="s">
        <v>39</v>
      </c>
      <c r="F569" t="s">
        <v>40</v>
      </c>
      <c r="H569">
        <v>362</v>
      </c>
      <c r="I569">
        <v>1</v>
      </c>
      <c r="J569">
        <v>1</v>
      </c>
      <c r="K569" t="s">
        <v>3638</v>
      </c>
      <c r="L569" t="s">
        <v>101</v>
      </c>
      <c r="N569">
        <v>0.76849999999999996</v>
      </c>
      <c r="O569" s="1">
        <v>1</v>
      </c>
      <c r="P569" t="s">
        <v>3779</v>
      </c>
      <c r="Q569" t="s">
        <v>3780</v>
      </c>
      <c r="S569" t="s">
        <v>91</v>
      </c>
      <c r="T569" t="s">
        <v>3641</v>
      </c>
      <c r="U569">
        <v>110</v>
      </c>
      <c r="V569">
        <v>1</v>
      </c>
      <c r="Z569" t="s">
        <v>107</v>
      </c>
      <c r="AA569">
        <v>4</v>
      </c>
      <c r="AB569" t="s">
        <v>6144</v>
      </c>
      <c r="AC569">
        <v>110</v>
      </c>
      <c r="AD569" t="s">
        <v>6145</v>
      </c>
      <c r="AE569" t="s">
        <v>144</v>
      </c>
      <c r="AF569" t="s">
        <v>3855</v>
      </c>
      <c r="AG569" t="s">
        <v>6146</v>
      </c>
      <c r="AH569" t="str">
        <f>HYPERLINK("http://compartments.jensenlab.org/Entity?figures=subcell_cell_%&amp;knowledge=10&amp;textmining=10&amp;experiments=10&amp;predictions=10&amp;type1=9606&amp;type2=-22&amp;id1=ENSP00000405178","link")</f>
        <v>link</v>
      </c>
      <c r="AK569" t="str">
        <f>HYPERLINK("http://www.proteinatlas.org/P18465","no")</f>
        <v>no</v>
      </c>
    </row>
    <row r="570" spans="1:39" x14ac:dyDescent="0.35">
      <c r="A570" t="s">
        <v>6147</v>
      </c>
      <c r="B570" t="str">
        <f>HYPERLINK("http://www.uniprot.org/uniprot/P18505","P18505")</f>
        <v>P18505</v>
      </c>
      <c r="C570" t="s">
        <v>6148</v>
      </c>
      <c r="D570" t="s">
        <v>6149</v>
      </c>
      <c r="E570" t="s">
        <v>39</v>
      </c>
      <c r="F570" t="s">
        <v>55</v>
      </c>
      <c r="H570">
        <v>474</v>
      </c>
      <c r="I570">
        <v>4</v>
      </c>
      <c r="J570">
        <v>1</v>
      </c>
      <c r="K570" t="s">
        <v>6150</v>
      </c>
      <c r="L570" t="s">
        <v>57</v>
      </c>
      <c r="M570" t="s">
        <v>39</v>
      </c>
      <c r="N570">
        <v>0.92059999999999997</v>
      </c>
      <c r="O570" s="1">
        <v>1</v>
      </c>
      <c r="P570" t="s">
        <v>6151</v>
      </c>
      <c r="Q570" t="s">
        <v>6152</v>
      </c>
      <c r="S570" t="s">
        <v>45</v>
      </c>
      <c r="T570" t="s">
        <v>195</v>
      </c>
      <c r="U570" t="s">
        <v>6153</v>
      </c>
      <c r="V570">
        <v>3</v>
      </c>
      <c r="W570" t="s">
        <v>6154</v>
      </c>
      <c r="AE570" t="s">
        <v>619</v>
      </c>
      <c r="AF570" t="s">
        <v>6155</v>
      </c>
      <c r="AG570" t="s">
        <v>6156</v>
      </c>
      <c r="AH570" t="str">
        <f>HYPERLINK("http://compartments.jensenlab.org/Entity?figures=subcell_cell_%&amp;knowledge=10&amp;textmining=10&amp;experiments=10&amp;predictions=10&amp;type1=9606&amp;type2=-22&amp;id1=ENSP00000295454","link")</f>
        <v>link</v>
      </c>
      <c r="AI570" t="s">
        <v>65</v>
      </c>
      <c r="AJ570" t="s">
        <v>51</v>
      </c>
      <c r="AK570" t="str">
        <f>HYPERLINK("http://www.proteinatlas.org/P18505","HPA051297")</f>
        <v>HPA051297</v>
      </c>
      <c r="AL570" t="s">
        <v>6157</v>
      </c>
      <c r="AM570">
        <v>2560</v>
      </c>
    </row>
    <row r="571" spans="1:39" x14ac:dyDescent="0.35">
      <c r="A571" t="s">
        <v>6158</v>
      </c>
      <c r="B571" t="str">
        <f>HYPERLINK("http://www.uniprot.org/uniprot/P18507","P18507")</f>
        <v>P18507</v>
      </c>
      <c r="C571" t="s">
        <v>6159</v>
      </c>
      <c r="D571" t="s">
        <v>6160</v>
      </c>
      <c r="E571" t="s">
        <v>39</v>
      </c>
      <c r="F571" t="s">
        <v>40</v>
      </c>
      <c r="H571">
        <v>467</v>
      </c>
      <c r="I571">
        <v>4</v>
      </c>
      <c r="J571">
        <v>1</v>
      </c>
      <c r="K571" t="s">
        <v>6161</v>
      </c>
      <c r="L571" t="s">
        <v>57</v>
      </c>
      <c r="N571">
        <v>0.85629999999999995</v>
      </c>
      <c r="O571" s="1">
        <v>1</v>
      </c>
      <c r="P571" t="s">
        <v>6162</v>
      </c>
      <c r="Q571" t="s">
        <v>6163</v>
      </c>
      <c r="S571" t="s">
        <v>45</v>
      </c>
      <c r="T571" t="s">
        <v>195</v>
      </c>
      <c r="U571" t="s">
        <v>6164</v>
      </c>
      <c r="V571">
        <v>3</v>
      </c>
      <c r="W571" t="s">
        <v>6164</v>
      </c>
      <c r="AE571" t="s">
        <v>619</v>
      </c>
      <c r="AF571" t="s">
        <v>6165</v>
      </c>
      <c r="AG571" t="s">
        <v>6166</v>
      </c>
      <c r="AH571" t="str">
        <f>HYPERLINK("http://compartments.jensenlab.org/Entity?figures=subcell_cell_%&amp;knowledge=10&amp;textmining=10&amp;experiments=10&amp;predictions=10&amp;type1=9606&amp;type2=-22&amp;id1=ENSP00000354651","link")</f>
        <v>link</v>
      </c>
      <c r="AK571" t="str">
        <f>HYPERLINK("http://www.proteinatlas.org/P18507","no")</f>
        <v>no</v>
      </c>
      <c r="AL571" t="s">
        <v>6167</v>
      </c>
      <c r="AM571">
        <v>2566</v>
      </c>
    </row>
    <row r="572" spans="1:39" x14ac:dyDescent="0.35">
      <c r="A572" t="s">
        <v>6168</v>
      </c>
      <c r="B572" t="str">
        <f>HYPERLINK("http://www.uniprot.org/uniprot/P18564","P18564")</f>
        <v>P18564</v>
      </c>
      <c r="C572" t="s">
        <v>6169</v>
      </c>
      <c r="D572" t="s">
        <v>6170</v>
      </c>
      <c r="E572" t="s">
        <v>39</v>
      </c>
      <c r="F572" t="s">
        <v>40</v>
      </c>
      <c r="H572">
        <v>788</v>
      </c>
      <c r="I572">
        <v>1</v>
      </c>
      <c r="J572">
        <v>1</v>
      </c>
      <c r="K572" t="s">
        <v>6171</v>
      </c>
      <c r="L572" t="s">
        <v>101</v>
      </c>
      <c r="N572">
        <v>0.84230000000000005</v>
      </c>
      <c r="O572" s="1">
        <v>1</v>
      </c>
      <c r="P572" t="s">
        <v>6172</v>
      </c>
      <c r="Q572" t="s">
        <v>6173</v>
      </c>
      <c r="S572" t="s">
        <v>166</v>
      </c>
      <c r="T572" t="s">
        <v>2763</v>
      </c>
      <c r="U572" t="s">
        <v>6174</v>
      </c>
      <c r="V572">
        <v>9</v>
      </c>
      <c r="X572" t="s">
        <v>6175</v>
      </c>
      <c r="Z572" t="s">
        <v>107</v>
      </c>
      <c r="AA572">
        <v>2</v>
      </c>
      <c r="AB572" t="s">
        <v>6176</v>
      </c>
      <c r="AC572">
        <v>97</v>
      </c>
      <c r="AD572" t="s">
        <v>6177</v>
      </c>
      <c r="AE572" t="s">
        <v>144</v>
      </c>
      <c r="AF572" t="s">
        <v>6178</v>
      </c>
      <c r="AG572" t="s">
        <v>6179</v>
      </c>
      <c r="AH572" t="str">
        <f>HYPERLINK("http://compartments.jensenlab.org/Entity?figures=subcell_cell_%&amp;knowledge=10&amp;textmining=10&amp;experiments=10&amp;predictions=10&amp;type1=9606&amp;type2=-22&amp;id1=ENSP00000283249","link")</f>
        <v>link</v>
      </c>
      <c r="AJ572" t="s">
        <v>51</v>
      </c>
      <c r="AK572" t="str">
        <f>HYPERLINK("http://www.proteinatlas.org/P18564","HPA023626")</f>
        <v>HPA023626</v>
      </c>
      <c r="AM572">
        <v>3694</v>
      </c>
    </row>
    <row r="573" spans="1:39" x14ac:dyDescent="0.35">
      <c r="A573" t="s">
        <v>6180</v>
      </c>
      <c r="B573" t="str">
        <f>HYPERLINK("http://www.uniprot.org/uniprot/P18627","P18627")</f>
        <v>P18627</v>
      </c>
      <c r="C573" t="s">
        <v>6181</v>
      </c>
      <c r="D573" t="s">
        <v>6182</v>
      </c>
      <c r="E573" t="s">
        <v>39</v>
      </c>
      <c r="F573" t="s">
        <v>40</v>
      </c>
      <c r="H573">
        <v>525</v>
      </c>
      <c r="I573">
        <v>1</v>
      </c>
      <c r="J573">
        <v>1</v>
      </c>
      <c r="K573" t="s">
        <v>6183</v>
      </c>
      <c r="L573" t="s">
        <v>57</v>
      </c>
      <c r="N573">
        <v>0.84030000000000005</v>
      </c>
      <c r="O573" s="1">
        <v>1</v>
      </c>
      <c r="P573" t="s">
        <v>6184</v>
      </c>
      <c r="Q573" t="s">
        <v>6185</v>
      </c>
      <c r="R573" t="s">
        <v>6186</v>
      </c>
      <c r="S573" t="s">
        <v>60</v>
      </c>
      <c r="T573" t="s">
        <v>60</v>
      </c>
      <c r="U573" t="s">
        <v>6187</v>
      </c>
      <c r="V573">
        <v>4</v>
      </c>
      <c r="W573" t="s">
        <v>6188</v>
      </c>
      <c r="AE573" t="s">
        <v>144</v>
      </c>
      <c r="AF573" t="s">
        <v>730</v>
      </c>
      <c r="AG573" t="s">
        <v>6189</v>
      </c>
      <c r="AH573" t="str">
        <f>HYPERLINK("http://compartments.jensenlab.org/Entity?figures=subcell_cell_%&amp;knowledge=10&amp;textmining=10&amp;experiments=10&amp;predictions=10&amp;type1=9606&amp;type2=-22&amp;id1=ENSP00000203629","link")</f>
        <v>link</v>
      </c>
      <c r="AJ573" t="s">
        <v>51</v>
      </c>
      <c r="AK573" t="str">
        <f>HYPERLINK("http://www.proteinatlas.org/P18627","CAB002301;HPA013967")</f>
        <v>CAB002301;HPA013967</v>
      </c>
      <c r="AM573">
        <v>3902</v>
      </c>
    </row>
    <row r="574" spans="1:39" x14ac:dyDescent="0.35">
      <c r="A574" t="s">
        <v>6190</v>
      </c>
      <c r="B574" t="str">
        <f>HYPERLINK("http://www.uniprot.org/uniprot/P18825","P18825")</f>
        <v>P18825</v>
      </c>
      <c r="C574" t="s">
        <v>6191</v>
      </c>
      <c r="D574" t="s">
        <v>6192</v>
      </c>
      <c r="E574" t="s">
        <v>39</v>
      </c>
      <c r="F574" t="s">
        <v>55</v>
      </c>
      <c r="H574">
        <v>462</v>
      </c>
      <c r="I574">
        <v>7</v>
      </c>
      <c r="J574">
        <v>0</v>
      </c>
      <c r="K574" t="s">
        <v>6193</v>
      </c>
      <c r="L574" t="s">
        <v>101</v>
      </c>
      <c r="M574" t="s">
        <v>39</v>
      </c>
      <c r="N574">
        <v>0.84109999999999996</v>
      </c>
      <c r="O574" s="1">
        <v>1</v>
      </c>
      <c r="P574" t="s">
        <v>6194</v>
      </c>
      <c r="Q574" t="s">
        <v>6195</v>
      </c>
      <c r="S574" t="s">
        <v>166</v>
      </c>
      <c r="T574" t="s">
        <v>838</v>
      </c>
      <c r="U574" t="s">
        <v>6196</v>
      </c>
      <c r="V574">
        <v>2</v>
      </c>
      <c r="Z574" t="s">
        <v>107</v>
      </c>
      <c r="AA574">
        <v>2</v>
      </c>
      <c r="AB574" t="s">
        <v>6197</v>
      </c>
      <c r="AC574">
        <v>19</v>
      </c>
      <c r="AD574" t="s">
        <v>6198</v>
      </c>
      <c r="AE574" t="s">
        <v>74</v>
      </c>
      <c r="AF574" t="s">
        <v>967</v>
      </c>
      <c r="AG574" t="s">
        <v>6199</v>
      </c>
      <c r="AH574" t="str">
        <f>HYPERLINK("http://compartments.jensenlab.org/Entity?figures=subcell_cell_%&amp;knowledge=10&amp;textmining=10&amp;experiments=10&amp;predictions=10&amp;type1=9606&amp;type2=-22&amp;id1=ENSP00000386069","link")</f>
        <v>link</v>
      </c>
      <c r="AI574" t="s">
        <v>65</v>
      </c>
      <c r="AJ574" t="s">
        <v>1791</v>
      </c>
      <c r="AK574" t="str">
        <f>HYPERLINK("http://www.proteinatlas.org/P18825","HPA057688")</f>
        <v>HPA057688</v>
      </c>
      <c r="AL574" t="s">
        <v>6200</v>
      </c>
      <c r="AM574">
        <v>152</v>
      </c>
    </row>
    <row r="575" spans="1:39" x14ac:dyDescent="0.35">
      <c r="A575" t="s">
        <v>6201</v>
      </c>
      <c r="B575" t="str">
        <f>HYPERLINK("http://www.uniprot.org/uniprot/P18827","P18827")</f>
        <v>P18827</v>
      </c>
      <c r="C575" t="s">
        <v>6202</v>
      </c>
      <c r="D575" t="s">
        <v>6203</v>
      </c>
      <c r="E575" t="s">
        <v>39</v>
      </c>
      <c r="F575" t="s">
        <v>40</v>
      </c>
      <c r="H575">
        <v>310</v>
      </c>
      <c r="I575">
        <v>1</v>
      </c>
      <c r="J575">
        <v>1</v>
      </c>
      <c r="K575" t="s">
        <v>6204</v>
      </c>
      <c r="L575" t="s">
        <v>57</v>
      </c>
      <c r="N575">
        <v>0.81640000000000001</v>
      </c>
      <c r="O575" s="1">
        <v>1</v>
      </c>
      <c r="P575" t="s">
        <v>6205</v>
      </c>
      <c r="Q575" t="s">
        <v>6206</v>
      </c>
      <c r="R575" t="s">
        <v>6207</v>
      </c>
      <c r="S575" t="s">
        <v>166</v>
      </c>
      <c r="T575" t="s">
        <v>6208</v>
      </c>
      <c r="U575" t="s">
        <v>6209</v>
      </c>
      <c r="V575">
        <v>2</v>
      </c>
      <c r="W575" t="s">
        <v>6209</v>
      </c>
      <c r="AE575" t="s">
        <v>1434</v>
      </c>
      <c r="AF575" t="s">
        <v>6210</v>
      </c>
      <c r="AG575" t="s">
        <v>6211</v>
      </c>
      <c r="AH575" t="str">
        <f>HYPERLINK("http://compartments.jensenlab.org/Entity?figures=subcell_cell_%&amp;knowledge=10&amp;textmining=10&amp;experiments=10&amp;predictions=10&amp;type1=9606&amp;type2=-22&amp;id1=ENSP00000254351","link")</f>
        <v>link</v>
      </c>
      <c r="AI575" t="s">
        <v>113</v>
      </c>
      <c r="AJ575" t="s">
        <v>1767</v>
      </c>
      <c r="AK575" t="str">
        <f>HYPERLINK("http://www.proteinatlas.org/P18827","CAB002424;HPA006185")</f>
        <v>CAB002424;HPA006185</v>
      </c>
      <c r="AM575">
        <v>6382</v>
      </c>
    </row>
    <row r="576" spans="1:39" x14ac:dyDescent="0.35">
      <c r="A576" t="s">
        <v>6212</v>
      </c>
      <c r="B576" t="str">
        <f>HYPERLINK("http://www.uniprot.org/uniprot/P19021","P19021")</f>
        <v>P19021</v>
      </c>
      <c r="C576" t="s">
        <v>6213</v>
      </c>
      <c r="D576" t="s">
        <v>6214</v>
      </c>
      <c r="E576" t="s">
        <v>39</v>
      </c>
      <c r="F576" t="s">
        <v>40</v>
      </c>
      <c r="H576">
        <v>973</v>
      </c>
      <c r="I576">
        <v>1</v>
      </c>
      <c r="J576">
        <v>1</v>
      </c>
      <c r="K576" t="s">
        <v>6215</v>
      </c>
      <c r="L576" t="s">
        <v>57</v>
      </c>
      <c r="N576">
        <v>0.66669999999999996</v>
      </c>
      <c r="O576" s="1">
        <v>2</v>
      </c>
      <c r="P576" t="s">
        <v>6216</v>
      </c>
      <c r="Q576" t="s">
        <v>6217</v>
      </c>
      <c r="S576" t="s">
        <v>947</v>
      </c>
      <c r="T576" t="s">
        <v>6218</v>
      </c>
      <c r="U576">
        <v>762</v>
      </c>
      <c r="V576">
        <v>1</v>
      </c>
      <c r="W576" t="s">
        <v>6219</v>
      </c>
      <c r="AE576" t="s">
        <v>6220</v>
      </c>
      <c r="AF576" t="s">
        <v>6221</v>
      </c>
      <c r="AG576" t="s">
        <v>6222</v>
      </c>
      <c r="AH576" t="str">
        <f>HYPERLINK("http://compartments.jensenlab.org/Entity?figures=subcell_cell_%&amp;knowledge=10&amp;textmining=10&amp;experiments=10&amp;predictions=10&amp;type1=9606&amp;type2=-22&amp;id1=ENSP00000396493","link")</f>
        <v>link</v>
      </c>
      <c r="AK576" t="str">
        <f>HYPERLINK("http://www.proteinatlas.org/P19021","CAB026119;HPA042260")</f>
        <v>CAB026119;HPA042260</v>
      </c>
      <c r="AL576" t="s">
        <v>4771</v>
      </c>
      <c r="AM576">
        <v>5066</v>
      </c>
    </row>
    <row r="577" spans="1:39" x14ac:dyDescent="0.35">
      <c r="A577" t="s">
        <v>6223</v>
      </c>
      <c r="B577" t="str">
        <f>HYPERLINK("http://www.uniprot.org/uniprot/P19022","P19022")</f>
        <v>P19022</v>
      </c>
      <c r="C577" t="s">
        <v>6224</v>
      </c>
      <c r="D577" t="s">
        <v>6225</v>
      </c>
      <c r="E577" t="s">
        <v>39</v>
      </c>
      <c r="F577" t="s">
        <v>55</v>
      </c>
      <c r="H577">
        <v>906</v>
      </c>
      <c r="I577">
        <v>1</v>
      </c>
      <c r="J577">
        <v>1</v>
      </c>
      <c r="K577" t="s">
        <v>6226</v>
      </c>
      <c r="L577" t="s">
        <v>101</v>
      </c>
      <c r="M577" t="s">
        <v>39</v>
      </c>
      <c r="N577">
        <v>0.98980000000000001</v>
      </c>
      <c r="O577" s="1">
        <v>1</v>
      </c>
      <c r="P577" t="s">
        <v>6227</v>
      </c>
      <c r="Q577" t="s">
        <v>6228</v>
      </c>
      <c r="R577" t="s">
        <v>6229</v>
      </c>
      <c r="S577" t="s">
        <v>91</v>
      </c>
      <c r="T577" t="s">
        <v>2622</v>
      </c>
      <c r="U577" t="s">
        <v>6230</v>
      </c>
      <c r="V577">
        <v>8</v>
      </c>
      <c r="Z577" t="s">
        <v>107</v>
      </c>
      <c r="AA577">
        <v>8</v>
      </c>
      <c r="AB577" t="s">
        <v>6231</v>
      </c>
      <c r="AC577" t="s">
        <v>6232</v>
      </c>
      <c r="AD577" t="s">
        <v>6233</v>
      </c>
      <c r="AE577" t="s">
        <v>332</v>
      </c>
      <c r="AF577" t="s">
        <v>6234</v>
      </c>
      <c r="AG577" t="s">
        <v>6235</v>
      </c>
      <c r="AH577" t="str">
        <f>HYPERLINK("http://compartments.jensenlab.org/Entity?figures=subcell_cell_%&amp;knowledge=10&amp;textmining=10&amp;experiments=10&amp;predictions=10&amp;type1=9606&amp;type2=-22&amp;id1=ENSP00000269141","link")</f>
        <v>link</v>
      </c>
      <c r="AI577" t="s">
        <v>65</v>
      </c>
      <c r="AJ577" t="s">
        <v>51</v>
      </c>
      <c r="AK577" t="str">
        <f>HYPERLINK("http://www.proteinatlas.org/P19022","CAB000141;CAB018580;HPA058574")</f>
        <v>CAB000141;CAB018580;HPA058574</v>
      </c>
      <c r="AM577">
        <v>1000</v>
      </c>
    </row>
    <row r="578" spans="1:39" x14ac:dyDescent="0.35">
      <c r="A578" t="s">
        <v>6236</v>
      </c>
      <c r="B578" t="str">
        <f>HYPERLINK("http://www.uniprot.org/uniprot/P19075","P19075")</f>
        <v>P19075</v>
      </c>
      <c r="C578" t="s">
        <v>6237</v>
      </c>
      <c r="D578" t="s">
        <v>6238</v>
      </c>
      <c r="E578" t="s">
        <v>39</v>
      </c>
      <c r="F578" t="s">
        <v>40</v>
      </c>
      <c r="H578">
        <v>237</v>
      </c>
      <c r="I578">
        <v>4</v>
      </c>
      <c r="J578">
        <v>0</v>
      </c>
      <c r="K578" t="s">
        <v>6239</v>
      </c>
      <c r="L578" t="s">
        <v>101</v>
      </c>
      <c r="N578">
        <v>0.74050000000000005</v>
      </c>
      <c r="O578" s="1">
        <v>2</v>
      </c>
      <c r="P578" t="s">
        <v>6240</v>
      </c>
      <c r="Q578" t="s">
        <v>6241</v>
      </c>
      <c r="S578" t="s">
        <v>91</v>
      </c>
      <c r="T578" t="s">
        <v>135</v>
      </c>
      <c r="U578" t="s">
        <v>6242</v>
      </c>
      <c r="V578">
        <v>2</v>
      </c>
      <c r="Z578" t="s">
        <v>123</v>
      </c>
      <c r="AA578">
        <v>3</v>
      </c>
      <c r="AB578" t="s">
        <v>6243</v>
      </c>
      <c r="AC578">
        <v>118</v>
      </c>
      <c r="AD578" t="s">
        <v>6244</v>
      </c>
      <c r="AE578" t="s">
        <v>48</v>
      </c>
      <c r="AF578" t="s">
        <v>83</v>
      </c>
      <c r="AG578" t="s">
        <v>6245</v>
      </c>
      <c r="AH578" t="str">
        <f>HYPERLINK("http://compartments.jensenlab.org/Entity?figures=subcell_cell_%&amp;knowledge=10&amp;textmining=10&amp;experiments=10&amp;predictions=10&amp;type1=9606&amp;type2=-22&amp;id1=ENSP00000247829","link")</f>
        <v>link</v>
      </c>
      <c r="AJ578" t="s">
        <v>2393</v>
      </c>
      <c r="AK578" t="str">
        <f>HYPERLINK("http://www.proteinatlas.org/P19075","CAB026009;HPA044337")</f>
        <v>CAB026009;HPA044337</v>
      </c>
      <c r="AM578">
        <v>7103</v>
      </c>
    </row>
    <row r="579" spans="1:39" x14ac:dyDescent="0.35">
      <c r="A579" t="s">
        <v>6246</v>
      </c>
      <c r="B579" t="str">
        <f>HYPERLINK("http://www.uniprot.org/uniprot/P19235","P19235")</f>
        <v>P19235</v>
      </c>
      <c r="C579" t="s">
        <v>6247</v>
      </c>
      <c r="D579" t="s">
        <v>6248</v>
      </c>
      <c r="E579" t="s">
        <v>39</v>
      </c>
      <c r="F579" t="s">
        <v>55</v>
      </c>
      <c r="H579">
        <v>508</v>
      </c>
      <c r="I579">
        <v>1</v>
      </c>
      <c r="J579">
        <v>1</v>
      </c>
      <c r="K579" t="s">
        <v>6249</v>
      </c>
      <c r="L579" t="s">
        <v>57</v>
      </c>
      <c r="M579" t="s">
        <v>39</v>
      </c>
      <c r="N579">
        <v>0.89939999999999998</v>
      </c>
      <c r="O579" s="1">
        <v>1</v>
      </c>
      <c r="P579" t="s">
        <v>6250</v>
      </c>
      <c r="Q579" t="s">
        <v>6251</v>
      </c>
      <c r="S579" t="s">
        <v>166</v>
      </c>
      <c r="T579" t="s">
        <v>3171</v>
      </c>
      <c r="U579">
        <v>76</v>
      </c>
      <c r="V579">
        <v>1</v>
      </c>
      <c r="W579">
        <v>76</v>
      </c>
      <c r="Y579">
        <v>233</v>
      </c>
      <c r="AE579" t="s">
        <v>1250</v>
      </c>
      <c r="AF579" t="s">
        <v>6252</v>
      </c>
      <c r="AG579" t="s">
        <v>6253</v>
      </c>
      <c r="AH579" t="str">
        <f>HYPERLINK("http://compartments.jensenlab.org/Entity?figures=subcell_cell_%&amp;knowledge=10&amp;textmining=10&amp;experiments=10&amp;predictions=10&amp;type1=9606&amp;type2=-22&amp;id1=ENSP00000222139","link")</f>
        <v>link</v>
      </c>
      <c r="AI579" t="s">
        <v>1058</v>
      </c>
      <c r="AJ579" t="s">
        <v>902</v>
      </c>
      <c r="AK579" t="str">
        <f>HYPERLINK("http://www.proteinatlas.org/P19235","no")</f>
        <v>no</v>
      </c>
      <c r="AL579" t="s">
        <v>6254</v>
      </c>
      <c r="AM579">
        <v>2057</v>
      </c>
    </row>
    <row r="580" spans="1:39" x14ac:dyDescent="0.35">
      <c r="A580" t="s">
        <v>6255</v>
      </c>
      <c r="B580" t="str">
        <f>HYPERLINK("http://www.uniprot.org/uniprot/P19256","P19256")</f>
        <v>P19256</v>
      </c>
      <c r="C580" t="s">
        <v>6256</v>
      </c>
      <c r="D580" t="s">
        <v>6257</v>
      </c>
      <c r="E580" t="s">
        <v>39</v>
      </c>
      <c r="F580" t="s">
        <v>239</v>
      </c>
      <c r="H580">
        <v>250</v>
      </c>
      <c r="I580">
        <v>1</v>
      </c>
      <c r="J580">
        <v>1</v>
      </c>
      <c r="K580" t="s">
        <v>6258</v>
      </c>
      <c r="L580" t="s">
        <v>101</v>
      </c>
      <c r="M580" t="s">
        <v>39</v>
      </c>
      <c r="N580">
        <v>0.85880000000000001</v>
      </c>
      <c r="O580" s="1">
        <v>1</v>
      </c>
      <c r="P580" t="s">
        <v>6259</v>
      </c>
      <c r="Q580" t="s">
        <v>6260</v>
      </c>
      <c r="R580" t="s">
        <v>6257</v>
      </c>
      <c r="S580" t="s">
        <v>60</v>
      </c>
      <c r="T580" t="s">
        <v>60</v>
      </c>
      <c r="U580" t="s">
        <v>6261</v>
      </c>
      <c r="V580">
        <v>6</v>
      </c>
      <c r="W580" t="s">
        <v>6261</v>
      </c>
      <c r="Z580" t="s">
        <v>107</v>
      </c>
      <c r="AA580">
        <v>13</v>
      </c>
      <c r="AB580" t="s">
        <v>6262</v>
      </c>
      <c r="AC580" t="s">
        <v>6263</v>
      </c>
      <c r="AD580" t="s">
        <v>6264</v>
      </c>
      <c r="AE580" t="s">
        <v>6265</v>
      </c>
      <c r="AF580" t="s">
        <v>6266</v>
      </c>
      <c r="AG580" t="s">
        <v>6267</v>
      </c>
      <c r="AH580" t="str">
        <f>HYPERLINK("http://compartments.jensenlab.org/Entity?figures=subcell_cell_%&amp;knowledge=10&amp;textmining=10&amp;experiments=10&amp;predictions=10&amp;type1=9606&amp;type2=-22&amp;id1=ENSP00000358501","link")</f>
        <v>link</v>
      </c>
      <c r="AI580" t="s">
        <v>65</v>
      </c>
      <c r="AJ580" t="s">
        <v>51</v>
      </c>
      <c r="AK580" t="str">
        <f>HYPERLINK("http://www.proteinatlas.org/P19256","no")</f>
        <v>no</v>
      </c>
      <c r="AM580">
        <v>965</v>
      </c>
    </row>
    <row r="581" spans="1:39" x14ac:dyDescent="0.35">
      <c r="A581" t="s">
        <v>6268</v>
      </c>
      <c r="B581" t="str">
        <f>HYPERLINK("http://www.uniprot.org/uniprot/P19320","P19320")</f>
        <v>P19320</v>
      </c>
      <c r="C581" t="s">
        <v>6269</v>
      </c>
      <c r="D581" t="s">
        <v>6270</v>
      </c>
      <c r="E581" t="s">
        <v>39</v>
      </c>
      <c r="F581" t="s">
        <v>40</v>
      </c>
      <c r="H581">
        <v>739</v>
      </c>
      <c r="I581">
        <v>1</v>
      </c>
      <c r="J581">
        <v>1</v>
      </c>
      <c r="K581" t="s">
        <v>6271</v>
      </c>
      <c r="L581" t="s">
        <v>101</v>
      </c>
      <c r="N581">
        <v>0.84230000000000005</v>
      </c>
      <c r="O581" s="1">
        <v>1</v>
      </c>
      <c r="P581" t="s">
        <v>6272</v>
      </c>
      <c r="Q581" t="s">
        <v>6273</v>
      </c>
      <c r="R581" t="s">
        <v>6274</v>
      </c>
      <c r="S581" t="s">
        <v>60</v>
      </c>
      <c r="T581" t="s">
        <v>60</v>
      </c>
      <c r="U581" t="s">
        <v>6275</v>
      </c>
      <c r="V581">
        <v>6</v>
      </c>
      <c r="W581" t="s">
        <v>6276</v>
      </c>
      <c r="X581" t="s">
        <v>6277</v>
      </c>
      <c r="Z581" t="s">
        <v>107</v>
      </c>
      <c r="AA581">
        <v>21</v>
      </c>
      <c r="AB581" t="s">
        <v>6278</v>
      </c>
      <c r="AC581" t="s">
        <v>6279</v>
      </c>
      <c r="AD581" t="s">
        <v>6280</v>
      </c>
      <c r="AE581" t="s">
        <v>144</v>
      </c>
      <c r="AF581" t="s">
        <v>6281</v>
      </c>
      <c r="AG581" t="s">
        <v>6282</v>
      </c>
      <c r="AH581" t="str">
        <f>HYPERLINK("http://compartments.jensenlab.org/Entity?figures=subcell_cell_%&amp;knowledge=10&amp;textmining=10&amp;experiments=10&amp;predictions=10&amp;type1=9606&amp;type2=-22&amp;id1=ENSP00000294728","link")</f>
        <v>link</v>
      </c>
      <c r="AJ581" t="s">
        <v>4320</v>
      </c>
      <c r="AK581" t="str">
        <f>HYPERLINK("http://www.proteinatlas.org/P19320","CAB005426;HPA034796")</f>
        <v>CAB005426;HPA034796</v>
      </c>
      <c r="AL581" t="s">
        <v>5939</v>
      </c>
      <c r="AM581">
        <v>7412</v>
      </c>
    </row>
    <row r="582" spans="1:39" x14ac:dyDescent="0.35">
      <c r="A582" t="s">
        <v>6283</v>
      </c>
      <c r="B582" t="str">
        <f>HYPERLINK("http://www.uniprot.org/uniprot/P19397","P19397")</f>
        <v>P19397</v>
      </c>
      <c r="C582" t="s">
        <v>6284</v>
      </c>
      <c r="D582" t="s">
        <v>6285</v>
      </c>
      <c r="E582" t="s">
        <v>39</v>
      </c>
      <c r="F582" t="s">
        <v>55</v>
      </c>
      <c r="H582">
        <v>219</v>
      </c>
      <c r="I582">
        <v>4</v>
      </c>
      <c r="J582">
        <v>0</v>
      </c>
      <c r="K582" t="s">
        <v>6286</v>
      </c>
      <c r="L582" t="s">
        <v>101</v>
      </c>
      <c r="M582" t="s">
        <v>39</v>
      </c>
      <c r="N582">
        <v>0.83609999999999995</v>
      </c>
      <c r="O582" s="1">
        <v>1</v>
      </c>
      <c r="P582" t="s">
        <v>6287</v>
      </c>
      <c r="Q582" t="s">
        <v>6288</v>
      </c>
      <c r="R582" t="s">
        <v>6285</v>
      </c>
      <c r="S582" t="s">
        <v>91</v>
      </c>
      <c r="T582" t="s">
        <v>135</v>
      </c>
      <c r="U582" t="s">
        <v>6289</v>
      </c>
      <c r="V582">
        <v>2</v>
      </c>
      <c r="W582" t="s">
        <v>6289</v>
      </c>
      <c r="Z582" t="s">
        <v>123</v>
      </c>
      <c r="AA582">
        <v>6</v>
      </c>
      <c r="AB582" t="s">
        <v>6290</v>
      </c>
      <c r="AC582" t="s">
        <v>6289</v>
      </c>
      <c r="AD582" t="s">
        <v>6291</v>
      </c>
      <c r="AE582" t="s">
        <v>6292</v>
      </c>
      <c r="AF582" t="s">
        <v>6293</v>
      </c>
      <c r="AG582" t="s">
        <v>6294</v>
      </c>
      <c r="AH582" t="str">
        <f>HYPERLINK("http://compartments.jensenlab.org/Entity?figures=subcell_cell_%&amp;knowledge=10&amp;textmining=10&amp;experiments=10&amp;predictions=10&amp;type1=9606&amp;type2=-22&amp;id1=ENSP00000271324","link")</f>
        <v>link</v>
      </c>
      <c r="AI582" t="s">
        <v>65</v>
      </c>
      <c r="AJ582" t="s">
        <v>51</v>
      </c>
      <c r="AK582" t="str">
        <f>HYPERLINK("http://www.proteinatlas.org/P19397","HPA047216")</f>
        <v>HPA047216</v>
      </c>
      <c r="AM582">
        <v>963</v>
      </c>
    </row>
    <row r="583" spans="1:39" x14ac:dyDescent="0.35">
      <c r="A583" t="s">
        <v>6295</v>
      </c>
      <c r="B583" t="str">
        <f>HYPERLINK("http://www.uniprot.org/uniprot/P19438","P19438")</f>
        <v>P19438</v>
      </c>
      <c r="C583" t="s">
        <v>6296</v>
      </c>
      <c r="D583" t="s">
        <v>6297</v>
      </c>
      <c r="E583" t="s">
        <v>39</v>
      </c>
      <c r="F583" t="s">
        <v>55</v>
      </c>
      <c r="H583">
        <v>455</v>
      </c>
      <c r="I583">
        <v>1</v>
      </c>
      <c r="J583">
        <v>1</v>
      </c>
      <c r="K583" t="s">
        <v>6298</v>
      </c>
      <c r="L583" t="s">
        <v>101</v>
      </c>
      <c r="M583" t="s">
        <v>39</v>
      </c>
      <c r="N583">
        <v>0.95050000000000001</v>
      </c>
      <c r="O583" s="1">
        <v>1</v>
      </c>
      <c r="P583" t="s">
        <v>6299</v>
      </c>
      <c r="Q583" t="s">
        <v>6300</v>
      </c>
      <c r="R583" t="s">
        <v>6301</v>
      </c>
      <c r="S583" t="s">
        <v>166</v>
      </c>
      <c r="T583" t="s">
        <v>864</v>
      </c>
      <c r="U583" t="s">
        <v>6302</v>
      </c>
      <c r="V583">
        <v>3</v>
      </c>
      <c r="W583" t="s">
        <v>6303</v>
      </c>
      <c r="X583" t="s">
        <v>6304</v>
      </c>
      <c r="Z583" t="s">
        <v>107</v>
      </c>
      <c r="AA583">
        <v>1</v>
      </c>
      <c r="AB583" t="s">
        <v>6305</v>
      </c>
      <c r="AC583">
        <v>54</v>
      </c>
      <c r="AD583" t="s">
        <v>6306</v>
      </c>
      <c r="AE583" t="s">
        <v>6307</v>
      </c>
      <c r="AF583" t="s">
        <v>6308</v>
      </c>
      <c r="AG583" t="s">
        <v>6309</v>
      </c>
      <c r="AH583" t="str">
        <f>HYPERLINK("http://compartments.jensenlab.org/Entity?figures=subcell_cell_%&amp;knowledge=10&amp;textmining=10&amp;experiments=10&amp;predictions=10&amp;type1=9606&amp;type2=-22&amp;id1=ENSP00000162749","link")</f>
        <v>link</v>
      </c>
      <c r="AI583" t="s">
        <v>1058</v>
      </c>
      <c r="AJ583" t="s">
        <v>3586</v>
      </c>
      <c r="AK583" t="str">
        <f>HYPERLINK("http://www.proteinatlas.org/P19438","HPA004102;CAB010309")</f>
        <v>HPA004102;CAB010309</v>
      </c>
      <c r="AM583">
        <v>7132</v>
      </c>
    </row>
    <row r="584" spans="1:39" x14ac:dyDescent="0.35">
      <c r="A584" t="s">
        <v>6310</v>
      </c>
      <c r="B584" t="str">
        <f>HYPERLINK("http://www.uniprot.org/uniprot/P19440","P19440")</f>
        <v>P19440</v>
      </c>
      <c r="C584" t="s">
        <v>6311</v>
      </c>
      <c r="D584" t="s">
        <v>6312</v>
      </c>
      <c r="E584" t="s">
        <v>39</v>
      </c>
      <c r="F584" t="s">
        <v>55</v>
      </c>
      <c r="H584">
        <v>569</v>
      </c>
      <c r="I584">
        <v>1</v>
      </c>
      <c r="J584">
        <v>0</v>
      </c>
      <c r="K584" t="s">
        <v>6313</v>
      </c>
      <c r="L584" t="s">
        <v>101</v>
      </c>
      <c r="M584" t="s">
        <v>39</v>
      </c>
      <c r="N584">
        <v>0.1968</v>
      </c>
      <c r="O584" s="1"/>
      <c r="P584" t="s">
        <v>6314</v>
      </c>
      <c r="Q584" t="s">
        <v>6315</v>
      </c>
      <c r="R584" t="s">
        <v>6316</v>
      </c>
      <c r="S584" t="s">
        <v>60</v>
      </c>
      <c r="T584" t="s">
        <v>60</v>
      </c>
      <c r="U584" t="s">
        <v>6317</v>
      </c>
      <c r="V584">
        <v>7</v>
      </c>
      <c r="Z584" t="s">
        <v>123</v>
      </c>
      <c r="AA584">
        <v>9</v>
      </c>
      <c r="AB584" t="s">
        <v>6318</v>
      </c>
      <c r="AC584" t="s">
        <v>6319</v>
      </c>
      <c r="AD584" t="s">
        <v>6320</v>
      </c>
      <c r="AE584" t="s">
        <v>764</v>
      </c>
      <c r="AF584" t="s">
        <v>6321</v>
      </c>
      <c r="AG584" t="s">
        <v>6322</v>
      </c>
      <c r="AH584" t="str">
        <f>HYPERLINK("http://compartments.jensenlab.org/Entity?figures=subcell_cell_%&amp;knowledge=10&amp;textmining=10&amp;experiments=10&amp;predictions=10&amp;type1=9606&amp;type2=-22&amp;id1=ENSP00000248923","link")</f>
        <v>link</v>
      </c>
      <c r="AI584" t="s">
        <v>65</v>
      </c>
      <c r="AJ584" t="s">
        <v>51</v>
      </c>
      <c r="AK584" t="str">
        <f>HYPERLINK("http://www.proteinatlas.org/P19440","HPA045635;HPA047534")</f>
        <v>HPA045635;HPA047534</v>
      </c>
      <c r="AL584" t="s">
        <v>6323</v>
      </c>
      <c r="AM584">
        <v>2678</v>
      </c>
    </row>
    <row r="585" spans="1:39" x14ac:dyDescent="0.35">
      <c r="A585" t="s">
        <v>6324</v>
      </c>
      <c r="B585" t="str">
        <f>HYPERLINK("http://www.uniprot.org/uniprot/P19634","P19634")</f>
        <v>P19634</v>
      </c>
      <c r="C585" t="s">
        <v>6325</v>
      </c>
      <c r="D585" t="s">
        <v>6326</v>
      </c>
      <c r="E585" t="s">
        <v>39</v>
      </c>
      <c r="F585" t="s">
        <v>55</v>
      </c>
      <c r="H585">
        <v>815</v>
      </c>
      <c r="I585">
        <v>12</v>
      </c>
      <c r="J585">
        <v>0</v>
      </c>
      <c r="K585" t="s">
        <v>6327</v>
      </c>
      <c r="L585" t="s">
        <v>101</v>
      </c>
      <c r="M585" t="s">
        <v>39</v>
      </c>
      <c r="N585">
        <v>0.60470000000000002</v>
      </c>
      <c r="O585" s="1">
        <v>2</v>
      </c>
      <c r="P585" t="s">
        <v>6328</v>
      </c>
      <c r="Q585" t="s">
        <v>6329</v>
      </c>
      <c r="S585" t="s">
        <v>45</v>
      </c>
      <c r="T585" t="s">
        <v>6330</v>
      </c>
      <c r="U585" t="s">
        <v>6331</v>
      </c>
      <c r="V585">
        <v>3</v>
      </c>
      <c r="W585" t="s">
        <v>6331</v>
      </c>
      <c r="X585" t="s">
        <v>6332</v>
      </c>
      <c r="Z585" t="s">
        <v>107</v>
      </c>
      <c r="AA585">
        <v>2</v>
      </c>
      <c r="AB585" t="s">
        <v>6333</v>
      </c>
      <c r="AC585">
        <v>75</v>
      </c>
      <c r="AD585" t="s">
        <v>6334</v>
      </c>
      <c r="AE585" t="s">
        <v>6335</v>
      </c>
      <c r="AF585" t="s">
        <v>6336</v>
      </c>
      <c r="AG585" t="s">
        <v>6337</v>
      </c>
      <c r="AH585" t="str">
        <f>HYPERLINK("http://compartments.jensenlab.org/Entity?figures=subcell_cell_%&amp;knowledge=10&amp;textmining=10&amp;experiments=10&amp;predictions=10&amp;type1=9606&amp;type2=-22&amp;id1=ENSP00000263980","link")</f>
        <v>link</v>
      </c>
      <c r="AJ585" t="s">
        <v>51</v>
      </c>
      <c r="AK585" t="str">
        <f>HYPERLINK("http://www.proteinatlas.org/P19634","CAB022371;HPA048532;HPA052891")</f>
        <v>CAB022371;HPA048532;HPA052891</v>
      </c>
      <c r="AL585" t="s">
        <v>6338</v>
      </c>
      <c r="AM585">
        <v>6548</v>
      </c>
    </row>
    <row r="586" spans="1:39" x14ac:dyDescent="0.35">
      <c r="A586" t="s">
        <v>6339</v>
      </c>
      <c r="B586" t="str">
        <f>HYPERLINK("http://www.uniprot.org/uniprot/P20023","P20023")</f>
        <v>P20023</v>
      </c>
      <c r="C586" t="s">
        <v>6340</v>
      </c>
      <c r="D586" t="s">
        <v>6341</v>
      </c>
      <c r="E586" t="s">
        <v>39</v>
      </c>
      <c r="F586" t="s">
        <v>40</v>
      </c>
      <c r="H586">
        <v>1033</v>
      </c>
      <c r="I586">
        <v>1</v>
      </c>
      <c r="J586">
        <v>1</v>
      </c>
      <c r="K586" t="s">
        <v>6342</v>
      </c>
      <c r="L586" t="s">
        <v>101</v>
      </c>
      <c r="N586">
        <v>0.96609999999999996</v>
      </c>
      <c r="O586" s="1">
        <v>1</v>
      </c>
      <c r="P586" t="s">
        <v>6343</v>
      </c>
      <c r="Q586" t="s">
        <v>6344</v>
      </c>
      <c r="R586" t="s">
        <v>6345</v>
      </c>
      <c r="S586" t="s">
        <v>60</v>
      </c>
      <c r="T586" t="s">
        <v>60</v>
      </c>
      <c r="U586" t="s">
        <v>6346</v>
      </c>
      <c r="V586">
        <v>11</v>
      </c>
      <c r="W586" t="s">
        <v>6346</v>
      </c>
      <c r="Y586" t="s">
        <v>6347</v>
      </c>
      <c r="Z586" t="s">
        <v>107</v>
      </c>
      <c r="AA586">
        <v>11</v>
      </c>
      <c r="AB586" t="s">
        <v>6348</v>
      </c>
      <c r="AC586" t="s">
        <v>6349</v>
      </c>
      <c r="AD586" t="s">
        <v>6350</v>
      </c>
      <c r="AE586" t="s">
        <v>144</v>
      </c>
      <c r="AF586" t="s">
        <v>6351</v>
      </c>
      <c r="AG586" t="s">
        <v>6352</v>
      </c>
      <c r="AH586" t="str">
        <f>HYPERLINK("http://compartments.jensenlab.org/Entity?figures=subcell_cell_%&amp;knowledge=10&amp;textmining=10&amp;experiments=10&amp;predictions=10&amp;type1=9606&amp;type2=-22&amp;id1=ENSP00000356025","link")</f>
        <v>link</v>
      </c>
      <c r="AK586" t="str">
        <f>HYPERLINK("http://www.proteinatlas.org/P20023","CAB002659;HPA052942;HPA060715")</f>
        <v>CAB002659;HPA052942;HPA060715</v>
      </c>
      <c r="AM586">
        <v>1380</v>
      </c>
    </row>
    <row r="587" spans="1:39" x14ac:dyDescent="0.35">
      <c r="A587" t="s">
        <v>6353</v>
      </c>
      <c r="B587" t="str">
        <f>HYPERLINK("http://www.uniprot.org/uniprot/P20036","P20036")</f>
        <v>P20036</v>
      </c>
      <c r="C587" t="s">
        <v>6354</v>
      </c>
      <c r="D587" t="s">
        <v>6355</v>
      </c>
      <c r="E587" t="s">
        <v>39</v>
      </c>
      <c r="F587" t="s">
        <v>55</v>
      </c>
      <c r="H587">
        <v>260</v>
      </c>
      <c r="I587">
        <v>1</v>
      </c>
      <c r="J587">
        <v>1</v>
      </c>
      <c r="K587" t="s">
        <v>6356</v>
      </c>
      <c r="L587" t="s">
        <v>101</v>
      </c>
      <c r="M587" t="s">
        <v>39</v>
      </c>
      <c r="N587">
        <v>0.82199999999999995</v>
      </c>
      <c r="O587" s="1">
        <v>1</v>
      </c>
      <c r="P587" t="s">
        <v>6357</v>
      </c>
      <c r="Q587" t="s">
        <v>6358</v>
      </c>
      <c r="S587" t="s">
        <v>91</v>
      </c>
      <c r="T587" t="s">
        <v>3641</v>
      </c>
      <c r="U587" t="s">
        <v>6359</v>
      </c>
      <c r="V587">
        <v>2</v>
      </c>
      <c r="W587" t="s">
        <v>6359</v>
      </c>
      <c r="Y587" t="s">
        <v>6360</v>
      </c>
      <c r="Z587" t="s">
        <v>107</v>
      </c>
      <c r="AA587">
        <v>3</v>
      </c>
      <c r="AB587" t="s">
        <v>6361</v>
      </c>
      <c r="AC587">
        <v>109</v>
      </c>
      <c r="AD587" t="s">
        <v>6362</v>
      </c>
      <c r="AE587" t="s">
        <v>3706</v>
      </c>
      <c r="AF587" t="s">
        <v>3904</v>
      </c>
      <c r="AG587" t="s">
        <v>6363</v>
      </c>
      <c r="AH587" t="str">
        <f>HYPERLINK("http://compartments.jensenlab.org/Entity?figures=subcell_cell_%&amp;knowledge=10&amp;textmining=10&amp;experiments=10&amp;predictions=10&amp;type1=9606&amp;type2=-22&amp;id1=ENSP00000363941","link")</f>
        <v>link</v>
      </c>
      <c r="AI587" t="s">
        <v>3694</v>
      </c>
      <c r="AJ587" t="s">
        <v>1630</v>
      </c>
      <c r="AK587" t="str">
        <f>HYPERLINK("http://www.proteinatlas.org/P20036","HPA017967")</f>
        <v>HPA017967</v>
      </c>
      <c r="AM587">
        <v>3113</v>
      </c>
    </row>
    <row r="588" spans="1:39" x14ac:dyDescent="0.35">
      <c r="A588" t="s">
        <v>6364</v>
      </c>
      <c r="B588" t="str">
        <f>HYPERLINK("http://www.uniprot.org/uniprot/P20039","P20039")</f>
        <v>P20039</v>
      </c>
      <c r="C588" t="s">
        <v>6365</v>
      </c>
      <c r="D588" t="s">
        <v>3712</v>
      </c>
      <c r="E588" t="s">
        <v>39</v>
      </c>
      <c r="F588" t="s">
        <v>40</v>
      </c>
      <c r="H588">
        <v>266</v>
      </c>
      <c r="I588">
        <v>1</v>
      </c>
      <c r="J588">
        <v>1</v>
      </c>
      <c r="K588" t="s">
        <v>3713</v>
      </c>
      <c r="L588" t="s">
        <v>57</v>
      </c>
      <c r="N588">
        <v>0.89219999999999999</v>
      </c>
      <c r="O588" s="1">
        <v>1</v>
      </c>
      <c r="P588" t="s">
        <v>3721</v>
      </c>
      <c r="Q588" t="s">
        <v>6366</v>
      </c>
      <c r="S588" t="s">
        <v>91</v>
      </c>
      <c r="T588" t="s">
        <v>3641</v>
      </c>
      <c r="U588">
        <v>48</v>
      </c>
      <c r="V588">
        <v>1</v>
      </c>
      <c r="W588">
        <v>48</v>
      </c>
      <c r="AE588" t="s">
        <v>3717</v>
      </c>
      <c r="AF588" t="s">
        <v>5408</v>
      </c>
      <c r="AG588" t="s">
        <v>6367</v>
      </c>
      <c r="AH588" t="str">
        <f>HYPERLINK("http://compartments.jensenlab.org/Entity?figures=subcell_cell_%&amp;knowledge=10&amp;textmining=10&amp;experiments=10&amp;predictions=10&amp;type1=9606&amp;type2=-22&amp;id1=ENSP00000331343","link")</f>
        <v>link</v>
      </c>
      <c r="AK588" t="str">
        <f>HYPERLINK("http://www.proteinatlas.org/P20039","no")</f>
        <v>no</v>
      </c>
    </row>
    <row r="589" spans="1:39" x14ac:dyDescent="0.35">
      <c r="A589" t="s">
        <v>6368</v>
      </c>
      <c r="B589" t="str">
        <f>HYPERLINK("http://www.uniprot.org/uniprot/P20138","P20138")</f>
        <v>P20138</v>
      </c>
      <c r="C589" t="s">
        <v>6369</v>
      </c>
      <c r="D589" t="s">
        <v>6370</v>
      </c>
      <c r="E589" t="s">
        <v>39</v>
      </c>
      <c r="F589" t="s">
        <v>55</v>
      </c>
      <c r="H589">
        <v>364</v>
      </c>
      <c r="I589">
        <v>1</v>
      </c>
      <c r="J589">
        <v>1</v>
      </c>
      <c r="K589" t="s">
        <v>6371</v>
      </c>
      <c r="L589" t="s">
        <v>101</v>
      </c>
      <c r="M589" t="s">
        <v>39</v>
      </c>
      <c r="N589">
        <v>0.97529999999999994</v>
      </c>
      <c r="O589" s="1">
        <v>1</v>
      </c>
      <c r="P589" t="s">
        <v>6372</v>
      </c>
      <c r="Q589" t="s">
        <v>6373</v>
      </c>
      <c r="R589" t="s">
        <v>6370</v>
      </c>
      <c r="S589" t="s">
        <v>91</v>
      </c>
      <c r="T589" t="s">
        <v>555</v>
      </c>
      <c r="U589" t="s">
        <v>6374</v>
      </c>
      <c r="V589">
        <v>5</v>
      </c>
      <c r="W589" t="s">
        <v>6375</v>
      </c>
      <c r="Z589" t="s">
        <v>107</v>
      </c>
      <c r="AA589">
        <v>5</v>
      </c>
      <c r="AB589" t="s">
        <v>6376</v>
      </c>
      <c r="AC589" t="s">
        <v>6377</v>
      </c>
      <c r="AD589" t="s">
        <v>6378</v>
      </c>
      <c r="AE589" t="s">
        <v>332</v>
      </c>
      <c r="AF589" t="s">
        <v>6379</v>
      </c>
      <c r="AG589" t="s">
        <v>6380</v>
      </c>
      <c r="AH589" t="str">
        <f>HYPERLINK("http://compartments.jensenlab.org/Entity?figures=subcell_cell_%&amp;knowledge=10&amp;textmining=10&amp;experiments=10&amp;predictions=10&amp;type1=9606&amp;type2=-22&amp;id1=ENSP00000262262","link")</f>
        <v>link</v>
      </c>
      <c r="AI589" t="s">
        <v>65</v>
      </c>
      <c r="AJ589" t="s">
        <v>51</v>
      </c>
      <c r="AK589" t="str">
        <f>HYPERLINK("http://www.proteinatlas.org/P20138","CAB011442;HPA035832")</f>
        <v>CAB011442;HPA035832</v>
      </c>
      <c r="AL589" t="s">
        <v>6381</v>
      </c>
      <c r="AM589">
        <v>945</v>
      </c>
    </row>
    <row r="590" spans="1:39" x14ac:dyDescent="0.35">
      <c r="A590" t="s">
        <v>6382</v>
      </c>
      <c r="B590" t="str">
        <f>HYPERLINK("http://www.uniprot.org/uniprot/P20273","P20273")</f>
        <v>P20273</v>
      </c>
      <c r="C590" t="s">
        <v>6383</v>
      </c>
      <c r="D590" t="s">
        <v>6384</v>
      </c>
      <c r="E590" t="s">
        <v>39</v>
      </c>
      <c r="F590" t="s">
        <v>55</v>
      </c>
      <c r="H590">
        <v>847</v>
      </c>
      <c r="I590">
        <v>1</v>
      </c>
      <c r="J590">
        <v>1</v>
      </c>
      <c r="K590" t="s">
        <v>6385</v>
      </c>
      <c r="L590" t="s">
        <v>101</v>
      </c>
      <c r="M590" t="s">
        <v>39</v>
      </c>
      <c r="N590">
        <v>0.75560000000000005</v>
      </c>
      <c r="O590" s="1">
        <v>1</v>
      </c>
      <c r="P590" t="s">
        <v>6386</v>
      </c>
      <c r="Q590" t="s">
        <v>6387</v>
      </c>
      <c r="R590" t="s">
        <v>6384</v>
      </c>
      <c r="S590" t="s">
        <v>91</v>
      </c>
      <c r="T590" t="s">
        <v>555</v>
      </c>
      <c r="U590" t="s">
        <v>6388</v>
      </c>
      <c r="V590">
        <v>11</v>
      </c>
      <c r="W590" t="s">
        <v>6389</v>
      </c>
      <c r="Y590" t="s">
        <v>6390</v>
      </c>
      <c r="Z590" t="s">
        <v>107</v>
      </c>
      <c r="AA590">
        <v>20</v>
      </c>
      <c r="AB590" t="s">
        <v>6391</v>
      </c>
      <c r="AC590" t="s">
        <v>6392</v>
      </c>
      <c r="AD590" t="s">
        <v>6393</v>
      </c>
      <c r="AE590" t="s">
        <v>332</v>
      </c>
      <c r="AF590" t="s">
        <v>6379</v>
      </c>
      <c r="AG590" t="s">
        <v>6394</v>
      </c>
      <c r="AH590" t="str">
        <f>HYPERLINK("http://compartments.jensenlab.org/Entity?figures=subcell_cell_%&amp;knowledge=10&amp;textmining=10&amp;experiments=10&amp;predictions=10&amp;type1=9606&amp;type2=-22&amp;id1=ENSP00000085219","link")</f>
        <v>link</v>
      </c>
      <c r="AI590" t="s">
        <v>65</v>
      </c>
      <c r="AJ590" t="s">
        <v>51</v>
      </c>
      <c r="AK590" t="str">
        <f>HYPERLINK("http://www.proteinatlas.org/P20273","CAB002418;HPA024353")</f>
        <v>CAB002418;HPA024353</v>
      </c>
      <c r="AM590">
        <v>933</v>
      </c>
    </row>
    <row r="591" spans="1:39" x14ac:dyDescent="0.35">
      <c r="A591" t="s">
        <v>6395</v>
      </c>
      <c r="B591" t="str">
        <f>HYPERLINK("http://www.uniprot.org/uniprot/P20309","P20309")</f>
        <v>P20309</v>
      </c>
      <c r="C591" t="s">
        <v>6396</v>
      </c>
      <c r="D591" t="s">
        <v>6397</v>
      </c>
      <c r="E591" t="s">
        <v>39</v>
      </c>
      <c r="F591" t="s">
        <v>55</v>
      </c>
      <c r="H591">
        <v>590</v>
      </c>
      <c r="I591">
        <v>7</v>
      </c>
      <c r="J591">
        <v>0</v>
      </c>
      <c r="K591" t="s">
        <v>6398</v>
      </c>
      <c r="L591" t="s">
        <v>57</v>
      </c>
      <c r="M591" t="s">
        <v>39</v>
      </c>
      <c r="N591">
        <v>0.92220000000000002</v>
      </c>
      <c r="O591" s="1">
        <v>1</v>
      </c>
      <c r="P591" t="s">
        <v>6399</v>
      </c>
      <c r="Q591" t="s">
        <v>6400</v>
      </c>
      <c r="S591" t="s">
        <v>166</v>
      </c>
      <c r="T591" t="s">
        <v>838</v>
      </c>
      <c r="U591" t="s">
        <v>6401</v>
      </c>
      <c r="V591">
        <v>5</v>
      </c>
      <c r="W591" t="s">
        <v>6402</v>
      </c>
      <c r="X591" t="s">
        <v>6403</v>
      </c>
      <c r="AE591" t="s">
        <v>6404</v>
      </c>
      <c r="AF591" t="s">
        <v>6405</v>
      </c>
      <c r="AG591" t="s">
        <v>6406</v>
      </c>
      <c r="AH591" t="str">
        <f>HYPERLINK("http://compartments.jensenlab.org/Entity?figures=subcell_cell_%&amp;knowledge=10&amp;textmining=10&amp;experiments=10&amp;predictions=10&amp;type1=9606&amp;type2=-22&amp;id1=ENSP00000255380","link")</f>
        <v>link</v>
      </c>
      <c r="AI591" t="s">
        <v>65</v>
      </c>
      <c r="AJ591" t="s">
        <v>51</v>
      </c>
      <c r="AK591" t="str">
        <f>HYPERLINK("http://www.proteinatlas.org/P20309","CAB010409;HPA024106")</f>
        <v>CAB010409;HPA024106</v>
      </c>
      <c r="AL591" t="s">
        <v>6407</v>
      </c>
      <c r="AM591">
        <v>1131</v>
      </c>
    </row>
    <row r="592" spans="1:39" x14ac:dyDescent="0.35">
      <c r="A592" t="s">
        <v>6408</v>
      </c>
      <c r="B592" t="str">
        <f>HYPERLINK("http://www.uniprot.org/uniprot/P20333","P20333")</f>
        <v>P20333</v>
      </c>
      <c r="C592" t="s">
        <v>6409</v>
      </c>
      <c r="D592" t="s">
        <v>6410</v>
      </c>
      <c r="E592" t="s">
        <v>39</v>
      </c>
      <c r="F592" t="s">
        <v>55</v>
      </c>
      <c r="H592">
        <v>461</v>
      </c>
      <c r="I592">
        <v>1</v>
      </c>
      <c r="J592">
        <v>1</v>
      </c>
      <c r="K592" t="s">
        <v>6411</v>
      </c>
      <c r="L592" t="s">
        <v>57</v>
      </c>
      <c r="M592" t="s">
        <v>39</v>
      </c>
      <c r="N592">
        <v>0.95309999999999995</v>
      </c>
      <c r="O592" s="1">
        <v>1</v>
      </c>
      <c r="P592" t="s">
        <v>6412</v>
      </c>
      <c r="Q592" t="s">
        <v>6413</v>
      </c>
      <c r="R592" t="s">
        <v>6414</v>
      </c>
      <c r="S592" t="s">
        <v>166</v>
      </c>
      <c r="T592" t="s">
        <v>864</v>
      </c>
      <c r="U592" t="s">
        <v>6415</v>
      </c>
      <c r="V592">
        <v>2</v>
      </c>
      <c r="W592" t="s">
        <v>6415</v>
      </c>
      <c r="X592" t="s">
        <v>6416</v>
      </c>
      <c r="AE592" t="s">
        <v>1700</v>
      </c>
      <c r="AF592" t="s">
        <v>6417</v>
      </c>
      <c r="AG592" t="s">
        <v>6418</v>
      </c>
      <c r="AH592" t="str">
        <f>HYPERLINK("http://compartments.jensenlab.org/Entity?figures=subcell_cell_%&amp;knowledge=10&amp;textmining=10&amp;experiments=10&amp;predictions=10&amp;type1=9606&amp;type2=-22&amp;id1=ENSP00000365435","link")</f>
        <v>link</v>
      </c>
      <c r="AI592" t="s">
        <v>1058</v>
      </c>
      <c r="AJ592" t="s">
        <v>902</v>
      </c>
      <c r="AK592" t="str">
        <f>HYPERLINK("http://www.proteinatlas.org/P20333","HPA004796;CAB013045")</f>
        <v>HPA004796;CAB013045</v>
      </c>
      <c r="AL592" t="s">
        <v>6419</v>
      </c>
      <c r="AM592">
        <v>7133</v>
      </c>
    </row>
    <row r="593" spans="1:39" x14ac:dyDescent="0.35">
      <c r="A593" t="s">
        <v>6420</v>
      </c>
      <c r="B593" t="str">
        <f>HYPERLINK("http://www.uniprot.org/uniprot/P20594","P20594")</f>
        <v>P20594</v>
      </c>
      <c r="C593" t="s">
        <v>6421</v>
      </c>
      <c r="D593" t="s">
        <v>6422</v>
      </c>
      <c r="E593" t="s">
        <v>39</v>
      </c>
      <c r="F593" t="s">
        <v>40</v>
      </c>
      <c r="H593">
        <v>1047</v>
      </c>
      <c r="I593">
        <v>1</v>
      </c>
      <c r="J593">
        <v>1</v>
      </c>
      <c r="K593" t="s">
        <v>6423</v>
      </c>
      <c r="L593" t="s">
        <v>101</v>
      </c>
      <c r="N593">
        <v>0.86429999999999996</v>
      </c>
      <c r="O593" s="1">
        <v>1</v>
      </c>
      <c r="P593" t="s">
        <v>6424</v>
      </c>
      <c r="Q593" t="s">
        <v>6425</v>
      </c>
      <c r="S593" t="s">
        <v>166</v>
      </c>
      <c r="T593" t="s">
        <v>5759</v>
      </c>
      <c r="U593" t="s">
        <v>6426</v>
      </c>
      <c r="V593">
        <v>6</v>
      </c>
      <c r="Z593" t="s">
        <v>107</v>
      </c>
      <c r="AA593">
        <v>3</v>
      </c>
      <c r="AB593" t="s">
        <v>6427</v>
      </c>
      <c r="AC593" t="s">
        <v>6428</v>
      </c>
      <c r="AD593" t="s">
        <v>6429</v>
      </c>
      <c r="AE593" t="s">
        <v>144</v>
      </c>
      <c r="AF593" t="s">
        <v>6430</v>
      </c>
      <c r="AG593" t="s">
        <v>6431</v>
      </c>
      <c r="AH593" t="str">
        <f>HYPERLINK("http://compartments.jensenlab.org/Entity?figures=subcell_cell_%&amp;knowledge=10&amp;textmining=10&amp;experiments=10&amp;predictions=10&amp;type1=9606&amp;type2=-22&amp;id1=ENSP00000341083","link")</f>
        <v>link</v>
      </c>
      <c r="AJ593" t="s">
        <v>113</v>
      </c>
      <c r="AK593" t="str">
        <f>HYPERLINK("http://www.proteinatlas.org/P20594","HPA011977")</f>
        <v>HPA011977</v>
      </c>
      <c r="AL593" t="s">
        <v>6432</v>
      </c>
      <c r="AM593">
        <v>4882</v>
      </c>
    </row>
    <row r="594" spans="1:39" x14ac:dyDescent="0.35">
      <c r="A594" t="s">
        <v>6433</v>
      </c>
      <c r="B594" t="str">
        <f>HYPERLINK("http://www.uniprot.org/uniprot/P20645","P20645")</f>
        <v>P20645</v>
      </c>
      <c r="C594" t="s">
        <v>6434</v>
      </c>
      <c r="D594" t="s">
        <v>6435</v>
      </c>
      <c r="E594" t="s">
        <v>39</v>
      </c>
      <c r="F594" t="s">
        <v>40</v>
      </c>
      <c r="H594">
        <v>277</v>
      </c>
      <c r="I594">
        <v>1</v>
      </c>
      <c r="J594">
        <v>1</v>
      </c>
      <c r="K594" t="s">
        <v>6436</v>
      </c>
      <c r="L594" t="s">
        <v>101</v>
      </c>
      <c r="N594">
        <v>0.94210000000000005</v>
      </c>
      <c r="O594" s="1">
        <v>1</v>
      </c>
      <c r="P594" t="s">
        <v>6437</v>
      </c>
      <c r="Q594" t="s">
        <v>6438</v>
      </c>
      <c r="S594" t="s">
        <v>60</v>
      </c>
      <c r="T594" t="s">
        <v>60</v>
      </c>
      <c r="U594" t="s">
        <v>6439</v>
      </c>
      <c r="V594">
        <v>5</v>
      </c>
      <c r="W594" t="s">
        <v>6439</v>
      </c>
      <c r="Z594" t="s">
        <v>107</v>
      </c>
      <c r="AA594">
        <v>15</v>
      </c>
      <c r="AB594" t="s">
        <v>6440</v>
      </c>
      <c r="AC594" t="s">
        <v>6441</v>
      </c>
      <c r="AD594" t="s">
        <v>6442</v>
      </c>
      <c r="AE594" t="s">
        <v>5162</v>
      </c>
      <c r="AF594" t="s">
        <v>6443</v>
      </c>
      <c r="AG594" t="s">
        <v>6444</v>
      </c>
      <c r="AH594" t="str">
        <f>HYPERLINK("http://compartments.jensenlab.org/Entity?figures=subcell_cell_%&amp;knowledge=10&amp;textmining=10&amp;experiments=10&amp;predictions=10&amp;type1=9606&amp;type2=-22&amp;id1=ENSP00000000412","link")</f>
        <v>link</v>
      </c>
      <c r="AI594" t="s">
        <v>6445</v>
      </c>
      <c r="AJ594" t="s">
        <v>4662</v>
      </c>
      <c r="AK594" t="str">
        <f>HYPERLINK("http://www.proteinatlas.org/P20645","CAB034464;HPA040445")</f>
        <v>CAB034464;HPA040445</v>
      </c>
      <c r="AL594" t="s">
        <v>6446</v>
      </c>
      <c r="AM594">
        <v>4074</v>
      </c>
    </row>
    <row r="595" spans="1:39" x14ac:dyDescent="0.35">
      <c r="A595" t="s">
        <v>6447</v>
      </c>
      <c r="B595" t="str">
        <f>HYPERLINK("http://www.uniprot.org/uniprot/P20701","P20701")</f>
        <v>P20701</v>
      </c>
      <c r="C595" t="s">
        <v>6448</v>
      </c>
      <c r="D595" t="s">
        <v>6449</v>
      </c>
      <c r="E595" t="s">
        <v>39</v>
      </c>
      <c r="F595" t="s">
        <v>55</v>
      </c>
      <c r="H595">
        <v>1170</v>
      </c>
      <c r="I595">
        <v>1</v>
      </c>
      <c r="J595">
        <v>1</v>
      </c>
      <c r="K595" t="s">
        <v>6450</v>
      </c>
      <c r="L595" t="s">
        <v>101</v>
      </c>
      <c r="M595" t="s">
        <v>39</v>
      </c>
      <c r="N595">
        <v>0.86209999999999998</v>
      </c>
      <c r="O595" s="1">
        <v>1</v>
      </c>
      <c r="P595" t="s">
        <v>6451</v>
      </c>
      <c r="Q595" t="s">
        <v>6452</v>
      </c>
      <c r="R595" t="s">
        <v>6453</v>
      </c>
      <c r="S595" t="s">
        <v>166</v>
      </c>
      <c r="T595" t="s">
        <v>2763</v>
      </c>
      <c r="U595" t="s">
        <v>6454</v>
      </c>
      <c r="V595">
        <v>12</v>
      </c>
      <c r="W595" t="s">
        <v>6455</v>
      </c>
      <c r="X595">
        <v>938</v>
      </c>
      <c r="Z595" t="s">
        <v>107</v>
      </c>
      <c r="AA595">
        <v>26</v>
      </c>
      <c r="AB595" t="s">
        <v>6456</v>
      </c>
      <c r="AC595" t="s">
        <v>6457</v>
      </c>
      <c r="AD595" t="s">
        <v>6458</v>
      </c>
      <c r="AE595" t="s">
        <v>144</v>
      </c>
      <c r="AF595" t="s">
        <v>6459</v>
      </c>
      <c r="AG595" t="s">
        <v>6460</v>
      </c>
      <c r="AH595" t="str">
        <f>HYPERLINK("http://compartments.jensenlab.org/Entity?figures=subcell_cell_%&amp;knowledge=10&amp;textmining=10&amp;experiments=10&amp;predictions=10&amp;type1=9606&amp;type2=-22&amp;id1=ENSP00000349252","link")</f>
        <v>link</v>
      </c>
      <c r="AI595" t="s">
        <v>65</v>
      </c>
      <c r="AJ595" t="s">
        <v>51</v>
      </c>
      <c r="AK595" t="str">
        <f>HYPERLINK("http://www.proteinatlas.org/P20701","CAB025011")</f>
        <v>CAB025011</v>
      </c>
      <c r="AL595" t="s">
        <v>6461</v>
      </c>
      <c r="AM595">
        <v>3683</v>
      </c>
    </row>
    <row r="596" spans="1:39" x14ac:dyDescent="0.35">
      <c r="A596" t="s">
        <v>6462</v>
      </c>
      <c r="B596" t="str">
        <f>HYPERLINK("http://www.uniprot.org/uniprot/P20702","P20702")</f>
        <v>P20702</v>
      </c>
      <c r="C596" t="s">
        <v>6463</v>
      </c>
      <c r="D596" t="s">
        <v>6464</v>
      </c>
      <c r="E596" t="s">
        <v>39</v>
      </c>
      <c r="F596" t="s">
        <v>40</v>
      </c>
      <c r="H596">
        <v>1163</v>
      </c>
      <c r="I596">
        <v>1</v>
      </c>
      <c r="J596">
        <v>1</v>
      </c>
      <c r="K596" t="s">
        <v>6465</v>
      </c>
      <c r="L596" t="s">
        <v>101</v>
      </c>
      <c r="N596">
        <v>0.88019999999999998</v>
      </c>
      <c r="O596" s="1">
        <v>1</v>
      </c>
      <c r="P596" t="s">
        <v>6466</v>
      </c>
      <c r="Q596" t="s">
        <v>6467</v>
      </c>
      <c r="R596" t="s">
        <v>6468</v>
      </c>
      <c r="S596" t="s">
        <v>166</v>
      </c>
      <c r="T596" t="s">
        <v>2763</v>
      </c>
      <c r="U596" t="s">
        <v>6469</v>
      </c>
      <c r="V596">
        <v>10</v>
      </c>
      <c r="W596" t="s">
        <v>6470</v>
      </c>
      <c r="X596" t="s">
        <v>6471</v>
      </c>
      <c r="Y596">
        <v>501</v>
      </c>
      <c r="Z596" t="s">
        <v>107</v>
      </c>
      <c r="AA596">
        <v>6</v>
      </c>
      <c r="AB596" t="s">
        <v>6472</v>
      </c>
      <c r="AC596" t="s">
        <v>6473</v>
      </c>
      <c r="AD596" t="s">
        <v>6474</v>
      </c>
      <c r="AE596" t="s">
        <v>144</v>
      </c>
      <c r="AF596" t="s">
        <v>6475</v>
      </c>
      <c r="AG596" t="s">
        <v>6476</v>
      </c>
      <c r="AH596" t="str">
        <f>HYPERLINK("http://compartments.jensenlab.org/Entity?figures=subcell_cell_%&amp;knowledge=10&amp;textmining=10&amp;experiments=10&amp;predictions=10&amp;type1=9606&amp;type2=-22&amp;id1=ENSP00000268296","link")</f>
        <v>link</v>
      </c>
      <c r="AJ596" t="s">
        <v>51</v>
      </c>
      <c r="AK596" t="str">
        <f>HYPERLINK("http://www.proteinatlas.org/P20702","CAB004458;HPA004723")</f>
        <v>CAB004458;HPA004723</v>
      </c>
      <c r="AM596">
        <v>3687</v>
      </c>
    </row>
    <row r="597" spans="1:39" x14ac:dyDescent="0.35">
      <c r="A597" t="s">
        <v>6477</v>
      </c>
      <c r="B597" t="str">
        <f>HYPERLINK("http://www.uniprot.org/uniprot/P20827","P20827")</f>
        <v>P20827</v>
      </c>
      <c r="C597" t="s">
        <v>6478</v>
      </c>
      <c r="D597" t="s">
        <v>6479</v>
      </c>
      <c r="E597" t="s">
        <v>39</v>
      </c>
      <c r="F597" t="s">
        <v>239</v>
      </c>
      <c r="H597">
        <v>205</v>
      </c>
      <c r="I597">
        <v>0</v>
      </c>
      <c r="J597">
        <v>1</v>
      </c>
      <c r="K597" t="s">
        <v>6480</v>
      </c>
      <c r="L597" t="s">
        <v>996</v>
      </c>
      <c r="N597">
        <v>0.64870000000000005</v>
      </c>
      <c r="O597" s="1" t="s">
        <v>241</v>
      </c>
      <c r="P597" t="s">
        <v>6481</v>
      </c>
      <c r="Q597" t="s">
        <v>6482</v>
      </c>
      <c r="S597" t="s">
        <v>60</v>
      </c>
      <c r="T597" t="s">
        <v>60</v>
      </c>
      <c r="U597">
        <v>26</v>
      </c>
      <c r="V597">
        <v>1</v>
      </c>
      <c r="W597">
        <v>26</v>
      </c>
      <c r="Z597" t="s">
        <v>107</v>
      </c>
      <c r="AA597">
        <v>1</v>
      </c>
      <c r="AB597" t="s">
        <v>6483</v>
      </c>
      <c r="AC597">
        <v>26</v>
      </c>
      <c r="AD597" t="s">
        <v>6484</v>
      </c>
      <c r="AE597" t="s">
        <v>2453</v>
      </c>
      <c r="AF597" t="s">
        <v>6485</v>
      </c>
      <c r="AG597" t="s">
        <v>6486</v>
      </c>
      <c r="AH597" t="str">
        <f>HYPERLINK("http://compartments.jensenlab.org/Entity?figures=subcell_cell_%&amp;knowledge=10&amp;textmining=10&amp;experiments=10&amp;predictions=10&amp;type1=9606&amp;type2=-22&amp;id1=ENSP00000357392","link")</f>
        <v>link</v>
      </c>
      <c r="AI597" t="s">
        <v>1058</v>
      </c>
      <c r="AJ597" t="s">
        <v>902</v>
      </c>
      <c r="AK597" t="str">
        <f>HYPERLINK("http://www.proteinatlas.org/P20827","CAB032498")</f>
        <v>CAB032498</v>
      </c>
      <c r="AM597">
        <v>1942</v>
      </c>
    </row>
    <row r="598" spans="1:39" x14ac:dyDescent="0.35">
      <c r="A598" t="s">
        <v>6487</v>
      </c>
      <c r="B598" t="str">
        <f>HYPERLINK("http://www.uniprot.org/uniprot/P20916","P20916")</f>
        <v>P20916</v>
      </c>
      <c r="C598" t="s">
        <v>6488</v>
      </c>
      <c r="D598" t="s">
        <v>6489</v>
      </c>
      <c r="E598" t="s">
        <v>39</v>
      </c>
      <c r="F598" t="s">
        <v>40</v>
      </c>
      <c r="H598">
        <v>626</v>
      </c>
      <c r="I598">
        <v>1</v>
      </c>
      <c r="J598">
        <v>1</v>
      </c>
      <c r="K598" t="s">
        <v>6490</v>
      </c>
      <c r="L598" t="s">
        <v>57</v>
      </c>
      <c r="N598">
        <v>0.84430000000000005</v>
      </c>
      <c r="O598" s="1">
        <v>1</v>
      </c>
      <c r="P598" t="s">
        <v>6491</v>
      </c>
      <c r="Q598" t="s">
        <v>6492</v>
      </c>
      <c r="S598" t="s">
        <v>91</v>
      </c>
      <c r="T598" t="s">
        <v>555</v>
      </c>
      <c r="U598" t="s">
        <v>6493</v>
      </c>
      <c r="V598">
        <v>9</v>
      </c>
      <c r="X598" t="s">
        <v>6494</v>
      </c>
      <c r="Y598">
        <v>22</v>
      </c>
      <c r="AE598" t="s">
        <v>144</v>
      </c>
      <c r="AF598" t="s">
        <v>6495</v>
      </c>
      <c r="AG598" t="s">
        <v>6496</v>
      </c>
      <c r="AH598" t="str">
        <f>HYPERLINK("http://compartments.jensenlab.org/Entity?figures=subcell_cell_%&amp;knowledge=10&amp;textmining=10&amp;experiments=10&amp;predictions=10&amp;type1=9606&amp;type2=-22&amp;id1=ENSP00000376048","link")</f>
        <v>link</v>
      </c>
      <c r="AK598" t="str">
        <f>HYPERLINK("http://www.proteinatlas.org/P20916","CAB009345;HPA012499")</f>
        <v>CAB009345;HPA012499</v>
      </c>
      <c r="AM598">
        <v>4099</v>
      </c>
    </row>
    <row r="599" spans="1:39" x14ac:dyDescent="0.35">
      <c r="A599" t="s">
        <v>6497</v>
      </c>
      <c r="B599" t="str">
        <f>HYPERLINK("http://www.uniprot.org/uniprot/P21439","P21439")</f>
        <v>P21439</v>
      </c>
      <c r="C599" t="s">
        <v>6498</v>
      </c>
      <c r="D599" t="s">
        <v>6499</v>
      </c>
      <c r="E599" t="s">
        <v>39</v>
      </c>
      <c r="F599" t="s">
        <v>40</v>
      </c>
      <c r="H599">
        <v>1286</v>
      </c>
      <c r="I599">
        <v>12</v>
      </c>
      <c r="J599">
        <v>0</v>
      </c>
      <c r="K599" t="s">
        <v>6500</v>
      </c>
      <c r="L599" t="s">
        <v>57</v>
      </c>
      <c r="N599">
        <v>0.73250000000000004</v>
      </c>
      <c r="O599" s="1">
        <v>2</v>
      </c>
      <c r="P599" t="s">
        <v>6501</v>
      </c>
      <c r="Q599" t="s">
        <v>6502</v>
      </c>
      <c r="S599" t="s">
        <v>45</v>
      </c>
      <c r="T599" t="s">
        <v>3223</v>
      </c>
      <c r="U599" t="s">
        <v>6503</v>
      </c>
      <c r="V599">
        <v>2</v>
      </c>
      <c r="W599" t="s">
        <v>6504</v>
      </c>
      <c r="AE599" t="s">
        <v>74</v>
      </c>
      <c r="AF599" t="s">
        <v>6505</v>
      </c>
      <c r="AG599" t="s">
        <v>6506</v>
      </c>
      <c r="AH599" t="str">
        <f>HYPERLINK("http://compartments.jensenlab.org/Entity?figures=subcell_cell_%&amp;knowledge=10&amp;textmining=10&amp;experiments=10&amp;predictions=10&amp;type1=9606&amp;type2=-22&amp;id1=ENSP00000265723","link")</f>
        <v>link</v>
      </c>
      <c r="AI599" t="s">
        <v>65</v>
      </c>
      <c r="AJ599" t="s">
        <v>3228</v>
      </c>
      <c r="AK599" t="str">
        <f>HYPERLINK("http://www.proteinatlas.org/P21439","CAB004498;HPA049395;HPA053288")</f>
        <v>CAB004498;HPA049395;HPA053288</v>
      </c>
      <c r="AM599">
        <v>5244</v>
      </c>
    </row>
    <row r="600" spans="1:39" x14ac:dyDescent="0.35">
      <c r="A600" t="s">
        <v>6507</v>
      </c>
      <c r="B600" t="str">
        <f>HYPERLINK("http://www.uniprot.org/uniprot/P21452","P21452")</f>
        <v>P21452</v>
      </c>
      <c r="C600" t="s">
        <v>6508</v>
      </c>
      <c r="D600" t="s">
        <v>6509</v>
      </c>
      <c r="E600" t="s">
        <v>39</v>
      </c>
      <c r="F600" t="s">
        <v>55</v>
      </c>
      <c r="H600">
        <v>398</v>
      </c>
      <c r="I600">
        <v>7</v>
      </c>
      <c r="J600">
        <v>0</v>
      </c>
      <c r="K600" t="s">
        <v>6510</v>
      </c>
      <c r="L600" t="s">
        <v>57</v>
      </c>
      <c r="M600" t="s">
        <v>39</v>
      </c>
      <c r="N600">
        <v>0.99399999999999999</v>
      </c>
      <c r="O600" s="1">
        <v>1</v>
      </c>
      <c r="P600" t="s">
        <v>6511</v>
      </c>
      <c r="Q600" t="s">
        <v>6512</v>
      </c>
      <c r="S600" t="s">
        <v>166</v>
      </c>
      <c r="T600" t="s">
        <v>838</v>
      </c>
      <c r="U600" t="s">
        <v>6513</v>
      </c>
      <c r="V600">
        <v>2</v>
      </c>
      <c r="W600">
        <v>19</v>
      </c>
      <c r="AE600" t="s">
        <v>74</v>
      </c>
      <c r="AF600" t="s">
        <v>2359</v>
      </c>
      <c r="AG600" t="s">
        <v>6514</v>
      </c>
      <c r="AH600" t="str">
        <f>HYPERLINK("http://compartments.jensenlab.org/Entity?figures=subcell_cell_%&amp;knowledge=10&amp;textmining=10&amp;experiments=10&amp;predictions=10&amp;type1=9606&amp;type2=-22&amp;id1=ENSP00000362403","link")</f>
        <v>link</v>
      </c>
      <c r="AI600" t="s">
        <v>65</v>
      </c>
      <c r="AJ600" t="s">
        <v>51</v>
      </c>
      <c r="AK600" t="str">
        <f>HYPERLINK("http://www.proteinatlas.org/P21452","HPA012084")</f>
        <v>HPA012084</v>
      </c>
      <c r="AM600">
        <v>6865</v>
      </c>
    </row>
    <row r="601" spans="1:39" x14ac:dyDescent="0.35">
      <c r="A601" t="s">
        <v>6515</v>
      </c>
      <c r="B601" t="str">
        <f>HYPERLINK("http://www.uniprot.org/uniprot/P21453","P21453")</f>
        <v>P21453</v>
      </c>
      <c r="C601" t="s">
        <v>6516</v>
      </c>
      <c r="D601" t="s">
        <v>6517</v>
      </c>
      <c r="E601" t="s">
        <v>39</v>
      </c>
      <c r="F601" t="s">
        <v>55</v>
      </c>
      <c r="H601">
        <v>382</v>
      </c>
      <c r="I601">
        <v>7</v>
      </c>
      <c r="J601">
        <v>0</v>
      </c>
      <c r="K601" t="s">
        <v>6518</v>
      </c>
      <c r="L601" t="s">
        <v>57</v>
      </c>
      <c r="M601" t="s">
        <v>39</v>
      </c>
      <c r="N601">
        <v>0.97309999999999997</v>
      </c>
      <c r="O601" s="1">
        <v>1</v>
      </c>
      <c r="P601" t="s">
        <v>6519</v>
      </c>
      <c r="Q601" t="s">
        <v>6520</v>
      </c>
      <c r="R601" t="s">
        <v>6521</v>
      </c>
      <c r="S601" t="s">
        <v>166</v>
      </c>
      <c r="T601" t="s">
        <v>838</v>
      </c>
      <c r="U601" t="s">
        <v>6522</v>
      </c>
      <c r="V601">
        <v>2</v>
      </c>
      <c r="W601" t="s">
        <v>6522</v>
      </c>
      <c r="X601" t="s">
        <v>6523</v>
      </c>
      <c r="AE601" t="s">
        <v>6524</v>
      </c>
      <c r="AF601" t="s">
        <v>6525</v>
      </c>
      <c r="AG601" t="s">
        <v>6526</v>
      </c>
      <c r="AH601" t="str">
        <f>HYPERLINK("http://compartments.jensenlab.org/Entity?figures=subcell_cell_%&amp;knowledge=10&amp;textmining=10&amp;experiments=10&amp;predictions=10&amp;type1=9606&amp;type2=-22&amp;id1=ENSP00000305416","link")</f>
        <v>link</v>
      </c>
      <c r="AI601" t="s">
        <v>65</v>
      </c>
      <c r="AJ601" t="s">
        <v>51</v>
      </c>
      <c r="AK601" t="str">
        <f>HYPERLINK("http://www.proteinatlas.org/P21453","CAB010104")</f>
        <v>CAB010104</v>
      </c>
      <c r="AM601">
        <v>1901</v>
      </c>
    </row>
    <row r="602" spans="1:39" x14ac:dyDescent="0.35">
      <c r="A602" t="s">
        <v>6527</v>
      </c>
      <c r="B602" t="str">
        <f>HYPERLINK("http://www.uniprot.org/uniprot/P21462","P21462")</f>
        <v>P21462</v>
      </c>
      <c r="C602" t="s">
        <v>6528</v>
      </c>
      <c r="D602" t="s">
        <v>6529</v>
      </c>
      <c r="E602" t="s">
        <v>39</v>
      </c>
      <c r="F602" t="s">
        <v>40</v>
      </c>
      <c r="H602">
        <v>350</v>
      </c>
      <c r="I602">
        <v>7</v>
      </c>
      <c r="J602">
        <v>0</v>
      </c>
      <c r="K602" t="s">
        <v>6530</v>
      </c>
      <c r="L602" t="s">
        <v>57</v>
      </c>
      <c r="N602">
        <v>0.91020000000000001</v>
      </c>
      <c r="O602" s="1">
        <v>1</v>
      </c>
      <c r="P602" t="s">
        <v>6531</v>
      </c>
      <c r="Q602" t="s">
        <v>6532</v>
      </c>
      <c r="S602" t="s">
        <v>166</v>
      </c>
      <c r="T602" t="s">
        <v>838</v>
      </c>
      <c r="U602" t="s">
        <v>6533</v>
      </c>
      <c r="V602">
        <v>3</v>
      </c>
      <c r="X602">
        <v>332</v>
      </c>
      <c r="AE602" t="s">
        <v>6534</v>
      </c>
      <c r="AF602" t="s">
        <v>6535</v>
      </c>
      <c r="AG602" t="s">
        <v>6536</v>
      </c>
      <c r="AH602" t="str">
        <f>HYPERLINK("http://compartments.jensenlab.org/Entity?figures=subcell_cell_%&amp;knowledge=10&amp;textmining=10&amp;experiments=10&amp;predictions=10&amp;type1=9606&amp;type2=-22&amp;id1=ENSP00000302707","link")</f>
        <v>link</v>
      </c>
      <c r="AI602" t="s">
        <v>65</v>
      </c>
      <c r="AJ602" t="s">
        <v>1791</v>
      </c>
      <c r="AK602" t="str">
        <f>HYPERLINK("http://www.proteinatlas.org/P21462","HPA046550")</f>
        <v>HPA046550</v>
      </c>
      <c r="AL602" t="s">
        <v>6537</v>
      </c>
      <c r="AM602">
        <v>2357</v>
      </c>
    </row>
    <row r="603" spans="1:39" x14ac:dyDescent="0.35">
      <c r="A603" t="s">
        <v>6538</v>
      </c>
      <c r="B603" t="str">
        <f>HYPERLINK("http://www.uniprot.org/uniprot/P21554","P21554")</f>
        <v>P21554</v>
      </c>
      <c r="C603" t="s">
        <v>6539</v>
      </c>
      <c r="D603" t="s">
        <v>6540</v>
      </c>
      <c r="E603" t="s">
        <v>39</v>
      </c>
      <c r="F603" t="s">
        <v>55</v>
      </c>
      <c r="H603">
        <v>472</v>
      </c>
      <c r="I603">
        <v>7</v>
      </c>
      <c r="J603">
        <v>0</v>
      </c>
      <c r="K603" t="s">
        <v>6541</v>
      </c>
      <c r="L603" t="s">
        <v>57</v>
      </c>
      <c r="M603" t="s">
        <v>39</v>
      </c>
      <c r="N603">
        <v>0.97909999999999997</v>
      </c>
      <c r="O603" s="1">
        <v>1</v>
      </c>
      <c r="P603" t="s">
        <v>6542</v>
      </c>
      <c r="Q603" t="s">
        <v>6543</v>
      </c>
      <c r="S603" t="s">
        <v>166</v>
      </c>
      <c r="T603" t="s">
        <v>838</v>
      </c>
      <c r="U603" t="s">
        <v>6544</v>
      </c>
      <c r="V603">
        <v>2</v>
      </c>
      <c r="W603" t="s">
        <v>6545</v>
      </c>
      <c r="X603">
        <v>322</v>
      </c>
      <c r="AE603" t="s">
        <v>74</v>
      </c>
      <c r="AF603" t="s">
        <v>6546</v>
      </c>
      <c r="AG603" t="s">
        <v>6547</v>
      </c>
      <c r="AH603" t="str">
        <f>HYPERLINK("http://compartments.jensenlab.org/Entity?figures=subcell_cell_%&amp;knowledge=10&amp;textmining=10&amp;experiments=10&amp;predictions=10&amp;type1=9606&amp;type2=-22&amp;id1=ENSP00000358511","link")</f>
        <v>link</v>
      </c>
      <c r="AI603" t="s">
        <v>65</v>
      </c>
      <c r="AJ603" t="s">
        <v>51</v>
      </c>
      <c r="AK603" t="str">
        <f>HYPERLINK("http://www.proteinatlas.org/P21554","CAB005603")</f>
        <v>CAB005603</v>
      </c>
      <c r="AL603" t="s">
        <v>6548</v>
      </c>
      <c r="AM603">
        <v>1268</v>
      </c>
    </row>
    <row r="604" spans="1:39" x14ac:dyDescent="0.35">
      <c r="A604" t="s">
        <v>6549</v>
      </c>
      <c r="B604" t="str">
        <f>HYPERLINK("http://www.uniprot.org/uniprot/P21583","P21583")</f>
        <v>P21583</v>
      </c>
      <c r="C604" t="s">
        <v>6550</v>
      </c>
      <c r="D604" t="s">
        <v>6551</v>
      </c>
      <c r="E604" t="s">
        <v>39</v>
      </c>
      <c r="F604" t="s">
        <v>55</v>
      </c>
      <c r="H604">
        <v>273</v>
      </c>
      <c r="I604">
        <v>1</v>
      </c>
      <c r="J604">
        <v>1</v>
      </c>
      <c r="K604" t="s">
        <v>6552</v>
      </c>
      <c r="L604" t="s">
        <v>101</v>
      </c>
      <c r="M604" t="s">
        <v>39</v>
      </c>
      <c r="N604">
        <v>0.80830000000000002</v>
      </c>
      <c r="O604" s="1">
        <v>1</v>
      </c>
      <c r="P604" t="s">
        <v>6553</v>
      </c>
      <c r="Q604" t="s">
        <v>6554</v>
      </c>
      <c r="S604" t="s">
        <v>60</v>
      </c>
      <c r="T604" t="s">
        <v>60</v>
      </c>
      <c r="U604" t="s">
        <v>6555</v>
      </c>
      <c r="V604">
        <v>5</v>
      </c>
      <c r="W604" t="s">
        <v>6555</v>
      </c>
      <c r="X604" t="s">
        <v>6556</v>
      </c>
      <c r="Z604" t="s">
        <v>107</v>
      </c>
      <c r="AA604">
        <v>2</v>
      </c>
      <c r="AB604" t="s">
        <v>6557</v>
      </c>
      <c r="AC604" t="s">
        <v>6558</v>
      </c>
      <c r="AD604" t="s">
        <v>6559</v>
      </c>
      <c r="AE604" t="s">
        <v>6560</v>
      </c>
      <c r="AF604" t="s">
        <v>6561</v>
      </c>
      <c r="AG604" t="s">
        <v>6562</v>
      </c>
      <c r="AH604" t="str">
        <f>HYPERLINK("http://compartments.jensenlab.org/Entity?figures=subcell_cell_%&amp;knowledge=10&amp;textmining=10&amp;experiments=10&amp;predictions=10&amp;type1=9606&amp;type2=-22&amp;id1=ENSP00000228280","link")</f>
        <v>link</v>
      </c>
      <c r="AI604" t="s">
        <v>1058</v>
      </c>
      <c r="AJ604" t="s">
        <v>6563</v>
      </c>
      <c r="AK604" t="str">
        <f>HYPERLINK("http://www.proteinatlas.org/P21583","CAB004569")</f>
        <v>CAB004569</v>
      </c>
      <c r="AM604">
        <v>4254</v>
      </c>
    </row>
    <row r="605" spans="1:39" x14ac:dyDescent="0.35">
      <c r="A605" t="s">
        <v>6564</v>
      </c>
      <c r="B605" t="str">
        <f>HYPERLINK("http://www.uniprot.org/uniprot/P21589","P21589")</f>
        <v>P21589</v>
      </c>
      <c r="C605" t="s">
        <v>6565</v>
      </c>
      <c r="D605" t="s">
        <v>6566</v>
      </c>
      <c r="E605" t="s">
        <v>39</v>
      </c>
      <c r="F605" t="s">
        <v>239</v>
      </c>
      <c r="H605">
        <v>574</v>
      </c>
      <c r="I605">
        <v>0</v>
      </c>
      <c r="J605">
        <v>1</v>
      </c>
      <c r="K605" t="s">
        <v>6567</v>
      </c>
      <c r="L605" t="s">
        <v>996</v>
      </c>
      <c r="N605">
        <v>0.66069999999999995</v>
      </c>
      <c r="O605" s="1" t="s">
        <v>241</v>
      </c>
      <c r="P605" t="s">
        <v>6568</v>
      </c>
      <c r="Q605" t="s">
        <v>6569</v>
      </c>
      <c r="R605" t="s">
        <v>6570</v>
      </c>
      <c r="S605" t="s">
        <v>947</v>
      </c>
      <c r="T605" t="s">
        <v>1117</v>
      </c>
      <c r="U605" t="s">
        <v>6571</v>
      </c>
      <c r="V605">
        <v>4</v>
      </c>
      <c r="W605" t="s">
        <v>6571</v>
      </c>
      <c r="Z605" t="s">
        <v>107</v>
      </c>
      <c r="AA605">
        <v>25</v>
      </c>
      <c r="AB605" t="s">
        <v>6572</v>
      </c>
      <c r="AC605" t="s">
        <v>6571</v>
      </c>
      <c r="AD605" t="s">
        <v>6573</v>
      </c>
      <c r="AE605" t="s">
        <v>243</v>
      </c>
      <c r="AF605" t="s">
        <v>6574</v>
      </c>
      <c r="AG605" t="s">
        <v>6575</v>
      </c>
      <c r="AH605" t="str">
        <f>HYPERLINK("http://compartments.jensenlab.org/Entity?figures=subcell_cell_%&amp;knowledge=10&amp;textmining=10&amp;experiments=10&amp;predictions=10&amp;type1=9606&amp;type2=-22&amp;id1=ENSP00000257770","link")</f>
        <v>link</v>
      </c>
      <c r="AI605" t="s">
        <v>65</v>
      </c>
      <c r="AJ605" t="s">
        <v>2124</v>
      </c>
      <c r="AK605" t="str">
        <f>HYPERLINK("http://www.proteinatlas.org/P21589","HPA017357")</f>
        <v>HPA017357</v>
      </c>
      <c r="AL605" t="s">
        <v>6576</v>
      </c>
      <c r="AM605">
        <v>4907</v>
      </c>
    </row>
    <row r="606" spans="1:39" x14ac:dyDescent="0.35">
      <c r="A606" t="s">
        <v>6577</v>
      </c>
      <c r="B606" t="str">
        <f>HYPERLINK("http://www.uniprot.org/uniprot/P21709","P21709")</f>
        <v>P21709</v>
      </c>
      <c r="C606" t="s">
        <v>6578</v>
      </c>
      <c r="D606" t="s">
        <v>6579</v>
      </c>
      <c r="E606" t="s">
        <v>39</v>
      </c>
      <c r="F606" t="s">
        <v>55</v>
      </c>
      <c r="H606">
        <v>976</v>
      </c>
      <c r="I606">
        <v>1</v>
      </c>
      <c r="J606">
        <v>1</v>
      </c>
      <c r="K606" t="s">
        <v>6580</v>
      </c>
      <c r="L606" t="s">
        <v>101</v>
      </c>
      <c r="M606" t="s">
        <v>39</v>
      </c>
      <c r="N606">
        <v>0.97160000000000002</v>
      </c>
      <c r="O606" s="1">
        <v>1</v>
      </c>
      <c r="P606" t="s">
        <v>6581</v>
      </c>
      <c r="Q606" t="s">
        <v>6582</v>
      </c>
      <c r="S606" t="s">
        <v>166</v>
      </c>
      <c r="T606" t="s">
        <v>1432</v>
      </c>
      <c r="U606" t="s">
        <v>6583</v>
      </c>
      <c r="V606">
        <v>4</v>
      </c>
      <c r="W606" t="s">
        <v>6584</v>
      </c>
      <c r="X606" t="s">
        <v>6585</v>
      </c>
      <c r="Z606" t="s">
        <v>107</v>
      </c>
      <c r="AA606">
        <v>2</v>
      </c>
      <c r="AB606" t="s">
        <v>6586</v>
      </c>
      <c r="AC606">
        <v>478</v>
      </c>
      <c r="AD606" t="s">
        <v>6587</v>
      </c>
      <c r="AE606" t="s">
        <v>332</v>
      </c>
      <c r="AF606" t="s">
        <v>6588</v>
      </c>
      <c r="AG606" t="s">
        <v>6589</v>
      </c>
      <c r="AH606" t="str">
        <f>HYPERLINK("http://compartments.jensenlab.org/Entity?figures=subcell_cell_%&amp;knowledge=10&amp;textmining=10&amp;experiments=10&amp;predictions=10&amp;type1=9606&amp;type2=-22&amp;id1=ENSP00000275815","link")</f>
        <v>link</v>
      </c>
      <c r="AI606" t="s">
        <v>65</v>
      </c>
      <c r="AJ606" t="s">
        <v>51</v>
      </c>
      <c r="AK606" t="str">
        <f>HYPERLINK("http://www.proteinatlas.org/P21709","CAB026144")</f>
        <v>CAB026144</v>
      </c>
      <c r="AM606">
        <v>2041</v>
      </c>
    </row>
    <row r="607" spans="1:39" x14ac:dyDescent="0.35">
      <c r="A607" t="s">
        <v>6590</v>
      </c>
      <c r="B607" t="str">
        <f>HYPERLINK("http://www.uniprot.org/uniprot/P21728","P21728")</f>
        <v>P21728</v>
      </c>
      <c r="C607" t="s">
        <v>6591</v>
      </c>
      <c r="D607" t="s">
        <v>6592</v>
      </c>
      <c r="E607" t="s">
        <v>39</v>
      </c>
      <c r="F607" t="s">
        <v>40</v>
      </c>
      <c r="H607">
        <v>446</v>
      </c>
      <c r="I607">
        <v>7</v>
      </c>
      <c r="J607">
        <v>0</v>
      </c>
      <c r="K607" t="s">
        <v>6593</v>
      </c>
      <c r="L607" t="s">
        <v>57</v>
      </c>
      <c r="N607">
        <v>0.98199999999999998</v>
      </c>
      <c r="O607" s="1">
        <v>1</v>
      </c>
      <c r="P607" t="s">
        <v>6594</v>
      </c>
      <c r="Q607" t="s">
        <v>6595</v>
      </c>
      <c r="S607" t="s">
        <v>166</v>
      </c>
      <c r="T607" t="s">
        <v>838</v>
      </c>
      <c r="U607" t="s">
        <v>6596</v>
      </c>
      <c r="V607">
        <v>2</v>
      </c>
      <c r="W607">
        <v>175</v>
      </c>
      <c r="X607" t="s">
        <v>6597</v>
      </c>
      <c r="Y607">
        <v>318</v>
      </c>
      <c r="AE607" t="s">
        <v>1497</v>
      </c>
      <c r="AF607" t="s">
        <v>6598</v>
      </c>
      <c r="AG607" t="s">
        <v>6599</v>
      </c>
      <c r="AH607" t="str">
        <f>HYPERLINK("http://compartments.jensenlab.org/Entity?figures=subcell_cell_%&amp;knowledge=10&amp;textmining=10&amp;experiments=10&amp;predictions=10&amp;type1=9606&amp;type2=-22&amp;id1=ENSP00000377353","link")</f>
        <v>link</v>
      </c>
      <c r="AK607" t="str">
        <f>HYPERLINK("http://www.proteinatlas.org/P21728","HPA013393")</f>
        <v>HPA013393</v>
      </c>
      <c r="AL607" t="s">
        <v>6600</v>
      </c>
      <c r="AM607">
        <v>1812</v>
      </c>
    </row>
    <row r="608" spans="1:39" x14ac:dyDescent="0.35">
      <c r="A608" t="s">
        <v>6601</v>
      </c>
      <c r="B608" t="str">
        <f>HYPERLINK("http://www.uniprot.org/uniprot/P21730","P21730")</f>
        <v>P21730</v>
      </c>
      <c r="C608" t="s">
        <v>6602</v>
      </c>
      <c r="D608" t="s">
        <v>6603</v>
      </c>
      <c r="E608" t="s">
        <v>39</v>
      </c>
      <c r="F608" t="s">
        <v>55</v>
      </c>
      <c r="H608">
        <v>350</v>
      </c>
      <c r="I608">
        <v>7</v>
      </c>
      <c r="J608">
        <v>0</v>
      </c>
      <c r="K608" t="s">
        <v>6604</v>
      </c>
      <c r="L608" t="s">
        <v>57</v>
      </c>
      <c r="M608" t="s">
        <v>39</v>
      </c>
      <c r="N608">
        <v>0.96409999999999996</v>
      </c>
      <c r="O608" s="1">
        <v>1</v>
      </c>
      <c r="P608" t="s">
        <v>6605</v>
      </c>
      <c r="Q608" t="s">
        <v>6606</v>
      </c>
      <c r="R608" t="s">
        <v>6607</v>
      </c>
      <c r="S608" t="s">
        <v>166</v>
      </c>
      <c r="T608" t="s">
        <v>838</v>
      </c>
      <c r="U608">
        <v>5</v>
      </c>
      <c r="V608">
        <v>1</v>
      </c>
      <c r="W608">
        <v>5</v>
      </c>
      <c r="X608" t="s">
        <v>6608</v>
      </c>
      <c r="Y608" t="s">
        <v>6609</v>
      </c>
      <c r="AE608" t="s">
        <v>6610</v>
      </c>
      <c r="AF608" t="s">
        <v>6611</v>
      </c>
      <c r="AG608" t="s">
        <v>6612</v>
      </c>
      <c r="AH608" t="str">
        <f>HYPERLINK("http://compartments.jensenlab.org/Entity?figures=subcell_cell_%&amp;knowledge=10&amp;textmining=10&amp;experiments=10&amp;predictions=10&amp;type1=9606&amp;type2=-22&amp;id1=ENSP00000347197","link")</f>
        <v>link</v>
      </c>
      <c r="AI608" t="s">
        <v>65</v>
      </c>
      <c r="AJ608" t="s">
        <v>51</v>
      </c>
      <c r="AK608" t="str">
        <f>HYPERLINK("http://www.proteinatlas.org/P21730","CAB002720;HPA014520")</f>
        <v>CAB002720;HPA014520</v>
      </c>
      <c r="AM608">
        <v>728</v>
      </c>
    </row>
    <row r="609" spans="1:39" x14ac:dyDescent="0.35">
      <c r="A609" t="s">
        <v>6613</v>
      </c>
      <c r="B609" t="str">
        <f>HYPERLINK("http://www.uniprot.org/uniprot/P21731","P21731")</f>
        <v>P21731</v>
      </c>
      <c r="C609" t="s">
        <v>6614</v>
      </c>
      <c r="D609" t="s">
        <v>6615</v>
      </c>
      <c r="E609" t="s">
        <v>39</v>
      </c>
      <c r="F609" t="s">
        <v>55</v>
      </c>
      <c r="H609">
        <v>343</v>
      </c>
      <c r="I609">
        <v>7</v>
      </c>
      <c r="J609">
        <v>0</v>
      </c>
      <c r="K609" t="s">
        <v>6616</v>
      </c>
      <c r="L609" t="s">
        <v>101</v>
      </c>
      <c r="M609" t="s">
        <v>39</v>
      </c>
      <c r="N609">
        <v>0.94089999999999996</v>
      </c>
      <c r="O609" s="1">
        <v>1</v>
      </c>
      <c r="P609" t="s">
        <v>6617</v>
      </c>
      <c r="S609" t="s">
        <v>166</v>
      </c>
      <c r="T609" t="s">
        <v>838</v>
      </c>
      <c r="U609" t="s">
        <v>6618</v>
      </c>
      <c r="V609">
        <v>2</v>
      </c>
      <c r="W609">
        <v>16</v>
      </c>
      <c r="Z609" t="s">
        <v>107</v>
      </c>
      <c r="AA609">
        <v>2</v>
      </c>
      <c r="AB609" t="s">
        <v>6619</v>
      </c>
      <c r="AC609">
        <v>16</v>
      </c>
      <c r="AD609" t="s">
        <v>6620</v>
      </c>
      <c r="AE609" t="s">
        <v>74</v>
      </c>
      <c r="AF609" t="s">
        <v>6621</v>
      </c>
      <c r="AG609" t="s">
        <v>6622</v>
      </c>
      <c r="AK609" t="str">
        <f>HYPERLINK("http://www.proteinatlas.org/P21731","no")</f>
        <v>no</v>
      </c>
      <c r="AL609" t="s">
        <v>6623</v>
      </c>
      <c r="AM609">
        <v>6915</v>
      </c>
    </row>
    <row r="610" spans="1:39" x14ac:dyDescent="0.35">
      <c r="A610" t="s">
        <v>6624</v>
      </c>
      <c r="B610" t="str">
        <f>HYPERLINK("http://www.uniprot.org/uniprot/P21754","P21754")</f>
        <v>P21754</v>
      </c>
      <c r="C610" t="s">
        <v>6625</v>
      </c>
      <c r="D610" t="s">
        <v>6626</v>
      </c>
      <c r="E610" t="s">
        <v>39</v>
      </c>
      <c r="F610" t="s">
        <v>40</v>
      </c>
      <c r="H610">
        <v>424</v>
      </c>
      <c r="I610">
        <v>1</v>
      </c>
      <c r="J610">
        <v>1</v>
      </c>
      <c r="K610" t="s">
        <v>6627</v>
      </c>
      <c r="L610" t="s">
        <v>57</v>
      </c>
      <c r="N610">
        <v>0.91820000000000002</v>
      </c>
      <c r="O610" s="1">
        <v>1</v>
      </c>
      <c r="P610" t="s">
        <v>6628</v>
      </c>
      <c r="Q610" t="s">
        <v>6629</v>
      </c>
      <c r="S610" t="s">
        <v>60</v>
      </c>
      <c r="T610" t="s">
        <v>60</v>
      </c>
      <c r="U610" t="s">
        <v>6630</v>
      </c>
      <c r="V610">
        <v>4</v>
      </c>
      <c r="W610" t="s">
        <v>6630</v>
      </c>
      <c r="X610" t="s">
        <v>6631</v>
      </c>
      <c r="AE610" t="s">
        <v>1045</v>
      </c>
      <c r="AF610" t="s">
        <v>6632</v>
      </c>
      <c r="AG610" t="s">
        <v>6633</v>
      </c>
      <c r="AH610" t="str">
        <f>HYPERLINK("http://compartments.jensenlab.org/Entity?figures=subcell_cell_%&amp;knowledge=10&amp;textmining=10&amp;experiments=10&amp;predictions=10&amp;type1=9606&amp;type2=-22&amp;id1=ENSP00000378326","link")</f>
        <v>link</v>
      </c>
      <c r="AI610" t="s">
        <v>1058</v>
      </c>
      <c r="AJ610" t="s">
        <v>6634</v>
      </c>
      <c r="AK610" t="str">
        <f>HYPERLINK("http://www.proteinatlas.org/P21754","HPA054061")</f>
        <v>HPA054061</v>
      </c>
      <c r="AM610">
        <v>7784</v>
      </c>
    </row>
    <row r="611" spans="1:39" x14ac:dyDescent="0.35">
      <c r="A611" t="s">
        <v>6635</v>
      </c>
      <c r="B611" t="str">
        <f>HYPERLINK("http://www.uniprot.org/uniprot/P21757","P21757")</f>
        <v>P21757</v>
      </c>
      <c r="C611" t="s">
        <v>6636</v>
      </c>
      <c r="D611" t="s">
        <v>6637</v>
      </c>
      <c r="E611" t="s">
        <v>39</v>
      </c>
      <c r="F611" t="s">
        <v>40</v>
      </c>
      <c r="H611">
        <v>451</v>
      </c>
      <c r="I611">
        <v>1</v>
      </c>
      <c r="J611">
        <v>0</v>
      </c>
      <c r="K611" t="s">
        <v>6638</v>
      </c>
      <c r="L611" t="s">
        <v>101</v>
      </c>
      <c r="N611">
        <v>0.82630000000000003</v>
      </c>
      <c r="O611" s="1">
        <v>1</v>
      </c>
      <c r="P611" t="s">
        <v>6639</v>
      </c>
      <c r="Q611" t="s">
        <v>6640</v>
      </c>
      <c r="R611" t="s">
        <v>6641</v>
      </c>
      <c r="S611" t="s">
        <v>166</v>
      </c>
      <c r="T611" t="s">
        <v>6642</v>
      </c>
      <c r="U611" t="s">
        <v>6643</v>
      </c>
      <c r="V611">
        <v>7</v>
      </c>
      <c r="W611" t="s">
        <v>6644</v>
      </c>
      <c r="Z611" t="s">
        <v>123</v>
      </c>
      <c r="AA611">
        <v>1</v>
      </c>
      <c r="AB611" t="s">
        <v>6645</v>
      </c>
      <c r="AC611">
        <v>249</v>
      </c>
      <c r="AD611" t="s">
        <v>6646</v>
      </c>
      <c r="AE611" t="s">
        <v>359</v>
      </c>
      <c r="AF611" t="s">
        <v>6647</v>
      </c>
      <c r="AG611" t="s">
        <v>6648</v>
      </c>
      <c r="AH611" t="str">
        <f>HYPERLINK("http://compartments.jensenlab.org/Entity?figures=subcell_cell_%&amp;knowledge=10&amp;textmining=10&amp;experiments=10&amp;predictions=10&amp;type1=9606&amp;type2=-22&amp;id1=ENSP00000262101","link")</f>
        <v>link</v>
      </c>
      <c r="AJ611" t="s">
        <v>1253</v>
      </c>
      <c r="AK611" t="str">
        <f>HYPERLINK("http://www.proteinatlas.org/P21757","HPA000272;CAB032491")</f>
        <v>HPA000272;CAB032491</v>
      </c>
      <c r="AM611">
        <v>4481</v>
      </c>
    </row>
    <row r="612" spans="1:39" x14ac:dyDescent="0.35">
      <c r="A612" t="s">
        <v>6649</v>
      </c>
      <c r="B612" t="str">
        <f>HYPERLINK("http://www.uniprot.org/uniprot/P21802","P21802")</f>
        <v>P21802</v>
      </c>
      <c r="C612" t="s">
        <v>6650</v>
      </c>
      <c r="D612" t="s">
        <v>6651</v>
      </c>
      <c r="E612" t="s">
        <v>39</v>
      </c>
      <c r="F612" t="s">
        <v>55</v>
      </c>
      <c r="H612">
        <v>821</v>
      </c>
      <c r="I612">
        <v>1</v>
      </c>
      <c r="J612">
        <v>1</v>
      </c>
      <c r="K612" t="s">
        <v>6652</v>
      </c>
      <c r="L612" t="s">
        <v>101</v>
      </c>
      <c r="M612" t="s">
        <v>39</v>
      </c>
      <c r="N612">
        <v>0.98070000000000002</v>
      </c>
      <c r="O612" s="1">
        <v>1</v>
      </c>
      <c r="P612" t="s">
        <v>6653</v>
      </c>
      <c r="Q612" t="s">
        <v>6654</v>
      </c>
      <c r="R612" t="s">
        <v>6655</v>
      </c>
      <c r="S612" t="s">
        <v>166</v>
      </c>
      <c r="T612" t="s">
        <v>5139</v>
      </c>
      <c r="U612" t="s">
        <v>6656</v>
      </c>
      <c r="V612">
        <v>8</v>
      </c>
      <c r="W612" t="s">
        <v>6656</v>
      </c>
      <c r="X612" t="s">
        <v>6657</v>
      </c>
      <c r="Z612" t="s">
        <v>107</v>
      </c>
      <c r="AA612">
        <v>1</v>
      </c>
      <c r="AB612" t="s">
        <v>6658</v>
      </c>
      <c r="AC612">
        <v>318</v>
      </c>
      <c r="AD612" t="s">
        <v>6659</v>
      </c>
      <c r="AE612" t="s">
        <v>6660</v>
      </c>
      <c r="AF612" t="s">
        <v>6661</v>
      </c>
      <c r="AG612" t="s">
        <v>6662</v>
      </c>
      <c r="AH612" t="str">
        <f>HYPERLINK("http://compartments.jensenlab.org/Entity?figures=subcell_cell_%&amp;knowledge=10&amp;textmining=10&amp;experiments=10&amp;predictions=10&amp;type1=9606&amp;type2=-22&amp;id1=ENSP00000351276","link")</f>
        <v>link</v>
      </c>
      <c r="AK612" t="str">
        <f>HYPERLINK("http://www.proteinatlas.org/P21802","CAB010886;HPA035305;HPA056562")</f>
        <v>CAB010886;HPA035305;HPA056562</v>
      </c>
      <c r="AL612" t="s">
        <v>6663</v>
      </c>
      <c r="AM612">
        <v>2263</v>
      </c>
    </row>
    <row r="613" spans="1:39" x14ac:dyDescent="0.35">
      <c r="A613" t="s">
        <v>6664</v>
      </c>
      <c r="B613" t="str">
        <f>HYPERLINK("http://www.uniprot.org/uniprot/P21860","P21860")</f>
        <v>P21860</v>
      </c>
      <c r="C613" t="s">
        <v>6665</v>
      </c>
      <c r="D613" t="s">
        <v>6666</v>
      </c>
      <c r="E613" t="s">
        <v>39</v>
      </c>
      <c r="F613" t="s">
        <v>55</v>
      </c>
      <c r="H613">
        <v>1342</v>
      </c>
      <c r="I613">
        <v>1</v>
      </c>
      <c r="J613">
        <v>1</v>
      </c>
      <c r="K613" t="s">
        <v>6667</v>
      </c>
      <c r="L613" t="s">
        <v>101</v>
      </c>
      <c r="M613" t="s">
        <v>39</v>
      </c>
      <c r="N613">
        <v>0.97840000000000005</v>
      </c>
      <c r="O613" s="1">
        <v>1</v>
      </c>
      <c r="P613" t="s">
        <v>6668</v>
      </c>
      <c r="Q613" t="s">
        <v>6669</v>
      </c>
      <c r="S613" t="s">
        <v>166</v>
      </c>
      <c r="T613" t="s">
        <v>3537</v>
      </c>
      <c r="U613" t="s">
        <v>6670</v>
      </c>
      <c r="V613">
        <v>10</v>
      </c>
      <c r="W613" t="s">
        <v>6670</v>
      </c>
      <c r="X613">
        <v>1072</v>
      </c>
      <c r="Z613" t="s">
        <v>107</v>
      </c>
      <c r="AA613">
        <v>3</v>
      </c>
      <c r="AB613" t="s">
        <v>6671</v>
      </c>
      <c r="AC613" t="s">
        <v>6672</v>
      </c>
      <c r="AD613" t="s">
        <v>6673</v>
      </c>
      <c r="AE613" t="s">
        <v>1250</v>
      </c>
      <c r="AF613" t="s">
        <v>6674</v>
      </c>
      <c r="AG613" t="s">
        <v>6675</v>
      </c>
      <c r="AH613" t="str">
        <f>HYPERLINK("http://compartments.jensenlab.org/Entity?figures=subcell_cell_%&amp;knowledge=10&amp;textmining=10&amp;experiments=10&amp;predictions=10&amp;type1=9606&amp;type2=-22&amp;id1=ENSP00000267101","link")</f>
        <v>link</v>
      </c>
      <c r="AI613" t="s">
        <v>1058</v>
      </c>
      <c r="AJ613" t="s">
        <v>3586</v>
      </c>
      <c r="AK613" t="str">
        <f>HYPERLINK("http://www.proteinatlas.org/P21860","CAB025331;HPA045396")</f>
        <v>CAB025331;HPA045396</v>
      </c>
      <c r="AM613">
        <v>2065</v>
      </c>
    </row>
    <row r="614" spans="1:39" x14ac:dyDescent="0.35">
      <c r="A614" t="s">
        <v>6676</v>
      </c>
      <c r="B614" t="str">
        <f>HYPERLINK("http://www.uniprot.org/uniprot/P21917","P21917")</f>
        <v>P21917</v>
      </c>
      <c r="C614" t="s">
        <v>6677</v>
      </c>
      <c r="D614" t="s">
        <v>6678</v>
      </c>
      <c r="E614" t="s">
        <v>39</v>
      </c>
      <c r="F614" t="s">
        <v>40</v>
      </c>
      <c r="H614">
        <v>467</v>
      </c>
      <c r="I614">
        <v>7</v>
      </c>
      <c r="J614">
        <v>0</v>
      </c>
      <c r="K614" t="s">
        <v>6679</v>
      </c>
      <c r="L614" t="s">
        <v>57</v>
      </c>
      <c r="N614">
        <v>0.81640000000000001</v>
      </c>
      <c r="O614" s="1">
        <v>1</v>
      </c>
      <c r="P614" t="s">
        <v>6680</v>
      </c>
      <c r="Q614" t="s">
        <v>6681</v>
      </c>
      <c r="S614" t="s">
        <v>166</v>
      </c>
      <c r="T614" t="s">
        <v>838</v>
      </c>
      <c r="U614">
        <v>3</v>
      </c>
      <c r="V614">
        <v>1</v>
      </c>
      <c r="X614" t="s">
        <v>6682</v>
      </c>
      <c r="AE614" t="s">
        <v>74</v>
      </c>
      <c r="AF614" t="s">
        <v>6683</v>
      </c>
      <c r="AG614" t="s">
        <v>6684</v>
      </c>
      <c r="AH614" t="str">
        <f>HYPERLINK("http://compartments.jensenlab.org/Entity?figures=subcell_cell_%&amp;knowledge=10&amp;textmining=10&amp;experiments=10&amp;predictions=10&amp;type1=9606&amp;type2=-22&amp;id1=ENSP00000176183","link")</f>
        <v>link</v>
      </c>
      <c r="AI614" t="s">
        <v>65</v>
      </c>
      <c r="AJ614" t="s">
        <v>51</v>
      </c>
      <c r="AK614" t="str">
        <f>HYPERLINK("http://www.proteinatlas.org/P21917","no")</f>
        <v>no</v>
      </c>
      <c r="AL614" t="s">
        <v>6685</v>
      </c>
      <c r="AM614">
        <v>1815</v>
      </c>
    </row>
    <row r="615" spans="1:39" x14ac:dyDescent="0.35">
      <c r="A615" t="s">
        <v>6686</v>
      </c>
      <c r="B615" t="str">
        <f>HYPERLINK("http://www.uniprot.org/uniprot/P21918","P21918")</f>
        <v>P21918</v>
      </c>
      <c r="C615" t="s">
        <v>6687</v>
      </c>
      <c r="D615" t="s">
        <v>6688</v>
      </c>
      <c r="E615" t="s">
        <v>39</v>
      </c>
      <c r="F615" t="s">
        <v>55</v>
      </c>
      <c r="H615">
        <v>477</v>
      </c>
      <c r="I615">
        <v>7</v>
      </c>
      <c r="J615">
        <v>0</v>
      </c>
      <c r="K615" t="s">
        <v>6689</v>
      </c>
      <c r="L615" t="s">
        <v>57</v>
      </c>
      <c r="M615" t="s">
        <v>39</v>
      </c>
      <c r="N615">
        <v>0.93300000000000005</v>
      </c>
      <c r="O615" s="1">
        <v>1</v>
      </c>
      <c r="P615" t="s">
        <v>6690</v>
      </c>
      <c r="Q615" t="s">
        <v>6691</v>
      </c>
      <c r="S615" t="s">
        <v>166</v>
      </c>
      <c r="T615" t="s">
        <v>838</v>
      </c>
      <c r="U615" t="s">
        <v>6692</v>
      </c>
      <c r="V615">
        <v>3</v>
      </c>
      <c r="W615" t="s">
        <v>6693</v>
      </c>
      <c r="Y615" t="s">
        <v>6694</v>
      </c>
      <c r="AE615" t="s">
        <v>74</v>
      </c>
      <c r="AF615" t="s">
        <v>6695</v>
      </c>
      <c r="AG615" t="s">
        <v>6696</v>
      </c>
      <c r="AH615" t="str">
        <f>HYPERLINK("http://compartments.jensenlab.org/Entity?figures=subcell_cell_%&amp;knowledge=10&amp;textmining=10&amp;experiments=10&amp;predictions=10&amp;type1=9606&amp;type2=-22&amp;id1=ENSP00000306129","link")</f>
        <v>link</v>
      </c>
      <c r="AI615" t="s">
        <v>65</v>
      </c>
      <c r="AJ615" t="s">
        <v>51</v>
      </c>
      <c r="AK615" t="str">
        <f>HYPERLINK("http://www.proteinatlas.org/P21918","HPA048930")</f>
        <v>HPA048930</v>
      </c>
      <c r="AL615" t="s">
        <v>6697</v>
      </c>
      <c r="AM615">
        <v>1816</v>
      </c>
    </row>
    <row r="616" spans="1:39" x14ac:dyDescent="0.35">
      <c r="A616" t="s">
        <v>6698</v>
      </c>
      <c r="B616" t="str">
        <f>HYPERLINK("http://www.uniprot.org/uniprot/P21926","P21926")</f>
        <v>P21926</v>
      </c>
      <c r="C616" t="s">
        <v>6699</v>
      </c>
      <c r="D616" t="s">
        <v>6700</v>
      </c>
      <c r="E616" t="s">
        <v>39</v>
      </c>
      <c r="F616" t="s">
        <v>55</v>
      </c>
      <c r="H616">
        <v>228</v>
      </c>
      <c r="I616">
        <v>4</v>
      </c>
      <c r="J616">
        <v>0</v>
      </c>
      <c r="K616" t="s">
        <v>6701</v>
      </c>
      <c r="L616" t="s">
        <v>57</v>
      </c>
      <c r="M616" t="s">
        <v>39</v>
      </c>
      <c r="N616">
        <v>0.73850000000000005</v>
      </c>
      <c r="O616" s="1">
        <v>2</v>
      </c>
      <c r="P616" t="s">
        <v>6702</v>
      </c>
      <c r="Q616" t="s">
        <v>6703</v>
      </c>
      <c r="R616" t="s">
        <v>6700</v>
      </c>
      <c r="S616" t="s">
        <v>91</v>
      </c>
      <c r="T616" t="s">
        <v>135</v>
      </c>
      <c r="U616" t="s">
        <v>6704</v>
      </c>
      <c r="V616">
        <v>2</v>
      </c>
      <c r="W616" t="s">
        <v>6704</v>
      </c>
      <c r="AE616" t="s">
        <v>1863</v>
      </c>
      <c r="AF616" t="s">
        <v>6705</v>
      </c>
      <c r="AG616" t="s">
        <v>6706</v>
      </c>
      <c r="AH616" t="str">
        <f>HYPERLINK("http://compartments.jensenlab.org/Entity?figures=subcell_cell_%&amp;knowledge=10&amp;textmining=10&amp;experiments=10&amp;predictions=10&amp;type1=9606&amp;type2=-22&amp;id1=ENSP00000009180","link")</f>
        <v>link</v>
      </c>
      <c r="AI616" t="s">
        <v>65</v>
      </c>
      <c r="AJ616" t="s">
        <v>51</v>
      </c>
      <c r="AK616" t="str">
        <f>HYPERLINK("http://www.proteinatlas.org/P21926","CAB002490")</f>
        <v>CAB002490</v>
      </c>
      <c r="AM616">
        <v>928</v>
      </c>
    </row>
    <row r="617" spans="1:39" x14ac:dyDescent="0.35">
      <c r="A617" t="s">
        <v>6707</v>
      </c>
      <c r="B617" t="str">
        <f>HYPERLINK("http://www.uniprot.org/uniprot/P22001","P22001")</f>
        <v>P22001</v>
      </c>
      <c r="C617" t="s">
        <v>6708</v>
      </c>
      <c r="D617" t="s">
        <v>6709</v>
      </c>
      <c r="E617" t="s">
        <v>39</v>
      </c>
      <c r="F617" t="s">
        <v>55</v>
      </c>
      <c r="H617">
        <v>575</v>
      </c>
      <c r="I617">
        <v>6</v>
      </c>
      <c r="J617">
        <v>0</v>
      </c>
      <c r="K617" t="s">
        <v>6710</v>
      </c>
      <c r="L617" t="s">
        <v>101</v>
      </c>
      <c r="M617" t="s">
        <v>39</v>
      </c>
      <c r="N617">
        <v>0.66259999999999997</v>
      </c>
      <c r="O617" s="1">
        <v>2</v>
      </c>
      <c r="P617" t="s">
        <v>6711</v>
      </c>
      <c r="Q617" t="s">
        <v>6712</v>
      </c>
      <c r="S617" t="s">
        <v>45</v>
      </c>
      <c r="T617" t="s">
        <v>6713</v>
      </c>
      <c r="U617" t="s">
        <v>6714</v>
      </c>
      <c r="V617">
        <v>1</v>
      </c>
      <c r="W617" t="s">
        <v>6715</v>
      </c>
      <c r="Z617" t="s">
        <v>107</v>
      </c>
      <c r="AA617">
        <v>5</v>
      </c>
      <c r="AB617" t="s">
        <v>6716</v>
      </c>
      <c r="AC617">
        <v>279</v>
      </c>
      <c r="AD617" t="s">
        <v>6717</v>
      </c>
      <c r="AE617" t="s">
        <v>74</v>
      </c>
      <c r="AF617" t="s">
        <v>6718</v>
      </c>
      <c r="AG617" t="s">
        <v>6719</v>
      </c>
      <c r="AH617" t="str">
        <f>HYPERLINK("http://compartments.jensenlab.org/Entity?figures=subcell_cell_%&amp;knowledge=10&amp;textmining=10&amp;experiments=10&amp;predictions=10&amp;type1=9606&amp;type2=-22&amp;id1=ENSP00000358784","link")</f>
        <v>link</v>
      </c>
      <c r="AJ617" t="s">
        <v>51</v>
      </c>
      <c r="AK617" t="str">
        <f>HYPERLINK("http://www.proteinatlas.org/P22001","HPA016625")</f>
        <v>HPA016625</v>
      </c>
      <c r="AL617" t="s">
        <v>6720</v>
      </c>
      <c r="AM617">
        <v>3738</v>
      </c>
    </row>
    <row r="618" spans="1:39" x14ac:dyDescent="0.35">
      <c r="A618" t="s">
        <v>6721</v>
      </c>
      <c r="B618" t="str">
        <f>HYPERLINK("http://www.uniprot.org/uniprot/P22223","P22223")</f>
        <v>P22223</v>
      </c>
      <c r="C618" t="s">
        <v>6722</v>
      </c>
      <c r="D618" t="s">
        <v>6723</v>
      </c>
      <c r="E618" t="s">
        <v>39</v>
      </c>
      <c r="F618" t="s">
        <v>55</v>
      </c>
      <c r="H618">
        <v>829</v>
      </c>
      <c r="I618">
        <v>1</v>
      </c>
      <c r="J618">
        <v>1</v>
      </c>
      <c r="K618" t="s">
        <v>6724</v>
      </c>
      <c r="L618" t="s">
        <v>101</v>
      </c>
      <c r="N618">
        <v>0.96409999999999996</v>
      </c>
      <c r="O618" s="1">
        <v>1</v>
      </c>
      <c r="P618" t="s">
        <v>6725</v>
      </c>
      <c r="Q618" t="s">
        <v>6726</v>
      </c>
      <c r="S618" t="s">
        <v>91</v>
      </c>
      <c r="T618" t="s">
        <v>2622</v>
      </c>
      <c r="U618" t="s">
        <v>6727</v>
      </c>
      <c r="V618">
        <v>4</v>
      </c>
      <c r="Z618" t="s">
        <v>107</v>
      </c>
      <c r="AA618">
        <v>1</v>
      </c>
      <c r="AB618" t="s">
        <v>6728</v>
      </c>
      <c r="AC618">
        <v>566</v>
      </c>
      <c r="AD618" t="s">
        <v>6729</v>
      </c>
      <c r="AE618" t="s">
        <v>332</v>
      </c>
      <c r="AF618" t="s">
        <v>6730</v>
      </c>
      <c r="AG618" t="s">
        <v>6731</v>
      </c>
      <c r="AH618" t="str">
        <f>HYPERLINK("http://compartments.jensenlab.org/Entity?figures=subcell_cell_%&amp;knowledge=10&amp;textmining=10&amp;experiments=10&amp;predictions=10&amp;type1=9606&amp;type2=-22&amp;id1=ENSP00000264012","link")</f>
        <v>link</v>
      </c>
      <c r="AI618" t="s">
        <v>65</v>
      </c>
      <c r="AJ618" t="s">
        <v>51</v>
      </c>
      <c r="AK618" t="str">
        <f>HYPERLINK("http://www.proteinatlas.org/P22223","HPA001767;CAB002487")</f>
        <v>HPA001767;CAB002487</v>
      </c>
      <c r="AM618">
        <v>1001</v>
      </c>
    </row>
    <row r="619" spans="1:39" x14ac:dyDescent="0.35">
      <c r="A619" t="s">
        <v>6732</v>
      </c>
      <c r="B619" t="str">
        <f>HYPERLINK("http://www.uniprot.org/uniprot/P22303","P22303")</f>
        <v>P22303</v>
      </c>
      <c r="C619" t="s">
        <v>6733</v>
      </c>
      <c r="D619" t="s">
        <v>6734</v>
      </c>
      <c r="E619" t="s">
        <v>39</v>
      </c>
      <c r="F619" t="s">
        <v>239</v>
      </c>
      <c r="H619">
        <v>614</v>
      </c>
      <c r="I619">
        <v>0</v>
      </c>
      <c r="J619">
        <v>1</v>
      </c>
      <c r="K619" t="s">
        <v>6735</v>
      </c>
      <c r="L619" t="s">
        <v>996</v>
      </c>
      <c r="N619">
        <v>0.67469999999999997</v>
      </c>
      <c r="O619" s="1" t="s">
        <v>241</v>
      </c>
      <c r="P619" t="s">
        <v>6736</v>
      </c>
      <c r="Q619" t="s">
        <v>6737</v>
      </c>
      <c r="S619" t="s">
        <v>60</v>
      </c>
      <c r="T619" t="s">
        <v>60</v>
      </c>
      <c r="U619" t="s">
        <v>6738</v>
      </c>
      <c r="V619">
        <v>3</v>
      </c>
      <c r="W619" t="s">
        <v>6738</v>
      </c>
      <c r="Y619">
        <v>470</v>
      </c>
      <c r="Z619" t="s">
        <v>107</v>
      </c>
      <c r="AA619">
        <v>2</v>
      </c>
      <c r="AB619" t="s">
        <v>6739</v>
      </c>
      <c r="AC619" t="s">
        <v>6740</v>
      </c>
      <c r="AD619" t="s">
        <v>6741</v>
      </c>
      <c r="AE619" t="s">
        <v>6742</v>
      </c>
      <c r="AF619" t="s">
        <v>6743</v>
      </c>
      <c r="AG619" t="s">
        <v>6744</v>
      </c>
      <c r="AH619" t="str">
        <f>HYPERLINK("http://compartments.jensenlab.org/Entity?figures=subcell_cell_%&amp;knowledge=10&amp;textmining=10&amp;experiments=10&amp;predictions=10&amp;type1=9606&amp;type2=-22&amp;id1=ENSP00000241069","link")</f>
        <v>link</v>
      </c>
      <c r="AK619" t="str">
        <f>HYPERLINK("http://www.proteinatlas.org/P22303","HPA019704")</f>
        <v>HPA019704</v>
      </c>
      <c r="AL619" t="s">
        <v>6745</v>
      </c>
      <c r="AM619">
        <v>43</v>
      </c>
    </row>
    <row r="620" spans="1:39" x14ac:dyDescent="0.35">
      <c r="A620" t="s">
        <v>6746</v>
      </c>
      <c r="B620" t="str">
        <f>HYPERLINK("http://www.uniprot.org/uniprot/P22413","P22413")</f>
        <v>P22413</v>
      </c>
      <c r="C620" t="s">
        <v>6747</v>
      </c>
      <c r="D620" t="s">
        <v>6748</v>
      </c>
      <c r="E620" t="s">
        <v>39</v>
      </c>
      <c r="F620" t="s">
        <v>55</v>
      </c>
      <c r="H620">
        <v>925</v>
      </c>
      <c r="I620">
        <v>1</v>
      </c>
      <c r="J620">
        <v>0</v>
      </c>
      <c r="K620" t="s">
        <v>6749</v>
      </c>
      <c r="L620" t="s">
        <v>101</v>
      </c>
      <c r="M620" t="s">
        <v>39</v>
      </c>
      <c r="N620">
        <v>0.625</v>
      </c>
      <c r="O620" s="1">
        <v>2</v>
      </c>
      <c r="P620" t="s">
        <v>6750</v>
      </c>
      <c r="Q620" t="s">
        <v>6751</v>
      </c>
      <c r="R620" t="s">
        <v>6752</v>
      </c>
      <c r="S620" t="s">
        <v>947</v>
      </c>
      <c r="T620" t="s">
        <v>6753</v>
      </c>
      <c r="U620" t="s">
        <v>6754</v>
      </c>
      <c r="V620">
        <v>10</v>
      </c>
      <c r="W620" t="s">
        <v>6755</v>
      </c>
      <c r="X620">
        <v>197</v>
      </c>
      <c r="Z620" t="s">
        <v>107</v>
      </c>
      <c r="AA620">
        <v>3</v>
      </c>
      <c r="AB620" t="s">
        <v>6756</v>
      </c>
      <c r="AC620" t="s">
        <v>6757</v>
      </c>
      <c r="AD620" t="s">
        <v>6758</v>
      </c>
      <c r="AE620" t="s">
        <v>6759</v>
      </c>
      <c r="AF620" t="s">
        <v>6760</v>
      </c>
      <c r="AG620" t="s">
        <v>6761</v>
      </c>
      <c r="AH620" t="str">
        <f>HYPERLINK("http://compartments.jensenlab.org/Entity?figures=subcell_cell_%&amp;knowledge=10&amp;textmining=10&amp;experiments=10&amp;predictions=10&amp;type1=9606&amp;type2=-22&amp;id1=ENSP00000354238","link")</f>
        <v>link</v>
      </c>
      <c r="AI620" t="s">
        <v>65</v>
      </c>
      <c r="AJ620" t="s">
        <v>902</v>
      </c>
      <c r="AK620" t="str">
        <f>HYPERLINK("http://www.proteinatlas.org/P22413","CAB032904;HPA062066")</f>
        <v>CAB032904;HPA062066</v>
      </c>
      <c r="AL620" t="s">
        <v>6762</v>
      </c>
      <c r="AM620">
        <v>5167</v>
      </c>
    </row>
    <row r="621" spans="1:39" x14ac:dyDescent="0.35">
      <c r="A621" t="s">
        <v>6763</v>
      </c>
      <c r="B621" t="str">
        <f>HYPERLINK("http://www.uniprot.org/uniprot/P22455","P22455")</f>
        <v>P22455</v>
      </c>
      <c r="C621" t="s">
        <v>6764</v>
      </c>
      <c r="D621" t="s">
        <v>6765</v>
      </c>
      <c r="E621" t="s">
        <v>39</v>
      </c>
      <c r="F621" t="s">
        <v>55</v>
      </c>
      <c r="H621">
        <v>802</v>
      </c>
      <c r="I621">
        <v>1</v>
      </c>
      <c r="J621">
        <v>1</v>
      </c>
      <c r="K621" t="s">
        <v>6766</v>
      </c>
      <c r="L621" t="s">
        <v>101</v>
      </c>
      <c r="M621" t="s">
        <v>39</v>
      </c>
      <c r="N621">
        <v>0.92700000000000005</v>
      </c>
      <c r="O621" s="1">
        <v>1</v>
      </c>
      <c r="P621" t="s">
        <v>6767</v>
      </c>
      <c r="Q621" t="s">
        <v>6768</v>
      </c>
      <c r="R621" t="s">
        <v>6769</v>
      </c>
      <c r="S621" t="s">
        <v>166</v>
      </c>
      <c r="T621" t="s">
        <v>5139</v>
      </c>
      <c r="U621" t="s">
        <v>6770</v>
      </c>
      <c r="V621">
        <v>5</v>
      </c>
      <c r="W621" t="s">
        <v>6771</v>
      </c>
      <c r="Z621" t="s">
        <v>107</v>
      </c>
      <c r="AA621">
        <v>1</v>
      </c>
      <c r="AB621" t="s">
        <v>6772</v>
      </c>
      <c r="AC621">
        <v>311</v>
      </c>
      <c r="AD621" t="s">
        <v>6773</v>
      </c>
      <c r="AE621" t="s">
        <v>6774</v>
      </c>
      <c r="AF621" t="s">
        <v>6775</v>
      </c>
      <c r="AG621" t="s">
        <v>6776</v>
      </c>
      <c r="AH621" t="str">
        <f>HYPERLINK("http://compartments.jensenlab.org/Entity?figures=subcell_cell_%&amp;knowledge=10&amp;textmining=10&amp;experiments=10&amp;predictions=10&amp;type1=9606&amp;type2=-22&amp;id1=ENSP00000292408","link")</f>
        <v>link</v>
      </c>
      <c r="AI621" t="s">
        <v>6777</v>
      </c>
      <c r="AJ621" t="s">
        <v>6778</v>
      </c>
      <c r="AK621" t="str">
        <f>HYPERLINK("http://www.proteinatlas.org/P22455","CAB005196;HPA027273;HPA027369;HPA028251")</f>
        <v>CAB005196;HPA027273;HPA027369;HPA028251</v>
      </c>
      <c r="AL621" t="s">
        <v>6779</v>
      </c>
      <c r="AM621">
        <v>2264</v>
      </c>
    </row>
    <row r="622" spans="1:39" x14ac:dyDescent="0.35">
      <c r="A622" t="s">
        <v>6780</v>
      </c>
      <c r="B622" t="str">
        <f>HYPERLINK("http://www.uniprot.org/uniprot/P22607","P22607")</f>
        <v>P22607</v>
      </c>
      <c r="C622" t="s">
        <v>6781</v>
      </c>
      <c r="D622" t="s">
        <v>6782</v>
      </c>
      <c r="E622" t="s">
        <v>39</v>
      </c>
      <c r="F622" t="s">
        <v>40</v>
      </c>
      <c r="H622">
        <v>806</v>
      </c>
      <c r="I622">
        <v>1</v>
      </c>
      <c r="J622">
        <v>1</v>
      </c>
      <c r="K622" t="s">
        <v>6783</v>
      </c>
      <c r="L622" t="s">
        <v>57</v>
      </c>
      <c r="N622">
        <v>0.98</v>
      </c>
      <c r="O622" s="1">
        <v>1</v>
      </c>
      <c r="P622" t="s">
        <v>6784</v>
      </c>
      <c r="Q622" t="s">
        <v>6785</v>
      </c>
      <c r="R622" t="s">
        <v>6786</v>
      </c>
      <c r="S622" t="s">
        <v>166</v>
      </c>
      <c r="T622" t="s">
        <v>5139</v>
      </c>
      <c r="U622" t="s">
        <v>6787</v>
      </c>
      <c r="V622">
        <v>6</v>
      </c>
      <c r="W622" t="s">
        <v>6788</v>
      </c>
      <c r="X622" t="s">
        <v>6789</v>
      </c>
      <c r="AE622" t="s">
        <v>6790</v>
      </c>
      <c r="AF622" t="s">
        <v>6791</v>
      </c>
      <c r="AG622" t="s">
        <v>6792</v>
      </c>
      <c r="AH622" t="str">
        <f>HYPERLINK("http://compartments.jensenlab.org/Entity?figures=subcell_cell_%&amp;knowledge=10&amp;textmining=10&amp;experiments=10&amp;predictions=10&amp;type1=9606&amp;type2=-22&amp;id1=ENSP00000260795","link")</f>
        <v>link</v>
      </c>
      <c r="AI622" t="s">
        <v>1500</v>
      </c>
      <c r="AJ622" t="s">
        <v>345</v>
      </c>
      <c r="AK622" t="str">
        <f>HYPERLINK("http://www.proteinatlas.org/P22607","CAB004231")</f>
        <v>CAB004231</v>
      </c>
      <c r="AL622" t="s">
        <v>6793</v>
      </c>
      <c r="AM622">
        <v>2261</v>
      </c>
    </row>
    <row r="623" spans="1:39" x14ac:dyDescent="0.35">
      <c r="A623" t="s">
        <v>6794</v>
      </c>
      <c r="B623" t="str">
        <f>HYPERLINK("http://www.uniprot.org/uniprot/P22732","P22732")</f>
        <v>P22732</v>
      </c>
      <c r="C623" t="s">
        <v>6795</v>
      </c>
      <c r="D623" t="s">
        <v>6796</v>
      </c>
      <c r="E623" t="s">
        <v>39</v>
      </c>
      <c r="F623" t="s">
        <v>40</v>
      </c>
      <c r="H623">
        <v>501</v>
      </c>
      <c r="I623">
        <v>12</v>
      </c>
      <c r="J623">
        <v>0</v>
      </c>
      <c r="K623" t="s">
        <v>6797</v>
      </c>
      <c r="L623" t="s">
        <v>101</v>
      </c>
      <c r="N623">
        <v>0.84430000000000005</v>
      </c>
      <c r="O623" s="1">
        <v>1</v>
      </c>
      <c r="P623" t="s">
        <v>6798</v>
      </c>
      <c r="Q623" t="s">
        <v>6799</v>
      </c>
      <c r="S623" t="s">
        <v>45</v>
      </c>
      <c r="T623" t="s">
        <v>3338</v>
      </c>
      <c r="U623" t="s">
        <v>6800</v>
      </c>
      <c r="V623">
        <v>1</v>
      </c>
      <c r="Z623" t="s">
        <v>123</v>
      </c>
      <c r="AA623">
        <v>10</v>
      </c>
      <c r="AB623" t="s">
        <v>6801</v>
      </c>
      <c r="AC623">
        <v>51</v>
      </c>
      <c r="AD623" t="s">
        <v>6802</v>
      </c>
      <c r="AE623" t="s">
        <v>6803</v>
      </c>
      <c r="AF623" t="s">
        <v>6804</v>
      </c>
      <c r="AG623" t="s">
        <v>6805</v>
      </c>
      <c r="AH623" t="str">
        <f>HYPERLINK("http://compartments.jensenlab.org/Entity?figures=subcell_cell_%&amp;knowledge=10&amp;textmining=10&amp;experiments=10&amp;predictions=10&amp;type1=9606&amp;type2=-22&amp;id1=ENSP00000366641","link")</f>
        <v>link</v>
      </c>
      <c r="AJ623" t="s">
        <v>51</v>
      </c>
      <c r="AK623" t="str">
        <f>HYPERLINK("http://www.proteinatlas.org/P22732","HPA005449;CAB026176")</f>
        <v>HPA005449;CAB026176</v>
      </c>
      <c r="AM623">
        <v>6518</v>
      </c>
    </row>
    <row r="624" spans="1:39" x14ac:dyDescent="0.35">
      <c r="A624" t="s">
        <v>6806</v>
      </c>
      <c r="B624" t="str">
        <f>HYPERLINK("http://www.uniprot.org/uniprot/P22748","P22748")</f>
        <v>P22748</v>
      </c>
      <c r="C624" t="s">
        <v>6807</v>
      </c>
      <c r="D624" t="s">
        <v>6808</v>
      </c>
      <c r="E624" t="s">
        <v>39</v>
      </c>
      <c r="F624" t="s">
        <v>239</v>
      </c>
      <c r="H624">
        <v>312</v>
      </c>
      <c r="I624">
        <v>0</v>
      </c>
      <c r="J624">
        <v>1</v>
      </c>
      <c r="K624" t="s">
        <v>6809</v>
      </c>
      <c r="L624" t="s">
        <v>57</v>
      </c>
      <c r="N624">
        <v>0.31140000000000001</v>
      </c>
      <c r="O624" s="1"/>
      <c r="P624" t="s">
        <v>6810</v>
      </c>
      <c r="Q624" t="s">
        <v>6811</v>
      </c>
      <c r="S624" t="s">
        <v>947</v>
      </c>
      <c r="T624" t="s">
        <v>1899</v>
      </c>
      <c r="V624">
        <v>0</v>
      </c>
      <c r="AE624" t="s">
        <v>243</v>
      </c>
      <c r="AF624" t="s">
        <v>6812</v>
      </c>
      <c r="AG624" t="s">
        <v>6813</v>
      </c>
      <c r="AH624" t="str">
        <f>HYPERLINK("http://compartments.jensenlab.org/Entity?figures=subcell_cell_%&amp;knowledge=10&amp;textmining=10&amp;experiments=10&amp;predictions=10&amp;type1=9606&amp;type2=-22&amp;id1=ENSP00000300900","link")</f>
        <v>link</v>
      </c>
      <c r="AI624" t="s">
        <v>65</v>
      </c>
      <c r="AJ624" t="s">
        <v>981</v>
      </c>
      <c r="AK624" t="str">
        <f>HYPERLINK("http://www.proteinatlas.org/P22748","HPA011089;HPA017258")</f>
        <v>HPA011089;HPA017258</v>
      </c>
      <c r="AL624" t="s">
        <v>6814</v>
      </c>
      <c r="AM624">
        <v>762</v>
      </c>
    </row>
    <row r="625" spans="1:39" x14ac:dyDescent="0.35">
      <c r="A625" t="s">
        <v>6815</v>
      </c>
      <c r="B625" t="str">
        <f>HYPERLINK("http://www.uniprot.org/uniprot/P22794","P22794")</f>
        <v>P22794</v>
      </c>
      <c r="C625" t="s">
        <v>6816</v>
      </c>
      <c r="D625" t="s">
        <v>6817</v>
      </c>
      <c r="E625" t="s">
        <v>39</v>
      </c>
      <c r="F625" t="s">
        <v>40</v>
      </c>
      <c r="H625">
        <v>236</v>
      </c>
      <c r="I625">
        <v>1</v>
      </c>
      <c r="J625">
        <v>1</v>
      </c>
      <c r="K625" t="s">
        <v>6818</v>
      </c>
      <c r="L625" t="s">
        <v>101</v>
      </c>
      <c r="N625">
        <v>0.91420000000000001</v>
      </c>
      <c r="O625" s="1">
        <v>1</v>
      </c>
      <c r="P625" t="s">
        <v>6819</v>
      </c>
      <c r="Q625" t="s">
        <v>6820</v>
      </c>
      <c r="S625" t="s">
        <v>60</v>
      </c>
      <c r="T625" t="s">
        <v>60</v>
      </c>
      <c r="U625" t="s">
        <v>6821</v>
      </c>
      <c r="V625">
        <v>5</v>
      </c>
      <c r="Z625" t="s">
        <v>107</v>
      </c>
      <c r="AA625">
        <v>1</v>
      </c>
      <c r="AB625" t="s">
        <v>6822</v>
      </c>
      <c r="AC625" t="s">
        <v>6823</v>
      </c>
      <c r="AD625" t="s">
        <v>6824</v>
      </c>
      <c r="AE625" t="s">
        <v>144</v>
      </c>
      <c r="AF625" t="s">
        <v>6825</v>
      </c>
      <c r="AG625" t="s">
        <v>6826</v>
      </c>
      <c r="AH625" t="str">
        <f>HYPERLINK("http://compartments.jensenlab.org/Entity?figures=subcell_cell_%&amp;knowledge=10&amp;textmining=10&amp;experiments=10&amp;predictions=10&amp;type1=9606&amp;type2=-22&amp;id1=ENSP00000418064","link")</f>
        <v>link</v>
      </c>
      <c r="AK625" t="str">
        <f>HYPERLINK("http://www.proteinatlas.org/P22794","HPA045033")</f>
        <v>HPA045033</v>
      </c>
      <c r="AM625">
        <v>2123</v>
      </c>
    </row>
    <row r="626" spans="1:39" x14ac:dyDescent="0.35">
      <c r="A626" t="s">
        <v>6827</v>
      </c>
      <c r="B626" t="str">
        <f>HYPERLINK("http://www.uniprot.org/uniprot/P22888","P22888")</f>
        <v>P22888</v>
      </c>
      <c r="C626" t="s">
        <v>6828</v>
      </c>
      <c r="D626" t="s">
        <v>6829</v>
      </c>
      <c r="E626" t="s">
        <v>39</v>
      </c>
      <c r="F626" t="s">
        <v>40</v>
      </c>
      <c r="H626">
        <v>699</v>
      </c>
      <c r="I626">
        <v>7</v>
      </c>
      <c r="J626">
        <v>1</v>
      </c>
      <c r="K626" t="s">
        <v>6830</v>
      </c>
      <c r="L626" t="s">
        <v>57</v>
      </c>
      <c r="N626">
        <v>0.99399999999999999</v>
      </c>
      <c r="O626" s="1">
        <v>1</v>
      </c>
      <c r="P626" t="s">
        <v>6831</v>
      </c>
      <c r="Q626" t="s">
        <v>6832</v>
      </c>
      <c r="S626" t="s">
        <v>166</v>
      </c>
      <c r="T626" t="s">
        <v>838</v>
      </c>
      <c r="U626" t="s">
        <v>6833</v>
      </c>
      <c r="V626">
        <v>6</v>
      </c>
      <c r="W626" t="s">
        <v>6834</v>
      </c>
      <c r="AE626" t="s">
        <v>74</v>
      </c>
      <c r="AF626" t="s">
        <v>6835</v>
      </c>
      <c r="AG626" t="s">
        <v>6836</v>
      </c>
      <c r="AH626" t="str">
        <f>HYPERLINK("http://compartments.jensenlab.org/Entity?figures=subcell_cell_%&amp;knowledge=10&amp;textmining=10&amp;experiments=10&amp;predictions=10&amp;type1=9606&amp;type2=-22&amp;id1=ENSP00000294954","link")</f>
        <v>link</v>
      </c>
      <c r="AI626" t="s">
        <v>65</v>
      </c>
      <c r="AJ626" t="s">
        <v>6837</v>
      </c>
      <c r="AK626" t="str">
        <f>HYPERLINK("http://www.proteinatlas.org/P22888","CAB009814")</f>
        <v>CAB009814</v>
      </c>
      <c r="AL626" t="s">
        <v>6838</v>
      </c>
      <c r="AM626">
        <v>3973</v>
      </c>
    </row>
    <row r="627" spans="1:39" x14ac:dyDescent="0.35">
      <c r="A627" t="s">
        <v>6839</v>
      </c>
      <c r="B627" t="str">
        <f>HYPERLINK("http://www.uniprot.org/uniprot/P22897","P22897")</f>
        <v>P22897</v>
      </c>
      <c r="C627" t="s">
        <v>6840</v>
      </c>
      <c r="D627" t="s">
        <v>6841</v>
      </c>
      <c r="E627" t="s">
        <v>39</v>
      </c>
      <c r="F627" t="s">
        <v>55</v>
      </c>
      <c r="H627">
        <v>1456</v>
      </c>
      <c r="I627">
        <v>1</v>
      </c>
      <c r="J627">
        <v>1</v>
      </c>
      <c r="K627" t="s">
        <v>6842</v>
      </c>
      <c r="L627" t="s">
        <v>101</v>
      </c>
      <c r="M627" t="s">
        <v>39</v>
      </c>
      <c r="N627">
        <v>0.97940000000000005</v>
      </c>
      <c r="O627" s="1">
        <v>1</v>
      </c>
      <c r="P627" t="s">
        <v>6843</v>
      </c>
      <c r="Q627" t="s">
        <v>6844</v>
      </c>
      <c r="R627" t="s">
        <v>6845</v>
      </c>
      <c r="S627" t="s">
        <v>166</v>
      </c>
      <c r="T627" t="s">
        <v>2180</v>
      </c>
      <c r="U627" t="s">
        <v>6846</v>
      </c>
      <c r="V627">
        <v>8</v>
      </c>
      <c r="W627" t="s">
        <v>6846</v>
      </c>
      <c r="Y627">
        <v>136</v>
      </c>
      <c r="Z627" t="s">
        <v>107</v>
      </c>
      <c r="AA627">
        <v>1</v>
      </c>
      <c r="AB627" t="s">
        <v>6847</v>
      </c>
      <c r="AC627">
        <v>1205</v>
      </c>
      <c r="AD627" t="s">
        <v>6848</v>
      </c>
      <c r="AE627" t="s">
        <v>4332</v>
      </c>
      <c r="AF627" t="s">
        <v>6849</v>
      </c>
      <c r="AG627" t="s">
        <v>6850</v>
      </c>
      <c r="AH627" t="str">
        <f>HYPERLINK("http://compartments.jensenlab.org/Entity?figures=subcell_cell_%&amp;knowledge=10&amp;textmining=10&amp;experiments=10&amp;predictions=10&amp;type1=9606&amp;type2=-22&amp;id1=ENSP00000455897","link")</f>
        <v>link</v>
      </c>
      <c r="AK627" t="str">
        <f>HYPERLINK("http://www.proteinatlas.org/P22897","no")</f>
        <v>no</v>
      </c>
      <c r="AM627">
        <v>4360</v>
      </c>
    </row>
    <row r="628" spans="1:39" x14ac:dyDescent="0.35">
      <c r="A628" t="s">
        <v>6851</v>
      </c>
      <c r="B628" t="str">
        <f>HYPERLINK("http://www.uniprot.org/uniprot/P23229","P23229")</f>
        <v>P23229</v>
      </c>
      <c r="C628" t="s">
        <v>6852</v>
      </c>
      <c r="D628" t="s">
        <v>6853</v>
      </c>
      <c r="E628" t="s">
        <v>39</v>
      </c>
      <c r="F628" t="s">
        <v>55</v>
      </c>
      <c r="H628">
        <v>1130</v>
      </c>
      <c r="I628">
        <v>1</v>
      </c>
      <c r="J628">
        <v>1</v>
      </c>
      <c r="K628" t="s">
        <v>6854</v>
      </c>
      <c r="L628" t="s">
        <v>101</v>
      </c>
      <c r="M628" t="s">
        <v>39</v>
      </c>
      <c r="N628">
        <v>0.9405</v>
      </c>
      <c r="O628" s="1">
        <v>1</v>
      </c>
      <c r="P628" t="s">
        <v>6855</v>
      </c>
      <c r="Q628" t="s">
        <v>6856</v>
      </c>
      <c r="R628" t="s">
        <v>6857</v>
      </c>
      <c r="S628" t="s">
        <v>166</v>
      </c>
      <c r="T628" t="s">
        <v>2763</v>
      </c>
      <c r="U628" t="s">
        <v>6858</v>
      </c>
      <c r="V628">
        <v>9</v>
      </c>
      <c r="W628" t="s">
        <v>6859</v>
      </c>
      <c r="X628" t="s">
        <v>6860</v>
      </c>
      <c r="Z628" t="s">
        <v>107</v>
      </c>
      <c r="AA628">
        <v>21</v>
      </c>
      <c r="AB628" t="s">
        <v>6861</v>
      </c>
      <c r="AC628" t="s">
        <v>6862</v>
      </c>
      <c r="AD628" t="s">
        <v>6863</v>
      </c>
      <c r="AE628" t="s">
        <v>6864</v>
      </c>
      <c r="AF628" t="s">
        <v>6865</v>
      </c>
      <c r="AG628" t="s">
        <v>6866</v>
      </c>
      <c r="AH628" t="str">
        <f>HYPERLINK("http://compartments.jensenlab.org/Entity?figures=subcell_cell_%&amp;knowledge=10&amp;textmining=10&amp;experiments=10&amp;predictions=10&amp;type1=9606&amp;type2=-22&amp;id1=ENSP00000406694","link")</f>
        <v>link</v>
      </c>
      <c r="AK628" t="str">
        <f>HYPERLINK("http://www.proteinatlas.org/P23229","CAB009009;HPA012696;HPA027582")</f>
        <v>CAB009009;HPA012696;HPA027582</v>
      </c>
      <c r="AM628">
        <v>3655</v>
      </c>
    </row>
    <row r="629" spans="1:39" x14ac:dyDescent="0.35">
      <c r="A629" t="s">
        <v>6867</v>
      </c>
      <c r="B629" t="str">
        <f>HYPERLINK("http://www.uniprot.org/uniprot/P23276","P23276")</f>
        <v>P23276</v>
      </c>
      <c r="C629" t="s">
        <v>6868</v>
      </c>
      <c r="D629" t="s">
        <v>6869</v>
      </c>
      <c r="E629" t="s">
        <v>39</v>
      </c>
      <c r="F629" t="s">
        <v>55</v>
      </c>
      <c r="H629">
        <v>732</v>
      </c>
      <c r="I629">
        <v>1</v>
      </c>
      <c r="J629">
        <v>0</v>
      </c>
      <c r="K629" t="s">
        <v>6870</v>
      </c>
      <c r="L629" t="s">
        <v>57</v>
      </c>
      <c r="M629" t="s">
        <v>39</v>
      </c>
      <c r="N629">
        <v>0.29570000000000002</v>
      </c>
      <c r="O629" s="1"/>
      <c r="P629" t="s">
        <v>6871</v>
      </c>
      <c r="Q629" t="s">
        <v>6872</v>
      </c>
      <c r="R629" t="s">
        <v>6873</v>
      </c>
      <c r="S629" t="s">
        <v>947</v>
      </c>
      <c r="T629" t="s">
        <v>1208</v>
      </c>
      <c r="U629" t="s">
        <v>6874</v>
      </c>
      <c r="V629">
        <v>5</v>
      </c>
      <c r="AE629" t="s">
        <v>764</v>
      </c>
      <c r="AF629" t="s">
        <v>6875</v>
      </c>
      <c r="AG629" t="s">
        <v>6876</v>
      </c>
      <c r="AH629" t="str">
        <f>HYPERLINK("http://compartments.jensenlab.org/Entity?figures=subcell_cell_%&amp;knowledge=10&amp;textmining=10&amp;experiments=10&amp;predictions=10&amp;type1=9606&amp;type2=-22&amp;id1=ENSP00000347409","link")</f>
        <v>link</v>
      </c>
      <c r="AI629" t="s">
        <v>65</v>
      </c>
      <c r="AJ629" t="s">
        <v>51</v>
      </c>
      <c r="AK629" t="str">
        <f>HYPERLINK("http://www.proteinatlas.org/P23276","HPA042391")</f>
        <v>HPA042391</v>
      </c>
      <c r="AM629">
        <v>3792</v>
      </c>
    </row>
    <row r="630" spans="1:39" x14ac:dyDescent="0.35">
      <c r="A630" t="s">
        <v>6877</v>
      </c>
      <c r="B630" t="str">
        <f>HYPERLINK("http://www.uniprot.org/uniprot/P23415","P23415")</f>
        <v>P23415</v>
      </c>
      <c r="C630" t="s">
        <v>6878</v>
      </c>
      <c r="D630" t="s">
        <v>6879</v>
      </c>
      <c r="E630" t="s">
        <v>39</v>
      </c>
      <c r="F630" t="s">
        <v>40</v>
      </c>
      <c r="H630">
        <v>457</v>
      </c>
      <c r="I630">
        <v>4</v>
      </c>
      <c r="J630">
        <v>1</v>
      </c>
      <c r="K630" t="s">
        <v>6880</v>
      </c>
      <c r="L630" t="s">
        <v>57</v>
      </c>
      <c r="N630">
        <v>0.75649999999999995</v>
      </c>
      <c r="O630" s="1">
        <v>1</v>
      </c>
      <c r="P630" t="s">
        <v>6881</v>
      </c>
      <c r="Q630" t="s">
        <v>6882</v>
      </c>
      <c r="S630" t="s">
        <v>45</v>
      </c>
      <c r="T630" t="s">
        <v>195</v>
      </c>
      <c r="U630" t="s">
        <v>6883</v>
      </c>
      <c r="V630">
        <v>1</v>
      </c>
      <c r="W630" t="s">
        <v>6883</v>
      </c>
      <c r="AE630" t="s">
        <v>619</v>
      </c>
      <c r="AF630" t="s">
        <v>6884</v>
      </c>
      <c r="AG630" t="s">
        <v>6885</v>
      </c>
      <c r="AH630" t="str">
        <f>HYPERLINK("http://compartments.jensenlab.org/Entity?figures=subcell_cell_%&amp;knowledge=10&amp;textmining=10&amp;experiments=10&amp;predictions=10&amp;type1=9606&amp;type2=-22&amp;id1=ENSP00000411593","link")</f>
        <v>link</v>
      </c>
      <c r="AK630" t="str">
        <f>HYPERLINK("http://www.proteinatlas.org/P23415","HPA016502")</f>
        <v>HPA016502</v>
      </c>
      <c r="AL630" t="s">
        <v>6886</v>
      </c>
      <c r="AM630">
        <v>2741</v>
      </c>
    </row>
    <row r="631" spans="1:39" x14ac:dyDescent="0.35">
      <c r="A631" t="s">
        <v>6887</v>
      </c>
      <c r="B631" t="str">
        <f>HYPERLINK("http://www.uniprot.org/uniprot/P23416","P23416")</f>
        <v>P23416</v>
      </c>
      <c r="C631" t="s">
        <v>6888</v>
      </c>
      <c r="D631" t="s">
        <v>6889</v>
      </c>
      <c r="E631" t="s">
        <v>39</v>
      </c>
      <c r="F631" t="s">
        <v>55</v>
      </c>
      <c r="H631">
        <v>452</v>
      </c>
      <c r="I631">
        <v>4</v>
      </c>
      <c r="J631">
        <v>1</v>
      </c>
      <c r="K631" t="s">
        <v>6890</v>
      </c>
      <c r="L631" t="s">
        <v>57</v>
      </c>
      <c r="M631" t="s">
        <v>39</v>
      </c>
      <c r="N631">
        <v>0.90580000000000005</v>
      </c>
      <c r="O631" s="1">
        <v>1</v>
      </c>
      <c r="P631" t="s">
        <v>6891</v>
      </c>
      <c r="Q631" t="s">
        <v>6892</v>
      </c>
      <c r="S631" t="s">
        <v>45</v>
      </c>
      <c r="T631" t="s">
        <v>195</v>
      </c>
      <c r="U631" t="s">
        <v>6893</v>
      </c>
      <c r="V631">
        <v>2</v>
      </c>
      <c r="W631">
        <v>72</v>
      </c>
      <c r="AE631" t="s">
        <v>619</v>
      </c>
      <c r="AF631" t="s">
        <v>2633</v>
      </c>
      <c r="AG631" t="s">
        <v>6894</v>
      </c>
      <c r="AH631" t="str">
        <f>HYPERLINK("http://compartments.jensenlab.org/Entity?figures=subcell_cell_%&amp;knowledge=10&amp;textmining=10&amp;experiments=10&amp;predictions=10&amp;type1=9606&amp;type2=-22&amp;id1=ENSP00000218075","link")</f>
        <v>link</v>
      </c>
      <c r="AI631" t="s">
        <v>65</v>
      </c>
      <c r="AJ631" t="s">
        <v>51</v>
      </c>
      <c r="AK631" t="str">
        <f>HYPERLINK("http://www.proteinatlas.org/P23416","HPA053525;HPA060526")</f>
        <v>HPA053525;HPA060526</v>
      </c>
      <c r="AL631" t="s">
        <v>6895</v>
      </c>
      <c r="AM631">
        <v>2742</v>
      </c>
    </row>
    <row r="632" spans="1:39" x14ac:dyDescent="0.35">
      <c r="A632" t="s">
        <v>6896</v>
      </c>
      <c r="B632" t="str">
        <f>HYPERLINK("http://www.uniprot.org/uniprot/P23467","P23467")</f>
        <v>P23467</v>
      </c>
      <c r="C632" t="s">
        <v>6897</v>
      </c>
      <c r="D632" t="s">
        <v>6898</v>
      </c>
      <c r="E632" t="s">
        <v>39</v>
      </c>
      <c r="F632" t="s">
        <v>40</v>
      </c>
      <c r="H632">
        <v>1997</v>
      </c>
      <c r="I632">
        <v>1</v>
      </c>
      <c r="J632">
        <v>1</v>
      </c>
      <c r="K632" t="s">
        <v>6899</v>
      </c>
      <c r="L632" t="s">
        <v>101</v>
      </c>
      <c r="N632">
        <v>0.96209999999999996</v>
      </c>
      <c r="O632" s="1">
        <v>1</v>
      </c>
      <c r="P632" t="s">
        <v>6900</v>
      </c>
      <c r="Q632" t="s">
        <v>6901</v>
      </c>
      <c r="S632" t="s">
        <v>166</v>
      </c>
      <c r="T632" t="s">
        <v>1161</v>
      </c>
      <c r="U632" t="s">
        <v>6902</v>
      </c>
      <c r="V632">
        <v>28</v>
      </c>
      <c r="W632" t="s">
        <v>6903</v>
      </c>
      <c r="Y632">
        <v>1191</v>
      </c>
      <c r="Z632" t="s">
        <v>107</v>
      </c>
      <c r="AA632">
        <v>2</v>
      </c>
      <c r="AB632" t="s">
        <v>6904</v>
      </c>
      <c r="AC632" t="s">
        <v>6905</v>
      </c>
      <c r="AD632" t="s">
        <v>6906</v>
      </c>
      <c r="AE632" t="s">
        <v>144</v>
      </c>
      <c r="AF632" t="s">
        <v>6907</v>
      </c>
      <c r="AG632" t="s">
        <v>6908</v>
      </c>
      <c r="AH632" t="str">
        <f>HYPERLINK("http://compartments.jensenlab.org/Entity?figures=subcell_cell_%&amp;knowledge=10&amp;textmining=10&amp;experiments=10&amp;predictions=10&amp;type1=9606&amp;type2=-22&amp;id1=ENSP00000261266","link")</f>
        <v>link</v>
      </c>
      <c r="AK632" t="str">
        <f>HYPERLINK("http://www.proteinatlas.org/P23467","CAB004782")</f>
        <v>CAB004782</v>
      </c>
      <c r="AM632">
        <v>5787</v>
      </c>
    </row>
    <row r="633" spans="1:39" x14ac:dyDescent="0.35">
      <c r="A633" t="s">
        <v>6909</v>
      </c>
      <c r="B633" t="str">
        <f>HYPERLINK("http://www.uniprot.org/uniprot/P23468","P23468")</f>
        <v>P23468</v>
      </c>
      <c r="C633" t="s">
        <v>6910</v>
      </c>
      <c r="D633" t="s">
        <v>6911</v>
      </c>
      <c r="E633" t="s">
        <v>39</v>
      </c>
      <c r="F633" t="s">
        <v>40</v>
      </c>
      <c r="H633">
        <v>1912</v>
      </c>
      <c r="I633">
        <v>1</v>
      </c>
      <c r="J633">
        <v>1</v>
      </c>
      <c r="K633" t="s">
        <v>6912</v>
      </c>
      <c r="L633" t="s">
        <v>101</v>
      </c>
      <c r="N633">
        <v>0.9022</v>
      </c>
      <c r="O633" s="1">
        <v>1</v>
      </c>
      <c r="P633" t="s">
        <v>6913</v>
      </c>
      <c r="Q633" t="s">
        <v>6914</v>
      </c>
      <c r="S633" t="s">
        <v>166</v>
      </c>
      <c r="T633" t="s">
        <v>1161</v>
      </c>
      <c r="U633" t="s">
        <v>6915</v>
      </c>
      <c r="V633">
        <v>4</v>
      </c>
      <c r="W633" t="s">
        <v>6916</v>
      </c>
      <c r="Z633" t="s">
        <v>107</v>
      </c>
      <c r="AA633">
        <v>1</v>
      </c>
      <c r="AB633" t="s">
        <v>6917</v>
      </c>
      <c r="AC633">
        <v>724</v>
      </c>
      <c r="AD633" t="s">
        <v>6918</v>
      </c>
      <c r="AE633" t="s">
        <v>144</v>
      </c>
      <c r="AF633" t="s">
        <v>1163</v>
      </c>
      <c r="AG633" t="s">
        <v>6919</v>
      </c>
      <c r="AH633" t="str">
        <f>HYPERLINK("http://compartments.jensenlab.org/Entity?figures=subcell_cell_%&amp;knowledge=10&amp;textmining=10&amp;experiments=10&amp;predictions=10&amp;type1=9606&amp;type2=-22&amp;id1=ENSP00000348812","link")</f>
        <v>link</v>
      </c>
      <c r="AJ633" t="s">
        <v>51</v>
      </c>
      <c r="AK633" t="str">
        <f>HYPERLINK("http://www.proteinatlas.org/P23468","CAB026474")</f>
        <v>CAB026474</v>
      </c>
      <c r="AM633">
        <v>5789</v>
      </c>
    </row>
    <row r="634" spans="1:39" x14ac:dyDescent="0.35">
      <c r="A634" t="s">
        <v>6920</v>
      </c>
      <c r="B634" t="str">
        <f>HYPERLINK("http://www.uniprot.org/uniprot/P23470","P23470")</f>
        <v>P23470</v>
      </c>
      <c r="C634" t="s">
        <v>6921</v>
      </c>
      <c r="D634" t="s">
        <v>6922</v>
      </c>
      <c r="E634" t="s">
        <v>39</v>
      </c>
      <c r="F634" t="s">
        <v>40</v>
      </c>
      <c r="H634">
        <v>1445</v>
      </c>
      <c r="I634">
        <v>1</v>
      </c>
      <c r="J634">
        <v>1</v>
      </c>
      <c r="K634" t="s">
        <v>6923</v>
      </c>
      <c r="L634" t="s">
        <v>101</v>
      </c>
      <c r="N634">
        <v>0.97599999999999998</v>
      </c>
      <c r="O634" s="1">
        <v>1</v>
      </c>
      <c r="P634" t="s">
        <v>6924</v>
      </c>
      <c r="Q634" t="s">
        <v>6925</v>
      </c>
      <c r="S634" t="s">
        <v>166</v>
      </c>
      <c r="T634" t="s">
        <v>1161</v>
      </c>
      <c r="U634" t="s">
        <v>6926</v>
      </c>
      <c r="V634">
        <v>8</v>
      </c>
      <c r="W634" t="s">
        <v>6927</v>
      </c>
      <c r="Z634" t="s">
        <v>107</v>
      </c>
      <c r="AA634">
        <v>7</v>
      </c>
      <c r="AB634" t="s">
        <v>6928</v>
      </c>
      <c r="AC634" t="s">
        <v>6929</v>
      </c>
      <c r="AD634" t="s">
        <v>6930</v>
      </c>
      <c r="AE634" t="s">
        <v>144</v>
      </c>
      <c r="AF634" t="s">
        <v>6931</v>
      </c>
      <c r="AG634" t="s">
        <v>6932</v>
      </c>
      <c r="AH634" t="str">
        <f>HYPERLINK("http://compartments.jensenlab.org/Entity?figures=subcell_cell_%&amp;knowledge=10&amp;textmining=10&amp;experiments=10&amp;predictions=10&amp;type1=9606&amp;type2=-22&amp;id1=ENSP00000418112","link")</f>
        <v>link</v>
      </c>
      <c r="AJ634" t="s">
        <v>51</v>
      </c>
      <c r="AK634" t="str">
        <f>HYPERLINK("http://www.proteinatlas.org/P23470","no")</f>
        <v>no</v>
      </c>
      <c r="AM634">
        <v>5793</v>
      </c>
    </row>
    <row r="635" spans="1:39" x14ac:dyDescent="0.35">
      <c r="A635" t="s">
        <v>6933</v>
      </c>
      <c r="B635" t="str">
        <f>HYPERLINK("http://www.uniprot.org/uniprot/P23471","P23471")</f>
        <v>P23471</v>
      </c>
      <c r="C635" t="s">
        <v>6934</v>
      </c>
      <c r="D635" t="s">
        <v>6935</v>
      </c>
      <c r="E635" t="s">
        <v>39</v>
      </c>
      <c r="F635" t="s">
        <v>55</v>
      </c>
      <c r="H635">
        <v>2315</v>
      </c>
      <c r="I635">
        <v>1</v>
      </c>
      <c r="J635">
        <v>1</v>
      </c>
      <c r="K635" t="s">
        <v>6936</v>
      </c>
      <c r="L635" t="s">
        <v>101</v>
      </c>
      <c r="M635" t="s">
        <v>39</v>
      </c>
      <c r="N635">
        <v>0.98429999999999995</v>
      </c>
      <c r="O635" s="1">
        <v>1</v>
      </c>
      <c r="P635" t="s">
        <v>6937</v>
      </c>
      <c r="Q635" t="s">
        <v>6938</v>
      </c>
      <c r="S635" t="s">
        <v>166</v>
      </c>
      <c r="T635" t="s">
        <v>1161</v>
      </c>
      <c r="U635" t="s">
        <v>6939</v>
      </c>
      <c r="V635">
        <v>21</v>
      </c>
      <c r="W635" t="s">
        <v>6940</v>
      </c>
      <c r="Z635" t="s">
        <v>107</v>
      </c>
      <c r="AA635">
        <v>5</v>
      </c>
      <c r="AB635" t="s">
        <v>6941</v>
      </c>
      <c r="AC635" t="s">
        <v>6942</v>
      </c>
      <c r="AD635" t="s">
        <v>6943</v>
      </c>
      <c r="AE635" t="s">
        <v>1700</v>
      </c>
      <c r="AF635" t="s">
        <v>6944</v>
      </c>
      <c r="AG635" t="s">
        <v>6945</v>
      </c>
      <c r="AH635" t="str">
        <f>HYPERLINK("http://compartments.jensenlab.org/Entity?figures=subcell_cell_%&amp;knowledge=10&amp;textmining=10&amp;experiments=10&amp;predictions=10&amp;type1=9606&amp;type2=-22&amp;id1=ENSP00000377047","link")</f>
        <v>link</v>
      </c>
      <c r="AJ635" t="s">
        <v>902</v>
      </c>
      <c r="AK635" t="str">
        <f>HYPERLINK("http://www.proteinatlas.org/P23471","HPA015103;CAB025106")</f>
        <v>HPA015103;CAB025106</v>
      </c>
      <c r="AM635">
        <v>5803</v>
      </c>
    </row>
    <row r="636" spans="1:39" x14ac:dyDescent="0.35">
      <c r="A636" t="s">
        <v>6946</v>
      </c>
      <c r="B636" t="str">
        <f>HYPERLINK("http://www.uniprot.org/uniprot/P23510","P23510")</f>
        <v>P23510</v>
      </c>
      <c r="C636" t="s">
        <v>6947</v>
      </c>
      <c r="D636" t="s">
        <v>6948</v>
      </c>
      <c r="E636" t="s">
        <v>39</v>
      </c>
      <c r="F636" t="s">
        <v>40</v>
      </c>
      <c r="H636">
        <v>183</v>
      </c>
      <c r="I636">
        <v>1</v>
      </c>
      <c r="J636">
        <v>0</v>
      </c>
      <c r="K636" t="s">
        <v>6949</v>
      </c>
      <c r="L636" t="s">
        <v>57</v>
      </c>
      <c r="N636">
        <v>0.67469999999999997</v>
      </c>
      <c r="O636" s="1">
        <v>2</v>
      </c>
      <c r="P636" t="s">
        <v>6950</v>
      </c>
      <c r="Q636" t="s">
        <v>6951</v>
      </c>
      <c r="R636" t="s">
        <v>6952</v>
      </c>
      <c r="S636" t="s">
        <v>60</v>
      </c>
      <c r="T636" t="s">
        <v>60</v>
      </c>
      <c r="U636" t="s">
        <v>6953</v>
      </c>
      <c r="V636">
        <v>4</v>
      </c>
      <c r="W636" t="s">
        <v>6953</v>
      </c>
      <c r="AE636" t="s">
        <v>359</v>
      </c>
      <c r="AF636" t="s">
        <v>6954</v>
      </c>
      <c r="AG636" t="s">
        <v>6955</v>
      </c>
      <c r="AH636" t="str">
        <f>HYPERLINK("http://compartments.jensenlab.org/Entity?figures=subcell_cell_%&amp;knowledge=10&amp;textmining=10&amp;experiments=10&amp;predictions=10&amp;type1=9606&amp;type2=-22&amp;id1=ENSP00000281834","link")</f>
        <v>link</v>
      </c>
      <c r="AJ636" t="s">
        <v>902</v>
      </c>
      <c r="AK636" t="str">
        <f>HYPERLINK("http://www.proteinatlas.org/P23510","HPA059579")</f>
        <v>HPA059579</v>
      </c>
      <c r="AM636">
        <v>7292</v>
      </c>
    </row>
    <row r="637" spans="1:39" x14ac:dyDescent="0.35">
      <c r="A637" t="s">
        <v>6956</v>
      </c>
      <c r="B637" t="str">
        <f>HYPERLINK("http://www.uniprot.org/uniprot/P23515","P23515")</f>
        <v>P23515</v>
      </c>
      <c r="C637" t="s">
        <v>6957</v>
      </c>
      <c r="D637" t="s">
        <v>6958</v>
      </c>
      <c r="E637" t="s">
        <v>39</v>
      </c>
      <c r="F637" t="s">
        <v>239</v>
      </c>
      <c r="H637">
        <v>440</v>
      </c>
      <c r="I637">
        <v>0</v>
      </c>
      <c r="J637">
        <v>1</v>
      </c>
      <c r="K637" t="s">
        <v>6959</v>
      </c>
      <c r="L637" t="s">
        <v>57</v>
      </c>
      <c r="N637">
        <v>0.74250000000000005</v>
      </c>
      <c r="O637" s="1" t="s">
        <v>241</v>
      </c>
      <c r="P637" t="s">
        <v>6960</v>
      </c>
      <c r="Q637" t="s">
        <v>6961</v>
      </c>
      <c r="U637" t="s">
        <v>6962</v>
      </c>
      <c r="V637">
        <v>11</v>
      </c>
      <c r="W637" t="s">
        <v>6962</v>
      </c>
      <c r="AE637" t="s">
        <v>243</v>
      </c>
      <c r="AF637" t="s">
        <v>6963</v>
      </c>
      <c r="AG637" t="s">
        <v>6964</v>
      </c>
      <c r="AH637" t="str">
        <f>HYPERLINK("http://compartments.jensenlab.org/Entity?figures=subcell_cell_%&amp;knowledge=10&amp;textmining=10&amp;experiments=10&amp;predictions=10&amp;type1=9606&amp;type2=-22&amp;id1=ENSP00000247271","link")</f>
        <v>link</v>
      </c>
      <c r="AI637" t="s">
        <v>65</v>
      </c>
      <c r="AJ637" t="s">
        <v>51</v>
      </c>
      <c r="AK637" t="str">
        <f>HYPERLINK("http://www.proteinatlas.org/P23515","HPA008206;HPA012693")</f>
        <v>HPA008206;HPA012693</v>
      </c>
      <c r="AM637">
        <v>4974</v>
      </c>
    </row>
    <row r="638" spans="1:39" x14ac:dyDescent="0.35">
      <c r="A638" t="s">
        <v>6965</v>
      </c>
      <c r="B638" t="str">
        <f>HYPERLINK("http://www.uniprot.org/uniprot/P23634","P23634")</f>
        <v>P23634</v>
      </c>
      <c r="C638" t="s">
        <v>6966</v>
      </c>
      <c r="D638" t="s">
        <v>6967</v>
      </c>
      <c r="E638" t="s">
        <v>39</v>
      </c>
      <c r="F638" t="s">
        <v>40</v>
      </c>
      <c r="H638">
        <v>1241</v>
      </c>
      <c r="I638">
        <v>10</v>
      </c>
      <c r="J638">
        <v>0</v>
      </c>
      <c r="K638" t="s">
        <v>6968</v>
      </c>
      <c r="L638" t="s">
        <v>57</v>
      </c>
      <c r="N638">
        <v>0.6048</v>
      </c>
      <c r="O638" s="1">
        <v>2</v>
      </c>
      <c r="P638" t="s">
        <v>6969</v>
      </c>
      <c r="S638" t="s">
        <v>45</v>
      </c>
      <c r="T638" t="s">
        <v>3982</v>
      </c>
      <c r="U638" t="s">
        <v>6970</v>
      </c>
      <c r="V638">
        <v>0</v>
      </c>
      <c r="W638" t="s">
        <v>6970</v>
      </c>
      <c r="AE638" t="s">
        <v>74</v>
      </c>
      <c r="AF638" t="s">
        <v>6971</v>
      </c>
      <c r="AG638" t="s">
        <v>6972</v>
      </c>
      <c r="AK638" t="str">
        <f>HYPERLINK("http://www.proteinatlas.org/P23634","CAB016118;HPA040431")</f>
        <v>CAB016118;HPA040431</v>
      </c>
      <c r="AM638">
        <v>493</v>
      </c>
    </row>
    <row r="639" spans="1:39" x14ac:dyDescent="0.35">
      <c r="A639" t="s">
        <v>6973</v>
      </c>
      <c r="B639" t="str">
        <f>HYPERLINK("http://www.uniprot.org/uniprot/P23942","P23942")</f>
        <v>P23942</v>
      </c>
      <c r="C639" t="s">
        <v>6974</v>
      </c>
      <c r="D639" t="s">
        <v>6975</v>
      </c>
      <c r="E639" t="s">
        <v>39</v>
      </c>
      <c r="F639" t="s">
        <v>40</v>
      </c>
      <c r="H639">
        <v>346</v>
      </c>
      <c r="I639">
        <v>4</v>
      </c>
      <c r="J639">
        <v>0</v>
      </c>
      <c r="K639" t="s">
        <v>6976</v>
      </c>
      <c r="L639" t="s">
        <v>57</v>
      </c>
      <c r="N639">
        <v>0.58879999999999999</v>
      </c>
      <c r="O639" s="1">
        <v>2</v>
      </c>
      <c r="P639" t="s">
        <v>6977</v>
      </c>
      <c r="Q639" t="s">
        <v>6978</v>
      </c>
      <c r="S639" t="s">
        <v>91</v>
      </c>
      <c r="T639" t="s">
        <v>135</v>
      </c>
      <c r="U639" t="s">
        <v>6979</v>
      </c>
      <c r="V639">
        <v>2</v>
      </c>
      <c r="Y639">
        <v>94</v>
      </c>
      <c r="AE639" t="s">
        <v>48</v>
      </c>
      <c r="AF639" t="s">
        <v>6980</v>
      </c>
      <c r="AG639" t="s">
        <v>6981</v>
      </c>
      <c r="AH639" t="str">
        <f>HYPERLINK("http://compartments.jensenlab.org/Entity?figures=subcell_cell_%&amp;knowledge=10&amp;textmining=10&amp;experiments=10&amp;predictions=10&amp;type1=9606&amp;type2=-22&amp;id1=ENSP00000230381","link")</f>
        <v>link</v>
      </c>
      <c r="AJ639" t="s">
        <v>51</v>
      </c>
      <c r="AK639" t="str">
        <f>HYPERLINK("http://www.proteinatlas.org/P23942","HPA029458")</f>
        <v>HPA029458</v>
      </c>
      <c r="AM639">
        <v>5961</v>
      </c>
    </row>
    <row r="640" spans="1:39" x14ac:dyDescent="0.35">
      <c r="A640" t="s">
        <v>6982</v>
      </c>
      <c r="B640" t="str">
        <f>HYPERLINK("http://www.uniprot.org/uniprot/P23945","P23945")</f>
        <v>P23945</v>
      </c>
      <c r="C640" t="s">
        <v>6983</v>
      </c>
      <c r="D640" t="s">
        <v>6984</v>
      </c>
      <c r="E640" t="s">
        <v>39</v>
      </c>
      <c r="F640" t="s">
        <v>40</v>
      </c>
      <c r="H640">
        <v>695</v>
      </c>
      <c r="I640">
        <v>7</v>
      </c>
      <c r="J640">
        <v>1</v>
      </c>
      <c r="K640" t="s">
        <v>6985</v>
      </c>
      <c r="L640" t="s">
        <v>57</v>
      </c>
      <c r="N640">
        <v>0.97799999999999998</v>
      </c>
      <c r="O640" s="1">
        <v>1</v>
      </c>
      <c r="P640" t="s">
        <v>6986</v>
      </c>
      <c r="Q640" t="s">
        <v>6987</v>
      </c>
      <c r="S640" t="s">
        <v>166</v>
      </c>
      <c r="T640" t="s">
        <v>838</v>
      </c>
      <c r="U640" t="s">
        <v>6988</v>
      </c>
      <c r="V640">
        <v>4</v>
      </c>
      <c r="AE640" t="s">
        <v>74</v>
      </c>
      <c r="AF640" t="s">
        <v>6989</v>
      </c>
      <c r="AG640" t="s">
        <v>6990</v>
      </c>
      <c r="AH640" t="str">
        <f>HYPERLINK("http://compartments.jensenlab.org/Entity?figures=subcell_cell_%&amp;knowledge=10&amp;textmining=10&amp;experiments=10&amp;predictions=10&amp;type1=9606&amp;type2=-22&amp;id1=ENSP00000306780","link")</f>
        <v>link</v>
      </c>
      <c r="AK640" t="str">
        <f>HYPERLINK("http://www.proteinatlas.org/P23945","no")</f>
        <v>no</v>
      </c>
      <c r="AL640" t="s">
        <v>6991</v>
      </c>
      <c r="AM640">
        <v>2492</v>
      </c>
    </row>
    <row r="641" spans="1:39" x14ac:dyDescent="0.35">
      <c r="A641" t="s">
        <v>6992</v>
      </c>
      <c r="B641" t="str">
        <f>HYPERLINK("http://www.uniprot.org/uniprot/P23975","P23975")</f>
        <v>P23975</v>
      </c>
      <c r="C641" t="s">
        <v>6993</v>
      </c>
      <c r="D641" t="s">
        <v>6994</v>
      </c>
      <c r="E641" t="s">
        <v>39</v>
      </c>
      <c r="F641" t="s">
        <v>40</v>
      </c>
      <c r="H641">
        <v>617</v>
      </c>
      <c r="I641">
        <v>12</v>
      </c>
      <c r="J641">
        <v>0</v>
      </c>
      <c r="K641" t="s">
        <v>6995</v>
      </c>
      <c r="L641" t="s">
        <v>101</v>
      </c>
      <c r="N641">
        <v>0.85029999999999994</v>
      </c>
      <c r="O641" s="1">
        <v>1</v>
      </c>
      <c r="P641" t="s">
        <v>6996</v>
      </c>
      <c r="Q641" t="s">
        <v>6997</v>
      </c>
      <c r="S641" t="s">
        <v>45</v>
      </c>
      <c r="T641" t="s">
        <v>6998</v>
      </c>
      <c r="U641" t="s">
        <v>6999</v>
      </c>
      <c r="V641">
        <v>3</v>
      </c>
      <c r="W641" t="s">
        <v>7000</v>
      </c>
      <c r="Y641" t="s">
        <v>7001</v>
      </c>
      <c r="Z641" t="s">
        <v>123</v>
      </c>
      <c r="AA641">
        <v>1</v>
      </c>
      <c r="AB641" t="s">
        <v>7002</v>
      </c>
      <c r="AC641" t="s">
        <v>7003</v>
      </c>
      <c r="AD641" t="s">
        <v>7004</v>
      </c>
      <c r="AE641" t="s">
        <v>48</v>
      </c>
      <c r="AF641" t="s">
        <v>7005</v>
      </c>
      <c r="AG641" t="s">
        <v>7006</v>
      </c>
      <c r="AH641" t="str">
        <f>HYPERLINK("http://compartments.jensenlab.org/Entity?figures=subcell_cell_%&amp;knowledge=10&amp;textmining=10&amp;experiments=10&amp;predictions=10&amp;type1=9606&amp;type2=-22&amp;id1=ENSP00000369237","link")</f>
        <v>link</v>
      </c>
      <c r="AJ641" t="s">
        <v>51</v>
      </c>
      <c r="AK641" t="str">
        <f>HYPERLINK("http://www.proteinatlas.org/P23975","no")</f>
        <v>no</v>
      </c>
      <c r="AL641" t="s">
        <v>7007</v>
      </c>
      <c r="AM641">
        <v>6530</v>
      </c>
    </row>
    <row r="642" spans="1:39" x14ac:dyDescent="0.35">
      <c r="A642" t="s">
        <v>7008</v>
      </c>
      <c r="B642" t="str">
        <f>HYPERLINK("http://www.uniprot.org/uniprot/P24046","P24046")</f>
        <v>P24046</v>
      </c>
      <c r="C642" t="s">
        <v>7009</v>
      </c>
      <c r="D642" t="s">
        <v>7010</v>
      </c>
      <c r="E642" t="s">
        <v>39</v>
      </c>
      <c r="F642" t="s">
        <v>55</v>
      </c>
      <c r="H642">
        <v>479</v>
      </c>
      <c r="I642">
        <v>4</v>
      </c>
      <c r="J642">
        <v>1</v>
      </c>
      <c r="K642" t="s">
        <v>7011</v>
      </c>
      <c r="L642" t="s">
        <v>57</v>
      </c>
      <c r="M642" t="s">
        <v>39</v>
      </c>
      <c r="N642">
        <v>0.84750000000000003</v>
      </c>
      <c r="O642" s="1">
        <v>1</v>
      </c>
      <c r="P642" t="s">
        <v>7012</v>
      </c>
      <c r="Q642" t="s">
        <v>7013</v>
      </c>
      <c r="S642" t="s">
        <v>45</v>
      </c>
      <c r="T642" t="s">
        <v>195</v>
      </c>
      <c r="U642" t="s">
        <v>7014</v>
      </c>
      <c r="V642">
        <v>3</v>
      </c>
      <c r="W642">
        <v>274</v>
      </c>
      <c r="Y642">
        <v>15</v>
      </c>
      <c r="AE642" t="s">
        <v>619</v>
      </c>
      <c r="AF642" t="s">
        <v>7015</v>
      </c>
      <c r="AG642" t="s">
        <v>7016</v>
      </c>
      <c r="AH642" t="str">
        <f>HYPERLINK("http://compartments.jensenlab.org/Entity?figures=subcell_cell_%&amp;knowledge=10&amp;textmining=10&amp;experiments=10&amp;predictions=10&amp;type1=9606&amp;type2=-22&amp;id1=ENSP00000412673","link")</f>
        <v>link</v>
      </c>
      <c r="AI642" t="s">
        <v>65</v>
      </c>
      <c r="AJ642" t="s">
        <v>51</v>
      </c>
      <c r="AK642" t="str">
        <f>HYPERLINK("http://www.proteinatlas.org/P24046","no")</f>
        <v>no</v>
      </c>
      <c r="AL642" t="s">
        <v>622</v>
      </c>
      <c r="AM642">
        <v>2569</v>
      </c>
    </row>
    <row r="643" spans="1:39" x14ac:dyDescent="0.35">
      <c r="A643" t="s">
        <v>7017</v>
      </c>
      <c r="B643" t="str">
        <f>HYPERLINK("http://www.uniprot.org/uniprot/P24071","P24071")</f>
        <v>P24071</v>
      </c>
      <c r="C643" t="s">
        <v>7018</v>
      </c>
      <c r="D643" t="s">
        <v>7019</v>
      </c>
      <c r="E643" t="s">
        <v>39</v>
      </c>
      <c r="F643" t="s">
        <v>55</v>
      </c>
      <c r="H643">
        <v>287</v>
      </c>
      <c r="I643">
        <v>1</v>
      </c>
      <c r="J643">
        <v>1</v>
      </c>
      <c r="K643" t="s">
        <v>7020</v>
      </c>
      <c r="L643" t="s">
        <v>101</v>
      </c>
      <c r="M643" t="s">
        <v>39</v>
      </c>
      <c r="N643">
        <v>0.76839999999999997</v>
      </c>
      <c r="O643" s="1">
        <v>1</v>
      </c>
      <c r="P643" t="s">
        <v>7021</v>
      </c>
      <c r="Q643" t="s">
        <v>7022</v>
      </c>
      <c r="R643" t="s">
        <v>7023</v>
      </c>
      <c r="S643" t="s">
        <v>60</v>
      </c>
      <c r="T643" t="s">
        <v>60</v>
      </c>
      <c r="U643" t="s">
        <v>7024</v>
      </c>
      <c r="V643">
        <v>6</v>
      </c>
      <c r="W643" t="s">
        <v>7024</v>
      </c>
      <c r="Z643" t="s">
        <v>107</v>
      </c>
      <c r="AA643">
        <v>5</v>
      </c>
      <c r="AB643" t="s">
        <v>7025</v>
      </c>
      <c r="AC643" t="s">
        <v>7026</v>
      </c>
      <c r="AD643" t="s">
        <v>7027</v>
      </c>
      <c r="AE643" t="s">
        <v>7028</v>
      </c>
      <c r="AF643" t="s">
        <v>7029</v>
      </c>
      <c r="AG643" t="s">
        <v>7030</v>
      </c>
      <c r="AH643" t="str">
        <f>HYPERLINK("http://compartments.jensenlab.org/Entity?figures=subcell_cell_%&amp;knowledge=10&amp;textmining=10&amp;experiments=10&amp;predictions=10&amp;type1=9606&amp;type2=-22&amp;id1=ENSP00000347714","link")</f>
        <v>link</v>
      </c>
      <c r="AI643" t="s">
        <v>1058</v>
      </c>
      <c r="AJ643" t="s">
        <v>902</v>
      </c>
      <c r="AK643" t="str">
        <f>HYPERLINK("http://www.proteinatlas.org/P24071","HPA014050")</f>
        <v>HPA014050</v>
      </c>
      <c r="AM643">
        <v>2204</v>
      </c>
    </row>
    <row r="644" spans="1:39" x14ac:dyDescent="0.35">
      <c r="A644" t="s">
        <v>7031</v>
      </c>
      <c r="B644" t="str">
        <f>HYPERLINK("http://www.uniprot.org/uniprot/P24394","P24394")</f>
        <v>P24394</v>
      </c>
      <c r="C644" t="s">
        <v>7032</v>
      </c>
      <c r="D644" t="s">
        <v>7033</v>
      </c>
      <c r="E644" t="s">
        <v>39</v>
      </c>
      <c r="F644" t="s">
        <v>55</v>
      </c>
      <c r="H644">
        <v>825</v>
      </c>
      <c r="I644">
        <v>1</v>
      </c>
      <c r="J644">
        <v>1</v>
      </c>
      <c r="K644" t="s">
        <v>7034</v>
      </c>
      <c r="L644" t="s">
        <v>101</v>
      </c>
      <c r="M644" t="s">
        <v>39</v>
      </c>
      <c r="N644">
        <v>0.90449999999999997</v>
      </c>
      <c r="O644" s="1">
        <v>1</v>
      </c>
      <c r="P644" t="s">
        <v>7035</v>
      </c>
      <c r="Q644" t="s">
        <v>7036</v>
      </c>
      <c r="R644" t="s">
        <v>7037</v>
      </c>
      <c r="S644" t="s">
        <v>166</v>
      </c>
      <c r="T644" t="s">
        <v>3171</v>
      </c>
      <c r="U644" t="s">
        <v>7038</v>
      </c>
      <c r="V644">
        <v>6</v>
      </c>
      <c r="W644" t="s">
        <v>7038</v>
      </c>
      <c r="X644" t="s">
        <v>7039</v>
      </c>
      <c r="Y644">
        <v>212</v>
      </c>
      <c r="Z644" t="s">
        <v>107</v>
      </c>
      <c r="AA644">
        <v>3</v>
      </c>
      <c r="AB644" t="s">
        <v>7040</v>
      </c>
      <c r="AC644" t="s">
        <v>7041</v>
      </c>
      <c r="AD644" t="s">
        <v>7042</v>
      </c>
      <c r="AE644" t="s">
        <v>1250</v>
      </c>
      <c r="AF644" t="s">
        <v>7043</v>
      </c>
      <c r="AG644" t="s">
        <v>7044</v>
      </c>
      <c r="AH644" t="str">
        <f>HYPERLINK("http://compartments.jensenlab.org/Entity?figures=subcell_cell_%&amp;knowledge=10&amp;textmining=10&amp;experiments=10&amp;predictions=10&amp;type1=9606&amp;type2=-22&amp;id1=ENSP00000379111","link")</f>
        <v>link</v>
      </c>
      <c r="AK644" t="str">
        <f>HYPERLINK("http://www.proteinatlas.org/P24394","CAB004451;HPA050124")</f>
        <v>CAB004451;HPA050124</v>
      </c>
      <c r="AM644">
        <v>3566</v>
      </c>
    </row>
    <row r="645" spans="1:39" x14ac:dyDescent="0.35">
      <c r="A645" t="s">
        <v>7045</v>
      </c>
      <c r="B645" t="str">
        <f>HYPERLINK("http://www.uniprot.org/uniprot/P24530","P24530")</f>
        <v>P24530</v>
      </c>
      <c r="C645" t="s">
        <v>7046</v>
      </c>
      <c r="D645" t="s">
        <v>7047</v>
      </c>
      <c r="E645" t="s">
        <v>39</v>
      </c>
      <c r="F645" t="s">
        <v>55</v>
      </c>
      <c r="H645">
        <v>442</v>
      </c>
      <c r="I645">
        <v>7</v>
      </c>
      <c r="J645">
        <v>1</v>
      </c>
      <c r="K645" t="s">
        <v>7048</v>
      </c>
      <c r="L645" t="s">
        <v>57</v>
      </c>
      <c r="M645" t="s">
        <v>39</v>
      </c>
      <c r="N645">
        <v>0.80869999999999997</v>
      </c>
      <c r="O645" s="1">
        <v>1</v>
      </c>
      <c r="P645" t="s">
        <v>7049</v>
      </c>
      <c r="Q645" t="s">
        <v>7050</v>
      </c>
      <c r="S645" t="s">
        <v>166</v>
      </c>
      <c r="T645" t="s">
        <v>838</v>
      </c>
      <c r="U645" t="s">
        <v>7051</v>
      </c>
      <c r="V645">
        <v>1</v>
      </c>
      <c r="W645" t="s">
        <v>7051</v>
      </c>
      <c r="AE645" t="s">
        <v>74</v>
      </c>
      <c r="AF645" t="s">
        <v>7052</v>
      </c>
      <c r="AG645" t="s">
        <v>7053</v>
      </c>
      <c r="AH645" t="str">
        <f>HYPERLINK("http://compartments.jensenlab.org/Entity?figures=subcell_cell_%&amp;knowledge=10&amp;textmining=10&amp;experiments=10&amp;predictions=10&amp;type1=9606&amp;type2=-22&amp;id1=ENSP00000335311","link")</f>
        <v>link</v>
      </c>
      <c r="AI645" t="s">
        <v>65</v>
      </c>
      <c r="AJ645" t="s">
        <v>51</v>
      </c>
      <c r="AK645" t="str">
        <f>HYPERLINK("http://www.proteinatlas.org/P24530","CAB017842;HPA027546")</f>
        <v>CAB017842;HPA027546</v>
      </c>
      <c r="AL645" t="s">
        <v>7054</v>
      </c>
      <c r="AM645">
        <v>1910</v>
      </c>
    </row>
    <row r="646" spans="1:39" x14ac:dyDescent="0.35">
      <c r="A646" t="s">
        <v>7055</v>
      </c>
      <c r="B646" t="str">
        <f>HYPERLINK("http://www.uniprot.org/uniprot/P25021","P25021")</f>
        <v>P25021</v>
      </c>
      <c r="C646" t="s">
        <v>7056</v>
      </c>
      <c r="D646" t="s">
        <v>7057</v>
      </c>
      <c r="E646" t="s">
        <v>39</v>
      </c>
      <c r="F646" t="s">
        <v>40</v>
      </c>
      <c r="H646">
        <v>359</v>
      </c>
      <c r="I646">
        <v>7</v>
      </c>
      <c r="J646">
        <v>0</v>
      </c>
      <c r="K646" t="s">
        <v>7058</v>
      </c>
      <c r="L646" t="s">
        <v>57</v>
      </c>
      <c r="N646">
        <v>0.996</v>
      </c>
      <c r="O646" s="1">
        <v>1</v>
      </c>
      <c r="P646" t="s">
        <v>7059</v>
      </c>
      <c r="Q646" t="s">
        <v>7060</v>
      </c>
      <c r="S646" t="s">
        <v>166</v>
      </c>
      <c r="T646" t="s">
        <v>838</v>
      </c>
      <c r="U646" t="s">
        <v>7061</v>
      </c>
      <c r="V646">
        <v>3</v>
      </c>
      <c r="W646" t="s">
        <v>7062</v>
      </c>
      <c r="AE646" t="s">
        <v>74</v>
      </c>
      <c r="AF646" t="s">
        <v>7063</v>
      </c>
      <c r="AG646" t="s">
        <v>7064</v>
      </c>
      <c r="AH646" t="str">
        <f>HYPERLINK("http://compartments.jensenlab.org/Entity?figures=subcell_cell_%&amp;knowledge=10&amp;textmining=10&amp;experiments=10&amp;predictions=10&amp;type1=9606&amp;type2=-22&amp;id1=ENSP00000231683","link")</f>
        <v>link</v>
      </c>
      <c r="AK646" t="str">
        <f>HYPERLINK("http://www.proteinatlas.org/P25021","HPA013770")</f>
        <v>HPA013770</v>
      </c>
      <c r="AL646" t="s">
        <v>7065</v>
      </c>
      <c r="AM646">
        <v>3274</v>
      </c>
    </row>
    <row r="647" spans="1:39" x14ac:dyDescent="0.35">
      <c r="A647" t="s">
        <v>7066</v>
      </c>
      <c r="B647" t="str">
        <f>HYPERLINK("http://www.uniprot.org/uniprot/P25024","P25024")</f>
        <v>P25024</v>
      </c>
      <c r="C647" t="s">
        <v>7067</v>
      </c>
      <c r="D647" t="s">
        <v>7068</v>
      </c>
      <c r="E647" t="s">
        <v>39</v>
      </c>
      <c r="F647" t="s">
        <v>55</v>
      </c>
      <c r="H647">
        <v>350</v>
      </c>
      <c r="I647">
        <v>7</v>
      </c>
      <c r="J647">
        <v>0</v>
      </c>
      <c r="K647" t="s">
        <v>7069</v>
      </c>
      <c r="L647" t="s">
        <v>101</v>
      </c>
      <c r="M647" t="s">
        <v>39</v>
      </c>
      <c r="N647">
        <v>0.80479999999999996</v>
      </c>
      <c r="O647" s="1">
        <v>1</v>
      </c>
      <c r="P647" t="s">
        <v>7070</v>
      </c>
      <c r="Q647" t="s">
        <v>7071</v>
      </c>
      <c r="R647" t="s">
        <v>7072</v>
      </c>
      <c r="S647" t="s">
        <v>166</v>
      </c>
      <c r="T647" t="s">
        <v>838</v>
      </c>
      <c r="U647" t="s">
        <v>7073</v>
      </c>
      <c r="V647">
        <v>5</v>
      </c>
      <c r="X647" t="s">
        <v>7074</v>
      </c>
      <c r="Z647" t="s">
        <v>107</v>
      </c>
      <c r="AA647">
        <v>1</v>
      </c>
      <c r="AB647" t="s">
        <v>7075</v>
      </c>
      <c r="AC647">
        <v>193</v>
      </c>
      <c r="AD647" t="s">
        <v>7076</v>
      </c>
      <c r="AE647" t="s">
        <v>74</v>
      </c>
      <c r="AF647" t="s">
        <v>7077</v>
      </c>
      <c r="AG647" t="s">
        <v>7078</v>
      </c>
      <c r="AH647" t="str">
        <f>HYPERLINK("http://compartments.jensenlab.org/Entity?figures=subcell_cell_%&amp;knowledge=10&amp;textmining=10&amp;experiments=10&amp;predictions=10&amp;type1=9606&amp;type2=-22&amp;id1=ENSP00000295683","link")</f>
        <v>link</v>
      </c>
      <c r="AI647" t="s">
        <v>65</v>
      </c>
      <c r="AJ647" t="s">
        <v>51</v>
      </c>
      <c r="AK647" t="str">
        <f>HYPERLINK("http://www.proteinatlas.org/P25024","HPA031991")</f>
        <v>HPA031991</v>
      </c>
      <c r="AL647" t="s">
        <v>7079</v>
      </c>
      <c r="AM647">
        <v>3577</v>
      </c>
    </row>
    <row r="648" spans="1:39" x14ac:dyDescent="0.35">
      <c r="A648" t="s">
        <v>7080</v>
      </c>
      <c r="B648" t="str">
        <f>HYPERLINK("http://www.uniprot.org/uniprot/P25025","P25025")</f>
        <v>P25025</v>
      </c>
      <c r="C648" t="s">
        <v>7081</v>
      </c>
      <c r="D648" t="s">
        <v>7082</v>
      </c>
      <c r="E648" t="s">
        <v>39</v>
      </c>
      <c r="F648" t="s">
        <v>40</v>
      </c>
      <c r="H648">
        <v>360</v>
      </c>
      <c r="I648">
        <v>7</v>
      </c>
      <c r="J648">
        <v>0</v>
      </c>
      <c r="K648" t="s">
        <v>7083</v>
      </c>
      <c r="L648" t="s">
        <v>57</v>
      </c>
      <c r="N648">
        <v>0.96809999999999996</v>
      </c>
      <c r="O648" s="1">
        <v>1</v>
      </c>
      <c r="P648" t="s">
        <v>7084</v>
      </c>
      <c r="Q648" t="s">
        <v>7085</v>
      </c>
      <c r="R648" t="s">
        <v>7086</v>
      </c>
      <c r="S648" t="s">
        <v>166</v>
      </c>
      <c r="T648" t="s">
        <v>838</v>
      </c>
      <c r="U648" t="s">
        <v>7087</v>
      </c>
      <c r="V648">
        <v>3</v>
      </c>
      <c r="W648" t="s">
        <v>7087</v>
      </c>
      <c r="X648" t="s">
        <v>7088</v>
      </c>
      <c r="AE648" t="s">
        <v>74</v>
      </c>
      <c r="AF648" t="s">
        <v>7089</v>
      </c>
      <c r="AG648" t="s">
        <v>7090</v>
      </c>
      <c r="AH648" t="str">
        <f>HYPERLINK("http://compartments.jensenlab.org/Entity?figures=subcell_cell_%&amp;knowledge=10&amp;textmining=10&amp;experiments=10&amp;predictions=10&amp;type1=9606&amp;type2=-22&amp;id1=ENSP00000319635","link")</f>
        <v>link</v>
      </c>
      <c r="AI648" t="s">
        <v>4732</v>
      </c>
      <c r="AJ648" t="s">
        <v>2393</v>
      </c>
      <c r="AK648" t="str">
        <f>HYPERLINK("http://www.proteinatlas.org/P25025","CAB016268;HPA031999;HPA032017")</f>
        <v>CAB016268;HPA031999;HPA032017</v>
      </c>
      <c r="AM648">
        <v>3579</v>
      </c>
    </row>
    <row r="649" spans="1:39" x14ac:dyDescent="0.35">
      <c r="A649" t="s">
        <v>7091</v>
      </c>
      <c r="B649" t="str">
        <f>HYPERLINK("http://www.uniprot.org/uniprot/P25063","P25063")</f>
        <v>P25063</v>
      </c>
      <c r="C649" t="s">
        <v>7092</v>
      </c>
      <c r="D649" t="s">
        <v>7093</v>
      </c>
      <c r="E649" t="s">
        <v>39</v>
      </c>
      <c r="F649" t="s">
        <v>239</v>
      </c>
      <c r="H649">
        <v>80</v>
      </c>
      <c r="I649">
        <v>0</v>
      </c>
      <c r="J649">
        <v>1</v>
      </c>
      <c r="K649" t="s">
        <v>7094</v>
      </c>
      <c r="L649" t="s">
        <v>57</v>
      </c>
      <c r="N649">
        <v>0.67269999999999996</v>
      </c>
      <c r="O649" s="1" t="s">
        <v>241</v>
      </c>
      <c r="R649" t="s">
        <v>7093</v>
      </c>
      <c r="U649" t="s">
        <v>7095</v>
      </c>
      <c r="V649">
        <v>2</v>
      </c>
      <c r="W649" t="s">
        <v>7096</v>
      </c>
      <c r="AE649" t="s">
        <v>243</v>
      </c>
      <c r="AF649" t="s">
        <v>7097</v>
      </c>
      <c r="AG649" t="s">
        <v>7098</v>
      </c>
      <c r="AK649" t="str">
        <f>HYPERLINK("http://www.proteinatlas.org/P25063","no")</f>
        <v>no</v>
      </c>
      <c r="AM649" s="4">
        <v>100000000</v>
      </c>
    </row>
    <row r="650" spans="1:39" x14ac:dyDescent="0.35">
      <c r="A650" t="s">
        <v>7099</v>
      </c>
      <c r="B650" t="str">
        <f>HYPERLINK("http://www.uniprot.org/uniprot/P25089","P25089")</f>
        <v>P25089</v>
      </c>
      <c r="C650" t="s">
        <v>7100</v>
      </c>
      <c r="D650" t="s">
        <v>7101</v>
      </c>
      <c r="E650" t="s">
        <v>39</v>
      </c>
      <c r="F650" t="s">
        <v>55</v>
      </c>
      <c r="H650">
        <v>353</v>
      </c>
      <c r="I650">
        <v>7</v>
      </c>
      <c r="J650">
        <v>0</v>
      </c>
      <c r="K650" t="s">
        <v>7102</v>
      </c>
      <c r="L650" t="s">
        <v>57</v>
      </c>
      <c r="N650">
        <v>0.92610000000000003</v>
      </c>
      <c r="O650" s="1">
        <v>1</v>
      </c>
      <c r="P650" t="s">
        <v>7103</v>
      </c>
      <c r="Q650" t="s">
        <v>7104</v>
      </c>
      <c r="S650" t="s">
        <v>166</v>
      </c>
      <c r="T650" t="s">
        <v>838</v>
      </c>
      <c r="U650" t="s">
        <v>7105</v>
      </c>
      <c r="V650">
        <v>2</v>
      </c>
      <c r="AE650" t="s">
        <v>74</v>
      </c>
      <c r="AF650" t="s">
        <v>7106</v>
      </c>
      <c r="AG650" t="s">
        <v>7107</v>
      </c>
      <c r="AH650" t="str">
        <f>HYPERLINK("http://compartments.jensenlab.org/Entity?figures=subcell_cell_%&amp;knowledge=10&amp;textmining=10&amp;experiments=10&amp;predictions=10&amp;type1=9606&amp;type2=-22&amp;id1=ENSP00000341821","link")</f>
        <v>link</v>
      </c>
      <c r="AI650" t="s">
        <v>65</v>
      </c>
      <c r="AJ650" t="s">
        <v>51</v>
      </c>
      <c r="AK650" t="str">
        <f>HYPERLINK("http://www.proteinatlas.org/P25089","no")</f>
        <v>no</v>
      </c>
      <c r="AM650">
        <v>2359</v>
      </c>
    </row>
    <row r="651" spans="1:39" x14ac:dyDescent="0.35">
      <c r="A651" t="s">
        <v>7108</v>
      </c>
      <c r="B651" t="str">
        <f>HYPERLINK("http://www.uniprot.org/uniprot/P25090","P25090")</f>
        <v>P25090</v>
      </c>
      <c r="C651" t="s">
        <v>7109</v>
      </c>
      <c r="D651" t="s">
        <v>7110</v>
      </c>
      <c r="E651" t="s">
        <v>39</v>
      </c>
      <c r="F651" t="s">
        <v>55</v>
      </c>
      <c r="H651">
        <v>351</v>
      </c>
      <c r="I651">
        <v>7</v>
      </c>
      <c r="J651">
        <v>0</v>
      </c>
      <c r="K651" t="s">
        <v>7111</v>
      </c>
      <c r="L651" t="s">
        <v>57</v>
      </c>
      <c r="M651" t="s">
        <v>39</v>
      </c>
      <c r="N651">
        <v>0.88419999999999999</v>
      </c>
      <c r="O651" s="1">
        <v>1</v>
      </c>
      <c r="P651" t="s">
        <v>7112</v>
      </c>
      <c r="Q651" t="s">
        <v>7113</v>
      </c>
      <c r="S651" t="s">
        <v>166</v>
      </c>
      <c r="T651" t="s">
        <v>838</v>
      </c>
      <c r="U651" t="s">
        <v>7114</v>
      </c>
      <c r="V651">
        <v>1</v>
      </c>
      <c r="X651" t="s">
        <v>7115</v>
      </c>
      <c r="AE651" t="s">
        <v>74</v>
      </c>
      <c r="AF651" t="s">
        <v>7106</v>
      </c>
      <c r="AG651" t="s">
        <v>7116</v>
      </c>
      <c r="AH651" t="str">
        <f>HYPERLINK("http://compartments.jensenlab.org/Entity?figures=subcell_cell_%&amp;knowledge=10&amp;textmining=10&amp;experiments=10&amp;predictions=10&amp;type1=9606&amp;type2=-22&amp;id1=ENSP00000340191","link")</f>
        <v>link</v>
      </c>
      <c r="AI651" t="s">
        <v>65</v>
      </c>
      <c r="AJ651" t="s">
        <v>51</v>
      </c>
      <c r="AK651" t="str">
        <f>HYPERLINK("http://www.proteinatlas.org/P25090","HPA029154")</f>
        <v>HPA029154</v>
      </c>
      <c r="AM651">
        <v>2358</v>
      </c>
    </row>
    <row r="652" spans="1:39" x14ac:dyDescent="0.35">
      <c r="A652" t="s">
        <v>7117</v>
      </c>
      <c r="B652" t="str">
        <f>HYPERLINK("http://www.uniprot.org/uniprot/P25092","P25092")</f>
        <v>P25092</v>
      </c>
      <c r="C652" t="s">
        <v>7118</v>
      </c>
      <c r="D652" t="s">
        <v>7119</v>
      </c>
      <c r="E652" t="s">
        <v>39</v>
      </c>
      <c r="F652" t="s">
        <v>40</v>
      </c>
      <c r="H652">
        <v>1073</v>
      </c>
      <c r="I652">
        <v>1</v>
      </c>
      <c r="J652">
        <v>1</v>
      </c>
      <c r="K652" t="s">
        <v>7120</v>
      </c>
      <c r="L652" t="s">
        <v>57</v>
      </c>
      <c r="N652">
        <v>0.8982</v>
      </c>
      <c r="O652" s="1">
        <v>1</v>
      </c>
      <c r="P652" t="s">
        <v>7121</v>
      </c>
      <c r="Q652" t="s">
        <v>7122</v>
      </c>
      <c r="S652" t="s">
        <v>166</v>
      </c>
      <c r="T652" t="s">
        <v>5759</v>
      </c>
      <c r="U652" t="s">
        <v>7123</v>
      </c>
      <c r="V652">
        <v>10</v>
      </c>
      <c r="AE652" t="s">
        <v>7124</v>
      </c>
      <c r="AF652" t="s">
        <v>7125</v>
      </c>
      <c r="AG652" t="s">
        <v>7126</v>
      </c>
      <c r="AH652" t="str">
        <f>HYPERLINK("http://compartments.jensenlab.org/Entity?figures=subcell_cell_%&amp;knowledge=10&amp;textmining=10&amp;experiments=10&amp;predictions=10&amp;type1=9606&amp;type2=-22&amp;id1=ENSP00000261170","link")</f>
        <v>link</v>
      </c>
      <c r="AJ652" t="s">
        <v>113</v>
      </c>
      <c r="AK652" t="str">
        <f>HYPERLINK("http://www.proteinatlas.org/P25092","HPA037655")</f>
        <v>HPA037655</v>
      </c>
      <c r="AL652" t="s">
        <v>7127</v>
      </c>
      <c r="AM652">
        <v>2984</v>
      </c>
    </row>
    <row r="653" spans="1:39" x14ac:dyDescent="0.35">
      <c r="A653" t="s">
        <v>7128</v>
      </c>
      <c r="B653" t="str">
        <f>HYPERLINK("http://www.uniprot.org/uniprot/P25100","P25100")</f>
        <v>P25100</v>
      </c>
      <c r="C653" t="s">
        <v>7129</v>
      </c>
      <c r="D653" t="s">
        <v>7130</v>
      </c>
      <c r="E653" t="s">
        <v>39</v>
      </c>
      <c r="F653" t="s">
        <v>55</v>
      </c>
      <c r="H653">
        <v>572</v>
      </c>
      <c r="I653">
        <v>7</v>
      </c>
      <c r="J653">
        <v>0</v>
      </c>
      <c r="K653" t="s">
        <v>7131</v>
      </c>
      <c r="L653" t="s">
        <v>57</v>
      </c>
      <c r="M653" t="s">
        <v>39</v>
      </c>
      <c r="N653">
        <v>0.85709999999999997</v>
      </c>
      <c r="O653" s="1">
        <v>1</v>
      </c>
      <c r="P653" t="s">
        <v>7132</v>
      </c>
      <c r="Q653" t="s">
        <v>7133</v>
      </c>
      <c r="S653" t="s">
        <v>166</v>
      </c>
      <c r="T653" t="s">
        <v>838</v>
      </c>
      <c r="U653" t="s">
        <v>7134</v>
      </c>
      <c r="V653">
        <v>2</v>
      </c>
      <c r="W653">
        <v>82</v>
      </c>
      <c r="AE653" t="s">
        <v>74</v>
      </c>
      <c r="AF653" t="s">
        <v>7135</v>
      </c>
      <c r="AG653" t="s">
        <v>7136</v>
      </c>
      <c r="AH653" t="str">
        <f>HYPERLINK("http://compartments.jensenlab.org/Entity?figures=subcell_cell_%&amp;knowledge=10&amp;textmining=10&amp;experiments=10&amp;predictions=10&amp;type1=9606&amp;type2=-22&amp;id1=ENSP00000368766","link")</f>
        <v>link</v>
      </c>
      <c r="AI653" t="s">
        <v>65</v>
      </c>
      <c r="AJ653" t="s">
        <v>51</v>
      </c>
      <c r="AK653" t="str">
        <f>HYPERLINK("http://www.proteinatlas.org/P25100","HPA038789")</f>
        <v>HPA038789</v>
      </c>
      <c r="AL653" t="s">
        <v>7137</v>
      </c>
      <c r="AM653">
        <v>146</v>
      </c>
    </row>
    <row r="654" spans="1:39" x14ac:dyDescent="0.35">
      <c r="A654" t="s">
        <v>7138</v>
      </c>
      <c r="B654" t="str">
        <f>HYPERLINK("http://www.uniprot.org/uniprot/P25101","P25101")</f>
        <v>P25101</v>
      </c>
      <c r="C654" t="s">
        <v>7139</v>
      </c>
      <c r="D654" t="s">
        <v>7140</v>
      </c>
      <c r="E654" t="s">
        <v>39</v>
      </c>
      <c r="F654" t="s">
        <v>55</v>
      </c>
      <c r="H654">
        <v>427</v>
      </c>
      <c r="I654">
        <v>7</v>
      </c>
      <c r="J654">
        <v>1</v>
      </c>
      <c r="K654" t="s">
        <v>7141</v>
      </c>
      <c r="L654" t="s">
        <v>101</v>
      </c>
      <c r="M654" t="s">
        <v>39</v>
      </c>
      <c r="N654">
        <v>0.88080000000000003</v>
      </c>
      <c r="O654" s="1">
        <v>1</v>
      </c>
      <c r="P654" t="s">
        <v>7142</v>
      </c>
      <c r="Q654" t="s">
        <v>7143</v>
      </c>
      <c r="S654" t="s">
        <v>166</v>
      </c>
      <c r="T654" t="s">
        <v>838</v>
      </c>
      <c r="U654" t="s">
        <v>7144</v>
      </c>
      <c r="V654">
        <v>3</v>
      </c>
      <c r="W654" t="s">
        <v>7145</v>
      </c>
      <c r="X654" t="s">
        <v>7146</v>
      </c>
      <c r="Z654" t="s">
        <v>107</v>
      </c>
      <c r="AA654">
        <v>2</v>
      </c>
      <c r="AB654" t="s">
        <v>7147</v>
      </c>
      <c r="AC654" t="s">
        <v>7148</v>
      </c>
      <c r="AD654" t="s">
        <v>7149</v>
      </c>
      <c r="AE654" t="s">
        <v>74</v>
      </c>
      <c r="AF654" t="s">
        <v>7150</v>
      </c>
      <c r="AG654" t="s">
        <v>7151</v>
      </c>
      <c r="AH654" t="str">
        <f>HYPERLINK("http://compartments.jensenlab.org/Entity?figures=subcell_cell_%&amp;knowledge=10&amp;textmining=10&amp;experiments=10&amp;predictions=10&amp;type1=9606&amp;type2=-22&amp;id1=ENSP00000315011","link")</f>
        <v>link</v>
      </c>
      <c r="AI654" t="s">
        <v>65</v>
      </c>
      <c r="AJ654" t="s">
        <v>2873</v>
      </c>
      <c r="AK654" t="str">
        <f>HYPERLINK("http://www.proteinatlas.org/P25101","HPA013774;HPA014087;CAB018957")</f>
        <v>HPA013774;HPA014087;CAB018957</v>
      </c>
      <c r="AL654" t="s">
        <v>7152</v>
      </c>
      <c r="AM654">
        <v>1909</v>
      </c>
    </row>
    <row r="655" spans="1:39" x14ac:dyDescent="0.35">
      <c r="A655" t="s">
        <v>7153</v>
      </c>
      <c r="B655" t="str">
        <f>HYPERLINK("http://www.uniprot.org/uniprot/P25103","P25103")</f>
        <v>P25103</v>
      </c>
      <c r="C655" t="s">
        <v>7154</v>
      </c>
      <c r="D655" t="s">
        <v>7155</v>
      </c>
      <c r="E655" t="s">
        <v>39</v>
      </c>
      <c r="F655" t="s">
        <v>40</v>
      </c>
      <c r="H655">
        <v>407</v>
      </c>
      <c r="I655">
        <v>7</v>
      </c>
      <c r="J655">
        <v>0</v>
      </c>
      <c r="K655" t="s">
        <v>7156</v>
      </c>
      <c r="L655" t="s">
        <v>57</v>
      </c>
      <c r="N655">
        <v>0.90620000000000001</v>
      </c>
      <c r="O655" s="1">
        <v>1</v>
      </c>
      <c r="P655" t="s">
        <v>7157</v>
      </c>
      <c r="Q655" t="s">
        <v>7158</v>
      </c>
      <c r="S655" t="s">
        <v>166</v>
      </c>
      <c r="T655" t="s">
        <v>838</v>
      </c>
      <c r="U655" t="s">
        <v>7159</v>
      </c>
      <c r="V655">
        <v>2</v>
      </c>
      <c r="W655" t="s">
        <v>7159</v>
      </c>
      <c r="X655" t="s">
        <v>7160</v>
      </c>
      <c r="AE655" t="s">
        <v>74</v>
      </c>
      <c r="AF655" t="s">
        <v>7161</v>
      </c>
      <c r="AG655" t="s">
        <v>7162</v>
      </c>
      <c r="AH655" t="str">
        <f>HYPERLINK("http://compartments.jensenlab.org/Entity?figures=subcell_cell_%&amp;knowledge=10&amp;textmining=10&amp;experiments=10&amp;predictions=10&amp;type1=9606&amp;type2=-22&amp;id1=ENSP00000303522","link")</f>
        <v>link</v>
      </c>
      <c r="AI655" t="s">
        <v>65</v>
      </c>
      <c r="AJ655" t="s">
        <v>2124</v>
      </c>
      <c r="AK655" t="str">
        <f>HYPERLINK("http://www.proteinatlas.org/P25103","no")</f>
        <v>no</v>
      </c>
      <c r="AL655" t="s">
        <v>7163</v>
      </c>
      <c r="AM655">
        <v>6869</v>
      </c>
    </row>
    <row r="656" spans="1:39" x14ac:dyDescent="0.35">
      <c r="A656" t="s">
        <v>7164</v>
      </c>
      <c r="B656" t="str">
        <f>HYPERLINK("http://www.uniprot.org/uniprot/P25105","P25105")</f>
        <v>P25105</v>
      </c>
      <c r="C656" t="s">
        <v>7165</v>
      </c>
      <c r="D656" t="s">
        <v>7166</v>
      </c>
      <c r="E656" t="s">
        <v>39</v>
      </c>
      <c r="F656" t="s">
        <v>55</v>
      </c>
      <c r="H656">
        <v>342</v>
      </c>
      <c r="I656">
        <v>7</v>
      </c>
      <c r="J656">
        <v>0</v>
      </c>
      <c r="K656" t="s">
        <v>7167</v>
      </c>
      <c r="L656" t="s">
        <v>101</v>
      </c>
      <c r="M656" t="s">
        <v>39</v>
      </c>
      <c r="N656">
        <v>0.94950000000000001</v>
      </c>
      <c r="O656" s="1">
        <v>1</v>
      </c>
      <c r="P656" t="s">
        <v>7168</v>
      </c>
      <c r="Q656" t="s">
        <v>7169</v>
      </c>
      <c r="S656" t="s">
        <v>166</v>
      </c>
      <c r="T656" t="s">
        <v>838</v>
      </c>
      <c r="U656" t="s">
        <v>7170</v>
      </c>
      <c r="V656">
        <v>1</v>
      </c>
      <c r="W656" t="s">
        <v>7170</v>
      </c>
      <c r="Z656" t="s">
        <v>107</v>
      </c>
      <c r="AA656">
        <v>5</v>
      </c>
      <c r="AB656" t="s">
        <v>7171</v>
      </c>
      <c r="AC656">
        <v>169</v>
      </c>
      <c r="AD656" t="s">
        <v>7172</v>
      </c>
      <c r="AE656" t="s">
        <v>74</v>
      </c>
      <c r="AF656" t="s">
        <v>7077</v>
      </c>
      <c r="AG656" t="s">
        <v>7173</v>
      </c>
      <c r="AH656" t="str">
        <f>HYPERLINK("http://compartments.jensenlab.org/Entity?figures=subcell_cell_%&amp;knowledge=10&amp;textmining=10&amp;experiments=10&amp;predictions=10&amp;type1=9606&amp;type2=-22&amp;id1=ENSP00000301974","link")</f>
        <v>link</v>
      </c>
      <c r="AI656" t="s">
        <v>65</v>
      </c>
      <c r="AJ656" t="s">
        <v>2873</v>
      </c>
      <c r="AK656" t="str">
        <f>HYPERLINK("http://www.proteinatlas.org/P25105","HPA027543")</f>
        <v>HPA027543</v>
      </c>
      <c r="AM656">
        <v>5724</v>
      </c>
    </row>
    <row r="657" spans="1:39" x14ac:dyDescent="0.35">
      <c r="A657" t="s">
        <v>7174</v>
      </c>
      <c r="B657" t="str">
        <f>HYPERLINK("http://www.uniprot.org/uniprot/P25106","P25106")</f>
        <v>P25106</v>
      </c>
      <c r="C657" t="s">
        <v>7175</v>
      </c>
      <c r="D657" t="s">
        <v>7176</v>
      </c>
      <c r="E657" t="s">
        <v>39</v>
      </c>
      <c r="F657" t="s">
        <v>55</v>
      </c>
      <c r="H657">
        <v>362</v>
      </c>
      <c r="I657">
        <v>7</v>
      </c>
      <c r="J657">
        <v>0</v>
      </c>
      <c r="K657" t="s">
        <v>7177</v>
      </c>
      <c r="L657" t="s">
        <v>101</v>
      </c>
      <c r="M657" t="s">
        <v>39</v>
      </c>
      <c r="N657">
        <v>0.94540000000000002</v>
      </c>
      <c r="O657" s="1">
        <v>1</v>
      </c>
      <c r="P657" t="s">
        <v>7178</v>
      </c>
      <c r="Q657" t="s">
        <v>7179</v>
      </c>
      <c r="S657" t="s">
        <v>166</v>
      </c>
      <c r="T657" t="s">
        <v>838</v>
      </c>
      <c r="U657" t="s">
        <v>7180</v>
      </c>
      <c r="V657">
        <v>4</v>
      </c>
      <c r="X657" t="s">
        <v>7181</v>
      </c>
      <c r="Z657" t="s">
        <v>107</v>
      </c>
      <c r="AA657">
        <v>1</v>
      </c>
      <c r="AB657" t="s">
        <v>7182</v>
      </c>
      <c r="AC657">
        <v>192</v>
      </c>
      <c r="AD657" t="s">
        <v>7183</v>
      </c>
      <c r="AE657" t="s">
        <v>7184</v>
      </c>
      <c r="AF657" t="s">
        <v>7185</v>
      </c>
      <c r="AG657" t="s">
        <v>7186</v>
      </c>
      <c r="AH657" t="str">
        <f>HYPERLINK("http://compartments.jensenlab.org/Entity?figures=subcell_cell_%&amp;knowledge=10&amp;textmining=10&amp;experiments=10&amp;predictions=10&amp;type1=9606&amp;type2=-22&amp;id1=ENSP00000272928","link")</f>
        <v>link</v>
      </c>
      <c r="AI657" t="s">
        <v>4125</v>
      </c>
      <c r="AJ657" t="s">
        <v>1791</v>
      </c>
      <c r="AK657" t="str">
        <f>HYPERLINK("http://www.proteinatlas.org/P25106","HPA049718")</f>
        <v>HPA049718</v>
      </c>
      <c r="AM657">
        <v>57007</v>
      </c>
    </row>
    <row r="658" spans="1:39" x14ac:dyDescent="0.35">
      <c r="A658" t="s">
        <v>7187</v>
      </c>
      <c r="B658" t="str">
        <f>HYPERLINK("http://www.uniprot.org/uniprot/P25116","P25116")</f>
        <v>P25116</v>
      </c>
      <c r="C658" t="s">
        <v>7188</v>
      </c>
      <c r="D658" t="s">
        <v>7189</v>
      </c>
      <c r="E658" t="s">
        <v>39</v>
      </c>
      <c r="F658" t="s">
        <v>55</v>
      </c>
      <c r="H658">
        <v>425</v>
      </c>
      <c r="I658">
        <v>7</v>
      </c>
      <c r="J658">
        <v>1</v>
      </c>
      <c r="K658" t="s">
        <v>7190</v>
      </c>
      <c r="L658" t="s">
        <v>101</v>
      </c>
      <c r="M658" t="s">
        <v>39</v>
      </c>
      <c r="N658">
        <v>0.97740000000000005</v>
      </c>
      <c r="O658" s="1">
        <v>1</v>
      </c>
      <c r="P658" t="s">
        <v>7191</v>
      </c>
      <c r="Q658" t="s">
        <v>7192</v>
      </c>
      <c r="S658" t="s">
        <v>166</v>
      </c>
      <c r="T658" t="s">
        <v>838</v>
      </c>
      <c r="U658" t="s">
        <v>7193</v>
      </c>
      <c r="V658">
        <v>5</v>
      </c>
      <c r="W658" t="s">
        <v>7193</v>
      </c>
      <c r="X658" t="s">
        <v>7194</v>
      </c>
      <c r="Y658" t="s">
        <v>7195</v>
      </c>
      <c r="Z658" t="s">
        <v>107</v>
      </c>
      <c r="AA658">
        <v>7</v>
      </c>
      <c r="AB658" t="s">
        <v>7196</v>
      </c>
      <c r="AC658" t="s">
        <v>7197</v>
      </c>
      <c r="AD658" t="s">
        <v>7198</v>
      </c>
      <c r="AE658" t="s">
        <v>74</v>
      </c>
      <c r="AF658" t="s">
        <v>7199</v>
      </c>
      <c r="AG658" t="s">
        <v>7200</v>
      </c>
      <c r="AH658" t="str">
        <f>HYPERLINK("http://compartments.jensenlab.org/Entity?figures=subcell_cell_%&amp;knowledge=10&amp;textmining=10&amp;experiments=10&amp;predictions=10&amp;type1=9606&amp;type2=-22&amp;id1=ENSP00000321326","link")</f>
        <v>link</v>
      </c>
      <c r="AI658" t="s">
        <v>65</v>
      </c>
      <c r="AJ658" t="s">
        <v>7201</v>
      </c>
      <c r="AK658" t="str">
        <f>HYPERLINK("http://www.proteinatlas.org/P25116","CAB008973")</f>
        <v>CAB008973</v>
      </c>
      <c r="AL658" t="s">
        <v>7202</v>
      </c>
      <c r="AM658">
        <v>2149</v>
      </c>
    </row>
    <row r="659" spans="1:39" x14ac:dyDescent="0.35">
      <c r="A659" t="s">
        <v>7203</v>
      </c>
      <c r="B659" t="str">
        <f>HYPERLINK("http://www.uniprot.org/uniprot/P25189","P25189")</f>
        <v>P25189</v>
      </c>
      <c r="C659" t="s">
        <v>7204</v>
      </c>
      <c r="D659" t="s">
        <v>7205</v>
      </c>
      <c r="E659" t="s">
        <v>39</v>
      </c>
      <c r="F659" t="s">
        <v>55</v>
      </c>
      <c r="H659">
        <v>248</v>
      </c>
      <c r="I659">
        <v>1</v>
      </c>
      <c r="J659">
        <v>1</v>
      </c>
      <c r="K659" t="s">
        <v>7206</v>
      </c>
      <c r="L659" t="s">
        <v>101</v>
      </c>
      <c r="M659" t="s">
        <v>39</v>
      </c>
      <c r="N659">
        <v>0.85960000000000003</v>
      </c>
      <c r="O659" s="1">
        <v>1</v>
      </c>
      <c r="P659" t="s">
        <v>7207</v>
      </c>
      <c r="Q659" t="s">
        <v>7208</v>
      </c>
      <c r="S659" t="s">
        <v>91</v>
      </c>
      <c r="T659" t="s">
        <v>2240</v>
      </c>
      <c r="U659">
        <v>122</v>
      </c>
      <c r="V659">
        <v>1</v>
      </c>
      <c r="W659">
        <v>122</v>
      </c>
      <c r="Z659" t="s">
        <v>107</v>
      </c>
      <c r="AA659">
        <v>3</v>
      </c>
      <c r="AB659" t="s">
        <v>7209</v>
      </c>
      <c r="AC659">
        <v>122</v>
      </c>
      <c r="AD659" t="s">
        <v>7210</v>
      </c>
      <c r="AE659" t="s">
        <v>7211</v>
      </c>
      <c r="AF659" t="s">
        <v>7212</v>
      </c>
      <c r="AG659" t="s">
        <v>7213</v>
      </c>
      <c r="AH659" t="str">
        <f>HYPERLINK("http://compartments.jensenlab.org/Entity?figures=subcell_cell_%&amp;knowledge=10&amp;textmining=10&amp;experiments=10&amp;predictions=10&amp;type1=9606&amp;type2=-22&amp;id1=ENSP00000431538","link")</f>
        <v>link</v>
      </c>
      <c r="AK659" t="str">
        <f>HYPERLINK("http://www.proteinatlas.org/P25189","no")</f>
        <v>no</v>
      </c>
      <c r="AM659">
        <v>4359</v>
      </c>
    </row>
    <row r="660" spans="1:39" x14ac:dyDescent="0.35">
      <c r="A660" t="s">
        <v>7214</v>
      </c>
      <c r="B660" t="str">
        <f>HYPERLINK("http://www.uniprot.org/uniprot/P25445","P25445")</f>
        <v>P25445</v>
      </c>
      <c r="C660" t="s">
        <v>7215</v>
      </c>
      <c r="D660" t="s">
        <v>7216</v>
      </c>
      <c r="E660" t="s">
        <v>39</v>
      </c>
      <c r="F660" t="s">
        <v>55</v>
      </c>
      <c r="H660">
        <v>335</v>
      </c>
      <c r="I660">
        <v>1</v>
      </c>
      <c r="J660">
        <v>1</v>
      </c>
      <c r="K660" t="s">
        <v>7217</v>
      </c>
      <c r="L660" t="s">
        <v>101</v>
      </c>
      <c r="M660" t="s">
        <v>39</v>
      </c>
      <c r="N660">
        <v>0.82969999999999999</v>
      </c>
      <c r="O660" s="1">
        <v>1</v>
      </c>
      <c r="P660" t="s">
        <v>7218</v>
      </c>
      <c r="Q660" t="s">
        <v>7219</v>
      </c>
      <c r="R660" t="s">
        <v>7220</v>
      </c>
      <c r="S660" t="s">
        <v>166</v>
      </c>
      <c r="T660" t="s">
        <v>864</v>
      </c>
      <c r="U660" t="s">
        <v>7221</v>
      </c>
      <c r="V660">
        <v>2</v>
      </c>
      <c r="W660" t="s">
        <v>7221</v>
      </c>
      <c r="X660" t="s">
        <v>7222</v>
      </c>
      <c r="Z660" t="s">
        <v>107</v>
      </c>
      <c r="AA660">
        <v>7</v>
      </c>
      <c r="AB660" t="s">
        <v>7223</v>
      </c>
      <c r="AC660" t="s">
        <v>7224</v>
      </c>
      <c r="AD660" t="s">
        <v>7225</v>
      </c>
      <c r="AE660" t="s">
        <v>7226</v>
      </c>
      <c r="AF660" t="s">
        <v>7227</v>
      </c>
      <c r="AG660" t="s">
        <v>7228</v>
      </c>
      <c r="AH660" t="str">
        <f>HYPERLINK("http://compartments.jensenlab.org/Entity?figures=subcell_cell_%&amp;knowledge=10&amp;textmining=10&amp;experiments=10&amp;predictions=10&amp;type1=9606&amp;type2=-22&amp;id1=ENSP00000347979","link")</f>
        <v>link</v>
      </c>
      <c r="AI660" t="s">
        <v>7229</v>
      </c>
      <c r="AJ660" t="s">
        <v>7230</v>
      </c>
      <c r="AK660" t="str">
        <f>HYPERLINK("http://www.proteinatlas.org/P25445","HPA027444")</f>
        <v>HPA027444</v>
      </c>
      <c r="AM660">
        <v>355</v>
      </c>
    </row>
    <row r="661" spans="1:39" x14ac:dyDescent="0.35">
      <c r="A661" t="s">
        <v>7231</v>
      </c>
      <c r="B661" t="str">
        <f>HYPERLINK("http://www.uniprot.org/uniprot/P25929","P25929")</f>
        <v>P25929</v>
      </c>
      <c r="C661" t="s">
        <v>7232</v>
      </c>
      <c r="D661" t="s">
        <v>7233</v>
      </c>
      <c r="E661" t="s">
        <v>39</v>
      </c>
      <c r="F661" t="s">
        <v>55</v>
      </c>
      <c r="H661">
        <v>384</v>
      </c>
      <c r="I661">
        <v>7</v>
      </c>
      <c r="J661">
        <v>0</v>
      </c>
      <c r="K661" t="s">
        <v>7234</v>
      </c>
      <c r="L661" t="s">
        <v>101</v>
      </c>
      <c r="M661" t="s">
        <v>39</v>
      </c>
      <c r="N661">
        <v>0.94820000000000004</v>
      </c>
      <c r="O661" s="1">
        <v>1</v>
      </c>
      <c r="P661" t="s">
        <v>7235</v>
      </c>
      <c r="Q661" t="s">
        <v>7236</v>
      </c>
      <c r="S661" t="s">
        <v>166</v>
      </c>
      <c r="T661" t="s">
        <v>838</v>
      </c>
      <c r="U661" t="s">
        <v>7237</v>
      </c>
      <c r="V661">
        <v>4</v>
      </c>
      <c r="W661" t="s">
        <v>7238</v>
      </c>
      <c r="Z661" t="s">
        <v>107</v>
      </c>
      <c r="AA661">
        <v>1</v>
      </c>
      <c r="AB661" t="s">
        <v>7239</v>
      </c>
      <c r="AC661">
        <v>186</v>
      </c>
      <c r="AD661" t="s">
        <v>7240</v>
      </c>
      <c r="AE661" t="s">
        <v>74</v>
      </c>
      <c r="AF661" t="s">
        <v>7241</v>
      </c>
      <c r="AG661" t="s">
        <v>7242</v>
      </c>
      <c r="AH661" t="str">
        <f>HYPERLINK("http://compartments.jensenlab.org/Entity?figures=subcell_cell_%&amp;knowledge=10&amp;textmining=10&amp;experiments=10&amp;predictions=10&amp;type1=9606&amp;type2=-22&amp;id1=ENSP00000354652","link")</f>
        <v>link</v>
      </c>
      <c r="AI661" t="s">
        <v>65</v>
      </c>
      <c r="AJ661" t="s">
        <v>4758</v>
      </c>
      <c r="AK661" t="str">
        <f>HYPERLINK("http://www.proteinatlas.org/P25929","HPA029903")</f>
        <v>HPA029903</v>
      </c>
      <c r="AM661">
        <v>4886</v>
      </c>
    </row>
    <row r="662" spans="1:39" x14ac:dyDescent="0.35">
      <c r="A662" t="s">
        <v>7243</v>
      </c>
      <c r="B662" t="str">
        <f>HYPERLINK("http://www.uniprot.org/uniprot/P25942","P25942")</f>
        <v>P25942</v>
      </c>
      <c r="C662" t="s">
        <v>7244</v>
      </c>
      <c r="D662" t="s">
        <v>7245</v>
      </c>
      <c r="E662" t="s">
        <v>39</v>
      </c>
      <c r="F662" t="s">
        <v>55</v>
      </c>
      <c r="H662">
        <v>277</v>
      </c>
      <c r="I662">
        <v>1</v>
      </c>
      <c r="J662">
        <v>1</v>
      </c>
      <c r="K662" t="s">
        <v>7246</v>
      </c>
      <c r="L662" t="s">
        <v>101</v>
      </c>
      <c r="M662" t="s">
        <v>39</v>
      </c>
      <c r="N662">
        <v>0.99419999999999997</v>
      </c>
      <c r="O662" s="1">
        <v>1</v>
      </c>
      <c r="P662" t="s">
        <v>7247</v>
      </c>
      <c r="Q662" t="s">
        <v>7248</v>
      </c>
      <c r="R662" t="s">
        <v>7245</v>
      </c>
      <c r="S662" t="s">
        <v>166</v>
      </c>
      <c r="T662" t="s">
        <v>864</v>
      </c>
      <c r="U662" t="s">
        <v>7249</v>
      </c>
      <c r="V662">
        <v>2</v>
      </c>
      <c r="W662" t="s">
        <v>7249</v>
      </c>
      <c r="X662" t="s">
        <v>7250</v>
      </c>
      <c r="Y662" t="s">
        <v>7251</v>
      </c>
      <c r="Z662" t="s">
        <v>107</v>
      </c>
      <c r="AA662">
        <v>11</v>
      </c>
      <c r="AB662" t="s">
        <v>7252</v>
      </c>
      <c r="AC662" t="s">
        <v>7249</v>
      </c>
      <c r="AD662" t="s">
        <v>7253</v>
      </c>
      <c r="AE662" t="s">
        <v>1250</v>
      </c>
      <c r="AF662" t="s">
        <v>7254</v>
      </c>
      <c r="AG662" t="s">
        <v>7255</v>
      </c>
      <c r="AH662" t="str">
        <f>HYPERLINK("http://compartments.jensenlab.org/Entity?figures=subcell_cell_%&amp;knowledge=10&amp;textmining=10&amp;experiments=10&amp;predictions=10&amp;type1=9606&amp;type2=-22&amp;id1=ENSP00000361359","link")</f>
        <v>link</v>
      </c>
      <c r="AI662" t="s">
        <v>1058</v>
      </c>
      <c r="AJ662" t="s">
        <v>7256</v>
      </c>
      <c r="AK662" t="str">
        <f>HYPERLINK("http://www.proteinatlas.org/P25942","CAB002495;HPA031567;HPA031568")</f>
        <v>CAB002495;HPA031567;HPA031568</v>
      </c>
      <c r="AM662">
        <v>958</v>
      </c>
    </row>
    <row r="663" spans="1:39" x14ac:dyDescent="0.35">
      <c r="A663" t="s">
        <v>7257</v>
      </c>
      <c r="B663" t="str">
        <f>HYPERLINK("http://www.uniprot.org/uniprot/P26006","P26006")</f>
        <v>P26006</v>
      </c>
      <c r="C663" t="s">
        <v>7258</v>
      </c>
      <c r="D663" t="s">
        <v>7259</v>
      </c>
      <c r="E663" t="s">
        <v>39</v>
      </c>
      <c r="F663" t="s">
        <v>55</v>
      </c>
      <c r="H663">
        <v>1051</v>
      </c>
      <c r="I663">
        <v>1</v>
      </c>
      <c r="J663">
        <v>1</v>
      </c>
      <c r="K663" t="s">
        <v>7260</v>
      </c>
      <c r="L663" t="s">
        <v>101</v>
      </c>
      <c r="M663" t="s">
        <v>39</v>
      </c>
      <c r="N663">
        <v>0.97040000000000004</v>
      </c>
      <c r="O663" s="1">
        <v>1</v>
      </c>
      <c r="P663" t="s">
        <v>7261</v>
      </c>
      <c r="Q663" t="s">
        <v>7262</v>
      </c>
      <c r="R663" t="s">
        <v>7263</v>
      </c>
      <c r="S663" t="s">
        <v>166</v>
      </c>
      <c r="T663" t="s">
        <v>2763</v>
      </c>
      <c r="U663" t="s">
        <v>7264</v>
      </c>
      <c r="V663">
        <v>14</v>
      </c>
      <c r="W663" t="s">
        <v>7264</v>
      </c>
      <c r="X663">
        <v>964</v>
      </c>
      <c r="Z663" t="s">
        <v>107</v>
      </c>
      <c r="AA663">
        <v>67</v>
      </c>
      <c r="AB663" t="s">
        <v>7265</v>
      </c>
      <c r="AC663" t="s">
        <v>7266</v>
      </c>
      <c r="AD663" t="s">
        <v>7267</v>
      </c>
      <c r="AE663" t="s">
        <v>7268</v>
      </c>
      <c r="AF663" t="s">
        <v>7269</v>
      </c>
      <c r="AG663" t="s">
        <v>7270</v>
      </c>
      <c r="AH663" t="str">
        <f>HYPERLINK("http://compartments.jensenlab.org/Entity?figures=subcell_cell_%&amp;knowledge=10&amp;textmining=10&amp;experiments=10&amp;predictions=10&amp;type1=9606&amp;type2=-22&amp;id1=ENSP00000007722","link")</f>
        <v>link</v>
      </c>
      <c r="AJ663" t="s">
        <v>51</v>
      </c>
      <c r="AK663" t="str">
        <f>HYPERLINK("http://www.proteinatlas.org/P26006","HPA008572;CAB018594")</f>
        <v>HPA008572;CAB018594</v>
      </c>
      <c r="AM663">
        <v>3675</v>
      </c>
    </row>
    <row r="664" spans="1:39" x14ac:dyDescent="0.35">
      <c r="A664" t="s">
        <v>7271</v>
      </c>
      <c r="B664" t="str">
        <f>HYPERLINK("http://www.uniprot.org/uniprot/P26010","P26010")</f>
        <v>P26010</v>
      </c>
      <c r="C664" t="s">
        <v>7272</v>
      </c>
      <c r="D664" t="s">
        <v>7273</v>
      </c>
      <c r="E664" t="s">
        <v>39</v>
      </c>
      <c r="F664" t="s">
        <v>40</v>
      </c>
      <c r="H664">
        <v>798</v>
      </c>
      <c r="I664">
        <v>1</v>
      </c>
      <c r="J664">
        <v>1</v>
      </c>
      <c r="K664" t="s">
        <v>7274</v>
      </c>
      <c r="L664" t="s">
        <v>101</v>
      </c>
      <c r="N664">
        <v>0.88019999999999998</v>
      </c>
      <c r="O664" s="1">
        <v>1</v>
      </c>
      <c r="P664" t="s">
        <v>7275</v>
      </c>
      <c r="Q664" t="s">
        <v>7276</v>
      </c>
      <c r="S664" t="s">
        <v>166</v>
      </c>
      <c r="T664" t="s">
        <v>2763</v>
      </c>
      <c r="U664" t="s">
        <v>7277</v>
      </c>
      <c r="V664">
        <v>8</v>
      </c>
      <c r="Z664" t="s">
        <v>107</v>
      </c>
      <c r="AA664">
        <v>6</v>
      </c>
      <c r="AB664" t="s">
        <v>7278</v>
      </c>
      <c r="AC664" t="s">
        <v>7279</v>
      </c>
      <c r="AD664" t="s">
        <v>7280</v>
      </c>
      <c r="AE664" t="s">
        <v>144</v>
      </c>
      <c r="AF664" t="s">
        <v>7281</v>
      </c>
      <c r="AG664" t="s">
        <v>7282</v>
      </c>
      <c r="AH664" t="str">
        <f>HYPERLINK("http://compartments.jensenlab.org/Entity?figures=subcell_cell_%&amp;knowledge=10&amp;textmining=10&amp;experiments=10&amp;predictions=10&amp;type1=9606&amp;type2=-22&amp;id1=ENSP00000267082","link")</f>
        <v>link</v>
      </c>
      <c r="AJ664" t="s">
        <v>51</v>
      </c>
      <c r="AK664" t="str">
        <f>HYPERLINK("http://www.proteinatlas.org/P26010","HPA042277")</f>
        <v>HPA042277</v>
      </c>
      <c r="AM664">
        <v>3695</v>
      </c>
    </row>
    <row r="665" spans="1:39" x14ac:dyDescent="0.35">
      <c r="A665" t="s">
        <v>7283</v>
      </c>
      <c r="B665" t="str">
        <f>HYPERLINK("http://www.uniprot.org/uniprot/P26012","P26012")</f>
        <v>P26012</v>
      </c>
      <c r="C665" t="s">
        <v>7284</v>
      </c>
      <c r="D665" t="s">
        <v>7285</v>
      </c>
      <c r="E665" t="s">
        <v>39</v>
      </c>
      <c r="F665" t="s">
        <v>40</v>
      </c>
      <c r="H665">
        <v>769</v>
      </c>
      <c r="I665">
        <v>1</v>
      </c>
      <c r="J665">
        <v>1</v>
      </c>
      <c r="K665" t="s">
        <v>7286</v>
      </c>
      <c r="L665" t="s">
        <v>101</v>
      </c>
      <c r="N665">
        <v>0.76249999999999996</v>
      </c>
      <c r="O665" s="1">
        <v>1</v>
      </c>
      <c r="P665" t="s">
        <v>7287</v>
      </c>
      <c r="Q665" t="s">
        <v>7288</v>
      </c>
      <c r="S665" t="s">
        <v>166</v>
      </c>
      <c r="T665" t="s">
        <v>2763</v>
      </c>
      <c r="U665" t="s">
        <v>7289</v>
      </c>
      <c r="V665">
        <v>7</v>
      </c>
      <c r="Y665">
        <v>28</v>
      </c>
      <c r="Z665" t="s">
        <v>107</v>
      </c>
      <c r="AA665">
        <v>5</v>
      </c>
      <c r="AB665" t="s">
        <v>7290</v>
      </c>
      <c r="AC665" t="s">
        <v>7291</v>
      </c>
      <c r="AD665" t="s">
        <v>7292</v>
      </c>
      <c r="AE665" t="s">
        <v>144</v>
      </c>
      <c r="AF665" t="s">
        <v>7293</v>
      </c>
      <c r="AG665" t="s">
        <v>7294</v>
      </c>
      <c r="AH665" t="str">
        <f>HYPERLINK("http://compartments.jensenlab.org/Entity?figures=subcell_cell_%&amp;knowledge=10&amp;textmining=10&amp;experiments=10&amp;predictions=10&amp;type1=9606&amp;type2=-22&amp;id1=ENSP00000222573","link")</f>
        <v>link</v>
      </c>
      <c r="AJ665" t="s">
        <v>51</v>
      </c>
      <c r="AK665" t="str">
        <f>HYPERLINK("http://www.proteinatlas.org/P26012","HPA027796;HPA027797")</f>
        <v>HPA027796;HPA027797</v>
      </c>
      <c r="AM665">
        <v>3696</v>
      </c>
    </row>
    <row r="666" spans="1:39" x14ac:dyDescent="0.35">
      <c r="A666" t="s">
        <v>7295</v>
      </c>
      <c r="B666" t="str">
        <f>HYPERLINK("http://www.uniprot.org/uniprot/P26715","P26715")</f>
        <v>P26715</v>
      </c>
      <c r="C666" t="s">
        <v>7296</v>
      </c>
      <c r="D666" t="s">
        <v>7297</v>
      </c>
      <c r="E666" t="s">
        <v>39</v>
      </c>
      <c r="F666" t="s">
        <v>40</v>
      </c>
      <c r="H666">
        <v>233</v>
      </c>
      <c r="I666">
        <v>1</v>
      </c>
      <c r="J666">
        <v>0</v>
      </c>
      <c r="K666" t="s">
        <v>7298</v>
      </c>
      <c r="L666" t="s">
        <v>57</v>
      </c>
      <c r="N666">
        <v>0.77839999999999998</v>
      </c>
      <c r="O666" s="1">
        <v>1</v>
      </c>
      <c r="P666" t="s">
        <v>7299</v>
      </c>
      <c r="Q666" t="s">
        <v>7300</v>
      </c>
      <c r="R666" t="s">
        <v>7301</v>
      </c>
      <c r="S666" t="s">
        <v>166</v>
      </c>
      <c r="T666" t="s">
        <v>4251</v>
      </c>
      <c r="U666" t="s">
        <v>7302</v>
      </c>
      <c r="V666">
        <v>4</v>
      </c>
      <c r="AE666" t="s">
        <v>359</v>
      </c>
      <c r="AF666" t="s">
        <v>7303</v>
      </c>
      <c r="AG666" t="s">
        <v>7304</v>
      </c>
      <c r="AH666" t="str">
        <f>HYPERLINK("http://compartments.jensenlab.org/Entity?figures=subcell_cell_%&amp;knowledge=10&amp;textmining=10&amp;experiments=10&amp;predictions=10&amp;type1=9606&amp;type2=-22&amp;id1=ENSP00000352064","link")</f>
        <v>link</v>
      </c>
      <c r="AJ666" t="s">
        <v>51</v>
      </c>
      <c r="AK666" t="str">
        <f>HYPERLINK("http://www.proteinatlas.org/P26715","no")</f>
        <v>no</v>
      </c>
      <c r="AM666">
        <v>3821</v>
      </c>
    </row>
    <row r="667" spans="1:39" x14ac:dyDescent="0.35">
      <c r="A667" t="s">
        <v>7305</v>
      </c>
      <c r="B667" t="str">
        <f>HYPERLINK("http://www.uniprot.org/uniprot/P26717","P26717")</f>
        <v>P26717</v>
      </c>
      <c r="C667" t="s">
        <v>7306</v>
      </c>
      <c r="D667" t="s">
        <v>7307</v>
      </c>
      <c r="E667" t="s">
        <v>39</v>
      </c>
      <c r="F667" t="s">
        <v>40</v>
      </c>
      <c r="H667">
        <v>231</v>
      </c>
      <c r="I667">
        <v>1</v>
      </c>
      <c r="J667">
        <v>0</v>
      </c>
      <c r="K667" t="s">
        <v>7308</v>
      </c>
      <c r="L667" t="s">
        <v>57</v>
      </c>
      <c r="N667">
        <v>0.62280000000000002</v>
      </c>
      <c r="O667" s="1">
        <v>2</v>
      </c>
      <c r="P667" t="s">
        <v>7309</v>
      </c>
      <c r="Q667" t="s">
        <v>7310</v>
      </c>
      <c r="R667" t="s">
        <v>7311</v>
      </c>
      <c r="S667" t="s">
        <v>166</v>
      </c>
      <c r="T667" t="s">
        <v>4251</v>
      </c>
      <c r="U667" t="s">
        <v>7312</v>
      </c>
      <c r="V667">
        <v>4</v>
      </c>
      <c r="AE667" t="s">
        <v>359</v>
      </c>
      <c r="AF667" t="s">
        <v>7313</v>
      </c>
      <c r="AG667" t="s">
        <v>7314</v>
      </c>
      <c r="AH667" t="str">
        <f>HYPERLINK("http://compartments.jensenlab.org/Entity?figures=subcell_cell_%&amp;knowledge=10&amp;textmining=10&amp;experiments=10&amp;predictions=10&amp;type1=9606&amp;type2=-22&amp;id1=ENSP00000371327","link")</f>
        <v>link</v>
      </c>
      <c r="AJ667" t="s">
        <v>51</v>
      </c>
      <c r="AK667" t="str">
        <f>HYPERLINK("http://www.proteinatlas.org/P26717","no")</f>
        <v>no</v>
      </c>
      <c r="AM667">
        <v>3822</v>
      </c>
    </row>
    <row r="668" spans="1:39" x14ac:dyDescent="0.35">
      <c r="A668" t="s">
        <v>7315</v>
      </c>
      <c r="B668" t="str">
        <f>HYPERLINK("http://www.uniprot.org/uniprot/P26718","P26718")</f>
        <v>P26718</v>
      </c>
      <c r="C668" t="s">
        <v>7316</v>
      </c>
      <c r="D668" t="s">
        <v>7317</v>
      </c>
      <c r="E668" t="s">
        <v>39</v>
      </c>
      <c r="F668" t="s">
        <v>40</v>
      </c>
      <c r="H668">
        <v>216</v>
      </c>
      <c r="I668">
        <v>1</v>
      </c>
      <c r="J668">
        <v>0</v>
      </c>
      <c r="K668" t="s">
        <v>7318</v>
      </c>
      <c r="L668" t="s">
        <v>57</v>
      </c>
      <c r="N668">
        <v>0.70860000000000001</v>
      </c>
      <c r="O668" s="1">
        <v>2</v>
      </c>
      <c r="P668" t="s">
        <v>7319</v>
      </c>
      <c r="Q668" t="s">
        <v>7320</v>
      </c>
      <c r="R668" t="s">
        <v>7321</v>
      </c>
      <c r="S668" t="s">
        <v>166</v>
      </c>
      <c r="T668" t="s">
        <v>4251</v>
      </c>
      <c r="U668" t="s">
        <v>7322</v>
      </c>
      <c r="V668">
        <v>3</v>
      </c>
      <c r="W668" t="s">
        <v>7322</v>
      </c>
      <c r="AE668" t="s">
        <v>7323</v>
      </c>
      <c r="AF668" t="s">
        <v>7324</v>
      </c>
      <c r="AG668" t="s">
        <v>7325</v>
      </c>
      <c r="AH668" t="str">
        <f>HYPERLINK("http://compartments.jensenlab.org/Entity?figures=subcell_cell_%&amp;knowledge=10&amp;textmining=10&amp;experiments=10&amp;predictions=10&amp;type1=9606&amp;type2=-22&amp;id1=ENSP00000240618","link")</f>
        <v>link</v>
      </c>
      <c r="AJ668" t="s">
        <v>51</v>
      </c>
      <c r="AK668" t="str">
        <f>HYPERLINK("http://www.proteinatlas.org/P26718","CAB021896")</f>
        <v>CAB021896</v>
      </c>
      <c r="AM668" t="s">
        <v>7326</v>
      </c>
    </row>
    <row r="669" spans="1:39" x14ac:dyDescent="0.35">
      <c r="A669" t="s">
        <v>7327</v>
      </c>
      <c r="B669" t="str">
        <f>HYPERLINK("http://www.uniprot.org/uniprot/P26842","P26842")</f>
        <v>P26842</v>
      </c>
      <c r="C669" t="s">
        <v>7328</v>
      </c>
      <c r="D669" t="s">
        <v>7329</v>
      </c>
      <c r="E669" t="s">
        <v>39</v>
      </c>
      <c r="F669" t="s">
        <v>55</v>
      </c>
      <c r="H669">
        <v>260</v>
      </c>
      <c r="I669">
        <v>1</v>
      </c>
      <c r="J669">
        <v>1</v>
      </c>
      <c r="K669" t="s">
        <v>7330</v>
      </c>
      <c r="L669" t="s">
        <v>101</v>
      </c>
      <c r="M669" t="s">
        <v>39</v>
      </c>
      <c r="N669">
        <v>0.91979999999999995</v>
      </c>
      <c r="O669" s="1">
        <v>1</v>
      </c>
      <c r="P669" t="s">
        <v>7331</v>
      </c>
      <c r="Q669" t="s">
        <v>7332</v>
      </c>
      <c r="R669" t="s">
        <v>7329</v>
      </c>
      <c r="S669" t="s">
        <v>166</v>
      </c>
      <c r="T669" t="s">
        <v>864</v>
      </c>
      <c r="U669">
        <v>95</v>
      </c>
      <c r="V669">
        <v>1</v>
      </c>
      <c r="W669" t="s">
        <v>7333</v>
      </c>
      <c r="X669" t="s">
        <v>7334</v>
      </c>
      <c r="Z669" t="s">
        <v>107</v>
      </c>
      <c r="AA669">
        <v>2</v>
      </c>
      <c r="AB669" t="s">
        <v>7335</v>
      </c>
      <c r="AC669">
        <v>95</v>
      </c>
      <c r="AD669" t="s">
        <v>7336</v>
      </c>
      <c r="AE669" t="s">
        <v>144</v>
      </c>
      <c r="AF669" t="s">
        <v>7337</v>
      </c>
      <c r="AG669" t="s">
        <v>7338</v>
      </c>
      <c r="AH669" t="str">
        <f>HYPERLINK("http://compartments.jensenlab.org/Entity?figures=subcell_cell_%&amp;knowledge=10&amp;textmining=10&amp;experiments=10&amp;predictions=10&amp;type1=9606&amp;type2=-22&amp;id1=ENSP00000266557","link")</f>
        <v>link</v>
      </c>
      <c r="AI669" t="s">
        <v>1058</v>
      </c>
      <c r="AJ669" t="s">
        <v>902</v>
      </c>
      <c r="AK669" t="str">
        <f>HYPERLINK("http://www.proteinatlas.org/P26842","CAB002420;HPA038936")</f>
        <v>CAB002420;HPA038936</v>
      </c>
      <c r="AM669">
        <v>939</v>
      </c>
    </row>
    <row r="670" spans="1:39" x14ac:dyDescent="0.35">
      <c r="A670" t="s">
        <v>7339</v>
      </c>
      <c r="B670" t="str">
        <f>HYPERLINK("http://www.uniprot.org/uniprot/P26951","P26951")</f>
        <v>P26951</v>
      </c>
      <c r="C670" t="s">
        <v>7340</v>
      </c>
      <c r="D670" t="s">
        <v>7341</v>
      </c>
      <c r="E670" t="s">
        <v>39</v>
      </c>
      <c r="F670" t="s">
        <v>40</v>
      </c>
      <c r="H670">
        <v>378</v>
      </c>
      <c r="I670">
        <v>1</v>
      </c>
      <c r="J670">
        <v>1</v>
      </c>
      <c r="K670" t="s">
        <v>7342</v>
      </c>
      <c r="L670" t="s">
        <v>101</v>
      </c>
      <c r="N670">
        <v>0.78239999999999998</v>
      </c>
      <c r="O670" s="1">
        <v>1</v>
      </c>
      <c r="P670" t="s">
        <v>7343</v>
      </c>
      <c r="Q670" t="s">
        <v>7344</v>
      </c>
      <c r="R670" t="s">
        <v>7345</v>
      </c>
      <c r="S670" t="s">
        <v>166</v>
      </c>
      <c r="T670" t="s">
        <v>3171</v>
      </c>
      <c r="U670" t="s">
        <v>7346</v>
      </c>
      <c r="V670">
        <v>6</v>
      </c>
      <c r="Z670" t="s">
        <v>107</v>
      </c>
      <c r="AA670">
        <v>5</v>
      </c>
      <c r="AB670" t="s">
        <v>7347</v>
      </c>
      <c r="AC670" t="s">
        <v>7348</v>
      </c>
      <c r="AD670" t="s">
        <v>7349</v>
      </c>
      <c r="AE670" t="s">
        <v>144</v>
      </c>
      <c r="AF670" t="s">
        <v>7350</v>
      </c>
      <c r="AG670" t="s">
        <v>7351</v>
      </c>
      <c r="AH670" t="str">
        <f>HYPERLINK("http://compartments.jensenlab.org/Entity?figures=subcell_cell_%&amp;knowledge=10&amp;textmining=10&amp;experiments=10&amp;predictions=10&amp;type1=9606&amp;type2=-22&amp;id1=ENSP00000327890","link")</f>
        <v>link</v>
      </c>
      <c r="AJ670" t="s">
        <v>51</v>
      </c>
      <c r="AK670" t="str">
        <f>HYPERLINK("http://www.proteinatlas.org/P26951","HPA003539;CAB018374")</f>
        <v>HPA003539;CAB018374</v>
      </c>
      <c r="AL670" t="s">
        <v>5689</v>
      </c>
      <c r="AM670">
        <v>3563</v>
      </c>
    </row>
    <row r="671" spans="1:39" x14ac:dyDescent="0.35">
      <c r="A671" t="s">
        <v>7352</v>
      </c>
      <c r="B671" t="str">
        <f>HYPERLINK("http://www.uniprot.org/uniprot/P26992","P26992")</f>
        <v>P26992</v>
      </c>
      <c r="C671" t="s">
        <v>7353</v>
      </c>
      <c r="D671" t="s">
        <v>7354</v>
      </c>
      <c r="E671" t="s">
        <v>39</v>
      </c>
      <c r="F671" t="s">
        <v>239</v>
      </c>
      <c r="H671">
        <v>372</v>
      </c>
      <c r="I671">
        <v>0</v>
      </c>
      <c r="J671">
        <v>1</v>
      </c>
      <c r="K671" t="s">
        <v>7355</v>
      </c>
      <c r="L671" t="s">
        <v>996</v>
      </c>
      <c r="N671">
        <v>0.69059999999999999</v>
      </c>
      <c r="O671" s="1" t="s">
        <v>241</v>
      </c>
      <c r="P671" t="s">
        <v>7356</v>
      </c>
      <c r="Q671" t="s">
        <v>7357</v>
      </c>
      <c r="S671" t="s">
        <v>166</v>
      </c>
      <c r="T671" t="s">
        <v>3171</v>
      </c>
      <c r="U671" t="s">
        <v>7358</v>
      </c>
      <c r="V671">
        <v>4</v>
      </c>
      <c r="W671" t="s">
        <v>7358</v>
      </c>
      <c r="Y671">
        <v>290</v>
      </c>
      <c r="Z671" t="s">
        <v>107</v>
      </c>
      <c r="AA671">
        <v>2</v>
      </c>
      <c r="AB671" t="s">
        <v>7359</v>
      </c>
      <c r="AC671" t="s">
        <v>7360</v>
      </c>
      <c r="AD671" t="s">
        <v>7361</v>
      </c>
      <c r="AE671" t="s">
        <v>243</v>
      </c>
      <c r="AF671" t="s">
        <v>7362</v>
      </c>
      <c r="AG671" t="s">
        <v>7363</v>
      </c>
      <c r="AH671" t="str">
        <f>HYPERLINK("http://compartments.jensenlab.org/Entity?figures=subcell_cell_%&amp;knowledge=10&amp;textmining=10&amp;experiments=10&amp;predictions=10&amp;type1=9606&amp;type2=-22&amp;id1=ENSP00000242338","link")</f>
        <v>link</v>
      </c>
      <c r="AI671" t="s">
        <v>65</v>
      </c>
      <c r="AJ671" t="s">
        <v>902</v>
      </c>
      <c r="AK671" t="str">
        <f>HYPERLINK("http://www.proteinatlas.org/P26992","CAB025310")</f>
        <v>CAB025310</v>
      </c>
      <c r="AM671">
        <v>1271</v>
      </c>
    </row>
    <row r="672" spans="1:39" x14ac:dyDescent="0.35">
      <c r="A672" t="s">
        <v>7364</v>
      </c>
      <c r="B672" t="str">
        <f>HYPERLINK("http://www.uniprot.org/uniprot/P27037","P27037")</f>
        <v>P27037</v>
      </c>
      <c r="C672" t="s">
        <v>7365</v>
      </c>
      <c r="D672" t="s">
        <v>7366</v>
      </c>
      <c r="E672" t="s">
        <v>39</v>
      </c>
      <c r="F672" t="s">
        <v>40</v>
      </c>
      <c r="H672">
        <v>513</v>
      </c>
      <c r="I672">
        <v>1</v>
      </c>
      <c r="J672">
        <v>1</v>
      </c>
      <c r="K672" t="s">
        <v>7367</v>
      </c>
      <c r="L672" t="s">
        <v>101</v>
      </c>
      <c r="N672">
        <v>0.93410000000000004</v>
      </c>
      <c r="O672" s="1">
        <v>1</v>
      </c>
      <c r="P672" t="s">
        <v>7368</v>
      </c>
      <c r="Q672" t="s">
        <v>7369</v>
      </c>
      <c r="S672" t="s">
        <v>166</v>
      </c>
      <c r="T672" t="s">
        <v>7370</v>
      </c>
      <c r="U672" t="s">
        <v>7371</v>
      </c>
      <c r="V672">
        <v>2</v>
      </c>
      <c r="W672" t="s">
        <v>7371</v>
      </c>
      <c r="Z672" t="s">
        <v>107</v>
      </c>
      <c r="AA672">
        <v>3</v>
      </c>
      <c r="AB672" t="s">
        <v>7372</v>
      </c>
      <c r="AC672">
        <v>43</v>
      </c>
      <c r="AD672" t="s">
        <v>7373</v>
      </c>
      <c r="AE672" t="s">
        <v>144</v>
      </c>
      <c r="AF672" t="s">
        <v>7374</v>
      </c>
      <c r="AG672" t="s">
        <v>7375</v>
      </c>
      <c r="AH672" t="str">
        <f>HYPERLINK("http://compartments.jensenlab.org/Entity?figures=subcell_cell_%&amp;knowledge=10&amp;textmining=10&amp;experiments=10&amp;predictions=10&amp;type1=9606&amp;type2=-22&amp;id1=ENSP00000241416","link")</f>
        <v>link</v>
      </c>
      <c r="AJ672" t="s">
        <v>2124</v>
      </c>
      <c r="AK672" t="str">
        <f>HYPERLINK("http://www.proteinatlas.org/P27037","HPA046997")</f>
        <v>HPA046997</v>
      </c>
      <c r="AM672">
        <v>92</v>
      </c>
    </row>
    <row r="673" spans="1:39" x14ac:dyDescent="0.35">
      <c r="A673" t="s">
        <v>7376</v>
      </c>
      <c r="B673" t="str">
        <f>HYPERLINK("http://www.uniprot.org/uniprot/P27487","P27487")</f>
        <v>P27487</v>
      </c>
      <c r="C673" t="s">
        <v>7377</v>
      </c>
      <c r="D673" t="s">
        <v>7378</v>
      </c>
      <c r="E673" t="s">
        <v>39</v>
      </c>
      <c r="F673" t="s">
        <v>55</v>
      </c>
      <c r="H673">
        <v>766</v>
      </c>
      <c r="I673">
        <v>1</v>
      </c>
      <c r="J673">
        <v>0</v>
      </c>
      <c r="K673" t="s">
        <v>7379</v>
      </c>
      <c r="L673" t="s">
        <v>101</v>
      </c>
      <c r="M673" t="s">
        <v>39</v>
      </c>
      <c r="N673">
        <v>0.65410000000000001</v>
      </c>
      <c r="O673" s="1">
        <v>2</v>
      </c>
      <c r="P673" t="s">
        <v>7380</v>
      </c>
      <c r="Q673" t="s">
        <v>7381</v>
      </c>
      <c r="R673" t="s">
        <v>7382</v>
      </c>
      <c r="U673" t="s">
        <v>7383</v>
      </c>
      <c r="V673">
        <v>9</v>
      </c>
      <c r="W673" t="s">
        <v>7384</v>
      </c>
      <c r="Y673">
        <v>154</v>
      </c>
      <c r="Z673" t="s">
        <v>107</v>
      </c>
      <c r="AA673">
        <v>8</v>
      </c>
      <c r="AB673" t="s">
        <v>7385</v>
      </c>
      <c r="AC673" t="s">
        <v>7386</v>
      </c>
      <c r="AD673" t="s">
        <v>7387</v>
      </c>
      <c r="AE673" t="s">
        <v>7388</v>
      </c>
      <c r="AF673" t="s">
        <v>7389</v>
      </c>
      <c r="AG673" t="s">
        <v>7390</v>
      </c>
      <c r="AH673" t="str">
        <f>HYPERLINK("http://compartments.jensenlab.org/Entity?figures=subcell_cell_%&amp;knowledge=10&amp;textmining=10&amp;experiments=10&amp;predictions=10&amp;type1=9606&amp;type2=-22&amp;id1=ENSP00000353731","link")</f>
        <v>link</v>
      </c>
      <c r="AI673" t="s">
        <v>1058</v>
      </c>
      <c r="AJ673" t="s">
        <v>7391</v>
      </c>
      <c r="AK673" t="str">
        <f>HYPERLINK("http://www.proteinatlas.org/P27487","CAB045970")</f>
        <v>CAB045970</v>
      </c>
      <c r="AL673" t="s">
        <v>7392</v>
      </c>
      <c r="AM673">
        <v>1803</v>
      </c>
    </row>
    <row r="674" spans="1:39" x14ac:dyDescent="0.35">
      <c r="A674" t="s">
        <v>7393</v>
      </c>
      <c r="B674" t="str">
        <f>HYPERLINK("http://www.uniprot.org/uniprot/P27701","P27701")</f>
        <v>P27701</v>
      </c>
      <c r="C674" t="s">
        <v>7394</v>
      </c>
      <c r="D674" t="s">
        <v>7395</v>
      </c>
      <c r="E674" t="s">
        <v>39</v>
      </c>
      <c r="F674" t="s">
        <v>40</v>
      </c>
      <c r="H674">
        <v>267</v>
      </c>
      <c r="I674">
        <v>4</v>
      </c>
      <c r="J674">
        <v>0</v>
      </c>
      <c r="K674" t="s">
        <v>7396</v>
      </c>
      <c r="L674" t="s">
        <v>101</v>
      </c>
      <c r="N674">
        <v>0.88619999999999999</v>
      </c>
      <c r="O674" s="1">
        <v>1</v>
      </c>
      <c r="P674" t="s">
        <v>7397</v>
      </c>
      <c r="Q674" t="s">
        <v>7398</v>
      </c>
      <c r="R674" t="s">
        <v>7395</v>
      </c>
      <c r="S674" t="s">
        <v>91</v>
      </c>
      <c r="T674" t="s">
        <v>135</v>
      </c>
      <c r="U674" t="s">
        <v>7399</v>
      </c>
      <c r="V674">
        <v>3</v>
      </c>
      <c r="W674" t="s">
        <v>7399</v>
      </c>
      <c r="Z674" t="s">
        <v>123</v>
      </c>
      <c r="AA674">
        <v>5</v>
      </c>
      <c r="AB674" t="s">
        <v>7400</v>
      </c>
      <c r="AC674" t="s">
        <v>7399</v>
      </c>
      <c r="AD674" t="s">
        <v>7401</v>
      </c>
      <c r="AE674" t="s">
        <v>48</v>
      </c>
      <c r="AF674" t="s">
        <v>472</v>
      </c>
      <c r="AG674" t="s">
        <v>7402</v>
      </c>
      <c r="AH674" t="str">
        <f>HYPERLINK("http://compartments.jensenlab.org/Entity?figures=subcell_cell_%&amp;knowledge=10&amp;textmining=10&amp;experiments=10&amp;predictions=10&amp;type1=9606&amp;type2=-22&amp;id1=ENSP00000227155","link")</f>
        <v>link</v>
      </c>
      <c r="AJ674" t="s">
        <v>51</v>
      </c>
      <c r="AK674" t="str">
        <f>HYPERLINK("http://www.proteinatlas.org/P27701","CAB002508;HPA028900;HPA061418")</f>
        <v>CAB002508;HPA028900;HPA061418</v>
      </c>
      <c r="AM674">
        <v>3732</v>
      </c>
    </row>
    <row r="675" spans="1:39" x14ac:dyDescent="0.35">
      <c r="A675" t="s">
        <v>7403</v>
      </c>
      <c r="B675" t="str">
        <f>HYPERLINK("http://www.uniprot.org/uniprot/P27930","P27930")</f>
        <v>P27930</v>
      </c>
      <c r="C675" t="s">
        <v>7404</v>
      </c>
      <c r="D675" t="s">
        <v>7405</v>
      </c>
      <c r="E675" t="s">
        <v>39</v>
      </c>
      <c r="F675" t="s">
        <v>55</v>
      </c>
      <c r="H675">
        <v>398</v>
      </c>
      <c r="I675">
        <v>1</v>
      </c>
      <c r="J675">
        <v>1</v>
      </c>
      <c r="K675" t="s">
        <v>7406</v>
      </c>
      <c r="L675" t="s">
        <v>101</v>
      </c>
      <c r="M675" t="s">
        <v>39</v>
      </c>
      <c r="N675">
        <v>0.93510000000000004</v>
      </c>
      <c r="O675" s="1">
        <v>1</v>
      </c>
      <c r="P675" t="s">
        <v>7407</v>
      </c>
      <c r="Q675" t="s">
        <v>7408</v>
      </c>
      <c r="R675" t="s">
        <v>7409</v>
      </c>
      <c r="S675" t="s">
        <v>166</v>
      </c>
      <c r="T675" t="s">
        <v>3171</v>
      </c>
      <c r="U675" t="s">
        <v>7410</v>
      </c>
      <c r="V675">
        <v>5</v>
      </c>
      <c r="W675" t="s">
        <v>7410</v>
      </c>
      <c r="Y675" t="s">
        <v>7411</v>
      </c>
      <c r="Z675" t="s">
        <v>107</v>
      </c>
      <c r="AA675">
        <v>7</v>
      </c>
      <c r="AB675" t="s">
        <v>7412</v>
      </c>
      <c r="AC675" t="s">
        <v>7413</v>
      </c>
      <c r="AD675" t="s">
        <v>7414</v>
      </c>
      <c r="AE675" t="s">
        <v>1250</v>
      </c>
      <c r="AF675" t="s">
        <v>7415</v>
      </c>
      <c r="AG675" t="s">
        <v>7416</v>
      </c>
      <c r="AH675" t="str">
        <f>HYPERLINK("http://compartments.jensenlab.org/Entity?figures=subcell_cell_%&amp;knowledge=10&amp;textmining=10&amp;experiments=10&amp;predictions=10&amp;type1=9606&amp;type2=-22&amp;id1=ENSP00000330959","link")</f>
        <v>link</v>
      </c>
      <c r="AI675" t="s">
        <v>1058</v>
      </c>
      <c r="AJ675" t="s">
        <v>902</v>
      </c>
      <c r="AK675" t="str">
        <f>HYPERLINK("http://www.proteinatlas.org/P27930","HPA027597;HPA027598")</f>
        <v>HPA027597;HPA027598</v>
      </c>
      <c r="AM675">
        <v>7850</v>
      </c>
    </row>
    <row r="676" spans="1:39" x14ac:dyDescent="0.35">
      <c r="A676" t="s">
        <v>7417</v>
      </c>
      <c r="B676" t="str">
        <f>HYPERLINK("http://www.uniprot.org/uniprot/P28067","P28067")</f>
        <v>P28067</v>
      </c>
      <c r="C676" t="s">
        <v>7418</v>
      </c>
      <c r="D676" t="s">
        <v>7419</v>
      </c>
      <c r="E676" t="s">
        <v>39</v>
      </c>
      <c r="F676" t="s">
        <v>40</v>
      </c>
      <c r="H676">
        <v>261</v>
      </c>
      <c r="I676">
        <v>1</v>
      </c>
      <c r="J676">
        <v>1</v>
      </c>
      <c r="K676" t="s">
        <v>7420</v>
      </c>
      <c r="L676" t="s">
        <v>57</v>
      </c>
      <c r="N676">
        <v>0.71460000000000001</v>
      </c>
      <c r="O676" s="1">
        <v>2</v>
      </c>
      <c r="P676" t="s">
        <v>7421</v>
      </c>
      <c r="Q676" t="s">
        <v>7422</v>
      </c>
      <c r="S676" t="s">
        <v>91</v>
      </c>
      <c r="T676" t="s">
        <v>3641</v>
      </c>
      <c r="U676" t="s">
        <v>7423</v>
      </c>
      <c r="V676">
        <v>2</v>
      </c>
      <c r="AE676" t="s">
        <v>7424</v>
      </c>
      <c r="AF676" t="s">
        <v>4163</v>
      </c>
      <c r="AG676" t="s">
        <v>7425</v>
      </c>
      <c r="AH676" t="str">
        <f>HYPERLINK("http://compartments.jensenlab.org/Entity?figures=subcell_cell_%&amp;knowledge=10&amp;textmining=10&amp;experiments=10&amp;predictions=10&amp;type1=9606&amp;type2=-22&amp;id1=ENSP00000363976","link")</f>
        <v>link</v>
      </c>
      <c r="AI676" t="s">
        <v>6445</v>
      </c>
      <c r="AJ676" t="s">
        <v>4662</v>
      </c>
      <c r="AK676" t="str">
        <f>HYPERLINK("http://www.proteinatlas.org/P28067","HPA012750")</f>
        <v>HPA012750</v>
      </c>
    </row>
    <row r="677" spans="1:39" x14ac:dyDescent="0.35">
      <c r="A677" t="s">
        <v>7426</v>
      </c>
      <c r="B677" t="str">
        <f>HYPERLINK("http://www.uniprot.org/uniprot/P28068","P28068")</f>
        <v>P28068</v>
      </c>
      <c r="C677" t="s">
        <v>7427</v>
      </c>
      <c r="D677" t="s">
        <v>7428</v>
      </c>
      <c r="E677" t="s">
        <v>39</v>
      </c>
      <c r="F677" t="s">
        <v>40</v>
      </c>
      <c r="H677">
        <v>263</v>
      </c>
      <c r="I677">
        <v>1</v>
      </c>
      <c r="J677">
        <v>1</v>
      </c>
      <c r="K677" t="s">
        <v>7429</v>
      </c>
      <c r="L677" t="s">
        <v>57</v>
      </c>
      <c r="N677">
        <v>0.71260000000000001</v>
      </c>
      <c r="O677" s="1">
        <v>2</v>
      </c>
      <c r="P677" t="s">
        <v>7430</v>
      </c>
      <c r="Q677" t="s">
        <v>7431</v>
      </c>
      <c r="S677" t="s">
        <v>91</v>
      </c>
      <c r="T677" t="s">
        <v>3641</v>
      </c>
      <c r="U677" t="s">
        <v>7432</v>
      </c>
      <c r="V677">
        <v>1</v>
      </c>
      <c r="X677">
        <v>247</v>
      </c>
      <c r="Y677" t="s">
        <v>7433</v>
      </c>
      <c r="AE677" t="s">
        <v>7424</v>
      </c>
      <c r="AF677" t="s">
        <v>7434</v>
      </c>
      <c r="AG677" t="s">
        <v>7435</v>
      </c>
      <c r="AH677" t="str">
        <f>HYPERLINK("http://compartments.jensenlab.org/Entity?figures=subcell_cell_%&amp;knowledge=10&amp;textmining=10&amp;experiments=10&amp;predictions=10&amp;type1=9606&amp;type2=-22&amp;id1=ENSP00000372718","link")</f>
        <v>link</v>
      </c>
      <c r="AI677" t="s">
        <v>7436</v>
      </c>
      <c r="AJ677" t="s">
        <v>7437</v>
      </c>
      <c r="AK677" t="str">
        <f>HYPERLINK("http://www.proteinatlas.org/P28068","HPA012298")</f>
        <v>HPA012298</v>
      </c>
      <c r="AM677">
        <v>3109</v>
      </c>
    </row>
    <row r="678" spans="1:39" x14ac:dyDescent="0.35">
      <c r="A678" t="s">
        <v>7438</v>
      </c>
      <c r="B678" t="str">
        <f>HYPERLINK("http://www.uniprot.org/uniprot/P28221","P28221")</f>
        <v>P28221</v>
      </c>
      <c r="C678" t="s">
        <v>7439</v>
      </c>
      <c r="D678" t="s">
        <v>7440</v>
      </c>
      <c r="E678" t="s">
        <v>39</v>
      </c>
      <c r="F678" t="s">
        <v>55</v>
      </c>
      <c r="H678">
        <v>377</v>
      </c>
      <c r="I678">
        <v>7</v>
      </c>
      <c r="J678">
        <v>0</v>
      </c>
      <c r="K678" t="s">
        <v>7441</v>
      </c>
      <c r="L678" t="s">
        <v>101</v>
      </c>
      <c r="M678" t="s">
        <v>39</v>
      </c>
      <c r="N678">
        <v>0.95720000000000005</v>
      </c>
      <c r="O678" s="1">
        <v>1</v>
      </c>
      <c r="P678" t="s">
        <v>7442</v>
      </c>
      <c r="Q678" t="s">
        <v>7443</v>
      </c>
      <c r="S678" t="s">
        <v>166</v>
      </c>
      <c r="T678" t="s">
        <v>838</v>
      </c>
      <c r="U678" t="s">
        <v>7444</v>
      </c>
      <c r="V678">
        <v>4</v>
      </c>
      <c r="W678">
        <v>21</v>
      </c>
      <c r="Z678" t="s">
        <v>107</v>
      </c>
      <c r="AA678">
        <v>1</v>
      </c>
      <c r="AB678" t="s">
        <v>7445</v>
      </c>
      <c r="AC678">
        <v>21</v>
      </c>
      <c r="AD678" t="s">
        <v>7446</v>
      </c>
      <c r="AE678" t="s">
        <v>6534</v>
      </c>
      <c r="AF678" t="s">
        <v>967</v>
      </c>
      <c r="AG678" t="s">
        <v>7447</v>
      </c>
      <c r="AH678" t="str">
        <f>HYPERLINK("http://compartments.jensenlab.org/Entity?figures=subcell_cell_%&amp;knowledge=10&amp;textmining=10&amp;experiments=10&amp;predictions=10&amp;type1=9606&amp;type2=-22&amp;id1=ENSP00000363748","link")</f>
        <v>link</v>
      </c>
      <c r="AK678" t="str">
        <f>HYPERLINK("http://www.proteinatlas.org/P28221","CAB022770;CAB022775")</f>
        <v>CAB022770;CAB022775</v>
      </c>
      <c r="AL678" t="s">
        <v>7448</v>
      </c>
      <c r="AM678">
        <v>3352</v>
      </c>
    </row>
    <row r="679" spans="1:39" x14ac:dyDescent="0.35">
      <c r="A679" t="s">
        <v>7449</v>
      </c>
      <c r="B679" t="str">
        <f>HYPERLINK("http://www.uniprot.org/uniprot/P28222","P28222")</f>
        <v>P28222</v>
      </c>
      <c r="C679" t="s">
        <v>7450</v>
      </c>
      <c r="D679" t="s">
        <v>7451</v>
      </c>
      <c r="E679" t="s">
        <v>39</v>
      </c>
      <c r="F679" t="s">
        <v>40</v>
      </c>
      <c r="H679">
        <v>390</v>
      </c>
      <c r="I679">
        <v>7</v>
      </c>
      <c r="J679">
        <v>0</v>
      </c>
      <c r="K679" t="s">
        <v>7452</v>
      </c>
      <c r="L679" t="s">
        <v>57</v>
      </c>
      <c r="N679">
        <v>0.95409999999999995</v>
      </c>
      <c r="O679" s="1">
        <v>1</v>
      </c>
      <c r="P679" t="s">
        <v>7453</v>
      </c>
      <c r="Q679" t="s">
        <v>7454</v>
      </c>
      <c r="S679" t="s">
        <v>166</v>
      </c>
      <c r="T679" t="s">
        <v>838</v>
      </c>
      <c r="U679" t="s">
        <v>7455</v>
      </c>
      <c r="V679">
        <v>2</v>
      </c>
      <c r="W679">
        <v>245</v>
      </c>
      <c r="AE679" t="s">
        <v>74</v>
      </c>
      <c r="AF679" t="s">
        <v>7456</v>
      </c>
      <c r="AG679" t="s">
        <v>7457</v>
      </c>
      <c r="AH679" t="str">
        <f>HYPERLINK("http://compartments.jensenlab.org/Entity?figures=subcell_cell_%&amp;knowledge=10&amp;textmining=10&amp;experiments=10&amp;predictions=10&amp;type1=9606&amp;type2=-22&amp;id1=ENSP00000358963","link")</f>
        <v>link</v>
      </c>
      <c r="AI679" t="s">
        <v>65</v>
      </c>
      <c r="AJ679" t="s">
        <v>2124</v>
      </c>
      <c r="AK679" t="str">
        <f>HYPERLINK("http://www.proteinatlas.org/P28222","HPA049046")</f>
        <v>HPA049046</v>
      </c>
      <c r="AL679" t="s">
        <v>7458</v>
      </c>
      <c r="AM679">
        <v>3351</v>
      </c>
    </row>
    <row r="680" spans="1:39" x14ac:dyDescent="0.35">
      <c r="A680" t="s">
        <v>7459</v>
      </c>
      <c r="B680" t="str">
        <f>HYPERLINK("http://www.uniprot.org/uniprot/P28223","P28223")</f>
        <v>P28223</v>
      </c>
      <c r="C680" t="s">
        <v>7460</v>
      </c>
      <c r="D680" t="s">
        <v>7461</v>
      </c>
      <c r="E680" t="s">
        <v>39</v>
      </c>
      <c r="F680" t="s">
        <v>40</v>
      </c>
      <c r="H680">
        <v>471</v>
      </c>
      <c r="I680">
        <v>7</v>
      </c>
      <c r="J680">
        <v>0</v>
      </c>
      <c r="K680" t="s">
        <v>7462</v>
      </c>
      <c r="L680" t="s">
        <v>57</v>
      </c>
      <c r="N680">
        <v>0.96409999999999996</v>
      </c>
      <c r="O680" s="1">
        <v>1</v>
      </c>
      <c r="P680" t="s">
        <v>7463</v>
      </c>
      <c r="Q680" t="s">
        <v>7464</v>
      </c>
      <c r="S680" t="s">
        <v>166</v>
      </c>
      <c r="T680" t="s">
        <v>838</v>
      </c>
      <c r="U680" t="s">
        <v>7465</v>
      </c>
      <c r="V680">
        <v>6</v>
      </c>
      <c r="W680" t="s">
        <v>7466</v>
      </c>
      <c r="AE680" t="s">
        <v>7467</v>
      </c>
      <c r="AF680" t="s">
        <v>7468</v>
      </c>
      <c r="AG680" t="s">
        <v>7469</v>
      </c>
      <c r="AH680" t="str">
        <f>HYPERLINK("http://compartments.jensenlab.org/Entity?figures=subcell_cell_%&amp;knowledge=10&amp;textmining=10&amp;experiments=10&amp;predictions=10&amp;type1=9606&amp;type2=-22&amp;id1=ENSP00000367959","link")</f>
        <v>link</v>
      </c>
      <c r="AI680" t="s">
        <v>65</v>
      </c>
      <c r="AJ680" t="s">
        <v>2124</v>
      </c>
      <c r="AK680" t="str">
        <f>HYPERLINK("http://www.proteinatlas.org/P28223","HPA014011")</f>
        <v>HPA014011</v>
      </c>
      <c r="AL680" t="s">
        <v>7470</v>
      </c>
      <c r="AM680">
        <v>3356</v>
      </c>
    </row>
    <row r="681" spans="1:39" x14ac:dyDescent="0.35">
      <c r="A681" t="s">
        <v>7471</v>
      </c>
      <c r="B681" t="str">
        <f>HYPERLINK("http://www.uniprot.org/uniprot/P28335","P28335")</f>
        <v>P28335</v>
      </c>
      <c r="C681" t="s">
        <v>7472</v>
      </c>
      <c r="D681" t="s">
        <v>7473</v>
      </c>
      <c r="E681" t="s">
        <v>39</v>
      </c>
      <c r="F681" t="s">
        <v>40</v>
      </c>
      <c r="H681">
        <v>458</v>
      </c>
      <c r="I681">
        <v>7</v>
      </c>
      <c r="J681">
        <v>1</v>
      </c>
      <c r="K681" t="s">
        <v>7474</v>
      </c>
      <c r="L681" t="s">
        <v>57</v>
      </c>
      <c r="N681">
        <v>0.83230000000000004</v>
      </c>
      <c r="O681" s="1">
        <v>1</v>
      </c>
      <c r="P681" t="s">
        <v>7475</v>
      </c>
      <c r="Q681" t="s">
        <v>7476</v>
      </c>
      <c r="S681" t="s">
        <v>166</v>
      </c>
      <c r="T681" t="s">
        <v>838</v>
      </c>
      <c r="U681" t="s">
        <v>7477</v>
      </c>
      <c r="V681">
        <v>3</v>
      </c>
      <c r="AE681" t="s">
        <v>74</v>
      </c>
      <c r="AF681" t="s">
        <v>7478</v>
      </c>
      <c r="AG681" t="s">
        <v>7479</v>
      </c>
      <c r="AH681" t="str">
        <f>HYPERLINK("http://compartments.jensenlab.org/Entity?figures=subcell_cell_%&amp;knowledge=10&amp;textmining=10&amp;experiments=10&amp;predictions=10&amp;type1=9606&amp;type2=-22&amp;id1=ENSP00000276198","link")</f>
        <v>link</v>
      </c>
      <c r="AI681" t="s">
        <v>65</v>
      </c>
      <c r="AJ681" t="s">
        <v>299</v>
      </c>
      <c r="AK681" t="str">
        <f>HYPERLINK("http://www.proteinatlas.org/P28335","HPA003133;CAB006857")</f>
        <v>HPA003133;CAB006857</v>
      </c>
      <c r="AL681" t="s">
        <v>7480</v>
      </c>
      <c r="AM681">
        <v>3358</v>
      </c>
    </row>
    <row r="682" spans="1:39" x14ac:dyDescent="0.35">
      <c r="A682" t="s">
        <v>7481</v>
      </c>
      <c r="B682" t="str">
        <f>HYPERLINK("http://www.uniprot.org/uniprot/P28336","P28336")</f>
        <v>P28336</v>
      </c>
      <c r="C682" t="s">
        <v>7482</v>
      </c>
      <c r="D682" t="s">
        <v>7483</v>
      </c>
      <c r="E682" t="s">
        <v>39</v>
      </c>
      <c r="F682" t="s">
        <v>40</v>
      </c>
      <c r="H682">
        <v>390</v>
      </c>
      <c r="I682">
        <v>7</v>
      </c>
      <c r="J682">
        <v>0</v>
      </c>
      <c r="K682" t="s">
        <v>7484</v>
      </c>
      <c r="L682" t="s">
        <v>57</v>
      </c>
      <c r="N682">
        <v>0.92420000000000002</v>
      </c>
      <c r="O682" s="1">
        <v>1</v>
      </c>
      <c r="P682" t="s">
        <v>7485</v>
      </c>
      <c r="Q682" t="s">
        <v>7486</v>
      </c>
      <c r="S682" t="s">
        <v>166</v>
      </c>
      <c r="T682" t="s">
        <v>838</v>
      </c>
      <c r="U682" t="s">
        <v>7487</v>
      </c>
      <c r="V682">
        <v>3</v>
      </c>
      <c r="AE682" t="s">
        <v>74</v>
      </c>
      <c r="AF682" t="s">
        <v>2359</v>
      </c>
      <c r="AG682" t="s">
        <v>7488</v>
      </c>
      <c r="AH682" t="str">
        <f>HYPERLINK("http://compartments.jensenlab.org/Entity?figures=subcell_cell_%&amp;knowledge=10&amp;textmining=10&amp;experiments=10&amp;predictions=10&amp;type1=9606&amp;type2=-22&amp;id1=ENSP00000258042","link")</f>
        <v>link</v>
      </c>
      <c r="AI682" t="s">
        <v>65</v>
      </c>
      <c r="AJ682" t="s">
        <v>2124</v>
      </c>
      <c r="AK682" t="str">
        <f>HYPERLINK("http://www.proteinatlas.org/P28336","HPA026665")</f>
        <v>HPA026665</v>
      </c>
      <c r="AM682">
        <v>4829</v>
      </c>
    </row>
    <row r="683" spans="1:39" x14ac:dyDescent="0.35">
      <c r="A683" t="s">
        <v>7489</v>
      </c>
      <c r="B683" t="str">
        <f>HYPERLINK("http://www.uniprot.org/uniprot/P28472","P28472")</f>
        <v>P28472</v>
      </c>
      <c r="C683" t="s">
        <v>7490</v>
      </c>
      <c r="D683" t="s">
        <v>7491</v>
      </c>
      <c r="E683" t="s">
        <v>39</v>
      </c>
      <c r="F683" t="s">
        <v>55</v>
      </c>
      <c r="H683">
        <v>473</v>
      </c>
      <c r="I683">
        <v>4</v>
      </c>
      <c r="J683">
        <v>1</v>
      </c>
      <c r="K683" t="s">
        <v>7492</v>
      </c>
      <c r="L683" t="s">
        <v>101</v>
      </c>
      <c r="M683" t="s">
        <v>39</v>
      </c>
      <c r="N683">
        <v>0.90580000000000005</v>
      </c>
      <c r="O683" s="1">
        <v>1</v>
      </c>
      <c r="P683" t="s">
        <v>7493</v>
      </c>
      <c r="Q683" t="s">
        <v>7494</v>
      </c>
      <c r="S683" t="s">
        <v>45</v>
      </c>
      <c r="T683" t="s">
        <v>195</v>
      </c>
      <c r="U683" t="s">
        <v>7495</v>
      </c>
      <c r="V683">
        <v>3</v>
      </c>
      <c r="W683" t="s">
        <v>7496</v>
      </c>
      <c r="Z683" t="s">
        <v>107</v>
      </c>
      <c r="AA683">
        <v>1</v>
      </c>
      <c r="AB683" t="s">
        <v>7497</v>
      </c>
      <c r="AC683">
        <v>105</v>
      </c>
      <c r="AD683" t="s">
        <v>7498</v>
      </c>
      <c r="AE683" t="s">
        <v>619</v>
      </c>
      <c r="AF683" t="s">
        <v>7499</v>
      </c>
      <c r="AG683" t="s">
        <v>7500</v>
      </c>
      <c r="AH683" t="str">
        <f>HYPERLINK("http://compartments.jensenlab.org/Entity?figures=subcell_cell_%&amp;knowledge=10&amp;textmining=10&amp;experiments=10&amp;predictions=10&amp;type1=9606&amp;type2=-22&amp;id1=ENSP00000308725","link")</f>
        <v>link</v>
      </c>
      <c r="AK683" t="str">
        <f>HYPERLINK("http://www.proteinatlas.org/P28472","no")</f>
        <v>no</v>
      </c>
      <c r="AL683" t="s">
        <v>7501</v>
      </c>
      <c r="AM683">
        <v>2562</v>
      </c>
    </row>
    <row r="684" spans="1:39" x14ac:dyDescent="0.35">
      <c r="A684" t="s">
        <v>7502</v>
      </c>
      <c r="B684" t="str">
        <f>HYPERLINK("http://www.uniprot.org/uniprot/P28476","P28476")</f>
        <v>P28476</v>
      </c>
      <c r="C684" t="s">
        <v>7503</v>
      </c>
      <c r="D684" t="s">
        <v>7504</v>
      </c>
      <c r="E684" t="s">
        <v>39</v>
      </c>
      <c r="F684" t="s">
        <v>55</v>
      </c>
      <c r="H684">
        <v>465</v>
      </c>
      <c r="I684">
        <v>4</v>
      </c>
      <c r="J684">
        <v>1</v>
      </c>
      <c r="K684" t="s">
        <v>7505</v>
      </c>
      <c r="L684" t="s">
        <v>57</v>
      </c>
      <c r="M684" t="s">
        <v>39</v>
      </c>
      <c r="N684">
        <v>0.74770000000000003</v>
      </c>
      <c r="O684" s="1">
        <v>1</v>
      </c>
      <c r="P684" t="s">
        <v>7506</v>
      </c>
      <c r="Q684" t="s">
        <v>7507</v>
      </c>
      <c r="S684" t="s">
        <v>45</v>
      </c>
      <c r="T684" t="s">
        <v>195</v>
      </c>
      <c r="U684" t="s">
        <v>7508</v>
      </c>
      <c r="V684">
        <v>2</v>
      </c>
      <c r="AE684" t="s">
        <v>619</v>
      </c>
      <c r="AF684" t="s">
        <v>7509</v>
      </c>
      <c r="AG684" t="s">
        <v>7510</v>
      </c>
      <c r="AH684" t="str">
        <f>HYPERLINK("http://compartments.jensenlab.org/Entity?figures=subcell_cell_%&amp;knowledge=10&amp;textmining=10&amp;experiments=10&amp;predictions=10&amp;type1=9606&amp;type2=-22&amp;id1=ENSP00000386029","link")</f>
        <v>link</v>
      </c>
      <c r="AI684" t="s">
        <v>65</v>
      </c>
      <c r="AJ684" t="s">
        <v>51</v>
      </c>
      <c r="AK684" t="str">
        <f>HYPERLINK("http://www.proteinatlas.org/P28476","HPA016467")</f>
        <v>HPA016467</v>
      </c>
      <c r="AL684" t="s">
        <v>622</v>
      </c>
      <c r="AM684">
        <v>2570</v>
      </c>
    </row>
    <row r="685" spans="1:39" x14ac:dyDescent="0.35">
      <c r="A685" t="s">
        <v>7511</v>
      </c>
      <c r="B685" t="str">
        <f>HYPERLINK("http://www.uniprot.org/uniprot/P28566","P28566")</f>
        <v>P28566</v>
      </c>
      <c r="C685" t="s">
        <v>7512</v>
      </c>
      <c r="D685" t="s">
        <v>7513</v>
      </c>
      <c r="E685" t="s">
        <v>39</v>
      </c>
      <c r="F685" t="s">
        <v>40</v>
      </c>
      <c r="H685">
        <v>365</v>
      </c>
      <c r="I685">
        <v>7</v>
      </c>
      <c r="J685">
        <v>0</v>
      </c>
      <c r="K685" t="s">
        <v>7514</v>
      </c>
      <c r="L685" t="s">
        <v>57</v>
      </c>
      <c r="N685">
        <v>0.96409999999999996</v>
      </c>
      <c r="O685" s="1">
        <v>1</v>
      </c>
      <c r="P685" t="s">
        <v>7515</v>
      </c>
      <c r="Q685" t="s">
        <v>7516</v>
      </c>
      <c r="S685" t="s">
        <v>166</v>
      </c>
      <c r="T685" t="s">
        <v>838</v>
      </c>
      <c r="U685" t="s">
        <v>7517</v>
      </c>
      <c r="V685">
        <v>2</v>
      </c>
      <c r="W685" t="s">
        <v>5894</v>
      </c>
      <c r="AE685" t="s">
        <v>6534</v>
      </c>
      <c r="AF685" t="s">
        <v>967</v>
      </c>
      <c r="AG685" t="s">
        <v>7518</v>
      </c>
      <c r="AH685" t="str">
        <f>HYPERLINK("http://compartments.jensenlab.org/Entity?figures=subcell_cell_%&amp;knowledge=10&amp;textmining=10&amp;experiments=10&amp;predictions=10&amp;type1=9606&amp;type2=-22&amp;id1=ENSP00000307766","link")</f>
        <v>link</v>
      </c>
      <c r="AI685" t="s">
        <v>65</v>
      </c>
      <c r="AJ685" t="s">
        <v>51</v>
      </c>
      <c r="AK685" t="str">
        <f>HYPERLINK("http://www.proteinatlas.org/P28566","HPA004931")</f>
        <v>HPA004931</v>
      </c>
      <c r="AL685" t="s">
        <v>7519</v>
      </c>
      <c r="AM685">
        <v>3354</v>
      </c>
    </row>
    <row r="686" spans="1:39" x14ac:dyDescent="0.35">
      <c r="A686" t="s">
        <v>7520</v>
      </c>
      <c r="B686" t="str">
        <f>HYPERLINK("http://www.uniprot.org/uniprot/P28827","P28827")</f>
        <v>P28827</v>
      </c>
      <c r="C686" t="s">
        <v>7521</v>
      </c>
      <c r="D686" t="s">
        <v>7522</v>
      </c>
      <c r="E686" t="s">
        <v>39</v>
      </c>
      <c r="F686" t="s">
        <v>55</v>
      </c>
      <c r="H686">
        <v>1452</v>
      </c>
      <c r="I686">
        <v>1</v>
      </c>
      <c r="J686">
        <v>1</v>
      </c>
      <c r="K686" t="s">
        <v>7523</v>
      </c>
      <c r="L686" t="s">
        <v>101</v>
      </c>
      <c r="N686">
        <v>0.99199999999999999</v>
      </c>
      <c r="O686" s="1">
        <v>1</v>
      </c>
      <c r="P686" t="s">
        <v>7524</v>
      </c>
      <c r="Q686" t="s">
        <v>7525</v>
      </c>
      <c r="S686" t="s">
        <v>166</v>
      </c>
      <c r="T686" t="s">
        <v>1161</v>
      </c>
      <c r="U686" t="s">
        <v>7526</v>
      </c>
      <c r="V686">
        <v>13</v>
      </c>
      <c r="W686" t="s">
        <v>7527</v>
      </c>
      <c r="Z686" t="s">
        <v>107</v>
      </c>
      <c r="AA686">
        <v>21</v>
      </c>
      <c r="AB686" t="s">
        <v>7528</v>
      </c>
      <c r="AC686" t="s">
        <v>7529</v>
      </c>
      <c r="AD686" t="s">
        <v>7530</v>
      </c>
      <c r="AE686" t="s">
        <v>144</v>
      </c>
      <c r="AF686" t="s">
        <v>7531</v>
      </c>
      <c r="AG686" t="s">
        <v>7532</v>
      </c>
      <c r="AH686" t="str">
        <f>HYPERLINK("http://compartments.jensenlab.org/Entity?figures=subcell_cell_%&amp;knowledge=10&amp;textmining=10&amp;experiments=10&amp;predictions=10&amp;type1=9606&amp;type2=-22&amp;id1=ENSP00000331418","link")</f>
        <v>link</v>
      </c>
      <c r="AI686" t="s">
        <v>65</v>
      </c>
      <c r="AJ686" t="s">
        <v>51</v>
      </c>
      <c r="AK686" t="str">
        <f>HYPERLINK("http://www.proteinatlas.org/P28827","CAB022442;CAB022443")</f>
        <v>CAB022442;CAB022443</v>
      </c>
      <c r="AM686">
        <v>5797</v>
      </c>
    </row>
    <row r="687" spans="1:39" x14ac:dyDescent="0.35">
      <c r="A687" t="s">
        <v>7533</v>
      </c>
      <c r="B687" t="str">
        <f>HYPERLINK("http://www.uniprot.org/uniprot/P28906","P28906")</f>
        <v>P28906</v>
      </c>
      <c r="C687" t="s">
        <v>7534</v>
      </c>
      <c r="D687" t="s">
        <v>7535</v>
      </c>
      <c r="E687" t="s">
        <v>39</v>
      </c>
      <c r="F687" t="s">
        <v>40</v>
      </c>
      <c r="H687">
        <v>385</v>
      </c>
      <c r="I687">
        <v>1</v>
      </c>
      <c r="J687">
        <v>1</v>
      </c>
      <c r="K687" t="s">
        <v>7536</v>
      </c>
      <c r="L687" t="s">
        <v>101</v>
      </c>
      <c r="N687">
        <v>0.93010000000000004</v>
      </c>
      <c r="O687" s="1">
        <v>1</v>
      </c>
      <c r="P687" t="s">
        <v>7537</v>
      </c>
      <c r="Q687" t="s">
        <v>7538</v>
      </c>
      <c r="R687" t="s">
        <v>7535</v>
      </c>
      <c r="S687" t="s">
        <v>60</v>
      </c>
      <c r="T687" t="s">
        <v>60</v>
      </c>
      <c r="U687" t="s">
        <v>7539</v>
      </c>
      <c r="V687">
        <v>9</v>
      </c>
      <c r="W687" t="s">
        <v>7539</v>
      </c>
      <c r="X687">
        <v>76</v>
      </c>
      <c r="Z687" t="s">
        <v>107</v>
      </c>
      <c r="AA687">
        <v>4</v>
      </c>
      <c r="AB687" t="s">
        <v>7540</v>
      </c>
      <c r="AC687" t="s">
        <v>7541</v>
      </c>
      <c r="AD687" t="s">
        <v>7542</v>
      </c>
      <c r="AE687" t="s">
        <v>144</v>
      </c>
      <c r="AF687" t="s">
        <v>7543</v>
      </c>
      <c r="AG687" t="s">
        <v>7544</v>
      </c>
      <c r="AH687" t="str">
        <f>HYPERLINK("http://compartments.jensenlab.org/Entity?figures=subcell_cell_%&amp;knowledge=10&amp;textmining=10&amp;experiments=10&amp;predictions=10&amp;type1=9606&amp;type2=-22&amp;id1=ENSP00000310036","link")</f>
        <v>link</v>
      </c>
      <c r="AI687" t="s">
        <v>1058</v>
      </c>
      <c r="AJ687" t="s">
        <v>7545</v>
      </c>
      <c r="AK687" t="str">
        <f>HYPERLINK("http://www.proteinatlas.org/P28906","CAB000018;HPA036722;HPA036723")</f>
        <v>CAB000018;HPA036722;HPA036723</v>
      </c>
      <c r="AM687">
        <v>947</v>
      </c>
    </row>
    <row r="688" spans="1:39" x14ac:dyDescent="0.35">
      <c r="A688" t="s">
        <v>7546</v>
      </c>
      <c r="B688" t="str">
        <f>HYPERLINK("http://www.uniprot.org/uniprot/P28907","P28907")</f>
        <v>P28907</v>
      </c>
      <c r="C688" t="s">
        <v>7547</v>
      </c>
      <c r="D688" t="s">
        <v>7548</v>
      </c>
      <c r="E688" t="s">
        <v>39</v>
      </c>
      <c r="F688" t="s">
        <v>40</v>
      </c>
      <c r="H688">
        <v>300</v>
      </c>
      <c r="I688">
        <v>1</v>
      </c>
      <c r="J688">
        <v>0</v>
      </c>
      <c r="K688" t="s">
        <v>7549</v>
      </c>
      <c r="L688" t="s">
        <v>101</v>
      </c>
      <c r="N688">
        <v>0.69259999999999999</v>
      </c>
      <c r="O688" s="1">
        <v>2</v>
      </c>
      <c r="P688" t="s">
        <v>7550</v>
      </c>
      <c r="Q688" t="s">
        <v>7551</v>
      </c>
      <c r="R688" t="s">
        <v>7548</v>
      </c>
      <c r="S688" t="s">
        <v>947</v>
      </c>
      <c r="T688" t="s">
        <v>7552</v>
      </c>
      <c r="U688" t="s">
        <v>7553</v>
      </c>
      <c r="V688">
        <v>4</v>
      </c>
      <c r="W688" t="s">
        <v>7553</v>
      </c>
      <c r="Z688" t="s">
        <v>123</v>
      </c>
      <c r="AA688">
        <v>29</v>
      </c>
      <c r="AB688" t="s">
        <v>7554</v>
      </c>
      <c r="AC688" t="s">
        <v>7553</v>
      </c>
      <c r="AD688" t="s">
        <v>7555</v>
      </c>
      <c r="AE688" t="s">
        <v>359</v>
      </c>
      <c r="AF688" t="s">
        <v>7556</v>
      </c>
      <c r="AG688" t="s">
        <v>7557</v>
      </c>
      <c r="AH688" t="str">
        <f>HYPERLINK("http://compartments.jensenlab.org/Entity?figures=subcell_cell_%&amp;knowledge=10&amp;textmining=10&amp;experiments=10&amp;predictions=10&amp;type1=9606&amp;type2=-22&amp;id1=ENSP00000226279","link")</f>
        <v>link</v>
      </c>
      <c r="AJ688" t="s">
        <v>2873</v>
      </c>
      <c r="AK688" t="str">
        <f>HYPERLINK("http://www.proteinatlas.org/P28907","CAB002493;HPA022132;CAB025255;HPA052381")</f>
        <v>CAB002493;HPA022132;CAB025255;HPA052381</v>
      </c>
      <c r="AM688">
        <v>952</v>
      </c>
    </row>
    <row r="689" spans="1:39" x14ac:dyDescent="0.35">
      <c r="A689" t="s">
        <v>7558</v>
      </c>
      <c r="B689" t="str">
        <f>HYPERLINK("http://www.uniprot.org/uniprot/P28908","P28908")</f>
        <v>P28908</v>
      </c>
      <c r="C689" t="s">
        <v>7559</v>
      </c>
      <c r="D689" t="s">
        <v>7560</v>
      </c>
      <c r="E689" t="s">
        <v>39</v>
      </c>
      <c r="F689" t="s">
        <v>55</v>
      </c>
      <c r="H689">
        <v>595</v>
      </c>
      <c r="I689">
        <v>1</v>
      </c>
      <c r="J689">
        <v>1</v>
      </c>
      <c r="K689" t="s">
        <v>7561</v>
      </c>
      <c r="L689" t="s">
        <v>101</v>
      </c>
      <c r="M689" t="s">
        <v>39</v>
      </c>
      <c r="N689">
        <v>0.84570000000000001</v>
      </c>
      <c r="O689" s="1">
        <v>1</v>
      </c>
      <c r="P689" t="s">
        <v>7562</v>
      </c>
      <c r="Q689" t="s">
        <v>7563</v>
      </c>
      <c r="R689" t="s">
        <v>7564</v>
      </c>
      <c r="S689" t="s">
        <v>166</v>
      </c>
      <c r="T689" t="s">
        <v>864</v>
      </c>
      <c r="U689" t="s">
        <v>7565</v>
      </c>
      <c r="V689">
        <v>2</v>
      </c>
      <c r="Z689" t="s">
        <v>107</v>
      </c>
      <c r="AA689">
        <v>3</v>
      </c>
      <c r="AB689" t="s">
        <v>7566</v>
      </c>
      <c r="AC689">
        <v>101</v>
      </c>
      <c r="AD689" t="s">
        <v>7567</v>
      </c>
      <c r="AE689" t="s">
        <v>2994</v>
      </c>
      <c r="AF689" t="s">
        <v>7568</v>
      </c>
      <c r="AG689" t="s">
        <v>7569</v>
      </c>
      <c r="AH689" t="str">
        <f>HYPERLINK("http://compartments.jensenlab.org/Entity?figures=subcell_cell_%&amp;knowledge=10&amp;textmining=10&amp;experiments=10&amp;predictions=10&amp;type1=9606&amp;type2=-22&amp;id1=ENSP00000263932","link")</f>
        <v>link</v>
      </c>
      <c r="AI689" t="s">
        <v>65</v>
      </c>
      <c r="AJ689" t="s">
        <v>2124</v>
      </c>
      <c r="AK689" t="str">
        <f>HYPERLINK("http://www.proteinatlas.org/P28908","CAB000016;HPA032081;HPA032082")</f>
        <v>CAB000016;HPA032081;HPA032082</v>
      </c>
      <c r="AL689" t="s">
        <v>7570</v>
      </c>
      <c r="AM689">
        <v>943</v>
      </c>
    </row>
    <row r="690" spans="1:39" x14ac:dyDescent="0.35">
      <c r="A690" t="s">
        <v>7571</v>
      </c>
      <c r="B690" t="str">
        <f>HYPERLINK("http://www.uniprot.org/uniprot/P29016","P29016")</f>
        <v>P29016</v>
      </c>
      <c r="C690" t="s">
        <v>7572</v>
      </c>
      <c r="D690" t="s">
        <v>7573</v>
      </c>
      <c r="E690" t="s">
        <v>39</v>
      </c>
      <c r="F690" t="s">
        <v>55</v>
      </c>
      <c r="H690">
        <v>333</v>
      </c>
      <c r="I690">
        <v>1</v>
      </c>
      <c r="J690">
        <v>1</v>
      </c>
      <c r="K690" t="s">
        <v>7574</v>
      </c>
      <c r="L690" t="s">
        <v>101</v>
      </c>
      <c r="M690" t="s">
        <v>39</v>
      </c>
      <c r="N690">
        <v>0.81559999999999999</v>
      </c>
      <c r="O690" s="1">
        <v>1</v>
      </c>
      <c r="P690" t="s">
        <v>7575</v>
      </c>
      <c r="Q690" t="s">
        <v>7576</v>
      </c>
      <c r="R690" t="s">
        <v>7577</v>
      </c>
      <c r="S690" t="s">
        <v>166</v>
      </c>
      <c r="T690" t="s">
        <v>4120</v>
      </c>
      <c r="U690" t="s">
        <v>7578</v>
      </c>
      <c r="V690">
        <v>4</v>
      </c>
      <c r="W690" t="s">
        <v>7579</v>
      </c>
      <c r="Y690">
        <v>235</v>
      </c>
      <c r="Z690" t="s">
        <v>107</v>
      </c>
      <c r="AA690">
        <v>2</v>
      </c>
      <c r="AB690" t="s">
        <v>7580</v>
      </c>
      <c r="AC690" t="s">
        <v>7581</v>
      </c>
      <c r="AD690" t="s">
        <v>7582</v>
      </c>
      <c r="AE690" t="s">
        <v>5738</v>
      </c>
      <c r="AF690" t="s">
        <v>7583</v>
      </c>
      <c r="AG690" t="s">
        <v>7584</v>
      </c>
      <c r="AH690" t="str">
        <f>HYPERLINK("http://compartments.jensenlab.org/Entity?figures=subcell_cell_%&amp;knowledge=10&amp;textmining=10&amp;experiments=10&amp;predictions=10&amp;type1=9606&amp;type2=-22&amp;id1=ENSP00000357150","link")</f>
        <v>link</v>
      </c>
      <c r="AI690" t="s">
        <v>4661</v>
      </c>
      <c r="AJ690" t="s">
        <v>4662</v>
      </c>
      <c r="AK690" t="str">
        <f>HYPERLINK("http://www.proteinatlas.org/P29016","HPA021824")</f>
        <v>HPA021824</v>
      </c>
      <c r="AM690">
        <v>910</v>
      </c>
    </row>
    <row r="691" spans="1:39" x14ac:dyDescent="0.35">
      <c r="A691" t="s">
        <v>7585</v>
      </c>
      <c r="B691" t="str">
        <f>HYPERLINK("http://www.uniprot.org/uniprot/P29017","P29017")</f>
        <v>P29017</v>
      </c>
      <c r="C691" t="s">
        <v>7586</v>
      </c>
      <c r="D691" t="s">
        <v>7587</v>
      </c>
      <c r="E691" t="s">
        <v>39</v>
      </c>
      <c r="F691" t="s">
        <v>55</v>
      </c>
      <c r="H691">
        <v>333</v>
      </c>
      <c r="I691">
        <v>1</v>
      </c>
      <c r="J691">
        <v>1</v>
      </c>
      <c r="K691" t="s">
        <v>7588</v>
      </c>
      <c r="L691" t="s">
        <v>101</v>
      </c>
      <c r="M691" t="s">
        <v>39</v>
      </c>
      <c r="N691">
        <v>0.77600000000000002</v>
      </c>
      <c r="O691" s="1">
        <v>1</v>
      </c>
      <c r="P691" t="s">
        <v>7589</v>
      </c>
      <c r="Q691" t="s">
        <v>7590</v>
      </c>
      <c r="R691" t="s">
        <v>7591</v>
      </c>
      <c r="S691" t="s">
        <v>166</v>
      </c>
      <c r="T691" t="s">
        <v>4120</v>
      </c>
      <c r="U691" t="s">
        <v>7592</v>
      </c>
      <c r="V691">
        <v>4</v>
      </c>
      <c r="W691" t="s">
        <v>7592</v>
      </c>
      <c r="Y691">
        <v>236</v>
      </c>
      <c r="Z691" t="s">
        <v>107</v>
      </c>
      <c r="AA691">
        <v>2</v>
      </c>
      <c r="AB691" t="s">
        <v>7593</v>
      </c>
      <c r="AC691" t="s">
        <v>7594</v>
      </c>
      <c r="AD691" t="s">
        <v>7595</v>
      </c>
      <c r="AE691" t="s">
        <v>4122</v>
      </c>
      <c r="AF691" t="s">
        <v>7596</v>
      </c>
      <c r="AG691" t="s">
        <v>7597</v>
      </c>
      <c r="AH691" t="str">
        <f>HYPERLINK("http://compartments.jensenlab.org/Entity?figures=subcell_cell_%&amp;knowledge=10&amp;textmining=10&amp;experiments=10&amp;predictions=10&amp;type1=9606&amp;type2=-22&amp;id1=ENSP00000357152","link")</f>
        <v>link</v>
      </c>
      <c r="AI691" t="s">
        <v>4125</v>
      </c>
      <c r="AJ691" t="s">
        <v>1791</v>
      </c>
      <c r="AK691" t="str">
        <f>HYPERLINK("http://www.proteinatlas.org/P29017","no")</f>
        <v>no</v>
      </c>
      <c r="AM691">
        <v>911</v>
      </c>
    </row>
    <row r="692" spans="1:39" x14ac:dyDescent="0.35">
      <c r="A692" t="s">
        <v>7598</v>
      </c>
      <c r="B692" t="str">
        <f>HYPERLINK("http://www.uniprot.org/uniprot/P29033","P29033")</f>
        <v>P29033</v>
      </c>
      <c r="C692" t="s">
        <v>7599</v>
      </c>
      <c r="D692" t="s">
        <v>7600</v>
      </c>
      <c r="E692" t="s">
        <v>39</v>
      </c>
      <c r="F692" t="s">
        <v>55</v>
      </c>
      <c r="H692">
        <v>226</v>
      </c>
      <c r="I692">
        <v>4</v>
      </c>
      <c r="J692">
        <v>0</v>
      </c>
      <c r="K692" t="s">
        <v>7601</v>
      </c>
      <c r="L692" t="s">
        <v>57</v>
      </c>
      <c r="M692" t="s">
        <v>39</v>
      </c>
      <c r="N692">
        <v>0.61450000000000005</v>
      </c>
      <c r="O692" s="1">
        <v>2</v>
      </c>
      <c r="P692" t="s">
        <v>7602</v>
      </c>
      <c r="Q692" t="s">
        <v>7603</v>
      </c>
      <c r="S692" t="s">
        <v>91</v>
      </c>
      <c r="T692" t="s">
        <v>2797</v>
      </c>
      <c r="U692">
        <v>206</v>
      </c>
      <c r="V692">
        <v>0</v>
      </c>
      <c r="AE692" t="s">
        <v>2798</v>
      </c>
      <c r="AF692" t="s">
        <v>7604</v>
      </c>
      <c r="AG692" t="s">
        <v>7605</v>
      </c>
      <c r="AH692" t="str">
        <f>HYPERLINK("http://compartments.jensenlab.org/Entity?figures=subcell_cell_%&amp;knowledge=10&amp;textmining=10&amp;experiments=10&amp;predictions=10&amp;type1=9606&amp;type2=-22&amp;id1=ENSP00000372295","link")</f>
        <v>link</v>
      </c>
      <c r="AI692" t="s">
        <v>65</v>
      </c>
      <c r="AJ692" t="s">
        <v>51</v>
      </c>
      <c r="AK692" t="str">
        <f>HYPERLINK("http://www.proteinatlas.org/P29033","CAB013093")</f>
        <v>CAB013093</v>
      </c>
      <c r="AM692">
        <v>2706</v>
      </c>
    </row>
    <row r="693" spans="1:39" x14ac:dyDescent="0.35">
      <c r="A693" t="s">
        <v>7606</v>
      </c>
      <c r="B693" t="str">
        <f>HYPERLINK("http://www.uniprot.org/uniprot/P29274","P29274")</f>
        <v>P29274</v>
      </c>
      <c r="C693" t="s">
        <v>7607</v>
      </c>
      <c r="D693" t="s">
        <v>7608</v>
      </c>
      <c r="E693" t="s">
        <v>39</v>
      </c>
      <c r="F693" t="s">
        <v>40</v>
      </c>
      <c r="H693">
        <v>412</v>
      </c>
      <c r="I693">
        <v>7</v>
      </c>
      <c r="J693">
        <v>0</v>
      </c>
      <c r="K693" t="s">
        <v>7609</v>
      </c>
      <c r="L693" t="s">
        <v>57</v>
      </c>
      <c r="N693">
        <v>0.86629999999999996</v>
      </c>
      <c r="O693" s="1">
        <v>1</v>
      </c>
      <c r="P693" t="s">
        <v>7610</v>
      </c>
      <c r="Q693" t="s">
        <v>7611</v>
      </c>
      <c r="S693" t="s">
        <v>166</v>
      </c>
      <c r="T693" t="s">
        <v>838</v>
      </c>
      <c r="U693" t="s">
        <v>7612</v>
      </c>
      <c r="V693">
        <v>1</v>
      </c>
      <c r="W693">
        <v>39</v>
      </c>
      <c r="X693" t="s">
        <v>7613</v>
      </c>
      <c r="Y693">
        <v>29</v>
      </c>
      <c r="AE693" t="s">
        <v>74</v>
      </c>
      <c r="AF693" t="s">
        <v>7614</v>
      </c>
      <c r="AG693" t="s">
        <v>7615</v>
      </c>
      <c r="AH693" t="str">
        <f>HYPERLINK("http://compartments.jensenlab.org/Entity?figures=subcell_cell_%&amp;knowledge=10&amp;textmining=10&amp;experiments=10&amp;predictions=10&amp;type1=9606&amp;type2=-22&amp;id1=ENSP00000336630","link")</f>
        <v>link</v>
      </c>
      <c r="AI693" t="s">
        <v>65</v>
      </c>
      <c r="AJ693" t="s">
        <v>659</v>
      </c>
      <c r="AK693" t="str">
        <f>HYPERLINK("http://www.proteinatlas.org/P29274","no")</f>
        <v>no</v>
      </c>
      <c r="AL693" t="s">
        <v>7616</v>
      </c>
      <c r="AM693">
        <v>135</v>
      </c>
    </row>
    <row r="694" spans="1:39" x14ac:dyDescent="0.35">
      <c r="A694" t="s">
        <v>7617</v>
      </c>
      <c r="B694" t="str">
        <f>HYPERLINK("http://www.uniprot.org/uniprot/P29275","P29275")</f>
        <v>P29275</v>
      </c>
      <c r="C694" t="s">
        <v>7618</v>
      </c>
      <c r="D694" t="s">
        <v>7619</v>
      </c>
      <c r="E694" t="s">
        <v>39</v>
      </c>
      <c r="F694" t="s">
        <v>55</v>
      </c>
      <c r="H694">
        <v>332</v>
      </c>
      <c r="I694">
        <v>7</v>
      </c>
      <c r="J694">
        <v>0</v>
      </c>
      <c r="K694" t="s">
        <v>7620</v>
      </c>
      <c r="L694" t="s">
        <v>57</v>
      </c>
      <c r="M694" t="s">
        <v>39</v>
      </c>
      <c r="N694">
        <v>0.97870000000000001</v>
      </c>
      <c r="O694" s="1">
        <v>1</v>
      </c>
      <c r="P694" t="s">
        <v>7621</v>
      </c>
      <c r="Q694" t="s">
        <v>7622</v>
      </c>
      <c r="S694" t="s">
        <v>166</v>
      </c>
      <c r="T694" t="s">
        <v>838</v>
      </c>
      <c r="U694" t="s">
        <v>7623</v>
      </c>
      <c r="V694">
        <v>2</v>
      </c>
      <c r="W694">
        <v>153</v>
      </c>
      <c r="AE694" t="s">
        <v>74</v>
      </c>
      <c r="AF694" t="s">
        <v>7624</v>
      </c>
      <c r="AG694" t="s">
        <v>7625</v>
      </c>
      <c r="AH694" t="str">
        <f>HYPERLINK("http://compartments.jensenlab.org/Entity?figures=subcell_cell_%&amp;knowledge=10&amp;textmining=10&amp;experiments=10&amp;predictions=10&amp;type1=9606&amp;type2=-22&amp;id1=ENSP00000304501","link")</f>
        <v>link</v>
      </c>
      <c r="AI694" t="s">
        <v>65</v>
      </c>
      <c r="AJ694" t="s">
        <v>51</v>
      </c>
      <c r="AK694" t="str">
        <f>HYPERLINK("http://www.proteinatlas.org/P29275","no")</f>
        <v>no</v>
      </c>
      <c r="AL694" t="s">
        <v>7626</v>
      </c>
      <c r="AM694">
        <v>136</v>
      </c>
    </row>
    <row r="695" spans="1:39" x14ac:dyDescent="0.35">
      <c r="A695" t="s">
        <v>7627</v>
      </c>
      <c r="B695" t="str">
        <f>HYPERLINK("http://www.uniprot.org/uniprot/P29317","P29317")</f>
        <v>P29317</v>
      </c>
      <c r="C695" t="s">
        <v>7628</v>
      </c>
      <c r="D695" t="s">
        <v>7629</v>
      </c>
      <c r="E695" t="s">
        <v>39</v>
      </c>
      <c r="F695" t="s">
        <v>55</v>
      </c>
      <c r="H695">
        <v>976</v>
      </c>
      <c r="I695">
        <v>1</v>
      </c>
      <c r="J695">
        <v>1</v>
      </c>
      <c r="K695" t="s">
        <v>7630</v>
      </c>
      <c r="L695" t="s">
        <v>101</v>
      </c>
      <c r="M695" t="s">
        <v>39</v>
      </c>
      <c r="N695">
        <v>0.90400000000000003</v>
      </c>
      <c r="O695" s="1">
        <v>1</v>
      </c>
      <c r="P695" t="s">
        <v>7631</v>
      </c>
      <c r="Q695" t="s">
        <v>7632</v>
      </c>
      <c r="S695" t="s">
        <v>166</v>
      </c>
      <c r="T695" t="s">
        <v>1432</v>
      </c>
      <c r="U695" t="s">
        <v>7633</v>
      </c>
      <c r="V695">
        <v>2</v>
      </c>
      <c r="W695" t="s">
        <v>7633</v>
      </c>
      <c r="Z695" t="s">
        <v>107</v>
      </c>
      <c r="AA695">
        <v>9</v>
      </c>
      <c r="AB695" t="s">
        <v>7634</v>
      </c>
      <c r="AC695" t="s">
        <v>7633</v>
      </c>
      <c r="AD695" t="s">
        <v>7635</v>
      </c>
      <c r="AE695" t="s">
        <v>7636</v>
      </c>
      <c r="AF695" t="s">
        <v>7637</v>
      </c>
      <c r="AG695" t="s">
        <v>7638</v>
      </c>
      <c r="AH695" t="str">
        <f>HYPERLINK("http://compartments.jensenlab.org/Entity?figures=subcell_cell_%&amp;knowledge=10&amp;textmining=10&amp;experiments=10&amp;predictions=10&amp;type1=9606&amp;type2=-22&amp;id1=ENSP00000351209","link")</f>
        <v>link</v>
      </c>
      <c r="AI695" t="s">
        <v>65</v>
      </c>
      <c r="AJ695" t="s">
        <v>51</v>
      </c>
      <c r="AK695" t="str">
        <f>HYPERLINK("http://www.proteinatlas.org/P29317","CAB010464")</f>
        <v>CAB010464</v>
      </c>
      <c r="AL695" t="s">
        <v>7639</v>
      </c>
      <c r="AM695">
        <v>1969</v>
      </c>
    </row>
    <row r="696" spans="1:39" x14ac:dyDescent="0.35">
      <c r="A696" t="s">
        <v>7640</v>
      </c>
      <c r="B696" t="str">
        <f>HYPERLINK("http://www.uniprot.org/uniprot/P29320","P29320")</f>
        <v>P29320</v>
      </c>
      <c r="C696" t="s">
        <v>7641</v>
      </c>
      <c r="D696" t="s">
        <v>7642</v>
      </c>
      <c r="E696" t="s">
        <v>39</v>
      </c>
      <c r="F696" t="s">
        <v>55</v>
      </c>
      <c r="H696">
        <v>983</v>
      </c>
      <c r="I696">
        <v>1</v>
      </c>
      <c r="J696">
        <v>1</v>
      </c>
      <c r="K696" t="s">
        <v>7643</v>
      </c>
      <c r="L696" t="s">
        <v>101</v>
      </c>
      <c r="M696" t="s">
        <v>39</v>
      </c>
      <c r="N696">
        <v>0.96550000000000002</v>
      </c>
      <c r="O696" s="1">
        <v>1</v>
      </c>
      <c r="P696" t="s">
        <v>7644</v>
      </c>
      <c r="Q696" t="s">
        <v>7645</v>
      </c>
      <c r="S696" t="s">
        <v>166</v>
      </c>
      <c r="T696" t="s">
        <v>1432</v>
      </c>
      <c r="U696" t="s">
        <v>7646</v>
      </c>
      <c r="V696">
        <v>5</v>
      </c>
      <c r="W696" t="s">
        <v>7646</v>
      </c>
      <c r="Z696" t="s">
        <v>107</v>
      </c>
      <c r="AA696">
        <v>10</v>
      </c>
      <c r="AB696" t="s">
        <v>7647</v>
      </c>
      <c r="AC696" t="s">
        <v>7648</v>
      </c>
      <c r="AD696" t="s">
        <v>7649</v>
      </c>
      <c r="AE696" t="s">
        <v>1250</v>
      </c>
      <c r="AF696" t="s">
        <v>7650</v>
      </c>
      <c r="AG696" t="s">
        <v>7651</v>
      </c>
      <c r="AH696" t="str">
        <f>HYPERLINK("http://compartments.jensenlab.org/Entity?figures=subcell_cell_%&amp;knowledge=10&amp;textmining=10&amp;experiments=10&amp;predictions=10&amp;type1=9606&amp;type2=-22&amp;id1=ENSP00000337451","link")</f>
        <v>link</v>
      </c>
      <c r="AI696" t="s">
        <v>6095</v>
      </c>
      <c r="AJ696" t="s">
        <v>3634</v>
      </c>
      <c r="AK696" t="str">
        <f>HYPERLINK("http://www.proteinatlas.org/P29320","CAB010462")</f>
        <v>CAB010462</v>
      </c>
      <c r="AM696">
        <v>2042</v>
      </c>
    </row>
    <row r="697" spans="1:39" x14ac:dyDescent="0.35">
      <c r="A697" t="s">
        <v>7652</v>
      </c>
      <c r="B697" t="str">
        <f>HYPERLINK("http://www.uniprot.org/uniprot/P29322","P29322")</f>
        <v>P29322</v>
      </c>
      <c r="C697" t="s">
        <v>7653</v>
      </c>
      <c r="D697" t="s">
        <v>7654</v>
      </c>
      <c r="E697" t="s">
        <v>39</v>
      </c>
      <c r="F697" t="s">
        <v>40</v>
      </c>
      <c r="H697">
        <v>1005</v>
      </c>
      <c r="I697">
        <v>1</v>
      </c>
      <c r="J697">
        <v>1</v>
      </c>
      <c r="K697" t="s">
        <v>7655</v>
      </c>
      <c r="L697" t="s">
        <v>57</v>
      </c>
      <c r="N697">
        <v>0.85629999999999995</v>
      </c>
      <c r="O697" s="1">
        <v>1</v>
      </c>
      <c r="P697" t="s">
        <v>7656</v>
      </c>
      <c r="Q697" t="s">
        <v>7657</v>
      </c>
      <c r="S697" t="s">
        <v>166</v>
      </c>
      <c r="T697" t="s">
        <v>1432</v>
      </c>
      <c r="U697" t="s">
        <v>7658</v>
      </c>
      <c r="V697">
        <v>3</v>
      </c>
      <c r="W697" t="s">
        <v>7659</v>
      </c>
      <c r="AE697" t="s">
        <v>7660</v>
      </c>
      <c r="AF697" t="s">
        <v>7661</v>
      </c>
      <c r="AG697" t="s">
        <v>7662</v>
      </c>
      <c r="AH697" t="str">
        <f>HYPERLINK("http://compartments.jensenlab.org/Entity?figures=subcell_cell_%&amp;knowledge=10&amp;textmining=10&amp;experiments=10&amp;predictions=10&amp;type1=9606&amp;type2=-22&amp;id1=ENSP00000166244","link")</f>
        <v>link</v>
      </c>
      <c r="AK697" t="str">
        <f>HYPERLINK("http://www.proteinatlas.org/P29322","CAB009660;HPA031433")</f>
        <v>CAB009660;HPA031433</v>
      </c>
      <c r="AM697">
        <v>2046</v>
      </c>
    </row>
    <row r="698" spans="1:39" x14ac:dyDescent="0.35">
      <c r="A698" t="s">
        <v>7663</v>
      </c>
      <c r="B698" t="str">
        <f>HYPERLINK("http://www.uniprot.org/uniprot/P29323","P29323")</f>
        <v>P29323</v>
      </c>
      <c r="C698" t="s">
        <v>7664</v>
      </c>
      <c r="D698" t="s">
        <v>7665</v>
      </c>
      <c r="E698" t="s">
        <v>39</v>
      </c>
      <c r="F698" t="s">
        <v>55</v>
      </c>
      <c r="H698">
        <v>1055</v>
      </c>
      <c r="I698">
        <v>1</v>
      </c>
      <c r="J698">
        <v>1</v>
      </c>
      <c r="K698" t="s">
        <v>7666</v>
      </c>
      <c r="L698" t="s">
        <v>101</v>
      </c>
      <c r="N698">
        <v>0.98599999999999999</v>
      </c>
      <c r="O698" s="1">
        <v>1</v>
      </c>
      <c r="P698" t="s">
        <v>7667</v>
      </c>
      <c r="Q698" t="s">
        <v>7668</v>
      </c>
      <c r="S698" t="s">
        <v>166</v>
      </c>
      <c r="T698" t="s">
        <v>1432</v>
      </c>
      <c r="U698" t="s">
        <v>7669</v>
      </c>
      <c r="V698">
        <v>4</v>
      </c>
      <c r="W698" t="s">
        <v>7670</v>
      </c>
      <c r="Z698" t="s">
        <v>107</v>
      </c>
      <c r="AA698">
        <v>3</v>
      </c>
      <c r="AB698" t="s">
        <v>7671</v>
      </c>
      <c r="AC698" t="s">
        <v>7672</v>
      </c>
      <c r="AD698" t="s">
        <v>7673</v>
      </c>
      <c r="AE698" t="s">
        <v>7674</v>
      </c>
      <c r="AF698" t="s">
        <v>7675</v>
      </c>
      <c r="AG698" t="s">
        <v>7676</v>
      </c>
      <c r="AH698" t="str">
        <f>HYPERLINK("http://compartments.jensenlab.org/Entity?figures=subcell_cell_%&amp;knowledge=10&amp;textmining=10&amp;experiments=10&amp;predictions=10&amp;type1=9606&amp;type2=-22&amp;id1=ENSP00000383053","link")</f>
        <v>link</v>
      </c>
      <c r="AK698" t="str">
        <f>HYPERLINK("http://www.proteinatlas.org/P29323","CAB013647")</f>
        <v>CAB013647</v>
      </c>
      <c r="AM698">
        <v>2048</v>
      </c>
    </row>
    <row r="699" spans="1:39" x14ac:dyDescent="0.35">
      <c r="A699" t="s">
        <v>7677</v>
      </c>
      <c r="B699" t="str">
        <f>HYPERLINK("http://www.uniprot.org/uniprot/P29371","P29371")</f>
        <v>P29371</v>
      </c>
      <c r="C699" t="s">
        <v>7678</v>
      </c>
      <c r="D699" t="s">
        <v>7679</v>
      </c>
      <c r="E699" t="s">
        <v>39</v>
      </c>
      <c r="F699" t="s">
        <v>40</v>
      </c>
      <c r="H699">
        <v>465</v>
      </c>
      <c r="I699">
        <v>7</v>
      </c>
      <c r="J699">
        <v>0</v>
      </c>
      <c r="K699" t="s">
        <v>7680</v>
      </c>
      <c r="L699" t="s">
        <v>57</v>
      </c>
      <c r="N699">
        <v>0.95609999999999995</v>
      </c>
      <c r="O699" s="1">
        <v>1</v>
      </c>
      <c r="P699" t="s">
        <v>7681</v>
      </c>
      <c r="Q699" t="s">
        <v>7682</v>
      </c>
      <c r="S699" t="s">
        <v>166</v>
      </c>
      <c r="T699" t="s">
        <v>838</v>
      </c>
      <c r="U699" t="s">
        <v>7683</v>
      </c>
      <c r="V699">
        <v>3</v>
      </c>
      <c r="W699" t="s">
        <v>7684</v>
      </c>
      <c r="AE699" t="s">
        <v>74</v>
      </c>
      <c r="AF699" t="s">
        <v>7685</v>
      </c>
      <c r="AG699" t="s">
        <v>7686</v>
      </c>
      <c r="AH699" t="str">
        <f>HYPERLINK("http://compartments.jensenlab.org/Entity?figures=subcell_cell_%&amp;knowledge=10&amp;textmining=10&amp;experiments=10&amp;predictions=10&amp;type1=9606&amp;type2=-22&amp;id1=ENSP00000303325","link")</f>
        <v>link</v>
      </c>
      <c r="AI699" t="s">
        <v>65</v>
      </c>
      <c r="AJ699" t="s">
        <v>2873</v>
      </c>
      <c r="AK699" t="str">
        <f>HYPERLINK("http://www.proteinatlas.org/P29371","HPA009418")</f>
        <v>HPA009418</v>
      </c>
      <c r="AM699">
        <v>6870</v>
      </c>
    </row>
    <row r="700" spans="1:39" x14ac:dyDescent="0.35">
      <c r="A700" t="s">
        <v>7687</v>
      </c>
      <c r="B700" t="str">
        <f>HYPERLINK("http://www.uniprot.org/uniprot/P29376","P29376")</f>
        <v>P29376</v>
      </c>
      <c r="C700" t="s">
        <v>7688</v>
      </c>
      <c r="D700" t="s">
        <v>7689</v>
      </c>
      <c r="E700" t="s">
        <v>39</v>
      </c>
      <c r="F700" t="s">
        <v>40</v>
      </c>
      <c r="H700">
        <v>864</v>
      </c>
      <c r="I700">
        <v>1</v>
      </c>
      <c r="J700">
        <v>1</v>
      </c>
      <c r="K700" t="s">
        <v>7690</v>
      </c>
      <c r="L700" t="s">
        <v>57</v>
      </c>
      <c r="N700">
        <v>0.88019999999999998</v>
      </c>
      <c r="O700" s="1">
        <v>1</v>
      </c>
      <c r="P700" t="s">
        <v>7691</v>
      </c>
      <c r="Q700" t="s">
        <v>7692</v>
      </c>
      <c r="S700" t="s">
        <v>166</v>
      </c>
      <c r="T700" t="s">
        <v>1411</v>
      </c>
      <c r="U700" t="s">
        <v>7693</v>
      </c>
      <c r="V700">
        <v>3</v>
      </c>
      <c r="W700" t="s">
        <v>7694</v>
      </c>
      <c r="AE700" t="s">
        <v>144</v>
      </c>
      <c r="AF700" t="s">
        <v>7695</v>
      </c>
      <c r="AG700" t="s">
        <v>7696</v>
      </c>
      <c r="AH700" t="str">
        <f>HYPERLINK("http://compartments.jensenlab.org/Entity?figures=subcell_cell_%&amp;knowledge=10&amp;textmining=10&amp;experiments=10&amp;predictions=10&amp;type1=9606&amp;type2=-22&amp;id1=ENSP00000263800","link")</f>
        <v>link</v>
      </c>
      <c r="AJ700" t="s">
        <v>51</v>
      </c>
      <c r="AK700" t="str">
        <f>HYPERLINK("http://www.proteinatlas.org/P29376","HPA059545")</f>
        <v>HPA059545</v>
      </c>
      <c r="AM700">
        <v>4058</v>
      </c>
    </row>
    <row r="701" spans="1:39" x14ac:dyDescent="0.35">
      <c r="A701" t="s">
        <v>7697</v>
      </c>
      <c r="B701" t="str">
        <f>HYPERLINK("http://www.uniprot.org/uniprot/P29965","P29965")</f>
        <v>P29965</v>
      </c>
      <c r="C701" t="s">
        <v>7698</v>
      </c>
      <c r="D701" t="s">
        <v>7699</v>
      </c>
      <c r="E701" t="s">
        <v>39</v>
      </c>
      <c r="F701" t="s">
        <v>55</v>
      </c>
      <c r="H701">
        <v>261</v>
      </c>
      <c r="I701">
        <v>1</v>
      </c>
      <c r="J701">
        <v>0</v>
      </c>
      <c r="K701" t="s">
        <v>7700</v>
      </c>
      <c r="L701" t="s">
        <v>57</v>
      </c>
      <c r="M701" t="s">
        <v>39</v>
      </c>
      <c r="N701">
        <v>0.59119999999999995</v>
      </c>
      <c r="O701" s="1">
        <v>2</v>
      </c>
      <c r="P701" t="s">
        <v>7701</v>
      </c>
      <c r="Q701" t="s">
        <v>7702</v>
      </c>
      <c r="R701" t="s">
        <v>7703</v>
      </c>
      <c r="S701" t="s">
        <v>60</v>
      </c>
      <c r="T701" t="s">
        <v>60</v>
      </c>
      <c r="U701" t="s">
        <v>7704</v>
      </c>
      <c r="V701">
        <v>1</v>
      </c>
      <c r="W701" t="s">
        <v>7704</v>
      </c>
      <c r="X701" t="s">
        <v>7705</v>
      </c>
      <c r="Y701">
        <v>140</v>
      </c>
      <c r="AE701" t="s">
        <v>2036</v>
      </c>
      <c r="AF701" t="s">
        <v>7706</v>
      </c>
      <c r="AG701" t="s">
        <v>7707</v>
      </c>
      <c r="AH701" t="str">
        <f>HYPERLINK("http://compartments.jensenlab.org/Entity?figures=subcell_cell_%&amp;knowledge=10&amp;textmining=10&amp;experiments=10&amp;predictions=10&amp;type1=9606&amp;type2=-22&amp;id1=ENSP00000359663","link")</f>
        <v>link</v>
      </c>
      <c r="AI701" t="s">
        <v>1058</v>
      </c>
      <c r="AJ701" t="s">
        <v>902</v>
      </c>
      <c r="AK701" t="str">
        <f>HYPERLINK("http://www.proteinatlas.org/P29965","HPA045827")</f>
        <v>HPA045827</v>
      </c>
      <c r="AM701">
        <v>959</v>
      </c>
    </row>
    <row r="702" spans="1:39" x14ac:dyDescent="0.35">
      <c r="A702" t="s">
        <v>7708</v>
      </c>
      <c r="B702" t="str">
        <f>HYPERLINK("http://www.uniprot.org/uniprot/P29972","P29972")</f>
        <v>P29972</v>
      </c>
      <c r="C702" t="s">
        <v>7709</v>
      </c>
      <c r="D702" t="s">
        <v>7710</v>
      </c>
      <c r="E702" t="s">
        <v>39</v>
      </c>
      <c r="F702" t="s">
        <v>40</v>
      </c>
      <c r="H702">
        <v>269</v>
      </c>
      <c r="I702">
        <v>6</v>
      </c>
      <c r="J702">
        <v>0</v>
      </c>
      <c r="K702" t="s">
        <v>7711</v>
      </c>
      <c r="L702" t="s">
        <v>101</v>
      </c>
      <c r="N702">
        <v>0.63470000000000004</v>
      </c>
      <c r="O702" s="1">
        <v>2</v>
      </c>
      <c r="P702" t="s">
        <v>7712</v>
      </c>
      <c r="Q702" t="s">
        <v>7713</v>
      </c>
      <c r="S702" t="s">
        <v>45</v>
      </c>
      <c r="T702" t="s">
        <v>1798</v>
      </c>
      <c r="U702" t="s">
        <v>7714</v>
      </c>
      <c r="V702">
        <v>2</v>
      </c>
      <c r="W702">
        <v>42</v>
      </c>
      <c r="Y702">
        <v>210</v>
      </c>
      <c r="Z702" t="s">
        <v>123</v>
      </c>
      <c r="AA702">
        <v>3</v>
      </c>
      <c r="AB702" t="s">
        <v>7715</v>
      </c>
      <c r="AC702">
        <v>42</v>
      </c>
      <c r="AD702" t="s">
        <v>7716</v>
      </c>
      <c r="AE702" t="s">
        <v>74</v>
      </c>
      <c r="AF702" t="s">
        <v>7717</v>
      </c>
      <c r="AG702" t="s">
        <v>7718</v>
      </c>
      <c r="AH702" t="str">
        <f>HYPERLINK("http://compartments.jensenlab.org/Entity?figures=subcell_cell_%&amp;knowledge=10&amp;textmining=10&amp;experiments=10&amp;predictions=10&amp;type1=9606&amp;type2=-22&amp;id1=ENSP00000311165","link")</f>
        <v>link</v>
      </c>
      <c r="AI702" t="s">
        <v>7719</v>
      </c>
      <c r="AJ702" t="s">
        <v>4988</v>
      </c>
      <c r="AK702" t="str">
        <f>HYPERLINK("http://www.proteinatlas.org/P29972","CAB001707;HPA019206;HPA030130")</f>
        <v>CAB001707;HPA019206;HPA030130</v>
      </c>
      <c r="AL702" t="s">
        <v>7720</v>
      </c>
      <c r="AM702">
        <v>358</v>
      </c>
    </row>
    <row r="703" spans="1:39" x14ac:dyDescent="0.35">
      <c r="A703" t="s">
        <v>7721</v>
      </c>
      <c r="B703" t="str">
        <f>HYPERLINK("http://www.uniprot.org/uniprot/P30203","P30203")</f>
        <v>P30203</v>
      </c>
      <c r="C703" t="s">
        <v>7722</v>
      </c>
      <c r="D703" t="s">
        <v>7723</v>
      </c>
      <c r="E703" t="s">
        <v>39</v>
      </c>
      <c r="F703" t="s">
        <v>55</v>
      </c>
      <c r="H703">
        <v>668</v>
      </c>
      <c r="I703">
        <v>1</v>
      </c>
      <c r="J703">
        <v>1</v>
      </c>
      <c r="K703" t="s">
        <v>7724</v>
      </c>
      <c r="L703" t="s">
        <v>101</v>
      </c>
      <c r="M703" t="s">
        <v>39</v>
      </c>
      <c r="N703">
        <v>0.95509999999999995</v>
      </c>
      <c r="O703" s="1">
        <v>1</v>
      </c>
      <c r="P703" t="s">
        <v>7725</v>
      </c>
      <c r="Q703" t="s">
        <v>7726</v>
      </c>
      <c r="R703" t="s">
        <v>7723</v>
      </c>
      <c r="S703" t="s">
        <v>60</v>
      </c>
      <c r="T703" t="s">
        <v>60</v>
      </c>
      <c r="U703" t="s">
        <v>7727</v>
      </c>
      <c r="V703">
        <v>8</v>
      </c>
      <c r="W703" t="s">
        <v>7727</v>
      </c>
      <c r="Z703" t="s">
        <v>107</v>
      </c>
      <c r="AA703">
        <v>8</v>
      </c>
      <c r="AB703" t="s">
        <v>7728</v>
      </c>
      <c r="AC703" t="s">
        <v>7729</v>
      </c>
      <c r="AD703" t="s">
        <v>7730</v>
      </c>
      <c r="AE703" t="s">
        <v>332</v>
      </c>
      <c r="AF703" t="s">
        <v>7731</v>
      </c>
      <c r="AG703" t="s">
        <v>7732</v>
      </c>
      <c r="AH703" t="str">
        <f>HYPERLINK("http://compartments.jensenlab.org/Entity?figures=subcell_cell_%&amp;knowledge=10&amp;textmining=10&amp;experiments=10&amp;predictions=10&amp;type1=9606&amp;type2=-22&amp;id1=ENSP00000323280","link")</f>
        <v>link</v>
      </c>
      <c r="AJ703" t="s">
        <v>51</v>
      </c>
      <c r="AK703" t="str">
        <f>HYPERLINK("http://www.proteinatlas.org/P30203","CAB002489;CAB016252")</f>
        <v>CAB002489;CAB016252</v>
      </c>
      <c r="AM703">
        <v>923</v>
      </c>
    </row>
    <row r="704" spans="1:39" x14ac:dyDescent="0.35">
      <c r="A704" t="s">
        <v>7733</v>
      </c>
      <c r="B704" t="str">
        <f>HYPERLINK("http://www.uniprot.org/uniprot/P30301","P30301")</f>
        <v>P30301</v>
      </c>
      <c r="C704" t="s">
        <v>7734</v>
      </c>
      <c r="D704" t="s">
        <v>7735</v>
      </c>
      <c r="E704" t="s">
        <v>39</v>
      </c>
      <c r="F704" t="s">
        <v>55</v>
      </c>
      <c r="H704">
        <v>263</v>
      </c>
      <c r="I704">
        <v>6</v>
      </c>
      <c r="J704">
        <v>0</v>
      </c>
      <c r="K704" t="s">
        <v>7736</v>
      </c>
      <c r="L704" t="s">
        <v>57</v>
      </c>
      <c r="M704" t="s">
        <v>39</v>
      </c>
      <c r="N704">
        <v>0.54269999999999996</v>
      </c>
      <c r="O704" s="1">
        <v>3</v>
      </c>
      <c r="P704" t="s">
        <v>7737</v>
      </c>
      <c r="Q704" t="s">
        <v>7738</v>
      </c>
      <c r="S704" t="s">
        <v>45</v>
      </c>
      <c r="T704" t="s">
        <v>1798</v>
      </c>
      <c r="U704">
        <v>197</v>
      </c>
      <c r="V704">
        <v>1</v>
      </c>
      <c r="W704">
        <v>197</v>
      </c>
      <c r="Y704">
        <v>202</v>
      </c>
      <c r="AE704" t="s">
        <v>2798</v>
      </c>
      <c r="AF704" t="s">
        <v>7739</v>
      </c>
      <c r="AG704" t="s">
        <v>7740</v>
      </c>
      <c r="AH704" t="str">
        <f>HYPERLINK("http://compartments.jensenlab.org/Entity?figures=subcell_cell_%&amp;knowledge=10&amp;textmining=10&amp;experiments=10&amp;predictions=10&amp;type1=9606&amp;type2=-22&amp;id1=ENSP00000257979","link")</f>
        <v>link</v>
      </c>
      <c r="AI704" t="s">
        <v>65</v>
      </c>
      <c r="AJ704" t="s">
        <v>51</v>
      </c>
      <c r="AK704" t="str">
        <f>HYPERLINK("http://www.proteinatlas.org/P30301","no")</f>
        <v>no</v>
      </c>
      <c r="AM704">
        <v>4284</v>
      </c>
    </row>
    <row r="705" spans="1:39" x14ac:dyDescent="0.35">
      <c r="A705" t="s">
        <v>7741</v>
      </c>
      <c r="B705" t="str">
        <f>HYPERLINK("http://www.uniprot.org/uniprot/P30408","P30408")</f>
        <v>P30408</v>
      </c>
      <c r="C705" t="s">
        <v>7742</v>
      </c>
      <c r="D705" t="s">
        <v>7743</v>
      </c>
      <c r="E705" t="s">
        <v>39</v>
      </c>
      <c r="F705" t="s">
        <v>40</v>
      </c>
      <c r="H705">
        <v>202</v>
      </c>
      <c r="I705">
        <v>4</v>
      </c>
      <c r="J705">
        <v>0</v>
      </c>
      <c r="K705" t="s">
        <v>7744</v>
      </c>
      <c r="L705" t="s">
        <v>57</v>
      </c>
      <c r="N705">
        <v>0.80840000000000001</v>
      </c>
      <c r="O705" s="1">
        <v>1</v>
      </c>
      <c r="P705" t="s">
        <v>7745</v>
      </c>
      <c r="Q705" t="s">
        <v>7746</v>
      </c>
      <c r="S705" t="s">
        <v>91</v>
      </c>
      <c r="T705" t="s">
        <v>1334</v>
      </c>
      <c r="U705" t="s">
        <v>7747</v>
      </c>
      <c r="V705">
        <v>2</v>
      </c>
      <c r="W705">
        <v>129</v>
      </c>
      <c r="AE705" t="s">
        <v>48</v>
      </c>
      <c r="AF705" t="s">
        <v>95</v>
      </c>
      <c r="AG705" t="s">
        <v>7748</v>
      </c>
      <c r="AH705" t="str">
        <f>HYPERLINK("http://compartments.jensenlab.org/Entity?figures=subcell_cell_%&amp;knowledge=10&amp;textmining=10&amp;experiments=10&amp;predictions=10&amp;type1=9606&amp;type2=-22&amp;id1=ENSP00000304277","link")</f>
        <v>link</v>
      </c>
      <c r="AI705" t="s">
        <v>65</v>
      </c>
      <c r="AJ705" t="s">
        <v>51</v>
      </c>
      <c r="AK705" t="str">
        <f>HYPERLINK("http://www.proteinatlas.org/P30408","CAB002760;HPA002823")</f>
        <v>CAB002760;HPA002823</v>
      </c>
      <c r="AM705">
        <v>4071</v>
      </c>
    </row>
    <row r="706" spans="1:39" x14ac:dyDescent="0.35">
      <c r="A706" t="s">
        <v>7749</v>
      </c>
      <c r="B706" t="str">
        <f>HYPERLINK("http://www.uniprot.org/uniprot/P30411","P30411")</f>
        <v>P30411</v>
      </c>
      <c r="C706" t="s">
        <v>7750</v>
      </c>
      <c r="D706" t="s">
        <v>7751</v>
      </c>
      <c r="E706" t="s">
        <v>39</v>
      </c>
      <c r="F706" t="s">
        <v>40</v>
      </c>
      <c r="H706">
        <v>391</v>
      </c>
      <c r="I706">
        <v>7</v>
      </c>
      <c r="J706">
        <v>0</v>
      </c>
      <c r="K706" t="s">
        <v>7752</v>
      </c>
      <c r="L706" t="s">
        <v>57</v>
      </c>
      <c r="N706">
        <v>0.98</v>
      </c>
      <c r="O706" s="1">
        <v>1</v>
      </c>
      <c r="P706" t="s">
        <v>7753</v>
      </c>
      <c r="Q706" t="s">
        <v>7754</v>
      </c>
      <c r="S706" t="s">
        <v>166</v>
      </c>
      <c r="T706" t="s">
        <v>838</v>
      </c>
      <c r="U706" t="s">
        <v>7755</v>
      </c>
      <c r="V706">
        <v>3</v>
      </c>
      <c r="W706" t="s">
        <v>7755</v>
      </c>
      <c r="Y706" t="s">
        <v>7756</v>
      </c>
      <c r="AE706" t="s">
        <v>74</v>
      </c>
      <c r="AF706" t="s">
        <v>7757</v>
      </c>
      <c r="AG706" t="s">
        <v>7758</v>
      </c>
      <c r="AH706" t="str">
        <f>HYPERLINK("http://compartments.jensenlab.org/Entity?figures=subcell_cell_%&amp;knowledge=10&amp;textmining=10&amp;experiments=10&amp;predictions=10&amp;type1=9606&amp;type2=-22&amp;id1=ENSP00000450482","link")</f>
        <v>link</v>
      </c>
      <c r="AK706" t="str">
        <f>HYPERLINK("http://www.proteinatlas.org/P30411","HPA050841")</f>
        <v>HPA050841</v>
      </c>
      <c r="AL706" t="s">
        <v>7759</v>
      </c>
      <c r="AM706">
        <v>624</v>
      </c>
    </row>
    <row r="707" spans="1:39" x14ac:dyDescent="0.35">
      <c r="A707" t="s">
        <v>7760</v>
      </c>
      <c r="B707" t="str">
        <f>HYPERLINK("http://www.uniprot.org/uniprot/P30443","P30443")</f>
        <v>P30443</v>
      </c>
      <c r="C707" t="s">
        <v>7761</v>
      </c>
      <c r="D707" t="s">
        <v>3647</v>
      </c>
      <c r="E707" t="s">
        <v>39</v>
      </c>
      <c r="F707" t="s">
        <v>40</v>
      </c>
      <c r="H707">
        <v>365</v>
      </c>
      <c r="I707">
        <v>1</v>
      </c>
      <c r="J707">
        <v>1</v>
      </c>
      <c r="K707" t="s">
        <v>3648</v>
      </c>
      <c r="L707" t="s">
        <v>57</v>
      </c>
      <c r="N707">
        <v>0.86029999999999995</v>
      </c>
      <c r="O707" s="1">
        <v>1</v>
      </c>
      <c r="P707" t="s">
        <v>4084</v>
      </c>
      <c r="Q707" t="s">
        <v>7762</v>
      </c>
      <c r="S707" t="s">
        <v>91</v>
      </c>
      <c r="T707" t="s">
        <v>3641</v>
      </c>
      <c r="U707">
        <v>110</v>
      </c>
      <c r="V707">
        <v>1</v>
      </c>
      <c r="W707">
        <v>110</v>
      </c>
      <c r="AE707" t="s">
        <v>144</v>
      </c>
      <c r="AF707" t="s">
        <v>7763</v>
      </c>
      <c r="AG707" t="s">
        <v>7764</v>
      </c>
      <c r="AH707" t="str">
        <f>HYPERLINK("http://compartments.jensenlab.org/Entity?figures=subcell_cell_%&amp;knowledge=10&amp;textmining=10&amp;experiments=10&amp;predictions=10&amp;type1=9606&amp;type2=-22&amp;id1=ENSP00000406366","link")</f>
        <v>link</v>
      </c>
      <c r="AK707" t="str">
        <f>HYPERLINK("http://www.proteinatlas.org/P30443","no")</f>
        <v>no</v>
      </c>
      <c r="AM707">
        <v>3105</v>
      </c>
    </row>
    <row r="708" spans="1:39" x14ac:dyDescent="0.35">
      <c r="A708" t="s">
        <v>7765</v>
      </c>
      <c r="B708" t="str">
        <f>HYPERLINK("http://www.uniprot.org/uniprot/P30447","P30447")</f>
        <v>P30447</v>
      </c>
      <c r="C708" t="s">
        <v>7766</v>
      </c>
      <c r="D708" t="s">
        <v>3647</v>
      </c>
      <c r="E708" t="s">
        <v>39</v>
      </c>
      <c r="F708" t="s">
        <v>40</v>
      </c>
      <c r="H708">
        <v>365</v>
      </c>
      <c r="I708">
        <v>1</v>
      </c>
      <c r="J708">
        <v>1</v>
      </c>
      <c r="K708" t="s">
        <v>3648</v>
      </c>
      <c r="L708" t="s">
        <v>57</v>
      </c>
      <c r="N708">
        <v>0.76049999999999995</v>
      </c>
      <c r="O708" s="1">
        <v>1</v>
      </c>
      <c r="P708" t="s">
        <v>4916</v>
      </c>
      <c r="Q708" t="s">
        <v>7767</v>
      </c>
      <c r="S708" t="s">
        <v>91</v>
      </c>
      <c r="T708" t="s">
        <v>3641</v>
      </c>
      <c r="U708" t="s">
        <v>4086</v>
      </c>
      <c r="V708">
        <v>1</v>
      </c>
      <c r="X708">
        <v>350</v>
      </c>
      <c r="AE708" t="s">
        <v>144</v>
      </c>
      <c r="AF708" t="s">
        <v>4922</v>
      </c>
      <c r="AG708" t="s">
        <v>7768</v>
      </c>
      <c r="AH708" t="str">
        <f>HYPERLINK("http://compartments.jensenlab.org/Entity?figures=subcell_cell_%&amp;knowledge=10&amp;textmining=10&amp;experiments=10&amp;predictions=10&amp;type1=9606&amp;type2=-22&amp;id1=ENSP00000410645","link")</f>
        <v>link</v>
      </c>
      <c r="AJ708" t="s">
        <v>51</v>
      </c>
      <c r="AK708" t="str">
        <f>HYPERLINK("http://www.proteinatlas.org/P30447","no")</f>
        <v>no</v>
      </c>
    </row>
    <row r="709" spans="1:39" x14ac:dyDescent="0.35">
      <c r="A709" t="s">
        <v>7769</v>
      </c>
      <c r="B709" t="str">
        <f>HYPERLINK("http://www.uniprot.org/uniprot/P30450","P30450")</f>
        <v>P30450</v>
      </c>
      <c r="C709" t="s">
        <v>7770</v>
      </c>
      <c r="D709" t="s">
        <v>3647</v>
      </c>
      <c r="E709" t="s">
        <v>39</v>
      </c>
      <c r="F709" t="s">
        <v>40</v>
      </c>
      <c r="H709">
        <v>365</v>
      </c>
      <c r="I709">
        <v>1</v>
      </c>
      <c r="J709">
        <v>1</v>
      </c>
      <c r="K709" t="s">
        <v>3648</v>
      </c>
      <c r="L709" t="s">
        <v>57</v>
      </c>
      <c r="N709">
        <v>0.79039999999999999</v>
      </c>
      <c r="O709" s="1">
        <v>1</v>
      </c>
      <c r="P709" t="s">
        <v>6129</v>
      </c>
      <c r="Q709" t="s">
        <v>7771</v>
      </c>
      <c r="S709" t="s">
        <v>91</v>
      </c>
      <c r="T709" t="s">
        <v>3641</v>
      </c>
      <c r="U709">
        <v>110</v>
      </c>
      <c r="V709">
        <v>1</v>
      </c>
      <c r="AE709" t="s">
        <v>144</v>
      </c>
      <c r="AF709" t="s">
        <v>4922</v>
      </c>
      <c r="AG709" t="s">
        <v>7772</v>
      </c>
      <c r="AH709" t="str">
        <f>HYPERLINK("http://compartments.jensenlab.org/Entity?figures=subcell_cell_%&amp;knowledge=10&amp;textmining=10&amp;experiments=10&amp;predictions=10&amp;type1=9606&amp;type2=-22&amp;id1=ENSP00000373100","link")</f>
        <v>link</v>
      </c>
      <c r="AK709" t="str">
        <f>HYPERLINK("http://www.proteinatlas.org/P30450","no")</f>
        <v>no</v>
      </c>
      <c r="AM709">
        <v>3105</v>
      </c>
    </row>
    <row r="710" spans="1:39" x14ac:dyDescent="0.35">
      <c r="A710" t="s">
        <v>7773</v>
      </c>
      <c r="B710" t="str">
        <f>HYPERLINK("http://www.uniprot.org/uniprot/P30453","P30453")</f>
        <v>P30453</v>
      </c>
      <c r="C710" t="s">
        <v>7774</v>
      </c>
      <c r="D710" t="s">
        <v>3647</v>
      </c>
      <c r="E710" t="s">
        <v>39</v>
      </c>
      <c r="F710" t="s">
        <v>40</v>
      </c>
      <c r="H710">
        <v>365</v>
      </c>
      <c r="I710">
        <v>1</v>
      </c>
      <c r="J710">
        <v>1</v>
      </c>
      <c r="K710" t="s">
        <v>3648</v>
      </c>
      <c r="L710" t="s">
        <v>57</v>
      </c>
      <c r="N710">
        <v>0.75649999999999995</v>
      </c>
      <c r="O710" s="1">
        <v>1</v>
      </c>
      <c r="P710" t="s">
        <v>6129</v>
      </c>
      <c r="Q710" t="s">
        <v>6130</v>
      </c>
      <c r="S710" t="s">
        <v>91</v>
      </c>
      <c r="T710" t="s">
        <v>3641</v>
      </c>
      <c r="U710">
        <v>110</v>
      </c>
      <c r="V710">
        <v>1</v>
      </c>
      <c r="X710">
        <v>350</v>
      </c>
      <c r="AE710" t="s">
        <v>144</v>
      </c>
      <c r="AF710" t="s">
        <v>4922</v>
      </c>
      <c r="AG710" t="s">
        <v>7775</v>
      </c>
      <c r="AH710" t="str">
        <f>HYPERLINK("http://compartments.jensenlab.org/Entity?figures=subcell_cell_%&amp;knowledge=10&amp;textmining=10&amp;experiments=10&amp;predictions=10&amp;type1=9606&amp;type2=-22&amp;id1=ENSP00000373100","link")</f>
        <v>link</v>
      </c>
      <c r="AK710" t="str">
        <f>HYPERLINK("http://www.proteinatlas.org/P30453","no")</f>
        <v>no</v>
      </c>
    </row>
    <row r="711" spans="1:39" x14ac:dyDescent="0.35">
      <c r="A711" t="s">
        <v>7776</v>
      </c>
      <c r="B711" t="str">
        <f>HYPERLINK("http://www.uniprot.org/uniprot/P30455","P30455")</f>
        <v>P30455</v>
      </c>
      <c r="C711" t="s">
        <v>7777</v>
      </c>
      <c r="D711" t="s">
        <v>3647</v>
      </c>
      <c r="E711" t="s">
        <v>39</v>
      </c>
      <c r="F711" t="s">
        <v>40</v>
      </c>
      <c r="H711">
        <v>365</v>
      </c>
      <c r="I711">
        <v>1</v>
      </c>
      <c r="J711">
        <v>1</v>
      </c>
      <c r="K711" t="s">
        <v>3648</v>
      </c>
      <c r="L711" t="s">
        <v>57</v>
      </c>
      <c r="N711">
        <v>0.86429999999999996</v>
      </c>
      <c r="O711" s="1">
        <v>1</v>
      </c>
      <c r="P711" t="s">
        <v>4084</v>
      </c>
      <c r="Q711" t="s">
        <v>4085</v>
      </c>
      <c r="S711" t="s">
        <v>91</v>
      </c>
      <c r="T711" t="s">
        <v>3641</v>
      </c>
      <c r="U711">
        <v>110</v>
      </c>
      <c r="V711">
        <v>1</v>
      </c>
      <c r="W711">
        <v>110</v>
      </c>
      <c r="AE711" t="s">
        <v>144</v>
      </c>
      <c r="AF711" t="s">
        <v>4922</v>
      </c>
      <c r="AG711" t="s">
        <v>7778</v>
      </c>
      <c r="AH711" t="str">
        <f>HYPERLINK("http://compartments.jensenlab.org/Entity?figures=subcell_cell_%&amp;knowledge=10&amp;textmining=10&amp;experiments=10&amp;predictions=10&amp;type1=9606&amp;type2=-22&amp;id1=ENSP00000406366","link")</f>
        <v>link</v>
      </c>
      <c r="AK711" t="str">
        <f>HYPERLINK("http://www.proteinatlas.org/P30455","no")</f>
        <v>no</v>
      </c>
    </row>
    <row r="712" spans="1:39" x14ac:dyDescent="0.35">
      <c r="A712" t="s">
        <v>7779</v>
      </c>
      <c r="B712" t="str">
        <f>HYPERLINK("http://www.uniprot.org/uniprot/P30456","P30456")</f>
        <v>P30456</v>
      </c>
      <c r="C712" t="s">
        <v>7780</v>
      </c>
      <c r="D712" t="s">
        <v>3647</v>
      </c>
      <c r="E712" t="s">
        <v>39</v>
      </c>
      <c r="F712" t="s">
        <v>40</v>
      </c>
      <c r="H712">
        <v>365</v>
      </c>
      <c r="I712">
        <v>1</v>
      </c>
      <c r="J712">
        <v>1</v>
      </c>
      <c r="K712" t="s">
        <v>3648</v>
      </c>
      <c r="L712" t="s">
        <v>57</v>
      </c>
      <c r="N712">
        <v>0.77839999999999998</v>
      </c>
      <c r="O712" s="1">
        <v>1</v>
      </c>
      <c r="P712" t="s">
        <v>6129</v>
      </c>
      <c r="Q712" t="s">
        <v>6130</v>
      </c>
      <c r="S712" t="s">
        <v>91</v>
      </c>
      <c r="T712" t="s">
        <v>3641</v>
      </c>
      <c r="U712">
        <v>110</v>
      </c>
      <c r="V712">
        <v>1</v>
      </c>
      <c r="X712">
        <v>350</v>
      </c>
      <c r="AE712" t="s">
        <v>144</v>
      </c>
      <c r="AF712" t="s">
        <v>4922</v>
      </c>
      <c r="AG712" t="s">
        <v>7781</v>
      </c>
      <c r="AH712" t="str">
        <f>HYPERLINK("http://compartments.jensenlab.org/Entity?figures=subcell_cell_%&amp;knowledge=10&amp;textmining=10&amp;experiments=10&amp;predictions=10&amp;type1=9606&amp;type2=-22&amp;id1=ENSP00000373100","link")</f>
        <v>link</v>
      </c>
      <c r="AK712" t="str">
        <f>HYPERLINK("http://www.proteinatlas.org/P30456","no")</f>
        <v>no</v>
      </c>
    </row>
    <row r="713" spans="1:39" x14ac:dyDescent="0.35">
      <c r="A713" t="s">
        <v>7782</v>
      </c>
      <c r="B713" t="str">
        <f>HYPERLINK("http://www.uniprot.org/uniprot/P30457","P30457")</f>
        <v>P30457</v>
      </c>
      <c r="C713" t="s">
        <v>7783</v>
      </c>
      <c r="D713" t="s">
        <v>3647</v>
      </c>
      <c r="E713" t="s">
        <v>39</v>
      </c>
      <c r="F713" t="s">
        <v>40</v>
      </c>
      <c r="H713">
        <v>365</v>
      </c>
      <c r="I713">
        <v>1</v>
      </c>
      <c r="J713">
        <v>1</v>
      </c>
      <c r="K713" t="s">
        <v>3648</v>
      </c>
      <c r="L713" t="s">
        <v>57</v>
      </c>
      <c r="N713">
        <v>0.77449999999999997</v>
      </c>
      <c r="O713" s="1">
        <v>1</v>
      </c>
      <c r="P713" t="s">
        <v>6129</v>
      </c>
      <c r="Q713" t="s">
        <v>6130</v>
      </c>
      <c r="S713" t="s">
        <v>91</v>
      </c>
      <c r="T713" t="s">
        <v>3641</v>
      </c>
      <c r="U713">
        <v>110</v>
      </c>
      <c r="V713">
        <v>1</v>
      </c>
      <c r="AE713" t="s">
        <v>144</v>
      </c>
      <c r="AF713" t="s">
        <v>4922</v>
      </c>
      <c r="AG713" t="s">
        <v>7784</v>
      </c>
      <c r="AH713" t="str">
        <f>HYPERLINK("http://compartments.jensenlab.org/Entity?figures=subcell_cell_%&amp;knowledge=10&amp;textmining=10&amp;experiments=10&amp;predictions=10&amp;type1=9606&amp;type2=-22&amp;id1=ENSP00000373100","link")</f>
        <v>link</v>
      </c>
      <c r="AK713" t="str">
        <f>HYPERLINK("http://www.proteinatlas.org/P30457","no")</f>
        <v>no</v>
      </c>
    </row>
    <row r="714" spans="1:39" x14ac:dyDescent="0.35">
      <c r="A714" t="s">
        <v>7785</v>
      </c>
      <c r="B714" t="str">
        <f>HYPERLINK("http://www.uniprot.org/uniprot/P30459","P30459")</f>
        <v>P30459</v>
      </c>
      <c r="C714" t="s">
        <v>7786</v>
      </c>
      <c r="D714" t="s">
        <v>3647</v>
      </c>
      <c r="E714" t="s">
        <v>39</v>
      </c>
      <c r="F714" t="s">
        <v>40</v>
      </c>
      <c r="H714">
        <v>365</v>
      </c>
      <c r="I714">
        <v>1</v>
      </c>
      <c r="J714">
        <v>1</v>
      </c>
      <c r="K714" t="s">
        <v>4915</v>
      </c>
      <c r="L714" t="s">
        <v>101</v>
      </c>
      <c r="N714">
        <v>0.74050000000000005</v>
      </c>
      <c r="O714" s="1">
        <v>2</v>
      </c>
      <c r="P714" t="s">
        <v>4916</v>
      </c>
      <c r="Q714" t="s">
        <v>7767</v>
      </c>
      <c r="S714" t="s">
        <v>91</v>
      </c>
      <c r="T714" t="s">
        <v>3641</v>
      </c>
      <c r="U714">
        <v>110</v>
      </c>
      <c r="V714">
        <v>1</v>
      </c>
      <c r="Z714" t="s">
        <v>107</v>
      </c>
      <c r="AA714">
        <v>1</v>
      </c>
      <c r="AB714" t="s">
        <v>7787</v>
      </c>
      <c r="AC714">
        <v>110</v>
      </c>
      <c r="AD714" t="s">
        <v>7788</v>
      </c>
      <c r="AE714" t="s">
        <v>144</v>
      </c>
      <c r="AF714" t="s">
        <v>4918</v>
      </c>
      <c r="AG714" t="s">
        <v>7789</v>
      </c>
      <c r="AH714" t="str">
        <f>HYPERLINK("http://compartments.jensenlab.org/Entity?figures=subcell_cell_%&amp;knowledge=10&amp;textmining=10&amp;experiments=10&amp;predictions=10&amp;type1=9606&amp;type2=-22&amp;id1=ENSP00000410645","link")</f>
        <v>link</v>
      </c>
      <c r="AJ714" t="s">
        <v>51</v>
      </c>
      <c r="AK714" t="str">
        <f>HYPERLINK("http://www.proteinatlas.org/P30459","no")</f>
        <v>no</v>
      </c>
    </row>
    <row r="715" spans="1:39" x14ac:dyDescent="0.35">
      <c r="A715" t="s">
        <v>7790</v>
      </c>
      <c r="B715" t="str">
        <f>HYPERLINK("http://www.uniprot.org/uniprot/P30460","P30460")</f>
        <v>P30460</v>
      </c>
      <c r="C715" t="s">
        <v>7791</v>
      </c>
      <c r="D715" t="s">
        <v>3637</v>
      </c>
      <c r="E715" t="s">
        <v>39</v>
      </c>
      <c r="F715" t="s">
        <v>40</v>
      </c>
      <c r="H715">
        <v>362</v>
      </c>
      <c r="I715">
        <v>1</v>
      </c>
      <c r="J715">
        <v>1</v>
      </c>
      <c r="K715" t="s">
        <v>3638</v>
      </c>
      <c r="L715" t="s">
        <v>57</v>
      </c>
      <c r="N715">
        <v>0.85429999999999995</v>
      </c>
      <c r="O715" s="1">
        <v>1</v>
      </c>
      <c r="P715" t="s">
        <v>7792</v>
      </c>
      <c r="Q715" t="s">
        <v>7793</v>
      </c>
      <c r="S715" t="s">
        <v>91</v>
      </c>
      <c r="T715" t="s">
        <v>3641</v>
      </c>
      <c r="U715">
        <v>110</v>
      </c>
      <c r="V715">
        <v>1</v>
      </c>
      <c r="W715">
        <v>110</v>
      </c>
      <c r="AE715" t="s">
        <v>144</v>
      </c>
      <c r="AF715" t="s">
        <v>3855</v>
      </c>
      <c r="AG715" t="s">
        <v>7794</v>
      </c>
      <c r="AH715" t="str">
        <f>HYPERLINK("http://compartments.jensenlab.org/Entity?figures=subcell_cell_%&amp;knowledge=10&amp;textmining=10&amp;experiments=10&amp;predictions=10&amp;type1=9606&amp;type2=-22&amp;id1=ENSP00000400842","link")</f>
        <v>link</v>
      </c>
      <c r="AI715" t="s">
        <v>65</v>
      </c>
      <c r="AJ715" t="s">
        <v>3644</v>
      </c>
      <c r="AK715" t="str">
        <f>HYPERLINK("http://www.proteinatlas.org/P30460","no")</f>
        <v>no</v>
      </c>
    </row>
    <row r="716" spans="1:39" x14ac:dyDescent="0.35">
      <c r="A716" t="s">
        <v>7795</v>
      </c>
      <c r="B716" t="str">
        <f>HYPERLINK("http://www.uniprot.org/uniprot/P30461","P30461")</f>
        <v>P30461</v>
      </c>
      <c r="C716" t="s">
        <v>7796</v>
      </c>
      <c r="D716" t="s">
        <v>3637</v>
      </c>
      <c r="E716" t="s">
        <v>39</v>
      </c>
      <c r="F716" t="s">
        <v>40</v>
      </c>
      <c r="H716">
        <v>362</v>
      </c>
      <c r="I716">
        <v>1</v>
      </c>
      <c r="J716">
        <v>1</v>
      </c>
      <c r="K716" t="s">
        <v>3638</v>
      </c>
      <c r="L716" t="s">
        <v>57</v>
      </c>
      <c r="N716">
        <v>0.78639999999999999</v>
      </c>
      <c r="O716" s="1">
        <v>1</v>
      </c>
      <c r="P716" t="s">
        <v>3779</v>
      </c>
      <c r="Q716" t="s">
        <v>3780</v>
      </c>
      <c r="S716" t="s">
        <v>91</v>
      </c>
      <c r="T716" t="s">
        <v>3641</v>
      </c>
      <c r="U716">
        <v>110</v>
      </c>
      <c r="V716">
        <v>1</v>
      </c>
      <c r="AE716" t="s">
        <v>144</v>
      </c>
      <c r="AF716" t="s">
        <v>4918</v>
      </c>
      <c r="AG716" t="s">
        <v>7797</v>
      </c>
      <c r="AH716" t="str">
        <f>HYPERLINK("http://compartments.jensenlab.org/Entity?figures=subcell_cell_%&amp;knowledge=10&amp;textmining=10&amp;experiments=10&amp;predictions=10&amp;type1=9606&amp;type2=-22&amp;id1=ENSP00000405178","link")</f>
        <v>link</v>
      </c>
      <c r="AK716" t="str">
        <f>HYPERLINK("http://www.proteinatlas.org/P30461","no")</f>
        <v>no</v>
      </c>
    </row>
    <row r="717" spans="1:39" x14ac:dyDescent="0.35">
      <c r="A717" t="s">
        <v>7798</v>
      </c>
      <c r="B717" t="str">
        <f>HYPERLINK("http://www.uniprot.org/uniprot/P30462","P30462")</f>
        <v>P30462</v>
      </c>
      <c r="C717" t="s">
        <v>7799</v>
      </c>
      <c r="D717" t="s">
        <v>3637</v>
      </c>
      <c r="E717" t="s">
        <v>39</v>
      </c>
      <c r="F717" t="s">
        <v>40</v>
      </c>
      <c r="H717">
        <v>362</v>
      </c>
      <c r="I717">
        <v>1</v>
      </c>
      <c r="J717">
        <v>1</v>
      </c>
      <c r="K717" t="s">
        <v>3638</v>
      </c>
      <c r="L717" t="s">
        <v>101</v>
      </c>
      <c r="N717">
        <v>0.86629999999999996</v>
      </c>
      <c r="O717" s="1">
        <v>1</v>
      </c>
      <c r="P717" t="s">
        <v>7792</v>
      </c>
      <c r="Q717" t="s">
        <v>7793</v>
      </c>
      <c r="S717" t="s">
        <v>91</v>
      </c>
      <c r="T717" t="s">
        <v>3641</v>
      </c>
      <c r="U717">
        <v>110</v>
      </c>
      <c r="V717">
        <v>1</v>
      </c>
      <c r="W717">
        <v>110</v>
      </c>
      <c r="Z717" t="s">
        <v>107</v>
      </c>
      <c r="AA717">
        <v>1</v>
      </c>
      <c r="AB717" t="s">
        <v>7800</v>
      </c>
      <c r="AC717">
        <v>110</v>
      </c>
      <c r="AD717" t="s">
        <v>7801</v>
      </c>
      <c r="AE717" t="s">
        <v>144</v>
      </c>
      <c r="AF717" t="s">
        <v>4918</v>
      </c>
      <c r="AG717" t="s">
        <v>7802</v>
      </c>
      <c r="AH717" t="str">
        <f>HYPERLINK("http://compartments.jensenlab.org/Entity?figures=subcell_cell_%&amp;knowledge=10&amp;textmining=10&amp;experiments=10&amp;predictions=10&amp;type1=9606&amp;type2=-22&amp;id1=ENSP00000400842","link")</f>
        <v>link</v>
      </c>
      <c r="AI717" t="s">
        <v>65</v>
      </c>
      <c r="AJ717" t="s">
        <v>3644</v>
      </c>
      <c r="AK717" t="str">
        <f>HYPERLINK("http://www.proteinatlas.org/P30462","no")</f>
        <v>no</v>
      </c>
    </row>
    <row r="718" spans="1:39" x14ac:dyDescent="0.35">
      <c r="A718" t="s">
        <v>7803</v>
      </c>
      <c r="B718" t="str">
        <f>HYPERLINK("http://www.uniprot.org/uniprot/P30464","P30464")</f>
        <v>P30464</v>
      </c>
      <c r="C718" t="s">
        <v>7804</v>
      </c>
      <c r="D718" t="s">
        <v>3637</v>
      </c>
      <c r="E718" t="s">
        <v>39</v>
      </c>
      <c r="F718" t="s">
        <v>40</v>
      </c>
      <c r="H718">
        <v>362</v>
      </c>
      <c r="I718">
        <v>1</v>
      </c>
      <c r="J718">
        <v>1</v>
      </c>
      <c r="K718" t="s">
        <v>4926</v>
      </c>
      <c r="L718" t="s">
        <v>57</v>
      </c>
      <c r="N718">
        <v>0.78839999999999999</v>
      </c>
      <c r="O718" s="1">
        <v>1</v>
      </c>
      <c r="P718" t="s">
        <v>7805</v>
      </c>
      <c r="Q718" t="s">
        <v>7806</v>
      </c>
      <c r="S718" t="s">
        <v>91</v>
      </c>
      <c r="T718" t="s">
        <v>3641</v>
      </c>
      <c r="U718">
        <v>110</v>
      </c>
      <c r="V718">
        <v>1</v>
      </c>
      <c r="AE718" t="s">
        <v>144</v>
      </c>
      <c r="AF718" t="s">
        <v>3855</v>
      </c>
      <c r="AG718" t="s">
        <v>7807</v>
      </c>
      <c r="AH718" t="str">
        <f>HYPERLINK("http://compartments.jensenlab.org/Entity?figures=subcell_cell_%&amp;knowledge=10&amp;textmining=10&amp;experiments=10&amp;predictions=10&amp;type1=9606&amp;type2=-22&amp;id1=ENSP00000388208","link")</f>
        <v>link</v>
      </c>
      <c r="AK718" t="str">
        <f>HYPERLINK("http://www.proteinatlas.org/P30464","no")</f>
        <v>no</v>
      </c>
    </row>
    <row r="719" spans="1:39" x14ac:dyDescent="0.35">
      <c r="A719" t="s">
        <v>7808</v>
      </c>
      <c r="B719" t="str">
        <f>HYPERLINK("http://www.uniprot.org/uniprot/P30466","P30466")</f>
        <v>P30466</v>
      </c>
      <c r="C719" t="s">
        <v>7809</v>
      </c>
      <c r="D719" t="s">
        <v>3637</v>
      </c>
      <c r="E719" t="s">
        <v>39</v>
      </c>
      <c r="F719" t="s">
        <v>40</v>
      </c>
      <c r="H719">
        <v>362</v>
      </c>
      <c r="I719">
        <v>1</v>
      </c>
      <c r="J719">
        <v>1</v>
      </c>
      <c r="K719" t="s">
        <v>4926</v>
      </c>
      <c r="L719" t="s">
        <v>57</v>
      </c>
      <c r="N719">
        <v>0.7964</v>
      </c>
      <c r="O719" s="1">
        <v>1</v>
      </c>
      <c r="P719" t="s">
        <v>6136</v>
      </c>
      <c r="Q719" t="s">
        <v>6137</v>
      </c>
      <c r="S719" t="s">
        <v>91</v>
      </c>
      <c r="T719" t="s">
        <v>3641</v>
      </c>
      <c r="U719">
        <v>110</v>
      </c>
      <c r="V719">
        <v>1</v>
      </c>
      <c r="AE719" t="s">
        <v>144</v>
      </c>
      <c r="AF719" t="s">
        <v>3855</v>
      </c>
      <c r="AG719" t="s">
        <v>7810</v>
      </c>
      <c r="AH719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719" t="str">
        <f>HYPERLINK("http://www.proteinatlas.org/P30466","no")</f>
        <v>no</v>
      </c>
      <c r="AM719">
        <v>3106</v>
      </c>
    </row>
    <row r="720" spans="1:39" x14ac:dyDescent="0.35">
      <c r="A720" t="s">
        <v>7811</v>
      </c>
      <c r="B720" t="str">
        <f>HYPERLINK("http://www.uniprot.org/uniprot/P30475","P30475")</f>
        <v>P30475</v>
      </c>
      <c r="C720" t="s">
        <v>7812</v>
      </c>
      <c r="D720" t="s">
        <v>3637</v>
      </c>
      <c r="E720" t="s">
        <v>39</v>
      </c>
      <c r="F720" t="s">
        <v>40</v>
      </c>
      <c r="H720">
        <v>362</v>
      </c>
      <c r="I720">
        <v>1</v>
      </c>
      <c r="J720">
        <v>1</v>
      </c>
      <c r="K720" t="s">
        <v>3638</v>
      </c>
      <c r="L720" t="s">
        <v>57</v>
      </c>
      <c r="N720">
        <v>0.86629999999999996</v>
      </c>
      <c r="O720" s="1">
        <v>1</v>
      </c>
      <c r="P720" t="s">
        <v>7792</v>
      </c>
      <c r="Q720" t="s">
        <v>7793</v>
      </c>
      <c r="S720" t="s">
        <v>91</v>
      </c>
      <c r="T720" t="s">
        <v>3641</v>
      </c>
      <c r="U720">
        <v>110</v>
      </c>
      <c r="V720">
        <v>1</v>
      </c>
      <c r="W720">
        <v>110</v>
      </c>
      <c r="AE720" t="s">
        <v>144</v>
      </c>
      <c r="AF720" t="s">
        <v>3855</v>
      </c>
      <c r="AG720" t="s">
        <v>7813</v>
      </c>
      <c r="AH720" t="str">
        <f>HYPERLINK("http://compartments.jensenlab.org/Entity?figures=subcell_cell_%&amp;knowledge=10&amp;textmining=10&amp;experiments=10&amp;predictions=10&amp;type1=9606&amp;type2=-22&amp;id1=ENSP00000400842","link")</f>
        <v>link</v>
      </c>
      <c r="AI720" t="s">
        <v>65</v>
      </c>
      <c r="AJ720" t="s">
        <v>3644</v>
      </c>
      <c r="AK720" t="str">
        <f>HYPERLINK("http://www.proteinatlas.org/P30475","no")</f>
        <v>no</v>
      </c>
    </row>
    <row r="721" spans="1:37" x14ac:dyDescent="0.35">
      <c r="A721" t="s">
        <v>7814</v>
      </c>
      <c r="B721" t="str">
        <f>HYPERLINK("http://www.uniprot.org/uniprot/P30479","P30479")</f>
        <v>P30479</v>
      </c>
      <c r="C721" t="s">
        <v>7815</v>
      </c>
      <c r="D721" t="s">
        <v>3637</v>
      </c>
      <c r="E721" t="s">
        <v>39</v>
      </c>
      <c r="F721" t="s">
        <v>40</v>
      </c>
      <c r="H721">
        <v>362</v>
      </c>
      <c r="I721">
        <v>1</v>
      </c>
      <c r="J721">
        <v>1</v>
      </c>
      <c r="K721" t="s">
        <v>3638</v>
      </c>
      <c r="L721" t="s">
        <v>101</v>
      </c>
      <c r="N721">
        <v>0.78639999999999999</v>
      </c>
      <c r="O721" s="1">
        <v>1</v>
      </c>
      <c r="P721" t="s">
        <v>7792</v>
      </c>
      <c r="Q721" t="s">
        <v>7793</v>
      </c>
      <c r="S721" t="s">
        <v>91</v>
      </c>
      <c r="T721" t="s">
        <v>3641</v>
      </c>
      <c r="U721">
        <v>110</v>
      </c>
      <c r="V721">
        <v>1</v>
      </c>
      <c r="Z721" t="s">
        <v>107</v>
      </c>
      <c r="AA721">
        <v>2</v>
      </c>
      <c r="AB721" t="s">
        <v>7816</v>
      </c>
      <c r="AC721">
        <v>110</v>
      </c>
      <c r="AD721" t="s">
        <v>7817</v>
      </c>
      <c r="AE721" t="s">
        <v>144</v>
      </c>
      <c r="AF721" t="s">
        <v>3855</v>
      </c>
      <c r="AG721" t="s">
        <v>7818</v>
      </c>
      <c r="AH721" t="str">
        <f>HYPERLINK("http://compartments.jensenlab.org/Entity?figures=subcell_cell_%&amp;knowledge=10&amp;textmining=10&amp;experiments=10&amp;predictions=10&amp;type1=9606&amp;type2=-22&amp;id1=ENSP00000400842","link")</f>
        <v>link</v>
      </c>
      <c r="AI721" t="s">
        <v>65</v>
      </c>
      <c r="AJ721" t="s">
        <v>3644</v>
      </c>
      <c r="AK721" t="str">
        <f>HYPERLINK("http://www.proteinatlas.org/P30479","no")</f>
        <v>no</v>
      </c>
    </row>
    <row r="722" spans="1:37" x14ac:dyDescent="0.35">
      <c r="A722" t="s">
        <v>7819</v>
      </c>
      <c r="B722" t="str">
        <f>HYPERLINK("http://www.uniprot.org/uniprot/P30480","P30480")</f>
        <v>P30480</v>
      </c>
      <c r="C722" t="s">
        <v>7820</v>
      </c>
      <c r="D722" t="s">
        <v>3637</v>
      </c>
      <c r="E722" t="s">
        <v>39</v>
      </c>
      <c r="F722" t="s">
        <v>40</v>
      </c>
      <c r="H722">
        <v>362</v>
      </c>
      <c r="I722">
        <v>1</v>
      </c>
      <c r="J722">
        <v>1</v>
      </c>
      <c r="K722" t="s">
        <v>3638</v>
      </c>
      <c r="L722" t="s">
        <v>57</v>
      </c>
      <c r="N722">
        <v>0.78639999999999999</v>
      </c>
      <c r="O722" s="1">
        <v>1</v>
      </c>
      <c r="P722" t="s">
        <v>3639</v>
      </c>
      <c r="Q722" t="s">
        <v>3640</v>
      </c>
      <c r="S722" t="s">
        <v>91</v>
      </c>
      <c r="T722" t="s">
        <v>3641</v>
      </c>
      <c r="U722">
        <v>110</v>
      </c>
      <c r="V722">
        <v>1</v>
      </c>
      <c r="AE722" t="s">
        <v>144</v>
      </c>
      <c r="AF722" t="s">
        <v>4918</v>
      </c>
      <c r="AG722" t="s">
        <v>7821</v>
      </c>
      <c r="AH722" t="str">
        <f>HYPERLINK("http://compartments.jensenlab.org/Entity?figures=subcell_cell_%&amp;knowledge=10&amp;textmining=10&amp;experiments=10&amp;predictions=10&amp;type1=9606&amp;type2=-22&amp;id1=ENSP00000399168","link")</f>
        <v>link</v>
      </c>
      <c r="AI722" t="s">
        <v>65</v>
      </c>
      <c r="AJ722" t="s">
        <v>3644</v>
      </c>
      <c r="AK722" t="str">
        <f>HYPERLINK("http://www.proteinatlas.org/P30480","CAB015418")</f>
        <v>CAB015418</v>
      </c>
    </row>
    <row r="723" spans="1:37" x14ac:dyDescent="0.35">
      <c r="A723" t="s">
        <v>7822</v>
      </c>
      <c r="B723" t="str">
        <f>HYPERLINK("http://www.uniprot.org/uniprot/P30481","P30481")</f>
        <v>P30481</v>
      </c>
      <c r="C723" t="s">
        <v>7823</v>
      </c>
      <c r="D723" t="s">
        <v>3637</v>
      </c>
      <c r="E723" t="s">
        <v>39</v>
      </c>
      <c r="F723" t="s">
        <v>40</v>
      </c>
      <c r="H723">
        <v>362</v>
      </c>
      <c r="I723">
        <v>1</v>
      </c>
      <c r="J723">
        <v>1</v>
      </c>
      <c r="K723" t="s">
        <v>3638</v>
      </c>
      <c r="L723" t="s">
        <v>101</v>
      </c>
      <c r="N723">
        <v>0.77449999999999997</v>
      </c>
      <c r="O723" s="1">
        <v>1</v>
      </c>
      <c r="P723" t="s">
        <v>7824</v>
      </c>
      <c r="Q723" t="s">
        <v>7825</v>
      </c>
      <c r="S723" t="s">
        <v>91</v>
      </c>
      <c r="T723" t="s">
        <v>3641</v>
      </c>
      <c r="U723">
        <v>110</v>
      </c>
      <c r="V723">
        <v>1</v>
      </c>
      <c r="Z723" t="s">
        <v>107</v>
      </c>
      <c r="AA723">
        <v>1</v>
      </c>
      <c r="AB723" t="s">
        <v>7826</v>
      </c>
      <c r="AC723">
        <v>110</v>
      </c>
      <c r="AD723" t="s">
        <v>7827</v>
      </c>
      <c r="AE723" t="s">
        <v>144</v>
      </c>
      <c r="AF723" t="s">
        <v>3855</v>
      </c>
      <c r="AG723" t="s">
        <v>7828</v>
      </c>
      <c r="AH723" t="str">
        <f>HYPERLINK("http://compartments.jensenlab.org/Entity?figures=subcell_cell_%&amp;knowledge=10&amp;textmining=10&amp;experiments=10&amp;predictions=10&amp;type1=9606&amp;type2=-22&amp;id1=ENSP00000405365","link")</f>
        <v>link</v>
      </c>
      <c r="AK723" t="str">
        <f>HYPERLINK("http://www.proteinatlas.org/P30481","no")</f>
        <v>no</v>
      </c>
    </row>
    <row r="724" spans="1:37" x14ac:dyDescent="0.35">
      <c r="A724" t="s">
        <v>7829</v>
      </c>
      <c r="B724" t="str">
        <f>HYPERLINK("http://www.uniprot.org/uniprot/P30483","P30483")</f>
        <v>P30483</v>
      </c>
      <c r="C724" t="s">
        <v>7830</v>
      </c>
      <c r="D724" t="s">
        <v>3637</v>
      </c>
      <c r="E724" t="s">
        <v>39</v>
      </c>
      <c r="F724" t="s">
        <v>40</v>
      </c>
      <c r="H724">
        <v>362</v>
      </c>
      <c r="I724">
        <v>1</v>
      </c>
      <c r="J724">
        <v>1</v>
      </c>
      <c r="K724" t="s">
        <v>4926</v>
      </c>
      <c r="L724" t="s">
        <v>57</v>
      </c>
      <c r="N724">
        <v>0.7984</v>
      </c>
      <c r="O724" s="1">
        <v>1</v>
      </c>
      <c r="P724" t="s">
        <v>7805</v>
      </c>
      <c r="Q724" t="s">
        <v>7806</v>
      </c>
      <c r="S724" t="s">
        <v>91</v>
      </c>
      <c r="T724" t="s">
        <v>3641</v>
      </c>
      <c r="U724">
        <v>110</v>
      </c>
      <c r="V724">
        <v>1</v>
      </c>
      <c r="AE724" t="s">
        <v>144</v>
      </c>
      <c r="AF724" t="s">
        <v>4918</v>
      </c>
      <c r="AG724" t="s">
        <v>7831</v>
      </c>
      <c r="AH724" t="str">
        <f>HYPERLINK("http://compartments.jensenlab.org/Entity?figures=subcell_cell_%&amp;knowledge=10&amp;textmining=10&amp;experiments=10&amp;predictions=10&amp;type1=9606&amp;type2=-22&amp;id1=ENSP00000388208","link")</f>
        <v>link</v>
      </c>
      <c r="AK724" t="str">
        <f>HYPERLINK("http://www.proteinatlas.org/P30483","no")</f>
        <v>no</v>
      </c>
    </row>
    <row r="725" spans="1:37" x14ac:dyDescent="0.35">
      <c r="A725" t="s">
        <v>7832</v>
      </c>
      <c r="B725" t="str">
        <f>HYPERLINK("http://www.uniprot.org/uniprot/P30484","P30484")</f>
        <v>P30484</v>
      </c>
      <c r="C725" t="s">
        <v>7833</v>
      </c>
      <c r="D725" t="s">
        <v>3637</v>
      </c>
      <c r="E725" t="s">
        <v>39</v>
      </c>
      <c r="F725" t="s">
        <v>40</v>
      </c>
      <c r="H725">
        <v>362</v>
      </c>
      <c r="I725">
        <v>1</v>
      </c>
      <c r="J725">
        <v>1</v>
      </c>
      <c r="K725" t="s">
        <v>4926</v>
      </c>
      <c r="L725" t="s">
        <v>57</v>
      </c>
      <c r="N725">
        <v>0.76849999999999996</v>
      </c>
      <c r="O725" s="1">
        <v>1</v>
      </c>
      <c r="P725" t="s">
        <v>7805</v>
      </c>
      <c r="Q725" t="s">
        <v>7806</v>
      </c>
      <c r="S725" t="s">
        <v>91</v>
      </c>
      <c r="T725" t="s">
        <v>3641</v>
      </c>
      <c r="U725">
        <v>110</v>
      </c>
      <c r="V725">
        <v>1</v>
      </c>
      <c r="AE725" t="s">
        <v>144</v>
      </c>
      <c r="AF725" t="s">
        <v>3855</v>
      </c>
      <c r="AG725" t="s">
        <v>7834</v>
      </c>
      <c r="AH725" t="str">
        <f>HYPERLINK("http://compartments.jensenlab.org/Entity?figures=subcell_cell_%&amp;knowledge=10&amp;textmining=10&amp;experiments=10&amp;predictions=10&amp;type1=9606&amp;type2=-22&amp;id1=ENSP00000388208","link")</f>
        <v>link</v>
      </c>
      <c r="AK725" t="str">
        <f>HYPERLINK("http://www.proteinatlas.org/P30484","no")</f>
        <v>no</v>
      </c>
    </row>
    <row r="726" spans="1:37" x14ac:dyDescent="0.35">
      <c r="A726" t="s">
        <v>7835</v>
      </c>
      <c r="B726" t="str">
        <f>HYPERLINK("http://www.uniprot.org/uniprot/P30485","P30485")</f>
        <v>P30485</v>
      </c>
      <c r="C726" t="s">
        <v>7836</v>
      </c>
      <c r="D726" t="s">
        <v>3637</v>
      </c>
      <c r="E726" t="s">
        <v>39</v>
      </c>
      <c r="F726" t="s">
        <v>40</v>
      </c>
      <c r="H726">
        <v>362</v>
      </c>
      <c r="I726">
        <v>1</v>
      </c>
      <c r="J726">
        <v>1</v>
      </c>
      <c r="K726" t="s">
        <v>3638</v>
      </c>
      <c r="L726" t="s">
        <v>101</v>
      </c>
      <c r="N726">
        <v>0.75049999999999994</v>
      </c>
      <c r="O726" s="1">
        <v>1</v>
      </c>
      <c r="P726" t="s">
        <v>3779</v>
      </c>
      <c r="Q726" t="s">
        <v>3780</v>
      </c>
      <c r="S726" t="s">
        <v>91</v>
      </c>
      <c r="T726" t="s">
        <v>3641</v>
      </c>
      <c r="U726">
        <v>110</v>
      </c>
      <c r="V726">
        <v>1</v>
      </c>
      <c r="Z726" t="s">
        <v>107</v>
      </c>
      <c r="AA726">
        <v>1</v>
      </c>
      <c r="AB726" t="s">
        <v>7837</v>
      </c>
      <c r="AC726">
        <v>110</v>
      </c>
      <c r="AD726" t="s">
        <v>7838</v>
      </c>
      <c r="AE726" t="s">
        <v>144</v>
      </c>
      <c r="AF726" t="s">
        <v>4918</v>
      </c>
      <c r="AG726" t="s">
        <v>7839</v>
      </c>
      <c r="AH726" t="str">
        <f>HYPERLINK("http://compartments.jensenlab.org/Entity?figures=subcell_cell_%&amp;knowledge=10&amp;textmining=10&amp;experiments=10&amp;predictions=10&amp;type1=9606&amp;type2=-22&amp;id1=ENSP00000405178","link")</f>
        <v>link</v>
      </c>
      <c r="AK726" t="str">
        <f>HYPERLINK("http://www.proteinatlas.org/P30485","no")</f>
        <v>no</v>
      </c>
    </row>
    <row r="727" spans="1:37" x14ac:dyDescent="0.35">
      <c r="A727" t="s">
        <v>7840</v>
      </c>
      <c r="B727" t="str">
        <f>HYPERLINK("http://www.uniprot.org/uniprot/P30486","P30486")</f>
        <v>P30486</v>
      </c>
      <c r="C727" t="s">
        <v>7841</v>
      </c>
      <c r="D727" t="s">
        <v>3637</v>
      </c>
      <c r="E727" t="s">
        <v>39</v>
      </c>
      <c r="F727" t="s">
        <v>40</v>
      </c>
      <c r="H727">
        <v>362</v>
      </c>
      <c r="I727">
        <v>1</v>
      </c>
      <c r="J727">
        <v>1</v>
      </c>
      <c r="K727" t="s">
        <v>3638</v>
      </c>
      <c r="L727" t="s">
        <v>57</v>
      </c>
      <c r="N727">
        <v>0.78839999999999999</v>
      </c>
      <c r="O727" s="1">
        <v>1</v>
      </c>
      <c r="P727" t="s">
        <v>3639</v>
      </c>
      <c r="Q727" t="s">
        <v>3640</v>
      </c>
      <c r="S727" t="s">
        <v>91</v>
      </c>
      <c r="T727" t="s">
        <v>3641</v>
      </c>
      <c r="U727">
        <v>110</v>
      </c>
      <c r="V727">
        <v>1</v>
      </c>
      <c r="AE727" t="s">
        <v>144</v>
      </c>
      <c r="AF727" t="s">
        <v>4918</v>
      </c>
      <c r="AG727" t="s">
        <v>7842</v>
      </c>
      <c r="AH727" t="str">
        <f>HYPERLINK("http://compartments.jensenlab.org/Entity?figures=subcell_cell_%&amp;knowledge=10&amp;textmining=10&amp;experiments=10&amp;predictions=10&amp;type1=9606&amp;type2=-22&amp;id1=ENSP00000399168","link")</f>
        <v>link</v>
      </c>
      <c r="AI727" t="s">
        <v>65</v>
      </c>
      <c r="AJ727" t="s">
        <v>3644</v>
      </c>
      <c r="AK727" t="str">
        <f>HYPERLINK("http://www.proteinatlas.org/P30486","CAB015418")</f>
        <v>CAB015418</v>
      </c>
    </row>
    <row r="728" spans="1:37" x14ac:dyDescent="0.35">
      <c r="A728" t="s">
        <v>7843</v>
      </c>
      <c r="B728" t="str">
        <f>HYPERLINK("http://www.uniprot.org/uniprot/P30487","P30487")</f>
        <v>P30487</v>
      </c>
      <c r="C728" t="s">
        <v>7844</v>
      </c>
      <c r="D728" t="s">
        <v>3637</v>
      </c>
      <c r="E728" t="s">
        <v>39</v>
      </c>
      <c r="F728" t="s">
        <v>40</v>
      </c>
      <c r="H728">
        <v>362</v>
      </c>
      <c r="I728">
        <v>1</v>
      </c>
      <c r="J728">
        <v>1</v>
      </c>
      <c r="K728" t="s">
        <v>4926</v>
      </c>
      <c r="L728" t="s">
        <v>101</v>
      </c>
      <c r="N728">
        <v>0.78039999999999998</v>
      </c>
      <c r="O728" s="1">
        <v>1</v>
      </c>
      <c r="P728" t="s">
        <v>3779</v>
      </c>
      <c r="Q728" t="s">
        <v>3780</v>
      </c>
      <c r="S728" t="s">
        <v>91</v>
      </c>
      <c r="T728" t="s">
        <v>3641</v>
      </c>
      <c r="U728">
        <v>110</v>
      </c>
      <c r="V728">
        <v>1</v>
      </c>
      <c r="Z728" t="s">
        <v>107</v>
      </c>
      <c r="AA728">
        <v>1</v>
      </c>
      <c r="AB728" t="s">
        <v>7845</v>
      </c>
      <c r="AC728">
        <v>110</v>
      </c>
      <c r="AD728" t="s">
        <v>7846</v>
      </c>
      <c r="AE728" t="s">
        <v>144</v>
      </c>
      <c r="AF728" t="s">
        <v>4918</v>
      </c>
      <c r="AG728" t="s">
        <v>7847</v>
      </c>
      <c r="AH728" t="str">
        <f>HYPERLINK("http://compartments.jensenlab.org/Entity?figures=subcell_cell_%&amp;knowledge=10&amp;textmining=10&amp;experiments=10&amp;predictions=10&amp;type1=9606&amp;type2=-22&amp;id1=ENSP00000405178","link")</f>
        <v>link</v>
      </c>
      <c r="AK728" t="str">
        <f>HYPERLINK("http://www.proteinatlas.org/P30487","no")</f>
        <v>no</v>
      </c>
    </row>
    <row r="729" spans="1:37" x14ac:dyDescent="0.35">
      <c r="A729" t="s">
        <v>7848</v>
      </c>
      <c r="B729" t="str">
        <f>HYPERLINK("http://www.uniprot.org/uniprot/P30488","P30488")</f>
        <v>P30488</v>
      </c>
      <c r="C729" t="s">
        <v>7849</v>
      </c>
      <c r="D729" t="s">
        <v>3637</v>
      </c>
      <c r="E729" t="s">
        <v>39</v>
      </c>
      <c r="F729" t="s">
        <v>40</v>
      </c>
      <c r="H729">
        <v>362</v>
      </c>
      <c r="I729">
        <v>1</v>
      </c>
      <c r="J729">
        <v>1</v>
      </c>
      <c r="K729" t="s">
        <v>4926</v>
      </c>
      <c r="L729" t="s">
        <v>57</v>
      </c>
      <c r="N729">
        <v>0.78239999999999998</v>
      </c>
      <c r="O729" s="1">
        <v>1</v>
      </c>
      <c r="P729" t="s">
        <v>7805</v>
      </c>
      <c r="Q729" t="s">
        <v>7806</v>
      </c>
      <c r="S729" t="s">
        <v>91</v>
      </c>
      <c r="T729" t="s">
        <v>3641</v>
      </c>
      <c r="U729">
        <v>110</v>
      </c>
      <c r="V729">
        <v>1</v>
      </c>
      <c r="AE729" t="s">
        <v>144</v>
      </c>
      <c r="AF729" t="s">
        <v>4918</v>
      </c>
      <c r="AG729" t="s">
        <v>7850</v>
      </c>
      <c r="AH729" t="str">
        <f>HYPERLINK("http://compartments.jensenlab.org/Entity?figures=subcell_cell_%&amp;knowledge=10&amp;textmining=10&amp;experiments=10&amp;predictions=10&amp;type1=9606&amp;type2=-22&amp;id1=ENSP00000388208","link")</f>
        <v>link</v>
      </c>
      <c r="AK729" t="str">
        <f>HYPERLINK("http://www.proteinatlas.org/P30488","no")</f>
        <v>no</v>
      </c>
    </row>
    <row r="730" spans="1:37" x14ac:dyDescent="0.35">
      <c r="A730" t="s">
        <v>7851</v>
      </c>
      <c r="B730" t="str">
        <f>HYPERLINK("http://www.uniprot.org/uniprot/P30490","P30490")</f>
        <v>P30490</v>
      </c>
      <c r="C730" t="s">
        <v>7852</v>
      </c>
      <c r="D730" t="s">
        <v>3637</v>
      </c>
      <c r="E730" t="s">
        <v>39</v>
      </c>
      <c r="F730" t="s">
        <v>40</v>
      </c>
      <c r="H730">
        <v>362</v>
      </c>
      <c r="I730">
        <v>1</v>
      </c>
      <c r="J730">
        <v>1</v>
      </c>
      <c r="K730" t="s">
        <v>4926</v>
      </c>
      <c r="L730" t="s">
        <v>57</v>
      </c>
      <c r="N730">
        <v>0.78639999999999999</v>
      </c>
      <c r="O730" s="1">
        <v>1</v>
      </c>
      <c r="P730" t="s">
        <v>7805</v>
      </c>
      <c r="Q730" t="s">
        <v>7806</v>
      </c>
      <c r="S730" t="s">
        <v>91</v>
      </c>
      <c r="T730" t="s">
        <v>3641</v>
      </c>
      <c r="U730">
        <v>110</v>
      </c>
      <c r="V730">
        <v>1</v>
      </c>
      <c r="AE730" t="s">
        <v>144</v>
      </c>
      <c r="AF730" t="s">
        <v>3855</v>
      </c>
      <c r="AG730" t="s">
        <v>7853</v>
      </c>
      <c r="AH730" t="str">
        <f>HYPERLINK("http://compartments.jensenlab.org/Entity?figures=subcell_cell_%&amp;knowledge=10&amp;textmining=10&amp;experiments=10&amp;predictions=10&amp;type1=9606&amp;type2=-22&amp;id1=ENSP00000388208","link")</f>
        <v>link</v>
      </c>
      <c r="AK730" t="str">
        <f>HYPERLINK("http://www.proteinatlas.org/P30490","no")</f>
        <v>no</v>
      </c>
    </row>
    <row r="731" spans="1:37" x14ac:dyDescent="0.35">
      <c r="A731" t="s">
        <v>7854</v>
      </c>
      <c r="B731" t="str">
        <f>HYPERLINK("http://www.uniprot.org/uniprot/P30491","P30491")</f>
        <v>P30491</v>
      </c>
      <c r="C731" t="s">
        <v>7855</v>
      </c>
      <c r="D731" t="s">
        <v>3637</v>
      </c>
      <c r="E731" t="s">
        <v>39</v>
      </c>
      <c r="F731" t="s">
        <v>40</v>
      </c>
      <c r="H731">
        <v>362</v>
      </c>
      <c r="I731">
        <v>1</v>
      </c>
      <c r="J731">
        <v>1</v>
      </c>
      <c r="K731" t="s">
        <v>4926</v>
      </c>
      <c r="L731" t="s">
        <v>57</v>
      </c>
      <c r="N731">
        <v>0.78639999999999999</v>
      </c>
      <c r="O731" s="1">
        <v>1</v>
      </c>
      <c r="P731" t="s">
        <v>6136</v>
      </c>
      <c r="Q731" t="s">
        <v>6137</v>
      </c>
      <c r="S731" t="s">
        <v>91</v>
      </c>
      <c r="T731" t="s">
        <v>3641</v>
      </c>
      <c r="U731">
        <v>110</v>
      </c>
      <c r="V731">
        <v>1</v>
      </c>
      <c r="AE731" t="s">
        <v>144</v>
      </c>
      <c r="AF731" t="s">
        <v>3855</v>
      </c>
      <c r="AG731" t="s">
        <v>7856</v>
      </c>
      <c r="AH731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731" t="str">
        <f>HYPERLINK("http://www.proteinatlas.org/P30491","no")</f>
        <v>no</v>
      </c>
    </row>
    <row r="732" spans="1:37" x14ac:dyDescent="0.35">
      <c r="A732" t="s">
        <v>7857</v>
      </c>
      <c r="B732" t="str">
        <f>HYPERLINK("http://www.uniprot.org/uniprot/P30492","P30492")</f>
        <v>P30492</v>
      </c>
      <c r="C732" t="s">
        <v>7858</v>
      </c>
      <c r="D732" t="s">
        <v>3637</v>
      </c>
      <c r="E732" t="s">
        <v>39</v>
      </c>
      <c r="F732" t="s">
        <v>40</v>
      </c>
      <c r="H732">
        <v>362</v>
      </c>
      <c r="I732">
        <v>1</v>
      </c>
      <c r="J732">
        <v>1</v>
      </c>
      <c r="K732" t="s">
        <v>4926</v>
      </c>
      <c r="L732" t="s">
        <v>57</v>
      </c>
      <c r="N732">
        <v>0.79039999999999999</v>
      </c>
      <c r="O732" s="1">
        <v>1</v>
      </c>
      <c r="P732" t="s">
        <v>6136</v>
      </c>
      <c r="Q732" t="s">
        <v>6137</v>
      </c>
      <c r="S732" t="s">
        <v>91</v>
      </c>
      <c r="T732" t="s">
        <v>3641</v>
      </c>
      <c r="U732">
        <v>110</v>
      </c>
      <c r="V732">
        <v>1</v>
      </c>
      <c r="AE732" t="s">
        <v>144</v>
      </c>
      <c r="AF732" t="s">
        <v>4918</v>
      </c>
      <c r="AG732" t="s">
        <v>7859</v>
      </c>
      <c r="AH732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732" t="str">
        <f>HYPERLINK("http://www.proteinatlas.org/P30492","no")</f>
        <v>no</v>
      </c>
    </row>
    <row r="733" spans="1:37" x14ac:dyDescent="0.35">
      <c r="A733" t="s">
        <v>7860</v>
      </c>
      <c r="B733" t="str">
        <f>HYPERLINK("http://www.uniprot.org/uniprot/P30493","P30493")</f>
        <v>P30493</v>
      </c>
      <c r="C733" t="s">
        <v>7861</v>
      </c>
      <c r="D733" t="s">
        <v>3637</v>
      </c>
      <c r="E733" t="s">
        <v>39</v>
      </c>
      <c r="F733" t="s">
        <v>40</v>
      </c>
      <c r="H733">
        <v>362</v>
      </c>
      <c r="I733">
        <v>1</v>
      </c>
      <c r="J733">
        <v>1</v>
      </c>
      <c r="K733" t="s">
        <v>4926</v>
      </c>
      <c r="L733" t="s">
        <v>57</v>
      </c>
      <c r="N733">
        <v>0.78439999999999999</v>
      </c>
      <c r="O733" s="1">
        <v>1</v>
      </c>
      <c r="P733" t="s">
        <v>6136</v>
      </c>
      <c r="Q733" t="s">
        <v>6137</v>
      </c>
      <c r="S733" t="s">
        <v>91</v>
      </c>
      <c r="T733" t="s">
        <v>3641</v>
      </c>
      <c r="U733">
        <v>110</v>
      </c>
      <c r="V733">
        <v>1</v>
      </c>
      <c r="AE733" t="s">
        <v>144</v>
      </c>
      <c r="AF733" t="s">
        <v>4918</v>
      </c>
      <c r="AG733" t="s">
        <v>7862</v>
      </c>
      <c r="AH733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733" t="str">
        <f>HYPERLINK("http://www.proteinatlas.org/P30493","no")</f>
        <v>no</v>
      </c>
    </row>
    <row r="734" spans="1:37" x14ac:dyDescent="0.35">
      <c r="A734" t="s">
        <v>7863</v>
      </c>
      <c r="B734" t="str">
        <f>HYPERLINK("http://www.uniprot.org/uniprot/P30495","P30495")</f>
        <v>P30495</v>
      </c>
      <c r="C734" t="s">
        <v>7864</v>
      </c>
      <c r="D734" t="s">
        <v>3637</v>
      </c>
      <c r="E734" t="s">
        <v>39</v>
      </c>
      <c r="F734" t="s">
        <v>40</v>
      </c>
      <c r="H734">
        <v>362</v>
      </c>
      <c r="I734">
        <v>1</v>
      </c>
      <c r="J734">
        <v>1</v>
      </c>
      <c r="K734" t="s">
        <v>4926</v>
      </c>
      <c r="L734" t="s">
        <v>57</v>
      </c>
      <c r="N734">
        <v>0.78839999999999999</v>
      </c>
      <c r="O734" s="1">
        <v>1</v>
      </c>
      <c r="P734" t="s">
        <v>6136</v>
      </c>
      <c r="Q734" t="s">
        <v>6137</v>
      </c>
      <c r="S734" t="s">
        <v>91</v>
      </c>
      <c r="T734" t="s">
        <v>3641</v>
      </c>
      <c r="U734">
        <v>110</v>
      </c>
      <c r="V734">
        <v>1</v>
      </c>
      <c r="AE734" t="s">
        <v>144</v>
      </c>
      <c r="AF734" t="s">
        <v>4918</v>
      </c>
      <c r="AG734" t="s">
        <v>7865</v>
      </c>
      <c r="AH734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734" t="str">
        <f>HYPERLINK("http://www.proteinatlas.org/P30495","no")</f>
        <v>no</v>
      </c>
    </row>
    <row r="735" spans="1:37" x14ac:dyDescent="0.35">
      <c r="A735" t="s">
        <v>7866</v>
      </c>
      <c r="B735" t="str">
        <f>HYPERLINK("http://www.uniprot.org/uniprot/P30498","P30498")</f>
        <v>P30498</v>
      </c>
      <c r="C735" t="s">
        <v>7867</v>
      </c>
      <c r="D735" t="s">
        <v>3637</v>
      </c>
      <c r="E735" t="s">
        <v>39</v>
      </c>
      <c r="F735" t="s">
        <v>40</v>
      </c>
      <c r="H735">
        <v>362</v>
      </c>
      <c r="I735">
        <v>1</v>
      </c>
      <c r="J735">
        <v>1</v>
      </c>
      <c r="K735" t="s">
        <v>4926</v>
      </c>
      <c r="L735" t="s">
        <v>101</v>
      </c>
      <c r="N735">
        <v>0.78839999999999999</v>
      </c>
      <c r="O735" s="1">
        <v>1</v>
      </c>
      <c r="P735" t="s">
        <v>6136</v>
      </c>
      <c r="Q735" t="s">
        <v>6137</v>
      </c>
      <c r="S735" t="s">
        <v>91</v>
      </c>
      <c r="T735" t="s">
        <v>3641</v>
      </c>
      <c r="U735">
        <v>110</v>
      </c>
      <c r="V735">
        <v>1</v>
      </c>
      <c r="Z735" t="s">
        <v>107</v>
      </c>
      <c r="AA735">
        <v>1</v>
      </c>
      <c r="AB735" t="s">
        <v>7868</v>
      </c>
      <c r="AC735">
        <v>110</v>
      </c>
      <c r="AD735" t="s">
        <v>7869</v>
      </c>
      <c r="AE735" t="s">
        <v>144</v>
      </c>
      <c r="AF735" t="s">
        <v>4918</v>
      </c>
      <c r="AG735" t="s">
        <v>7870</v>
      </c>
      <c r="AH735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735" t="str">
        <f>HYPERLINK("http://www.proteinatlas.org/P30498","no")</f>
        <v>no</v>
      </c>
    </row>
    <row r="736" spans="1:37" x14ac:dyDescent="0.35">
      <c r="A736" t="s">
        <v>7871</v>
      </c>
      <c r="B736" t="str">
        <f>HYPERLINK("http://www.uniprot.org/uniprot/P30499","P30499")</f>
        <v>P30499</v>
      </c>
      <c r="C736" t="s">
        <v>7872</v>
      </c>
      <c r="D736" t="s">
        <v>3849</v>
      </c>
      <c r="E736" t="s">
        <v>39</v>
      </c>
      <c r="F736" t="s">
        <v>40</v>
      </c>
      <c r="H736">
        <v>366</v>
      </c>
      <c r="I736">
        <v>1</v>
      </c>
      <c r="J736">
        <v>1</v>
      </c>
      <c r="K736" t="s">
        <v>3850</v>
      </c>
      <c r="L736" t="s">
        <v>57</v>
      </c>
      <c r="N736">
        <v>0.92420000000000002</v>
      </c>
      <c r="O736" s="1">
        <v>1</v>
      </c>
      <c r="P736" t="s">
        <v>7873</v>
      </c>
      <c r="Q736" t="s">
        <v>7874</v>
      </c>
      <c r="S736" t="s">
        <v>91</v>
      </c>
      <c r="T736" t="s">
        <v>3641</v>
      </c>
      <c r="U736">
        <v>110</v>
      </c>
      <c r="V736">
        <v>1</v>
      </c>
      <c r="W736">
        <v>110</v>
      </c>
      <c r="AE736" t="s">
        <v>144</v>
      </c>
      <c r="AF736" t="s">
        <v>4918</v>
      </c>
      <c r="AG736" t="s">
        <v>7875</v>
      </c>
      <c r="AH736" t="str">
        <f>HYPERLINK("http://compartments.jensenlab.org/Entity?figures=subcell_cell_%&amp;knowledge=10&amp;textmining=10&amp;experiments=10&amp;predictions=10&amp;type1=9606&amp;type2=-22&amp;id1=ENSP00000393374","link")</f>
        <v>link</v>
      </c>
      <c r="AK736" t="str">
        <f>HYPERLINK("http://www.proteinatlas.org/P30499","no")</f>
        <v>no</v>
      </c>
    </row>
    <row r="737" spans="1:39" x14ac:dyDescent="0.35">
      <c r="A737" t="s">
        <v>7876</v>
      </c>
      <c r="B737" t="str">
        <f>HYPERLINK("http://www.uniprot.org/uniprot/P30501","P30501")</f>
        <v>P30501</v>
      </c>
      <c r="C737" t="s">
        <v>7877</v>
      </c>
      <c r="D737" t="s">
        <v>3849</v>
      </c>
      <c r="E737" t="s">
        <v>39</v>
      </c>
      <c r="F737" t="s">
        <v>40</v>
      </c>
      <c r="H737">
        <v>366</v>
      </c>
      <c r="I737">
        <v>1</v>
      </c>
      <c r="J737">
        <v>1</v>
      </c>
      <c r="K737" t="s">
        <v>3850</v>
      </c>
      <c r="L737" t="s">
        <v>57</v>
      </c>
      <c r="N737">
        <v>0.91620000000000001</v>
      </c>
      <c r="O737" s="1">
        <v>1</v>
      </c>
      <c r="P737" t="s">
        <v>7878</v>
      </c>
      <c r="Q737" t="s">
        <v>7879</v>
      </c>
      <c r="S737" t="s">
        <v>91</v>
      </c>
      <c r="T737" t="s">
        <v>3641</v>
      </c>
      <c r="U737">
        <v>110</v>
      </c>
      <c r="V737">
        <v>1</v>
      </c>
      <c r="W737">
        <v>110</v>
      </c>
      <c r="AE737" t="s">
        <v>144</v>
      </c>
      <c r="AF737" t="s">
        <v>4918</v>
      </c>
      <c r="AG737" t="s">
        <v>7880</v>
      </c>
      <c r="AH737" t="str">
        <f>HYPERLINK("http://compartments.jensenlab.org/Entity?figures=subcell_cell_%&amp;knowledge=10&amp;textmining=10&amp;experiments=10&amp;predictions=10&amp;type1=9606&amp;type2=-22&amp;id1=ENSP00000410214","link")</f>
        <v>link</v>
      </c>
      <c r="AK737" t="str">
        <f>HYPERLINK("http://www.proteinatlas.org/P30501","no")</f>
        <v>no</v>
      </c>
    </row>
    <row r="738" spans="1:39" x14ac:dyDescent="0.35">
      <c r="A738" t="s">
        <v>7881</v>
      </c>
      <c r="B738" t="str">
        <f>HYPERLINK("http://www.uniprot.org/uniprot/P30504","P30504")</f>
        <v>P30504</v>
      </c>
      <c r="C738" t="s">
        <v>7882</v>
      </c>
      <c r="D738" t="s">
        <v>3849</v>
      </c>
      <c r="E738" t="s">
        <v>39</v>
      </c>
      <c r="F738" t="s">
        <v>40</v>
      </c>
      <c r="H738">
        <v>366</v>
      </c>
      <c r="I738">
        <v>1</v>
      </c>
      <c r="J738">
        <v>1</v>
      </c>
      <c r="K738" t="s">
        <v>3850</v>
      </c>
      <c r="L738" t="s">
        <v>57</v>
      </c>
      <c r="N738">
        <v>0.82440000000000002</v>
      </c>
      <c r="O738" s="1">
        <v>1</v>
      </c>
      <c r="P738" t="s">
        <v>7883</v>
      </c>
      <c r="Q738" t="s">
        <v>7884</v>
      </c>
      <c r="S738" t="s">
        <v>91</v>
      </c>
      <c r="T738" t="s">
        <v>3641</v>
      </c>
      <c r="U738">
        <v>110</v>
      </c>
      <c r="V738">
        <v>1</v>
      </c>
      <c r="AE738" t="s">
        <v>144</v>
      </c>
      <c r="AF738" t="s">
        <v>3855</v>
      </c>
      <c r="AG738" t="s">
        <v>7885</v>
      </c>
      <c r="AH738" t="str">
        <f>HYPERLINK("http://compartments.jensenlab.org/Entity?figures=subcell_cell_%&amp;knowledge=10&amp;textmining=10&amp;experiments=10&amp;predictions=10&amp;type1=9606&amp;type2=-22&amp;id1=ENSP00000383195","link")</f>
        <v>link</v>
      </c>
      <c r="AK738" t="str">
        <f>HYPERLINK("http://www.proteinatlas.org/P30504","no")</f>
        <v>no</v>
      </c>
    </row>
    <row r="739" spans="1:39" x14ac:dyDescent="0.35">
      <c r="A739" t="s">
        <v>7886</v>
      </c>
      <c r="B739" t="str">
        <f>HYPERLINK("http://www.uniprot.org/uniprot/P30505","P30505")</f>
        <v>P30505</v>
      </c>
      <c r="C739" t="s">
        <v>7887</v>
      </c>
      <c r="D739" t="s">
        <v>3849</v>
      </c>
      <c r="E739" t="s">
        <v>39</v>
      </c>
      <c r="F739" t="s">
        <v>40</v>
      </c>
      <c r="H739">
        <v>366</v>
      </c>
      <c r="I739">
        <v>1</v>
      </c>
      <c r="J739">
        <v>1</v>
      </c>
      <c r="K739" t="s">
        <v>4930</v>
      </c>
      <c r="L739" t="s">
        <v>57</v>
      </c>
      <c r="N739">
        <v>0.82240000000000002</v>
      </c>
      <c r="O739" s="1">
        <v>1</v>
      </c>
      <c r="P739" t="s">
        <v>7883</v>
      </c>
      <c r="Q739" t="s">
        <v>7884</v>
      </c>
      <c r="S739" t="s">
        <v>91</v>
      </c>
      <c r="T739" t="s">
        <v>3641</v>
      </c>
      <c r="U739">
        <v>110</v>
      </c>
      <c r="V739">
        <v>1</v>
      </c>
      <c r="AE739" t="s">
        <v>144</v>
      </c>
      <c r="AF739" t="s">
        <v>3855</v>
      </c>
      <c r="AG739" t="s">
        <v>7888</v>
      </c>
      <c r="AH739" t="str">
        <f>HYPERLINK("http://compartments.jensenlab.org/Entity?figures=subcell_cell_%&amp;knowledge=10&amp;textmining=10&amp;experiments=10&amp;predictions=10&amp;type1=9606&amp;type2=-22&amp;id1=ENSP00000383195","link")</f>
        <v>link</v>
      </c>
      <c r="AK739" t="str">
        <f>HYPERLINK("http://www.proteinatlas.org/P30505","no")</f>
        <v>no</v>
      </c>
    </row>
    <row r="740" spans="1:39" x14ac:dyDescent="0.35">
      <c r="A740" t="s">
        <v>7889</v>
      </c>
      <c r="B740" t="str">
        <f>HYPERLINK("http://www.uniprot.org/uniprot/P30508","P30508")</f>
        <v>P30508</v>
      </c>
      <c r="C740" t="s">
        <v>7890</v>
      </c>
      <c r="D740" t="s">
        <v>3849</v>
      </c>
      <c r="E740" t="s">
        <v>39</v>
      </c>
      <c r="F740" t="s">
        <v>40</v>
      </c>
      <c r="H740">
        <v>366</v>
      </c>
      <c r="I740">
        <v>1</v>
      </c>
      <c r="J740">
        <v>1</v>
      </c>
      <c r="K740" t="s">
        <v>4930</v>
      </c>
      <c r="L740" t="s">
        <v>57</v>
      </c>
      <c r="N740">
        <v>0.90620000000000001</v>
      </c>
      <c r="O740" s="1">
        <v>1</v>
      </c>
      <c r="P740" t="s">
        <v>7878</v>
      </c>
      <c r="Q740" t="s">
        <v>7879</v>
      </c>
      <c r="S740" t="s">
        <v>91</v>
      </c>
      <c r="T740" t="s">
        <v>3641</v>
      </c>
      <c r="U740">
        <v>110</v>
      </c>
      <c r="V740">
        <v>1</v>
      </c>
      <c r="W740">
        <v>110</v>
      </c>
      <c r="AE740" t="s">
        <v>144</v>
      </c>
      <c r="AF740" t="s">
        <v>4918</v>
      </c>
      <c r="AG740" t="s">
        <v>7891</v>
      </c>
      <c r="AH740" t="str">
        <f>HYPERLINK("http://compartments.jensenlab.org/Entity?figures=subcell_cell_%&amp;knowledge=10&amp;textmining=10&amp;experiments=10&amp;predictions=10&amp;type1=9606&amp;type2=-22&amp;id1=ENSP00000410214","link")</f>
        <v>link</v>
      </c>
      <c r="AK740" t="str">
        <f>HYPERLINK("http://www.proteinatlas.org/P30508","no")</f>
        <v>no</v>
      </c>
    </row>
    <row r="741" spans="1:39" x14ac:dyDescent="0.35">
      <c r="A741" t="s">
        <v>7892</v>
      </c>
      <c r="B741" t="str">
        <f>HYPERLINK("http://www.uniprot.org/uniprot/P30510","P30510")</f>
        <v>P30510</v>
      </c>
      <c r="C741" t="s">
        <v>7893</v>
      </c>
      <c r="D741" t="s">
        <v>3849</v>
      </c>
      <c r="E741" t="s">
        <v>39</v>
      </c>
      <c r="F741" t="s">
        <v>40</v>
      </c>
      <c r="H741">
        <v>366</v>
      </c>
      <c r="I741">
        <v>1</v>
      </c>
      <c r="J741">
        <v>1</v>
      </c>
      <c r="K741" t="s">
        <v>3850</v>
      </c>
      <c r="L741" t="s">
        <v>101</v>
      </c>
      <c r="N741">
        <v>0.92220000000000002</v>
      </c>
      <c r="O741" s="1">
        <v>1</v>
      </c>
      <c r="P741" t="s">
        <v>7873</v>
      </c>
      <c r="Q741" t="s">
        <v>7874</v>
      </c>
      <c r="S741" t="s">
        <v>91</v>
      </c>
      <c r="T741" t="s">
        <v>3641</v>
      </c>
      <c r="U741">
        <v>110</v>
      </c>
      <c r="V741">
        <v>1</v>
      </c>
      <c r="W741">
        <v>110</v>
      </c>
      <c r="Z741" t="s">
        <v>107</v>
      </c>
      <c r="AA741">
        <v>1</v>
      </c>
      <c r="AB741" t="s">
        <v>7894</v>
      </c>
      <c r="AC741">
        <v>110</v>
      </c>
      <c r="AD741" t="s">
        <v>7895</v>
      </c>
      <c r="AE741" t="s">
        <v>144</v>
      </c>
      <c r="AF741" t="s">
        <v>4918</v>
      </c>
      <c r="AG741" t="s">
        <v>7896</v>
      </c>
      <c r="AH741" t="str">
        <f>HYPERLINK("http://compartments.jensenlab.org/Entity?figures=subcell_cell_%&amp;knowledge=10&amp;textmining=10&amp;experiments=10&amp;predictions=10&amp;type1=9606&amp;type2=-22&amp;id1=ENSP00000393374","link")</f>
        <v>link</v>
      </c>
      <c r="AK741" t="str">
        <f>HYPERLINK("http://www.proteinatlas.org/P30510","no")</f>
        <v>no</v>
      </c>
    </row>
    <row r="742" spans="1:39" x14ac:dyDescent="0.35">
      <c r="A742" t="s">
        <v>7897</v>
      </c>
      <c r="B742" t="str">
        <f>HYPERLINK("http://www.uniprot.org/uniprot/P30511","P30511")</f>
        <v>P30511</v>
      </c>
      <c r="C742" t="s">
        <v>7898</v>
      </c>
      <c r="D742" t="s">
        <v>7899</v>
      </c>
      <c r="E742" t="s">
        <v>39</v>
      </c>
      <c r="F742" t="s">
        <v>40</v>
      </c>
      <c r="H742">
        <v>346</v>
      </c>
      <c r="I742">
        <v>1</v>
      </c>
      <c r="J742">
        <v>1</v>
      </c>
      <c r="K742" t="s">
        <v>7900</v>
      </c>
      <c r="L742" t="s">
        <v>101</v>
      </c>
      <c r="N742">
        <v>0.73850000000000005</v>
      </c>
      <c r="O742" s="1">
        <v>2</v>
      </c>
      <c r="P742" t="s">
        <v>7901</v>
      </c>
      <c r="Q742" t="s">
        <v>7902</v>
      </c>
      <c r="S742" t="s">
        <v>91</v>
      </c>
      <c r="T742" t="s">
        <v>3641</v>
      </c>
      <c r="U742">
        <v>107</v>
      </c>
      <c r="V742">
        <v>1</v>
      </c>
      <c r="Z742" t="s">
        <v>107</v>
      </c>
      <c r="AA742">
        <v>2</v>
      </c>
      <c r="AB742" t="s">
        <v>7903</v>
      </c>
      <c r="AC742">
        <v>107</v>
      </c>
      <c r="AD742" t="s">
        <v>7904</v>
      </c>
      <c r="AE742" t="s">
        <v>144</v>
      </c>
      <c r="AF742" t="s">
        <v>7905</v>
      </c>
      <c r="AG742" t="s">
        <v>7906</v>
      </c>
      <c r="AH742" t="str">
        <f>HYPERLINK("http://compartments.jensenlab.org/Entity?figures=subcell_cell_%&amp;knowledge=10&amp;textmining=10&amp;experiments=10&amp;predictions=10&amp;type1=9606&amp;type2=-22&amp;id1=ENSP00000334263","link")</f>
        <v>link</v>
      </c>
      <c r="AK742" t="str">
        <f>HYPERLINK("http://www.proteinatlas.org/P30511","no")</f>
        <v>no</v>
      </c>
      <c r="AM742">
        <v>3134</v>
      </c>
    </row>
    <row r="743" spans="1:39" x14ac:dyDescent="0.35">
      <c r="A743" t="s">
        <v>7907</v>
      </c>
      <c r="B743" t="str">
        <f>HYPERLINK("http://www.uniprot.org/uniprot/P30512","P30512")</f>
        <v>P30512</v>
      </c>
      <c r="C743" t="s">
        <v>7908</v>
      </c>
      <c r="D743" t="s">
        <v>3647</v>
      </c>
      <c r="E743" t="s">
        <v>39</v>
      </c>
      <c r="F743" t="s">
        <v>40</v>
      </c>
      <c r="H743">
        <v>365</v>
      </c>
      <c r="I743">
        <v>1</v>
      </c>
      <c r="J743">
        <v>1</v>
      </c>
      <c r="K743" t="s">
        <v>4915</v>
      </c>
      <c r="L743" t="s">
        <v>101</v>
      </c>
      <c r="N743">
        <v>0.76049999999999995</v>
      </c>
      <c r="O743" s="1">
        <v>1</v>
      </c>
      <c r="P743" t="s">
        <v>5827</v>
      </c>
      <c r="Q743" t="s">
        <v>5828</v>
      </c>
      <c r="S743" t="s">
        <v>91</v>
      </c>
      <c r="T743" t="s">
        <v>3641</v>
      </c>
      <c r="U743">
        <v>110</v>
      </c>
      <c r="V743">
        <v>1</v>
      </c>
      <c r="X743">
        <v>350</v>
      </c>
      <c r="Z743" t="s">
        <v>107</v>
      </c>
      <c r="AA743">
        <v>1</v>
      </c>
      <c r="AB743" t="s">
        <v>7909</v>
      </c>
      <c r="AC743">
        <v>110</v>
      </c>
      <c r="AD743" t="s">
        <v>7910</v>
      </c>
      <c r="AE743" t="s">
        <v>144</v>
      </c>
      <c r="AF743" t="s">
        <v>4922</v>
      </c>
      <c r="AG743" t="s">
        <v>7911</v>
      </c>
      <c r="AH743" t="str">
        <f>HYPERLINK("http://compartments.jensenlab.org/Entity?figures=subcell_cell_%&amp;knowledge=10&amp;textmining=10&amp;experiments=10&amp;predictions=10&amp;type1=9606&amp;type2=-22&amp;id1=ENSP00000408986","link")</f>
        <v>link</v>
      </c>
      <c r="AK743" t="str">
        <f>HYPERLINK("http://www.proteinatlas.org/P30512","no")</f>
        <v>no</v>
      </c>
    </row>
    <row r="744" spans="1:39" x14ac:dyDescent="0.35">
      <c r="A744" t="s">
        <v>7912</v>
      </c>
      <c r="B744" t="str">
        <f>HYPERLINK("http://www.uniprot.org/uniprot/P30518","P30518")</f>
        <v>P30518</v>
      </c>
      <c r="C744" t="s">
        <v>7913</v>
      </c>
      <c r="D744" t="s">
        <v>7914</v>
      </c>
      <c r="E744" t="s">
        <v>39</v>
      </c>
      <c r="F744" t="s">
        <v>40</v>
      </c>
      <c r="H744">
        <v>371</v>
      </c>
      <c r="I744">
        <v>7</v>
      </c>
      <c r="J744">
        <v>0</v>
      </c>
      <c r="K744" t="s">
        <v>7915</v>
      </c>
      <c r="L744" t="s">
        <v>57</v>
      </c>
      <c r="N744">
        <v>0.94410000000000005</v>
      </c>
      <c r="O744" s="1">
        <v>1</v>
      </c>
      <c r="P744" t="s">
        <v>7916</v>
      </c>
      <c r="Q744" t="s">
        <v>7917</v>
      </c>
      <c r="S744" t="s">
        <v>166</v>
      </c>
      <c r="T744" t="s">
        <v>838</v>
      </c>
      <c r="U744">
        <v>22</v>
      </c>
      <c r="V744">
        <v>1</v>
      </c>
      <c r="Y744">
        <v>293</v>
      </c>
      <c r="AE744" t="s">
        <v>74</v>
      </c>
      <c r="AF744" t="s">
        <v>7918</v>
      </c>
      <c r="AG744" t="s">
        <v>7919</v>
      </c>
      <c r="AH744" t="str">
        <f>HYPERLINK("http://compartments.jensenlab.org/Entity?figures=subcell_cell_%&amp;knowledge=10&amp;textmining=10&amp;experiments=10&amp;predictions=10&amp;type1=9606&amp;type2=-22&amp;id1=ENSP00000338072","link")</f>
        <v>link</v>
      </c>
      <c r="AI744" t="s">
        <v>65</v>
      </c>
      <c r="AJ744" t="s">
        <v>3644</v>
      </c>
      <c r="AK744" t="str">
        <f>HYPERLINK("http://www.proteinatlas.org/P30518","HPA046678")</f>
        <v>HPA046678</v>
      </c>
      <c r="AL744" t="s">
        <v>7920</v>
      </c>
      <c r="AM744">
        <v>554</v>
      </c>
    </row>
    <row r="745" spans="1:39" x14ac:dyDescent="0.35">
      <c r="A745" t="s">
        <v>7921</v>
      </c>
      <c r="B745" t="str">
        <f>HYPERLINK("http://www.uniprot.org/uniprot/P30530","P30530")</f>
        <v>P30530</v>
      </c>
      <c r="C745" t="s">
        <v>7922</v>
      </c>
      <c r="D745" t="s">
        <v>7923</v>
      </c>
      <c r="E745" t="s">
        <v>39</v>
      </c>
      <c r="F745" t="s">
        <v>55</v>
      </c>
      <c r="H745">
        <v>894</v>
      </c>
      <c r="I745">
        <v>1</v>
      </c>
      <c r="J745">
        <v>1</v>
      </c>
      <c r="K745" t="s">
        <v>7924</v>
      </c>
      <c r="L745" t="s">
        <v>101</v>
      </c>
      <c r="M745" t="s">
        <v>39</v>
      </c>
      <c r="N745">
        <v>0.9476</v>
      </c>
      <c r="O745" s="1">
        <v>1</v>
      </c>
      <c r="P745" t="s">
        <v>7925</v>
      </c>
      <c r="Q745" t="s">
        <v>7926</v>
      </c>
      <c r="S745" t="s">
        <v>166</v>
      </c>
      <c r="T745" t="s">
        <v>7927</v>
      </c>
      <c r="U745" t="s">
        <v>7928</v>
      </c>
      <c r="V745">
        <v>6</v>
      </c>
      <c r="W745" t="s">
        <v>7928</v>
      </c>
      <c r="X745" t="s">
        <v>7929</v>
      </c>
      <c r="Y745" t="s">
        <v>7930</v>
      </c>
      <c r="Z745" t="s">
        <v>107</v>
      </c>
      <c r="AA745">
        <v>16</v>
      </c>
      <c r="AB745" t="s">
        <v>7931</v>
      </c>
      <c r="AC745" t="s">
        <v>7932</v>
      </c>
      <c r="AD745" t="s">
        <v>7933</v>
      </c>
      <c r="AE745" t="s">
        <v>332</v>
      </c>
      <c r="AF745" t="s">
        <v>7934</v>
      </c>
      <c r="AG745" t="s">
        <v>7935</v>
      </c>
      <c r="AH745" t="str">
        <f>HYPERLINK("http://compartments.jensenlab.org/Entity?figures=subcell_cell_%&amp;knowledge=10&amp;textmining=10&amp;experiments=10&amp;predictions=10&amp;type1=9606&amp;type2=-22&amp;id1=ENSP00000301178","link")</f>
        <v>link</v>
      </c>
      <c r="AI745" t="s">
        <v>1058</v>
      </c>
      <c r="AJ745" t="s">
        <v>902</v>
      </c>
      <c r="AK745" t="str">
        <f>HYPERLINK("http://www.proteinatlas.org/P30530","CAB032501;HPA037422;HPA037423")</f>
        <v>CAB032501;HPA037422;HPA037423</v>
      </c>
      <c r="AM745">
        <v>558</v>
      </c>
    </row>
    <row r="746" spans="1:39" x14ac:dyDescent="0.35">
      <c r="A746" t="s">
        <v>7936</v>
      </c>
      <c r="B746" t="str">
        <f>HYPERLINK("http://www.uniprot.org/uniprot/P30531","P30531")</f>
        <v>P30531</v>
      </c>
      <c r="C746" t="s">
        <v>7937</v>
      </c>
      <c r="D746" t="s">
        <v>7938</v>
      </c>
      <c r="E746" t="s">
        <v>39</v>
      </c>
      <c r="F746" t="s">
        <v>55</v>
      </c>
      <c r="H746">
        <v>599</v>
      </c>
      <c r="I746">
        <v>12</v>
      </c>
      <c r="J746">
        <v>0</v>
      </c>
      <c r="K746" t="s">
        <v>7939</v>
      </c>
      <c r="L746" t="s">
        <v>57</v>
      </c>
      <c r="M746" t="s">
        <v>39</v>
      </c>
      <c r="N746">
        <v>0.88890000000000002</v>
      </c>
      <c r="O746" s="1">
        <v>1</v>
      </c>
      <c r="P746" t="s">
        <v>7940</v>
      </c>
      <c r="Q746" t="s">
        <v>7941</v>
      </c>
      <c r="S746" t="s">
        <v>45</v>
      </c>
      <c r="T746" t="s">
        <v>6998</v>
      </c>
      <c r="U746" t="s">
        <v>7942</v>
      </c>
      <c r="V746">
        <v>3</v>
      </c>
      <c r="W746" t="s">
        <v>7942</v>
      </c>
      <c r="AE746" t="s">
        <v>1863</v>
      </c>
      <c r="AF746" t="s">
        <v>7943</v>
      </c>
      <c r="AG746" t="s">
        <v>7944</v>
      </c>
      <c r="AH746" t="str">
        <f>HYPERLINK("http://compartments.jensenlab.org/Entity?figures=subcell_cell_%&amp;knowledge=10&amp;textmining=10&amp;experiments=10&amp;predictions=10&amp;type1=9606&amp;type2=-22&amp;id1=ENSP00000287766","link")</f>
        <v>link</v>
      </c>
      <c r="AI746" t="s">
        <v>65</v>
      </c>
      <c r="AJ746" t="s">
        <v>51</v>
      </c>
      <c r="AK746" t="str">
        <f>HYPERLINK("http://www.proteinatlas.org/P30531","HPA013341;CAB022293")</f>
        <v>HPA013341;CAB022293</v>
      </c>
      <c r="AL746" t="s">
        <v>7945</v>
      </c>
      <c r="AM746">
        <v>6529</v>
      </c>
    </row>
    <row r="747" spans="1:39" x14ac:dyDescent="0.35">
      <c r="A747" t="s">
        <v>7946</v>
      </c>
      <c r="B747" t="str">
        <f>HYPERLINK("http://www.uniprot.org/uniprot/P30532","P30532")</f>
        <v>P30532</v>
      </c>
      <c r="C747" t="s">
        <v>7947</v>
      </c>
      <c r="D747" t="s">
        <v>7948</v>
      </c>
      <c r="E747" t="s">
        <v>39</v>
      </c>
      <c r="F747" t="s">
        <v>55</v>
      </c>
      <c r="H747">
        <v>468</v>
      </c>
      <c r="I747">
        <v>4</v>
      </c>
      <c r="J747">
        <v>1</v>
      </c>
      <c r="K747" t="s">
        <v>7949</v>
      </c>
      <c r="L747" t="s">
        <v>57</v>
      </c>
      <c r="M747" t="s">
        <v>39</v>
      </c>
      <c r="N747">
        <v>0.93069999999999997</v>
      </c>
      <c r="O747" s="1">
        <v>1</v>
      </c>
      <c r="P747" t="s">
        <v>7950</v>
      </c>
      <c r="Q747" t="s">
        <v>7951</v>
      </c>
      <c r="S747" t="s">
        <v>45</v>
      </c>
      <c r="T747" t="s">
        <v>195</v>
      </c>
      <c r="U747" t="s">
        <v>7952</v>
      </c>
      <c r="V747">
        <v>3</v>
      </c>
      <c r="AE747" t="s">
        <v>619</v>
      </c>
      <c r="AF747" t="s">
        <v>7953</v>
      </c>
      <c r="AG747" t="s">
        <v>7954</v>
      </c>
      <c r="AH747" t="str">
        <f>HYPERLINK("http://compartments.jensenlab.org/Entity?figures=subcell_cell_%&amp;knowledge=10&amp;textmining=10&amp;experiments=10&amp;predictions=10&amp;type1=9606&amp;type2=-22&amp;id1=ENSP00000299565","link")</f>
        <v>link</v>
      </c>
      <c r="AI747" t="s">
        <v>65</v>
      </c>
      <c r="AJ747" t="s">
        <v>51</v>
      </c>
      <c r="AK747" t="str">
        <f>HYPERLINK("http://www.proteinatlas.org/P30532","HPA054381")</f>
        <v>HPA054381</v>
      </c>
      <c r="AL747" t="s">
        <v>7955</v>
      </c>
      <c r="AM747">
        <v>1138</v>
      </c>
    </row>
    <row r="748" spans="1:39" x14ac:dyDescent="0.35">
      <c r="A748" t="s">
        <v>7956</v>
      </c>
      <c r="B748" t="str">
        <f>HYPERLINK("http://www.uniprot.org/uniprot/P30542","P30542")</f>
        <v>P30542</v>
      </c>
      <c r="C748" t="s">
        <v>7957</v>
      </c>
      <c r="D748" t="s">
        <v>7958</v>
      </c>
      <c r="E748" t="s">
        <v>39</v>
      </c>
      <c r="F748" t="s">
        <v>55</v>
      </c>
      <c r="H748">
        <v>326</v>
      </c>
      <c r="I748">
        <v>7</v>
      </c>
      <c r="J748">
        <v>0</v>
      </c>
      <c r="K748" t="s">
        <v>7959</v>
      </c>
      <c r="L748" t="s">
        <v>101</v>
      </c>
      <c r="M748" t="s">
        <v>39</v>
      </c>
      <c r="N748">
        <v>0.95120000000000005</v>
      </c>
      <c r="O748" s="1">
        <v>1</v>
      </c>
      <c r="P748" t="s">
        <v>7960</v>
      </c>
      <c r="Q748" t="s">
        <v>7961</v>
      </c>
      <c r="S748" t="s">
        <v>166</v>
      </c>
      <c r="T748" t="s">
        <v>838</v>
      </c>
      <c r="U748" t="s">
        <v>7962</v>
      </c>
      <c r="V748">
        <v>2</v>
      </c>
      <c r="Z748" t="s">
        <v>107</v>
      </c>
      <c r="AA748">
        <v>1</v>
      </c>
      <c r="AB748" t="s">
        <v>7963</v>
      </c>
      <c r="AC748">
        <v>159</v>
      </c>
      <c r="AD748" t="s">
        <v>7964</v>
      </c>
      <c r="AE748" t="s">
        <v>74</v>
      </c>
      <c r="AF748" t="s">
        <v>7063</v>
      </c>
      <c r="AG748" t="s">
        <v>7965</v>
      </c>
      <c r="AH748" t="str">
        <f>HYPERLINK("http://compartments.jensenlab.org/Entity?figures=subcell_cell_%&amp;knowledge=10&amp;textmining=10&amp;experiments=10&amp;predictions=10&amp;type1=9606&amp;type2=-22&amp;id1=ENSP00000308549","link")</f>
        <v>link</v>
      </c>
      <c r="AI748" t="s">
        <v>65</v>
      </c>
      <c r="AJ748" t="s">
        <v>7966</v>
      </c>
      <c r="AK748" t="str">
        <f>HYPERLINK("http://www.proteinatlas.org/P30542","HPA052157;HPA053037")</f>
        <v>HPA052157;HPA053037</v>
      </c>
      <c r="AL748" t="s">
        <v>7967</v>
      </c>
      <c r="AM748">
        <v>134</v>
      </c>
    </row>
    <row r="749" spans="1:39" x14ac:dyDescent="0.35">
      <c r="A749" t="s">
        <v>7968</v>
      </c>
      <c r="B749" t="str">
        <f>HYPERLINK("http://www.uniprot.org/uniprot/P30550","P30550")</f>
        <v>P30550</v>
      </c>
      <c r="C749" t="s">
        <v>7969</v>
      </c>
      <c r="D749" t="s">
        <v>7970</v>
      </c>
      <c r="E749" t="s">
        <v>39</v>
      </c>
      <c r="F749" t="s">
        <v>55</v>
      </c>
      <c r="H749">
        <v>384</v>
      </c>
      <c r="I749">
        <v>7</v>
      </c>
      <c r="J749">
        <v>0</v>
      </c>
      <c r="K749" t="s">
        <v>7971</v>
      </c>
      <c r="L749" t="s">
        <v>57</v>
      </c>
      <c r="M749" t="s">
        <v>39</v>
      </c>
      <c r="N749">
        <v>0.95979999999999999</v>
      </c>
      <c r="O749" s="1">
        <v>1</v>
      </c>
      <c r="P749" t="s">
        <v>7972</v>
      </c>
      <c r="Q749" t="s">
        <v>7973</v>
      </c>
      <c r="S749" t="s">
        <v>166</v>
      </c>
      <c r="T749" t="s">
        <v>838</v>
      </c>
      <c r="U749" t="s">
        <v>7974</v>
      </c>
      <c r="V749">
        <v>2</v>
      </c>
      <c r="W749" t="s">
        <v>7975</v>
      </c>
      <c r="AE749" t="s">
        <v>74</v>
      </c>
      <c r="AF749" t="s">
        <v>7624</v>
      </c>
      <c r="AG749" t="s">
        <v>7976</v>
      </c>
      <c r="AH749" t="str">
        <f>HYPERLINK("http://compartments.jensenlab.org/Entity?figures=subcell_cell_%&amp;knowledge=10&amp;textmining=10&amp;experiments=10&amp;predictions=10&amp;type1=9606&amp;type2=-22&amp;id1=ENSP00000369643","link")</f>
        <v>link</v>
      </c>
      <c r="AI749" t="s">
        <v>65</v>
      </c>
      <c r="AJ749" t="s">
        <v>51</v>
      </c>
      <c r="AK749" t="str">
        <f>HYPERLINK("http://www.proteinatlas.org/P30550","no")</f>
        <v>no</v>
      </c>
      <c r="AM749">
        <v>2925</v>
      </c>
    </row>
    <row r="750" spans="1:39" x14ac:dyDescent="0.35">
      <c r="A750" t="s">
        <v>7977</v>
      </c>
      <c r="B750" t="str">
        <f>HYPERLINK("http://www.uniprot.org/uniprot/P30556","P30556")</f>
        <v>P30556</v>
      </c>
      <c r="C750" t="s">
        <v>7978</v>
      </c>
      <c r="D750" t="s">
        <v>7979</v>
      </c>
      <c r="E750" t="s">
        <v>39</v>
      </c>
      <c r="F750" t="s">
        <v>55</v>
      </c>
      <c r="H750">
        <v>359</v>
      </c>
      <c r="I750">
        <v>7</v>
      </c>
      <c r="J750">
        <v>0</v>
      </c>
      <c r="K750" t="s">
        <v>7980</v>
      </c>
      <c r="L750" t="s">
        <v>101</v>
      </c>
      <c r="M750" t="s">
        <v>39</v>
      </c>
      <c r="N750">
        <v>0.94869999999999999</v>
      </c>
      <c r="O750" s="1">
        <v>1</v>
      </c>
      <c r="P750" t="s">
        <v>7981</v>
      </c>
      <c r="Q750" t="s">
        <v>7982</v>
      </c>
      <c r="S750" t="s">
        <v>166</v>
      </c>
      <c r="T750" t="s">
        <v>838</v>
      </c>
      <c r="U750" t="s">
        <v>7983</v>
      </c>
      <c r="V750">
        <v>3</v>
      </c>
      <c r="W750" t="s">
        <v>7984</v>
      </c>
      <c r="Z750" t="s">
        <v>107</v>
      </c>
      <c r="AA750">
        <v>1</v>
      </c>
      <c r="AB750" t="s">
        <v>7985</v>
      </c>
      <c r="AC750">
        <v>4</v>
      </c>
      <c r="AD750" t="s">
        <v>7986</v>
      </c>
      <c r="AE750" t="s">
        <v>74</v>
      </c>
      <c r="AF750" t="s">
        <v>7987</v>
      </c>
      <c r="AG750" t="s">
        <v>7988</v>
      </c>
      <c r="AH750" t="str">
        <f>HYPERLINK("http://compartments.jensenlab.org/Entity?figures=subcell_cell_%&amp;knowledge=10&amp;textmining=10&amp;experiments=10&amp;predictions=10&amp;type1=9606&amp;type2=-22&amp;id1=ENSP00000273430","link")</f>
        <v>link</v>
      </c>
      <c r="AI750" t="s">
        <v>65</v>
      </c>
      <c r="AJ750" t="s">
        <v>51</v>
      </c>
      <c r="AK750" t="str">
        <f>HYPERLINK("http://www.proteinatlas.org/P30556","HPA003596")</f>
        <v>HPA003596</v>
      </c>
      <c r="AL750" t="s">
        <v>7989</v>
      </c>
      <c r="AM750">
        <v>185</v>
      </c>
    </row>
    <row r="751" spans="1:39" x14ac:dyDescent="0.35">
      <c r="A751" t="s">
        <v>7990</v>
      </c>
      <c r="B751" t="str">
        <f>HYPERLINK("http://www.uniprot.org/uniprot/P30559","P30559")</f>
        <v>P30559</v>
      </c>
      <c r="C751" t="s">
        <v>7991</v>
      </c>
      <c r="D751" t="s">
        <v>7992</v>
      </c>
      <c r="E751" t="s">
        <v>39</v>
      </c>
      <c r="F751" t="s">
        <v>55</v>
      </c>
      <c r="H751">
        <v>389</v>
      </c>
      <c r="I751">
        <v>7</v>
      </c>
      <c r="J751">
        <v>0</v>
      </c>
      <c r="K751" t="s">
        <v>7993</v>
      </c>
      <c r="L751" t="s">
        <v>57</v>
      </c>
      <c r="M751" t="s">
        <v>39</v>
      </c>
      <c r="N751">
        <v>0.91620000000000001</v>
      </c>
      <c r="O751" s="1">
        <v>1</v>
      </c>
      <c r="P751" t="s">
        <v>7994</v>
      </c>
      <c r="Q751" t="s">
        <v>7995</v>
      </c>
      <c r="S751" t="s">
        <v>166</v>
      </c>
      <c r="T751" t="s">
        <v>838</v>
      </c>
      <c r="U751" t="s">
        <v>7996</v>
      </c>
      <c r="V751">
        <v>3</v>
      </c>
      <c r="W751">
        <v>26</v>
      </c>
      <c r="Y751">
        <v>297</v>
      </c>
      <c r="AE751" t="s">
        <v>74</v>
      </c>
      <c r="AF751" t="s">
        <v>967</v>
      </c>
      <c r="AG751" t="s">
        <v>7997</v>
      </c>
      <c r="AH751" t="str">
        <f>HYPERLINK("http://compartments.jensenlab.org/Entity?figures=subcell_cell_%&amp;knowledge=10&amp;textmining=10&amp;experiments=10&amp;predictions=10&amp;type1=9606&amp;type2=-22&amp;id1=ENSP00000324270","link")</f>
        <v>link</v>
      </c>
      <c r="AI751" t="s">
        <v>65</v>
      </c>
      <c r="AJ751" t="s">
        <v>51</v>
      </c>
      <c r="AK751" t="str">
        <f>HYPERLINK("http://www.proteinatlas.org/P30559","CAB022700")</f>
        <v>CAB022700</v>
      </c>
      <c r="AL751" t="s">
        <v>7998</v>
      </c>
      <c r="AM751">
        <v>5021</v>
      </c>
    </row>
    <row r="752" spans="1:39" x14ac:dyDescent="0.35">
      <c r="A752" t="s">
        <v>7999</v>
      </c>
      <c r="B752" t="str">
        <f>HYPERLINK("http://www.uniprot.org/uniprot/P30685","P30685")</f>
        <v>P30685</v>
      </c>
      <c r="C752" t="s">
        <v>8000</v>
      </c>
      <c r="D752" t="s">
        <v>3637</v>
      </c>
      <c r="E752" t="s">
        <v>39</v>
      </c>
      <c r="F752" t="s">
        <v>40</v>
      </c>
      <c r="H752">
        <v>362</v>
      </c>
      <c r="I752">
        <v>1</v>
      </c>
      <c r="J752">
        <v>1</v>
      </c>
      <c r="K752" t="s">
        <v>4926</v>
      </c>
      <c r="L752" t="s">
        <v>57</v>
      </c>
      <c r="N752">
        <v>0.79039999999999999</v>
      </c>
      <c r="O752" s="1">
        <v>1</v>
      </c>
      <c r="P752" t="s">
        <v>6136</v>
      </c>
      <c r="Q752" t="s">
        <v>6137</v>
      </c>
      <c r="S752" t="s">
        <v>91</v>
      </c>
      <c r="T752" t="s">
        <v>3641</v>
      </c>
      <c r="U752">
        <v>110</v>
      </c>
      <c r="V752">
        <v>1</v>
      </c>
      <c r="AE752" t="s">
        <v>144</v>
      </c>
      <c r="AF752" t="s">
        <v>3855</v>
      </c>
      <c r="AG752" t="s">
        <v>8001</v>
      </c>
      <c r="AH752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752" t="str">
        <f>HYPERLINK("http://www.proteinatlas.org/P30685","no")</f>
        <v>no</v>
      </c>
    </row>
    <row r="753" spans="1:39" x14ac:dyDescent="0.35">
      <c r="A753" t="s">
        <v>8002</v>
      </c>
      <c r="B753" t="str">
        <f>HYPERLINK("http://www.uniprot.org/uniprot/P30825","P30825")</f>
        <v>P30825</v>
      </c>
      <c r="C753" t="s">
        <v>8003</v>
      </c>
      <c r="D753" t="s">
        <v>8004</v>
      </c>
      <c r="E753" t="s">
        <v>39</v>
      </c>
      <c r="F753" t="s">
        <v>40</v>
      </c>
      <c r="H753">
        <v>629</v>
      </c>
      <c r="I753">
        <v>14</v>
      </c>
      <c r="J753">
        <v>0</v>
      </c>
      <c r="K753" t="s">
        <v>8005</v>
      </c>
      <c r="L753" t="s">
        <v>101</v>
      </c>
      <c r="N753">
        <v>0.96209999999999996</v>
      </c>
      <c r="O753" s="1">
        <v>1</v>
      </c>
      <c r="P753" t="s">
        <v>8006</v>
      </c>
      <c r="Q753" t="s">
        <v>8007</v>
      </c>
      <c r="S753" t="s">
        <v>45</v>
      </c>
      <c r="T753" t="s">
        <v>1743</v>
      </c>
      <c r="U753" t="s">
        <v>8008</v>
      </c>
      <c r="V753">
        <v>3</v>
      </c>
      <c r="W753">
        <v>235</v>
      </c>
      <c r="Z753" t="s">
        <v>123</v>
      </c>
      <c r="AA753">
        <v>11</v>
      </c>
      <c r="AB753" t="s">
        <v>8009</v>
      </c>
      <c r="AC753" t="s">
        <v>8010</v>
      </c>
      <c r="AD753" t="s">
        <v>8011</v>
      </c>
      <c r="AE753" t="s">
        <v>74</v>
      </c>
      <c r="AF753" t="s">
        <v>8012</v>
      </c>
      <c r="AG753" t="s">
        <v>8013</v>
      </c>
      <c r="AH753" t="str">
        <f>HYPERLINK("http://compartments.jensenlab.org/Entity?figures=subcell_cell_%&amp;knowledge=10&amp;textmining=10&amp;experiments=10&amp;predictions=10&amp;type1=9606&amp;type2=-22&amp;id1=ENSP00000370128","link")</f>
        <v>link</v>
      </c>
      <c r="AJ753" t="s">
        <v>51</v>
      </c>
      <c r="AK753" t="str">
        <f>HYPERLINK("http://www.proteinatlas.org/P30825","HPA039721")</f>
        <v>HPA039721</v>
      </c>
      <c r="AL753" t="s">
        <v>1747</v>
      </c>
      <c r="AM753">
        <v>6541</v>
      </c>
    </row>
    <row r="754" spans="1:39" x14ac:dyDescent="0.35">
      <c r="A754" t="s">
        <v>8014</v>
      </c>
      <c r="B754" t="str">
        <f>HYPERLINK("http://www.uniprot.org/uniprot/P30872","P30872")</f>
        <v>P30872</v>
      </c>
      <c r="C754" t="s">
        <v>8015</v>
      </c>
      <c r="D754" t="s">
        <v>8016</v>
      </c>
      <c r="E754" t="s">
        <v>39</v>
      </c>
      <c r="F754" t="s">
        <v>55</v>
      </c>
      <c r="H754">
        <v>391</v>
      </c>
      <c r="I754">
        <v>7</v>
      </c>
      <c r="J754">
        <v>0</v>
      </c>
      <c r="K754" t="s">
        <v>8017</v>
      </c>
      <c r="L754" t="s">
        <v>57</v>
      </c>
      <c r="M754" t="s">
        <v>39</v>
      </c>
      <c r="N754">
        <v>0.96879999999999999</v>
      </c>
      <c r="O754" s="1">
        <v>1</v>
      </c>
      <c r="P754" t="s">
        <v>8018</v>
      </c>
      <c r="Q754" t="s">
        <v>8019</v>
      </c>
      <c r="S754" t="s">
        <v>166</v>
      </c>
      <c r="T754" t="s">
        <v>838</v>
      </c>
      <c r="U754" t="s">
        <v>8020</v>
      </c>
      <c r="V754">
        <v>3</v>
      </c>
      <c r="W754" t="s">
        <v>8021</v>
      </c>
      <c r="AE754" t="s">
        <v>74</v>
      </c>
      <c r="AF754" t="s">
        <v>7624</v>
      </c>
      <c r="AG754" t="s">
        <v>8022</v>
      </c>
      <c r="AH754" t="str">
        <f>HYPERLINK("http://compartments.jensenlab.org/Entity?figures=subcell_cell_%&amp;knowledge=10&amp;textmining=10&amp;experiments=10&amp;predictions=10&amp;type1=9606&amp;type2=-22&amp;id1=ENSP00000267377","link")</f>
        <v>link</v>
      </c>
      <c r="AI754" t="s">
        <v>65</v>
      </c>
      <c r="AJ754" t="s">
        <v>51</v>
      </c>
      <c r="AK754" t="str">
        <f>HYPERLINK("http://www.proteinatlas.org/P30872","HPA031506")</f>
        <v>HPA031506</v>
      </c>
      <c r="AL754" t="s">
        <v>8023</v>
      </c>
      <c r="AM754">
        <v>6751</v>
      </c>
    </row>
    <row r="755" spans="1:39" x14ac:dyDescent="0.35">
      <c r="A755" t="s">
        <v>8024</v>
      </c>
      <c r="B755" t="str">
        <f>HYPERLINK("http://www.uniprot.org/uniprot/P30874","P30874")</f>
        <v>P30874</v>
      </c>
      <c r="C755" t="s">
        <v>8025</v>
      </c>
      <c r="D755" t="s">
        <v>8026</v>
      </c>
      <c r="E755" t="s">
        <v>39</v>
      </c>
      <c r="F755" t="s">
        <v>40</v>
      </c>
      <c r="H755">
        <v>369</v>
      </c>
      <c r="I755">
        <v>7</v>
      </c>
      <c r="J755">
        <v>0</v>
      </c>
      <c r="K755" t="s">
        <v>8027</v>
      </c>
      <c r="L755" t="s">
        <v>57</v>
      </c>
      <c r="N755">
        <v>0.96409999999999996</v>
      </c>
      <c r="O755" s="1">
        <v>1</v>
      </c>
      <c r="P755" t="s">
        <v>8028</v>
      </c>
      <c r="Q755" t="s">
        <v>8029</v>
      </c>
      <c r="S755" t="s">
        <v>166</v>
      </c>
      <c r="T755" t="s">
        <v>838</v>
      </c>
      <c r="U755" t="s">
        <v>8030</v>
      </c>
      <c r="V755">
        <v>5</v>
      </c>
      <c r="W755" t="s">
        <v>8031</v>
      </c>
      <c r="AE755" t="s">
        <v>8032</v>
      </c>
      <c r="AF755" t="s">
        <v>8033</v>
      </c>
      <c r="AG755" t="s">
        <v>8034</v>
      </c>
      <c r="AH755" t="str">
        <f>HYPERLINK("http://compartments.jensenlab.org/Entity?figures=subcell_cell_%&amp;knowledge=10&amp;textmining=10&amp;experiments=10&amp;predictions=10&amp;type1=9606&amp;type2=-22&amp;id1=ENSP00000350198","link")</f>
        <v>link</v>
      </c>
      <c r="AI755" t="s">
        <v>65</v>
      </c>
      <c r="AJ755" t="s">
        <v>2124</v>
      </c>
      <c r="AK755" t="str">
        <f>HYPERLINK("http://www.proteinatlas.org/P30874","HPA007264")</f>
        <v>HPA007264</v>
      </c>
      <c r="AL755" t="s">
        <v>8035</v>
      </c>
      <c r="AM755">
        <v>6752</v>
      </c>
    </row>
    <row r="756" spans="1:39" x14ac:dyDescent="0.35">
      <c r="A756" t="s">
        <v>8036</v>
      </c>
      <c r="B756" t="str">
        <f>HYPERLINK("http://www.uniprot.org/uniprot/P30926","P30926")</f>
        <v>P30926</v>
      </c>
      <c r="C756" t="s">
        <v>8037</v>
      </c>
      <c r="D756" t="s">
        <v>8038</v>
      </c>
      <c r="E756" t="s">
        <v>39</v>
      </c>
      <c r="F756" t="s">
        <v>55</v>
      </c>
      <c r="H756">
        <v>498</v>
      </c>
      <c r="I756">
        <v>4</v>
      </c>
      <c r="J756">
        <v>1</v>
      </c>
      <c r="K756" t="s">
        <v>8039</v>
      </c>
      <c r="L756" t="s">
        <v>57</v>
      </c>
      <c r="M756" t="s">
        <v>39</v>
      </c>
      <c r="N756">
        <v>0.92930000000000001</v>
      </c>
      <c r="O756" s="1">
        <v>1</v>
      </c>
      <c r="P756" t="s">
        <v>8040</v>
      </c>
      <c r="Q756" t="s">
        <v>8041</v>
      </c>
      <c r="S756" t="s">
        <v>45</v>
      </c>
      <c r="T756" t="s">
        <v>195</v>
      </c>
      <c r="U756" t="s">
        <v>8042</v>
      </c>
      <c r="V756">
        <v>4</v>
      </c>
      <c r="AE756" t="s">
        <v>619</v>
      </c>
      <c r="AF756" t="s">
        <v>8043</v>
      </c>
      <c r="AG756" t="s">
        <v>8044</v>
      </c>
      <c r="AH756" t="str">
        <f>HYPERLINK("http://compartments.jensenlab.org/Entity?figures=subcell_cell_%&amp;knowledge=10&amp;textmining=10&amp;experiments=10&amp;predictions=10&amp;type1=9606&amp;type2=-22&amp;id1=ENSP00000261751","link")</f>
        <v>link</v>
      </c>
      <c r="AI756" t="s">
        <v>65</v>
      </c>
      <c r="AJ756" t="s">
        <v>51</v>
      </c>
      <c r="AK756" t="str">
        <f>HYPERLINK("http://www.proteinatlas.org/P30926","no")</f>
        <v>no</v>
      </c>
      <c r="AL756" t="s">
        <v>8045</v>
      </c>
      <c r="AM756">
        <v>1143</v>
      </c>
    </row>
    <row r="757" spans="1:39" x14ac:dyDescent="0.35">
      <c r="A757" t="s">
        <v>8046</v>
      </c>
      <c r="B757" t="str">
        <f>HYPERLINK("http://www.uniprot.org/uniprot/P30939","P30939")</f>
        <v>P30939</v>
      </c>
      <c r="C757" t="s">
        <v>8047</v>
      </c>
      <c r="D757" t="s">
        <v>8048</v>
      </c>
      <c r="E757" t="s">
        <v>39</v>
      </c>
      <c r="F757" t="s">
        <v>40</v>
      </c>
      <c r="H757">
        <v>366</v>
      </c>
      <c r="I757">
        <v>7</v>
      </c>
      <c r="J757">
        <v>0</v>
      </c>
      <c r="K757" t="s">
        <v>8049</v>
      </c>
      <c r="L757" t="s">
        <v>57</v>
      </c>
      <c r="N757">
        <v>0.94010000000000005</v>
      </c>
      <c r="O757" s="1">
        <v>1</v>
      </c>
      <c r="P757" t="s">
        <v>8050</v>
      </c>
      <c r="Q757" t="s">
        <v>8051</v>
      </c>
      <c r="S757" t="s">
        <v>166</v>
      </c>
      <c r="T757" t="s">
        <v>838</v>
      </c>
      <c r="U757" t="s">
        <v>8052</v>
      </c>
      <c r="V757">
        <v>2</v>
      </c>
      <c r="W757">
        <v>10</v>
      </c>
      <c r="AE757" t="s">
        <v>74</v>
      </c>
      <c r="AF757" t="s">
        <v>1913</v>
      </c>
      <c r="AG757" t="s">
        <v>8053</v>
      </c>
      <c r="AH757" t="str">
        <f>HYPERLINK("http://compartments.jensenlab.org/Entity?figures=subcell_cell_%&amp;knowledge=10&amp;textmining=10&amp;experiments=10&amp;predictions=10&amp;type1=9606&amp;type2=-22&amp;id1=ENSP00000322924","link")</f>
        <v>link</v>
      </c>
      <c r="AI757" t="s">
        <v>65</v>
      </c>
      <c r="AJ757" t="s">
        <v>51</v>
      </c>
      <c r="AK757" t="str">
        <f>HYPERLINK("http://www.proteinatlas.org/P30939","HPA005555")</f>
        <v>HPA005555</v>
      </c>
      <c r="AL757" t="s">
        <v>8054</v>
      </c>
      <c r="AM757">
        <v>3355</v>
      </c>
    </row>
    <row r="758" spans="1:39" x14ac:dyDescent="0.35">
      <c r="A758" t="s">
        <v>8055</v>
      </c>
      <c r="B758" t="str">
        <f>HYPERLINK("http://www.uniprot.org/uniprot/P30953","P30953")</f>
        <v>P30953</v>
      </c>
      <c r="C758" t="s">
        <v>8056</v>
      </c>
      <c r="D758" t="s">
        <v>8057</v>
      </c>
      <c r="E758" t="s">
        <v>39</v>
      </c>
      <c r="F758" t="s">
        <v>55</v>
      </c>
      <c r="H758">
        <v>314</v>
      </c>
      <c r="I758">
        <v>7</v>
      </c>
      <c r="J758">
        <v>0</v>
      </c>
      <c r="K758" t="s">
        <v>8058</v>
      </c>
      <c r="L758" t="s">
        <v>57</v>
      </c>
      <c r="M758" t="s">
        <v>39</v>
      </c>
      <c r="N758">
        <v>0.99480000000000002</v>
      </c>
      <c r="O758" s="1">
        <v>1</v>
      </c>
      <c r="P758" t="s">
        <v>8059</v>
      </c>
      <c r="Q758" t="s">
        <v>8060</v>
      </c>
      <c r="S758" t="s">
        <v>166</v>
      </c>
      <c r="T758" t="s">
        <v>167</v>
      </c>
      <c r="U758" t="s">
        <v>8061</v>
      </c>
      <c r="V758">
        <v>2</v>
      </c>
      <c r="AE758" t="s">
        <v>74</v>
      </c>
      <c r="AF758" t="s">
        <v>455</v>
      </c>
      <c r="AG758" t="s">
        <v>8062</v>
      </c>
      <c r="AH758" t="str">
        <f>HYPERLINK("http://compartments.jensenlab.org/Entity?figures=subcell_cell_%&amp;knowledge=10&amp;textmining=10&amp;experiments=10&amp;predictions=10&amp;type1=9606&amp;type2=-22&amp;id1=ENSP00000313384","link")</f>
        <v>link</v>
      </c>
      <c r="AI758" t="s">
        <v>65</v>
      </c>
      <c r="AJ758" t="s">
        <v>51</v>
      </c>
      <c r="AK758" t="str">
        <f>HYPERLINK("http://www.proteinatlas.org/P30953","no")</f>
        <v>no</v>
      </c>
      <c r="AM758">
        <v>8387</v>
      </c>
    </row>
    <row r="759" spans="1:39" x14ac:dyDescent="0.35">
      <c r="A759" t="s">
        <v>8063</v>
      </c>
      <c r="B759" t="str">
        <f>HYPERLINK("http://www.uniprot.org/uniprot/P30954","P30954")</f>
        <v>P30954</v>
      </c>
      <c r="C759" t="s">
        <v>8064</v>
      </c>
      <c r="D759" t="s">
        <v>8065</v>
      </c>
      <c r="E759" t="s">
        <v>39</v>
      </c>
      <c r="F759" t="s">
        <v>55</v>
      </c>
      <c r="H759">
        <v>320</v>
      </c>
      <c r="I759">
        <v>7</v>
      </c>
      <c r="J759">
        <v>0</v>
      </c>
      <c r="K759" t="s">
        <v>8066</v>
      </c>
      <c r="L759" t="s">
        <v>57</v>
      </c>
      <c r="M759" t="s">
        <v>39</v>
      </c>
      <c r="N759">
        <v>0.97340000000000004</v>
      </c>
      <c r="O759" s="1">
        <v>1</v>
      </c>
      <c r="P759" t="s">
        <v>8067</v>
      </c>
      <c r="Q759" t="s">
        <v>8068</v>
      </c>
      <c r="S759" t="s">
        <v>166</v>
      </c>
      <c r="T759" t="s">
        <v>167</v>
      </c>
      <c r="U759" t="s">
        <v>8069</v>
      </c>
      <c r="V759">
        <v>2</v>
      </c>
      <c r="W759">
        <v>16</v>
      </c>
      <c r="AE759" t="s">
        <v>74</v>
      </c>
      <c r="AF759" t="s">
        <v>169</v>
      </c>
      <c r="AG759" t="s">
        <v>8070</v>
      </c>
      <c r="AH759" t="str">
        <f>HYPERLINK("http://compartments.jensenlab.org/Entity?figures=subcell_cell_%&amp;knowledge=10&amp;textmining=10&amp;experiments=10&amp;predictions=10&amp;type1=9606&amp;type2=-22&amp;id1=ENSP00000399078","link")</f>
        <v>link</v>
      </c>
      <c r="AI759" t="s">
        <v>65</v>
      </c>
      <c r="AJ759" t="s">
        <v>51</v>
      </c>
      <c r="AK759" t="str">
        <f>HYPERLINK("http://www.proteinatlas.org/P30954","no")</f>
        <v>no</v>
      </c>
      <c r="AM759">
        <v>26476</v>
      </c>
    </row>
    <row r="760" spans="1:39" x14ac:dyDescent="0.35">
      <c r="A760" t="s">
        <v>8071</v>
      </c>
      <c r="B760" t="str">
        <f>HYPERLINK("http://www.uniprot.org/uniprot/P30968","P30968")</f>
        <v>P30968</v>
      </c>
      <c r="C760" t="s">
        <v>8072</v>
      </c>
      <c r="D760" t="s">
        <v>8073</v>
      </c>
      <c r="E760" t="s">
        <v>39</v>
      </c>
      <c r="F760" t="s">
        <v>55</v>
      </c>
      <c r="H760">
        <v>328</v>
      </c>
      <c r="I760">
        <v>7</v>
      </c>
      <c r="J760">
        <v>0</v>
      </c>
      <c r="K760" t="s">
        <v>8074</v>
      </c>
      <c r="L760" t="s">
        <v>57</v>
      </c>
      <c r="M760" t="s">
        <v>39</v>
      </c>
      <c r="N760">
        <v>0.74470000000000003</v>
      </c>
      <c r="O760" s="1">
        <v>2</v>
      </c>
      <c r="P760" t="s">
        <v>8075</v>
      </c>
      <c r="Q760" t="s">
        <v>8076</v>
      </c>
      <c r="S760" t="s">
        <v>166</v>
      </c>
      <c r="T760" t="s">
        <v>838</v>
      </c>
      <c r="U760" t="s">
        <v>8077</v>
      </c>
      <c r="V760">
        <v>2</v>
      </c>
      <c r="W760">
        <v>102</v>
      </c>
      <c r="AE760" t="s">
        <v>74</v>
      </c>
      <c r="AF760" t="s">
        <v>8078</v>
      </c>
      <c r="AG760" t="s">
        <v>8079</v>
      </c>
      <c r="AH760" t="str">
        <f>HYPERLINK("http://compartments.jensenlab.org/Entity?figures=subcell_cell_%&amp;knowledge=10&amp;textmining=10&amp;experiments=10&amp;predictions=10&amp;type1=9606&amp;type2=-22&amp;id1=ENSP00000226413","link")</f>
        <v>link</v>
      </c>
      <c r="AI760" t="s">
        <v>65</v>
      </c>
      <c r="AJ760" t="s">
        <v>51</v>
      </c>
      <c r="AK760" t="str">
        <f>HYPERLINK("http://www.proteinatlas.org/P30968","no")</f>
        <v>no</v>
      </c>
      <c r="AL760" t="s">
        <v>8080</v>
      </c>
      <c r="AM760">
        <v>2798</v>
      </c>
    </row>
    <row r="761" spans="1:39" x14ac:dyDescent="0.35">
      <c r="A761" t="s">
        <v>8081</v>
      </c>
      <c r="B761" t="str">
        <f>HYPERLINK("http://www.uniprot.org/uniprot/P30988","P30988")</f>
        <v>P30988</v>
      </c>
      <c r="C761" t="s">
        <v>8082</v>
      </c>
      <c r="D761" t="s">
        <v>8083</v>
      </c>
      <c r="E761" t="s">
        <v>39</v>
      </c>
      <c r="F761" t="s">
        <v>40</v>
      </c>
      <c r="H761">
        <v>508</v>
      </c>
      <c r="I761">
        <v>7</v>
      </c>
      <c r="J761">
        <v>1</v>
      </c>
      <c r="K761" t="s">
        <v>8084</v>
      </c>
      <c r="L761" t="s">
        <v>57</v>
      </c>
      <c r="N761">
        <v>0.76449999999999996</v>
      </c>
      <c r="O761" s="1">
        <v>1</v>
      </c>
      <c r="P761" t="s">
        <v>8085</v>
      </c>
      <c r="Q761" t="s">
        <v>8086</v>
      </c>
      <c r="S761" t="s">
        <v>166</v>
      </c>
      <c r="T761" t="s">
        <v>3409</v>
      </c>
      <c r="U761" t="s">
        <v>8087</v>
      </c>
      <c r="V761">
        <v>4</v>
      </c>
      <c r="AE761" t="s">
        <v>74</v>
      </c>
      <c r="AF761" t="s">
        <v>8088</v>
      </c>
      <c r="AG761" t="s">
        <v>8089</v>
      </c>
      <c r="AH761" t="str">
        <f>HYPERLINK("http://compartments.jensenlab.org/Entity?figures=subcell_cell_%&amp;knowledge=10&amp;textmining=10&amp;experiments=10&amp;predictions=10&amp;type1=9606&amp;type2=-22&amp;id1=ENSP00000377959","link")</f>
        <v>link</v>
      </c>
      <c r="AK761" t="str">
        <f>HYPERLINK("http://www.proteinatlas.org/P30988","HPA028962")</f>
        <v>HPA028962</v>
      </c>
      <c r="AL761" t="s">
        <v>8090</v>
      </c>
      <c r="AM761">
        <v>799</v>
      </c>
    </row>
    <row r="762" spans="1:39" x14ac:dyDescent="0.35">
      <c r="A762" t="s">
        <v>8091</v>
      </c>
      <c r="B762" t="str">
        <f>HYPERLINK("http://www.uniprot.org/uniprot/P30989","P30989")</f>
        <v>P30989</v>
      </c>
      <c r="C762" t="s">
        <v>8092</v>
      </c>
      <c r="D762" t="s">
        <v>8093</v>
      </c>
      <c r="E762" t="s">
        <v>39</v>
      </c>
      <c r="F762" t="s">
        <v>55</v>
      </c>
      <c r="H762">
        <v>418</v>
      </c>
      <c r="I762">
        <v>7</v>
      </c>
      <c r="J762">
        <v>0</v>
      </c>
      <c r="K762" t="s">
        <v>8094</v>
      </c>
      <c r="L762" t="s">
        <v>101</v>
      </c>
      <c r="M762" t="s">
        <v>39</v>
      </c>
      <c r="N762">
        <v>0.71840000000000004</v>
      </c>
      <c r="O762" s="1">
        <v>2</v>
      </c>
      <c r="P762" t="s">
        <v>8095</v>
      </c>
      <c r="Q762" t="s">
        <v>8096</v>
      </c>
      <c r="S762" t="s">
        <v>166</v>
      </c>
      <c r="T762" t="s">
        <v>838</v>
      </c>
      <c r="U762" t="s">
        <v>8097</v>
      </c>
      <c r="V762">
        <v>4</v>
      </c>
      <c r="W762" t="s">
        <v>8098</v>
      </c>
      <c r="Z762" t="s">
        <v>107</v>
      </c>
      <c r="AA762">
        <v>3</v>
      </c>
      <c r="AB762" t="s">
        <v>8099</v>
      </c>
      <c r="AC762" t="s">
        <v>8100</v>
      </c>
      <c r="AD762" t="s">
        <v>8101</v>
      </c>
      <c r="AE762" t="s">
        <v>8102</v>
      </c>
      <c r="AF762" t="s">
        <v>7241</v>
      </c>
      <c r="AG762" t="s">
        <v>8103</v>
      </c>
      <c r="AH762" t="str">
        <f>HYPERLINK("http://compartments.jensenlab.org/Entity?figures=subcell_cell_%&amp;knowledge=10&amp;textmining=10&amp;experiments=10&amp;predictions=10&amp;type1=9606&amp;type2=-22&amp;id1=ENSP00000359532","link")</f>
        <v>link</v>
      </c>
      <c r="AI762" t="s">
        <v>65</v>
      </c>
      <c r="AJ762" t="s">
        <v>981</v>
      </c>
      <c r="AK762" t="str">
        <f>HYPERLINK("http://www.proteinatlas.org/P30989","HPA009132;HPA050299")</f>
        <v>HPA009132;HPA050299</v>
      </c>
      <c r="AM762">
        <v>4923</v>
      </c>
    </row>
    <row r="763" spans="1:39" x14ac:dyDescent="0.35">
      <c r="A763" t="s">
        <v>8104</v>
      </c>
      <c r="B763" t="str">
        <f>HYPERLINK("http://www.uniprot.org/uniprot/P31358","P31358")</f>
        <v>P31358</v>
      </c>
      <c r="C763" t="s">
        <v>8105</v>
      </c>
      <c r="D763" t="s">
        <v>8106</v>
      </c>
      <c r="E763" t="s">
        <v>39</v>
      </c>
      <c r="F763" t="s">
        <v>239</v>
      </c>
      <c r="H763">
        <v>61</v>
      </c>
      <c r="I763">
        <v>0</v>
      </c>
      <c r="J763">
        <v>1</v>
      </c>
      <c r="K763" t="s">
        <v>8107</v>
      </c>
      <c r="L763" t="s">
        <v>57</v>
      </c>
      <c r="N763">
        <v>0.6966</v>
      </c>
      <c r="O763" s="1" t="s">
        <v>241</v>
      </c>
      <c r="P763" t="s">
        <v>8108</v>
      </c>
      <c r="Q763" t="s">
        <v>8109</v>
      </c>
      <c r="R763" t="s">
        <v>8106</v>
      </c>
      <c r="S763" t="s">
        <v>60</v>
      </c>
      <c r="T763" t="s">
        <v>60</v>
      </c>
      <c r="U763" t="s">
        <v>8110</v>
      </c>
      <c r="V763">
        <v>2</v>
      </c>
      <c r="W763" t="s">
        <v>8110</v>
      </c>
      <c r="AE763" t="s">
        <v>243</v>
      </c>
      <c r="AF763" t="s">
        <v>8111</v>
      </c>
      <c r="AG763" t="s">
        <v>8112</v>
      </c>
      <c r="AH763" t="str">
        <f>HYPERLINK("http://compartments.jensenlab.org/Entity?figures=subcell_cell_%&amp;knowledge=10&amp;textmining=10&amp;experiments=10&amp;predictions=10&amp;type1=9606&amp;type2=-22&amp;id1=ENSP00000363330","link")</f>
        <v>link</v>
      </c>
      <c r="AI763" t="s">
        <v>65</v>
      </c>
      <c r="AJ763" t="s">
        <v>51</v>
      </c>
      <c r="AK763" t="str">
        <f>HYPERLINK("http://www.proteinatlas.org/P31358","no")</f>
        <v>no</v>
      </c>
      <c r="AL763" t="s">
        <v>8113</v>
      </c>
      <c r="AM763">
        <v>1043</v>
      </c>
    </row>
    <row r="764" spans="1:39" x14ac:dyDescent="0.35">
      <c r="A764" t="s">
        <v>8114</v>
      </c>
      <c r="B764" t="str">
        <f>HYPERLINK("http://www.uniprot.org/uniprot/P31391","P31391")</f>
        <v>P31391</v>
      </c>
      <c r="C764" t="s">
        <v>8115</v>
      </c>
      <c r="D764" t="s">
        <v>8116</v>
      </c>
      <c r="E764" t="s">
        <v>39</v>
      </c>
      <c r="F764" t="s">
        <v>55</v>
      </c>
      <c r="H764">
        <v>388</v>
      </c>
      <c r="I764">
        <v>7</v>
      </c>
      <c r="J764">
        <v>0</v>
      </c>
      <c r="K764" t="s">
        <v>8117</v>
      </c>
      <c r="L764" t="s">
        <v>57</v>
      </c>
      <c r="N764">
        <v>0.93210000000000004</v>
      </c>
      <c r="O764" s="1">
        <v>1</v>
      </c>
      <c r="P764" t="s">
        <v>8118</v>
      </c>
      <c r="Q764" t="s">
        <v>8119</v>
      </c>
      <c r="S764" t="s">
        <v>166</v>
      </c>
      <c r="T764" t="s">
        <v>838</v>
      </c>
      <c r="U764">
        <v>24</v>
      </c>
      <c r="V764">
        <v>1</v>
      </c>
      <c r="AE764" t="s">
        <v>74</v>
      </c>
      <c r="AF764" t="s">
        <v>2359</v>
      </c>
      <c r="AG764" t="s">
        <v>8120</v>
      </c>
      <c r="AH764" t="str">
        <f>HYPERLINK("http://compartments.jensenlab.org/Entity?figures=subcell_cell_%&amp;knowledge=10&amp;textmining=10&amp;experiments=10&amp;predictions=10&amp;type1=9606&amp;type2=-22&amp;id1=ENSP00000255008","link")</f>
        <v>link</v>
      </c>
      <c r="AI764" t="s">
        <v>65</v>
      </c>
      <c r="AJ764" t="s">
        <v>51</v>
      </c>
      <c r="AK764" t="str">
        <f>HYPERLINK("http://www.proteinatlas.org/P31391","HPA064252")</f>
        <v>HPA064252</v>
      </c>
      <c r="AM764">
        <v>6754</v>
      </c>
    </row>
    <row r="765" spans="1:39" x14ac:dyDescent="0.35">
      <c r="A765" t="s">
        <v>8121</v>
      </c>
      <c r="B765" t="str">
        <f>HYPERLINK("http://www.uniprot.org/uniprot/P31639","P31639")</f>
        <v>P31639</v>
      </c>
      <c r="C765" t="s">
        <v>8122</v>
      </c>
      <c r="D765" t="s">
        <v>8123</v>
      </c>
      <c r="E765" t="s">
        <v>39</v>
      </c>
      <c r="F765" t="s">
        <v>40</v>
      </c>
      <c r="H765">
        <v>672</v>
      </c>
      <c r="I765">
        <v>11</v>
      </c>
      <c r="J765">
        <v>0</v>
      </c>
      <c r="K765" t="s">
        <v>8124</v>
      </c>
      <c r="L765" t="s">
        <v>57</v>
      </c>
      <c r="N765">
        <v>0.77639999999999998</v>
      </c>
      <c r="O765" s="1">
        <v>1</v>
      </c>
      <c r="P765" t="s">
        <v>8125</v>
      </c>
      <c r="Q765" t="s">
        <v>8126</v>
      </c>
      <c r="S765" t="s">
        <v>45</v>
      </c>
      <c r="T765" t="s">
        <v>72</v>
      </c>
      <c r="U765" t="s">
        <v>8127</v>
      </c>
      <c r="V765">
        <v>2</v>
      </c>
      <c r="AE765" t="s">
        <v>48</v>
      </c>
      <c r="AF765" t="s">
        <v>8128</v>
      </c>
      <c r="AG765" t="s">
        <v>8129</v>
      </c>
      <c r="AH765" t="str">
        <f>HYPERLINK("http://compartments.jensenlab.org/Entity?figures=subcell_cell_%&amp;knowledge=10&amp;textmining=10&amp;experiments=10&amp;predictions=10&amp;type1=9606&amp;type2=-22&amp;id1=ENSP00000327943","link")</f>
        <v>link</v>
      </c>
      <c r="AJ765" t="s">
        <v>51</v>
      </c>
      <c r="AK765" t="str">
        <f>HYPERLINK("http://www.proteinatlas.org/P31639","HPA041603")</f>
        <v>HPA041603</v>
      </c>
      <c r="AL765" t="s">
        <v>8130</v>
      </c>
      <c r="AM765">
        <v>6524</v>
      </c>
    </row>
    <row r="766" spans="1:39" x14ac:dyDescent="0.35">
      <c r="A766" t="s">
        <v>8131</v>
      </c>
      <c r="B766" t="str">
        <f>HYPERLINK("http://www.uniprot.org/uniprot/P31641","P31641")</f>
        <v>P31641</v>
      </c>
      <c r="C766" t="s">
        <v>8132</v>
      </c>
      <c r="D766" t="s">
        <v>8133</v>
      </c>
      <c r="E766" t="s">
        <v>39</v>
      </c>
      <c r="F766" t="s">
        <v>55</v>
      </c>
      <c r="H766">
        <v>620</v>
      </c>
      <c r="I766">
        <v>12</v>
      </c>
      <c r="J766">
        <v>0</v>
      </c>
      <c r="K766" t="s">
        <v>8134</v>
      </c>
      <c r="L766" t="s">
        <v>101</v>
      </c>
      <c r="M766" t="s">
        <v>39</v>
      </c>
      <c r="N766">
        <v>0.91759999999999997</v>
      </c>
      <c r="O766" s="1">
        <v>1</v>
      </c>
      <c r="P766" t="s">
        <v>8135</v>
      </c>
      <c r="Q766" t="s">
        <v>8136</v>
      </c>
      <c r="S766" t="s">
        <v>45</v>
      </c>
      <c r="T766" t="s">
        <v>6998</v>
      </c>
      <c r="U766" t="s">
        <v>8137</v>
      </c>
      <c r="V766">
        <v>4</v>
      </c>
      <c r="W766" t="s">
        <v>8137</v>
      </c>
      <c r="Z766" t="s">
        <v>107</v>
      </c>
      <c r="AA766">
        <v>4</v>
      </c>
      <c r="AB766" t="s">
        <v>8138</v>
      </c>
      <c r="AC766" t="s">
        <v>8139</v>
      </c>
      <c r="AD766" t="s">
        <v>8140</v>
      </c>
      <c r="AE766" t="s">
        <v>74</v>
      </c>
      <c r="AF766" t="s">
        <v>8141</v>
      </c>
      <c r="AG766" t="s">
        <v>8142</v>
      </c>
      <c r="AH766" t="str">
        <f>HYPERLINK("http://compartments.jensenlab.org/Entity?figures=subcell_cell_%&amp;knowledge=10&amp;textmining=10&amp;experiments=10&amp;predictions=10&amp;type1=9606&amp;type2=-22&amp;id1=ENSP00000480890","link")</f>
        <v>link</v>
      </c>
      <c r="AK766" t="str">
        <f>HYPERLINK("http://www.proteinatlas.org/P31641","HPA015028;HPA016488")</f>
        <v>HPA015028;HPA016488</v>
      </c>
      <c r="AM766">
        <v>6533</v>
      </c>
    </row>
    <row r="767" spans="1:39" x14ac:dyDescent="0.35">
      <c r="A767" t="s">
        <v>8143</v>
      </c>
      <c r="B767" t="str">
        <f>HYPERLINK("http://www.uniprot.org/uniprot/P31644","P31644")</f>
        <v>P31644</v>
      </c>
      <c r="C767" t="s">
        <v>8144</v>
      </c>
      <c r="D767" t="s">
        <v>8145</v>
      </c>
      <c r="E767" t="s">
        <v>39</v>
      </c>
      <c r="F767" t="s">
        <v>55</v>
      </c>
      <c r="H767">
        <v>462</v>
      </c>
      <c r="I767">
        <v>4</v>
      </c>
      <c r="J767">
        <v>1</v>
      </c>
      <c r="K767" t="s">
        <v>8146</v>
      </c>
      <c r="L767" t="s">
        <v>57</v>
      </c>
      <c r="M767" t="s">
        <v>39</v>
      </c>
      <c r="N767">
        <v>0.93</v>
      </c>
      <c r="O767" s="1">
        <v>1</v>
      </c>
      <c r="P767" t="s">
        <v>8147</v>
      </c>
      <c r="Q767" t="s">
        <v>8148</v>
      </c>
      <c r="S767" t="s">
        <v>45</v>
      </c>
      <c r="T767" t="s">
        <v>195</v>
      </c>
      <c r="U767" t="s">
        <v>8149</v>
      </c>
      <c r="V767">
        <v>4</v>
      </c>
      <c r="W767" t="s">
        <v>8150</v>
      </c>
      <c r="AE767" t="s">
        <v>619</v>
      </c>
      <c r="AF767" t="s">
        <v>8151</v>
      </c>
      <c r="AG767" t="s">
        <v>8152</v>
      </c>
      <c r="AH767" t="str">
        <f>HYPERLINK("http://compartments.jensenlab.org/Entity?figures=subcell_cell_%&amp;knowledge=10&amp;textmining=10&amp;experiments=10&amp;predictions=10&amp;type1=9606&amp;type2=-22&amp;id1=ENSP00000335592","link")</f>
        <v>link</v>
      </c>
      <c r="AI767" t="s">
        <v>65</v>
      </c>
      <c r="AJ767" t="s">
        <v>51</v>
      </c>
      <c r="AK767" t="str">
        <f>HYPERLINK("http://www.proteinatlas.org/P31644","no")</f>
        <v>no</v>
      </c>
      <c r="AL767" t="s">
        <v>8153</v>
      </c>
      <c r="AM767">
        <v>2558</v>
      </c>
    </row>
    <row r="768" spans="1:39" x14ac:dyDescent="0.35">
      <c r="A768" t="s">
        <v>8154</v>
      </c>
      <c r="B768" t="str">
        <f>HYPERLINK("http://www.uniprot.org/uniprot/P31645","P31645")</f>
        <v>P31645</v>
      </c>
      <c r="C768" t="s">
        <v>8155</v>
      </c>
      <c r="D768" t="s">
        <v>8156</v>
      </c>
      <c r="E768" t="s">
        <v>39</v>
      </c>
      <c r="F768" t="s">
        <v>40</v>
      </c>
      <c r="H768">
        <v>630</v>
      </c>
      <c r="I768">
        <v>12</v>
      </c>
      <c r="J768">
        <v>0</v>
      </c>
      <c r="K768" t="s">
        <v>8157</v>
      </c>
      <c r="L768" t="s">
        <v>57</v>
      </c>
      <c r="N768">
        <v>0.8982</v>
      </c>
      <c r="O768" s="1">
        <v>1</v>
      </c>
      <c r="P768" t="s">
        <v>8158</v>
      </c>
      <c r="Q768" t="s">
        <v>8159</v>
      </c>
      <c r="S768" t="s">
        <v>45</v>
      </c>
      <c r="T768" t="s">
        <v>6998</v>
      </c>
      <c r="U768" t="s">
        <v>8160</v>
      </c>
      <c r="V768">
        <v>2</v>
      </c>
      <c r="W768" t="s">
        <v>8160</v>
      </c>
      <c r="AE768" t="s">
        <v>8161</v>
      </c>
      <c r="AF768" t="s">
        <v>8162</v>
      </c>
      <c r="AG768" t="s">
        <v>8163</v>
      </c>
      <c r="AH768" t="str">
        <f>HYPERLINK("http://compartments.jensenlab.org/Entity?figures=subcell_cell_%&amp;knowledge=10&amp;textmining=10&amp;experiments=10&amp;predictions=10&amp;type1=9606&amp;type2=-22&amp;id1=ENSP00000261707","link")</f>
        <v>link</v>
      </c>
      <c r="AI768" t="s">
        <v>8164</v>
      </c>
      <c r="AJ768" t="s">
        <v>5071</v>
      </c>
      <c r="AK768" t="str">
        <f>HYPERLINK("http://www.proteinatlas.org/P31645","no")</f>
        <v>no</v>
      </c>
      <c r="AL768" t="s">
        <v>8165</v>
      </c>
      <c r="AM768">
        <v>6532</v>
      </c>
    </row>
    <row r="769" spans="1:39" x14ac:dyDescent="0.35">
      <c r="A769" t="s">
        <v>8166</v>
      </c>
      <c r="B769" t="str">
        <f>HYPERLINK("http://www.uniprot.org/uniprot/P31785","P31785")</f>
        <v>P31785</v>
      </c>
      <c r="C769" t="s">
        <v>8167</v>
      </c>
      <c r="D769" t="s">
        <v>8168</v>
      </c>
      <c r="E769" t="s">
        <v>39</v>
      </c>
      <c r="F769" t="s">
        <v>40</v>
      </c>
      <c r="H769">
        <v>369</v>
      </c>
      <c r="I769">
        <v>1</v>
      </c>
      <c r="J769">
        <v>1</v>
      </c>
      <c r="K769" t="s">
        <v>8169</v>
      </c>
      <c r="L769" t="s">
        <v>101</v>
      </c>
      <c r="N769">
        <v>0.91220000000000001</v>
      </c>
      <c r="O769" s="1">
        <v>1</v>
      </c>
      <c r="P769" t="s">
        <v>8170</v>
      </c>
      <c r="Q769" t="s">
        <v>8171</v>
      </c>
      <c r="R769" t="s">
        <v>8172</v>
      </c>
      <c r="S769" t="s">
        <v>166</v>
      </c>
      <c r="T769" t="s">
        <v>3171</v>
      </c>
      <c r="U769" t="s">
        <v>8173</v>
      </c>
      <c r="V769">
        <v>6</v>
      </c>
      <c r="W769" t="s">
        <v>8173</v>
      </c>
      <c r="X769" t="s">
        <v>8174</v>
      </c>
      <c r="Y769">
        <v>237</v>
      </c>
      <c r="Z769" t="s">
        <v>107</v>
      </c>
      <c r="AA769">
        <v>1</v>
      </c>
      <c r="AB769" t="s">
        <v>8175</v>
      </c>
      <c r="AC769">
        <v>159</v>
      </c>
      <c r="AD769" t="s">
        <v>8176</v>
      </c>
      <c r="AE769" t="s">
        <v>144</v>
      </c>
      <c r="AF769" t="s">
        <v>8177</v>
      </c>
      <c r="AG769" t="s">
        <v>8178</v>
      </c>
      <c r="AH769" t="str">
        <f>HYPERLINK("http://compartments.jensenlab.org/Entity?figures=subcell_cell_%&amp;knowledge=10&amp;textmining=10&amp;experiments=10&amp;predictions=10&amp;type1=9606&amp;type2=-22&amp;id1=ENSP00000363318","link")</f>
        <v>link</v>
      </c>
      <c r="AK769" t="str">
        <f>HYPERLINK("http://www.proteinatlas.org/P31785","HPA046641")</f>
        <v>HPA046641</v>
      </c>
      <c r="AL769" t="s">
        <v>8179</v>
      </c>
      <c r="AM769">
        <v>3561</v>
      </c>
    </row>
    <row r="770" spans="1:39" x14ac:dyDescent="0.35">
      <c r="A770" t="s">
        <v>8180</v>
      </c>
      <c r="B770" t="str">
        <f>HYPERLINK("http://www.uniprot.org/uniprot/P31994","P31994")</f>
        <v>P31994</v>
      </c>
      <c r="C770" t="s">
        <v>8181</v>
      </c>
      <c r="D770" t="s">
        <v>8182</v>
      </c>
      <c r="E770" t="s">
        <v>39</v>
      </c>
      <c r="F770" t="s">
        <v>40</v>
      </c>
      <c r="H770">
        <v>310</v>
      </c>
      <c r="I770">
        <v>1</v>
      </c>
      <c r="J770">
        <v>1</v>
      </c>
      <c r="K770" t="s">
        <v>8183</v>
      </c>
      <c r="L770" t="s">
        <v>57</v>
      </c>
      <c r="N770">
        <v>0.94810000000000005</v>
      </c>
      <c r="O770" s="1">
        <v>1</v>
      </c>
      <c r="P770" t="s">
        <v>8184</v>
      </c>
      <c r="Q770" t="s">
        <v>8185</v>
      </c>
      <c r="R770" t="s">
        <v>5216</v>
      </c>
      <c r="S770" t="s">
        <v>166</v>
      </c>
      <c r="T770" t="s">
        <v>478</v>
      </c>
      <c r="U770" t="s">
        <v>8186</v>
      </c>
      <c r="V770">
        <v>3</v>
      </c>
      <c r="AE770" t="s">
        <v>332</v>
      </c>
      <c r="AF770" t="s">
        <v>8187</v>
      </c>
      <c r="AG770" t="s">
        <v>8188</v>
      </c>
      <c r="AH770" t="str">
        <f>HYPERLINK("http://compartments.jensenlab.org/Entity?figures=subcell_cell_%&amp;knowledge=10&amp;textmining=10&amp;experiments=10&amp;predictions=10&amp;type1=9606&amp;type2=-22&amp;id1=ENSP00000351497","link")</f>
        <v>link</v>
      </c>
      <c r="AI770" t="s">
        <v>65</v>
      </c>
      <c r="AJ770" t="s">
        <v>2124</v>
      </c>
      <c r="AK770" t="str">
        <f>HYPERLINK("http://www.proteinatlas.org/P31994","CAB007796;HPA014730")</f>
        <v>CAB007796;HPA014730</v>
      </c>
      <c r="AL770" t="s">
        <v>8189</v>
      </c>
      <c r="AM770">
        <v>2213</v>
      </c>
    </row>
    <row r="771" spans="1:39" x14ac:dyDescent="0.35">
      <c r="A771" t="s">
        <v>8190</v>
      </c>
      <c r="B771" t="str">
        <f>HYPERLINK("http://www.uniprot.org/uniprot/P31995","P31995")</f>
        <v>P31995</v>
      </c>
      <c r="C771" t="s">
        <v>8191</v>
      </c>
      <c r="D771" t="s">
        <v>8192</v>
      </c>
      <c r="E771" t="s">
        <v>39</v>
      </c>
      <c r="F771" t="s">
        <v>40</v>
      </c>
      <c r="H771">
        <v>323</v>
      </c>
      <c r="I771">
        <v>1</v>
      </c>
      <c r="J771">
        <v>1</v>
      </c>
      <c r="K771" t="s">
        <v>8193</v>
      </c>
      <c r="L771" t="s">
        <v>57</v>
      </c>
      <c r="N771">
        <v>0.94610000000000005</v>
      </c>
      <c r="O771" s="1">
        <v>1</v>
      </c>
      <c r="R771" t="s">
        <v>5216</v>
      </c>
      <c r="S771" t="s">
        <v>166</v>
      </c>
      <c r="T771" t="s">
        <v>478</v>
      </c>
      <c r="U771" t="s">
        <v>8194</v>
      </c>
      <c r="V771">
        <v>3</v>
      </c>
      <c r="AE771" t="s">
        <v>8195</v>
      </c>
      <c r="AF771" t="s">
        <v>8196</v>
      </c>
      <c r="AG771" t="s">
        <v>8197</v>
      </c>
      <c r="AK771" t="str">
        <f>HYPERLINK("http://www.proteinatlas.org/P31995","no")</f>
        <v>no</v>
      </c>
      <c r="AL771" t="s">
        <v>2456</v>
      </c>
      <c r="AM771">
        <v>9103</v>
      </c>
    </row>
    <row r="772" spans="1:39" x14ac:dyDescent="0.35">
      <c r="A772" t="s">
        <v>8198</v>
      </c>
      <c r="B772" t="str">
        <f>HYPERLINK("http://www.uniprot.org/uniprot/P31997","P31997")</f>
        <v>P31997</v>
      </c>
      <c r="C772" t="s">
        <v>8199</v>
      </c>
      <c r="D772" t="s">
        <v>8200</v>
      </c>
      <c r="E772" t="s">
        <v>39</v>
      </c>
      <c r="F772" t="s">
        <v>239</v>
      </c>
      <c r="H772">
        <v>349</v>
      </c>
      <c r="I772">
        <v>0</v>
      </c>
      <c r="J772">
        <v>1</v>
      </c>
      <c r="K772" t="s">
        <v>8201</v>
      </c>
      <c r="L772" t="s">
        <v>57</v>
      </c>
      <c r="N772">
        <v>0.77639999999999998</v>
      </c>
      <c r="O772" s="1" t="s">
        <v>997</v>
      </c>
      <c r="P772" t="s">
        <v>8202</v>
      </c>
      <c r="Q772" t="s">
        <v>8203</v>
      </c>
      <c r="R772" t="s">
        <v>8204</v>
      </c>
      <c r="S772" t="s">
        <v>91</v>
      </c>
      <c r="T772" t="s">
        <v>555</v>
      </c>
      <c r="U772" t="s">
        <v>8205</v>
      </c>
      <c r="V772">
        <v>11</v>
      </c>
      <c r="W772" t="s">
        <v>8205</v>
      </c>
      <c r="X772">
        <v>151</v>
      </c>
      <c r="AE772" t="s">
        <v>243</v>
      </c>
      <c r="AF772" t="s">
        <v>8206</v>
      </c>
      <c r="AG772" t="s">
        <v>8207</v>
      </c>
      <c r="AH772" t="str">
        <f>HYPERLINK("http://compartments.jensenlab.org/Entity?figures=subcell_cell_%&amp;knowledge=10&amp;textmining=10&amp;experiments=10&amp;predictions=10&amp;type1=9606&amp;type2=-22&amp;id1=ENSP00000244336","link")</f>
        <v>link</v>
      </c>
      <c r="AI772" t="s">
        <v>65</v>
      </c>
      <c r="AJ772" t="s">
        <v>902</v>
      </c>
      <c r="AK772" t="str">
        <f>HYPERLINK("http://www.proteinatlas.org/P31997","CAB033676")</f>
        <v>CAB033676</v>
      </c>
      <c r="AM772">
        <v>1088</v>
      </c>
    </row>
    <row r="773" spans="1:39" x14ac:dyDescent="0.35">
      <c r="A773" t="s">
        <v>8208</v>
      </c>
      <c r="B773" t="str">
        <f>HYPERLINK("http://www.uniprot.org/uniprot/P32004","P32004")</f>
        <v>P32004</v>
      </c>
      <c r="C773" t="s">
        <v>8209</v>
      </c>
      <c r="D773" t="s">
        <v>8210</v>
      </c>
      <c r="E773" t="s">
        <v>39</v>
      </c>
      <c r="F773" t="s">
        <v>55</v>
      </c>
      <c r="H773">
        <v>1257</v>
      </c>
      <c r="I773">
        <v>1</v>
      </c>
      <c r="J773">
        <v>1</v>
      </c>
      <c r="K773" t="s">
        <v>8211</v>
      </c>
      <c r="L773" t="s">
        <v>101</v>
      </c>
      <c r="M773" t="s">
        <v>39</v>
      </c>
      <c r="N773">
        <v>0.9778</v>
      </c>
      <c r="O773" s="1">
        <v>1</v>
      </c>
      <c r="P773" t="s">
        <v>8212</v>
      </c>
      <c r="Q773" t="s">
        <v>8213</v>
      </c>
      <c r="R773" t="s">
        <v>8214</v>
      </c>
      <c r="S773" t="s">
        <v>91</v>
      </c>
      <c r="T773" t="s">
        <v>555</v>
      </c>
      <c r="U773" t="s">
        <v>8215</v>
      </c>
      <c r="V773">
        <v>21</v>
      </c>
      <c r="W773" t="s">
        <v>8215</v>
      </c>
      <c r="X773" t="s">
        <v>8216</v>
      </c>
      <c r="Y773">
        <v>740</v>
      </c>
      <c r="Z773" t="s">
        <v>107</v>
      </c>
      <c r="AA773">
        <v>44</v>
      </c>
      <c r="AB773" t="s">
        <v>8217</v>
      </c>
      <c r="AC773" t="s">
        <v>8218</v>
      </c>
      <c r="AD773" t="s">
        <v>8219</v>
      </c>
      <c r="AE773" t="s">
        <v>332</v>
      </c>
      <c r="AF773" t="s">
        <v>8220</v>
      </c>
      <c r="AG773" t="s">
        <v>8221</v>
      </c>
      <c r="AH773" t="str">
        <f>HYPERLINK("http://compartments.jensenlab.org/Entity?figures=subcell_cell_%&amp;knowledge=10&amp;textmining=10&amp;experiments=10&amp;predictions=10&amp;type1=9606&amp;type2=-22&amp;id1=ENSP00000359077","link")</f>
        <v>link</v>
      </c>
      <c r="AK773" t="str">
        <f>HYPERLINK("http://www.proteinatlas.org/P32004","HPA005830;CAB010896")</f>
        <v>HPA005830;CAB010896</v>
      </c>
      <c r="AM773">
        <v>3897</v>
      </c>
    </row>
    <row r="774" spans="1:39" x14ac:dyDescent="0.35">
      <c r="A774" t="s">
        <v>8222</v>
      </c>
      <c r="B774" t="str">
        <f>HYPERLINK("http://www.uniprot.org/uniprot/P32238","P32238")</f>
        <v>P32238</v>
      </c>
      <c r="C774" t="s">
        <v>8223</v>
      </c>
      <c r="D774" t="s">
        <v>8224</v>
      </c>
      <c r="E774" t="s">
        <v>39</v>
      </c>
      <c r="F774" t="s">
        <v>40</v>
      </c>
      <c r="H774">
        <v>428</v>
      </c>
      <c r="I774">
        <v>7</v>
      </c>
      <c r="J774">
        <v>0</v>
      </c>
      <c r="K774" t="s">
        <v>8225</v>
      </c>
      <c r="L774" t="s">
        <v>57</v>
      </c>
      <c r="N774">
        <v>0.98599999999999999</v>
      </c>
      <c r="O774" s="1">
        <v>1</v>
      </c>
      <c r="P774" t="s">
        <v>8226</v>
      </c>
      <c r="Q774" t="s">
        <v>8227</v>
      </c>
      <c r="S774" t="s">
        <v>166</v>
      </c>
      <c r="T774" t="s">
        <v>838</v>
      </c>
      <c r="U774" t="s">
        <v>8228</v>
      </c>
      <c r="V774">
        <v>4</v>
      </c>
      <c r="W774" t="s">
        <v>8229</v>
      </c>
      <c r="AE774" t="s">
        <v>74</v>
      </c>
      <c r="AF774" t="s">
        <v>8230</v>
      </c>
      <c r="AG774" t="s">
        <v>8231</v>
      </c>
      <c r="AH774" t="str">
        <f>HYPERLINK("http://compartments.jensenlab.org/Entity?figures=subcell_cell_%&amp;knowledge=10&amp;textmining=10&amp;experiments=10&amp;predictions=10&amp;type1=9606&amp;type2=-22&amp;id1=ENSP00000295589","link")</f>
        <v>link</v>
      </c>
      <c r="AI774" t="s">
        <v>65</v>
      </c>
      <c r="AJ774" t="s">
        <v>8232</v>
      </c>
      <c r="AK774" t="str">
        <f>HYPERLINK("http://www.proteinatlas.org/P32238","CAB005619")</f>
        <v>CAB005619</v>
      </c>
      <c r="AL774" t="s">
        <v>8233</v>
      </c>
      <c r="AM774">
        <v>886</v>
      </c>
    </row>
    <row r="775" spans="1:39" x14ac:dyDescent="0.35">
      <c r="A775" t="s">
        <v>8234</v>
      </c>
      <c r="B775" t="str">
        <f>HYPERLINK("http://www.uniprot.org/uniprot/P32239","P32239")</f>
        <v>P32239</v>
      </c>
      <c r="C775" t="s">
        <v>8235</v>
      </c>
      <c r="D775" t="s">
        <v>8236</v>
      </c>
      <c r="E775" t="s">
        <v>39</v>
      </c>
      <c r="F775" t="s">
        <v>40</v>
      </c>
      <c r="H775">
        <v>447</v>
      </c>
      <c r="I775">
        <v>7</v>
      </c>
      <c r="J775">
        <v>0</v>
      </c>
      <c r="K775" t="s">
        <v>8237</v>
      </c>
      <c r="L775" t="s">
        <v>57</v>
      </c>
      <c r="N775">
        <v>0.89019999999999999</v>
      </c>
      <c r="O775" s="1">
        <v>1</v>
      </c>
      <c r="P775" t="s">
        <v>8238</v>
      </c>
      <c r="Q775" t="s">
        <v>8239</v>
      </c>
      <c r="S775" t="s">
        <v>166</v>
      </c>
      <c r="T775" t="s">
        <v>838</v>
      </c>
      <c r="U775" t="s">
        <v>8240</v>
      </c>
      <c r="V775">
        <v>3</v>
      </c>
      <c r="AE775" t="s">
        <v>74</v>
      </c>
      <c r="AF775" t="s">
        <v>7161</v>
      </c>
      <c r="AG775" t="s">
        <v>8241</v>
      </c>
      <c r="AH775" t="str">
        <f>HYPERLINK("http://compartments.jensenlab.org/Entity?figures=subcell_cell_%&amp;knowledge=10&amp;textmining=10&amp;experiments=10&amp;predictions=10&amp;type1=9606&amp;type2=-22&amp;id1=ENSP00000335544","link")</f>
        <v>link</v>
      </c>
      <c r="AI775" t="s">
        <v>65</v>
      </c>
      <c r="AJ775" t="s">
        <v>299</v>
      </c>
      <c r="AK775" t="str">
        <f>HYPERLINK("http://www.proteinatlas.org/P32239","HPA041976")</f>
        <v>HPA041976</v>
      </c>
      <c r="AL775" t="s">
        <v>8242</v>
      </c>
      <c r="AM775">
        <v>887</v>
      </c>
    </row>
    <row r="776" spans="1:39" x14ac:dyDescent="0.35">
      <c r="A776" t="s">
        <v>8243</v>
      </c>
      <c r="B776" t="str">
        <f>HYPERLINK("http://www.uniprot.org/uniprot/P32241","P32241")</f>
        <v>P32241</v>
      </c>
      <c r="C776" t="s">
        <v>8244</v>
      </c>
      <c r="D776" t="s">
        <v>8245</v>
      </c>
      <c r="E776" t="s">
        <v>39</v>
      </c>
      <c r="F776" t="s">
        <v>55</v>
      </c>
      <c r="H776">
        <v>457</v>
      </c>
      <c r="I776">
        <v>7</v>
      </c>
      <c r="J776">
        <v>1</v>
      </c>
      <c r="K776" t="s">
        <v>8246</v>
      </c>
      <c r="L776" t="s">
        <v>101</v>
      </c>
      <c r="M776" t="s">
        <v>39</v>
      </c>
      <c r="N776">
        <v>0.94540000000000002</v>
      </c>
      <c r="O776" s="1">
        <v>1</v>
      </c>
      <c r="P776" t="s">
        <v>8247</v>
      </c>
      <c r="Q776" t="s">
        <v>8248</v>
      </c>
      <c r="S776" t="s">
        <v>166</v>
      </c>
      <c r="T776" t="s">
        <v>3409</v>
      </c>
      <c r="U776" t="s">
        <v>8249</v>
      </c>
      <c r="V776">
        <v>4</v>
      </c>
      <c r="W776" t="s">
        <v>8250</v>
      </c>
      <c r="X776" t="s">
        <v>8251</v>
      </c>
      <c r="Y776">
        <v>403</v>
      </c>
      <c r="Z776" t="s">
        <v>107</v>
      </c>
      <c r="AA776">
        <v>1</v>
      </c>
      <c r="AB776" t="s">
        <v>8252</v>
      </c>
      <c r="AC776">
        <v>69</v>
      </c>
      <c r="AD776" t="s">
        <v>8253</v>
      </c>
      <c r="AE776" t="s">
        <v>74</v>
      </c>
      <c r="AF776" t="s">
        <v>8254</v>
      </c>
      <c r="AG776" t="s">
        <v>8255</v>
      </c>
      <c r="AH776" t="str">
        <f>HYPERLINK("http://compartments.jensenlab.org/Entity?figures=subcell_cell_%&amp;knowledge=10&amp;textmining=10&amp;experiments=10&amp;predictions=10&amp;type1=9606&amp;type2=-22&amp;id1=ENSP00000327246","link")</f>
        <v>link</v>
      </c>
      <c r="AI776" t="s">
        <v>65</v>
      </c>
      <c r="AJ776" t="s">
        <v>299</v>
      </c>
      <c r="AK776" t="str">
        <f>HYPERLINK("http://www.proteinatlas.org/P32241","HPA026777")</f>
        <v>HPA026777</v>
      </c>
      <c r="AM776">
        <v>7433</v>
      </c>
    </row>
    <row r="777" spans="1:39" x14ac:dyDescent="0.35">
      <c r="A777" t="s">
        <v>8256</v>
      </c>
      <c r="B777" t="str">
        <f>HYPERLINK("http://www.uniprot.org/uniprot/P32245","P32245")</f>
        <v>P32245</v>
      </c>
      <c r="C777" t="s">
        <v>8257</v>
      </c>
      <c r="D777" t="s">
        <v>8258</v>
      </c>
      <c r="E777" t="s">
        <v>39</v>
      </c>
      <c r="F777" t="s">
        <v>55</v>
      </c>
      <c r="H777">
        <v>332</v>
      </c>
      <c r="I777">
        <v>7</v>
      </c>
      <c r="J777">
        <v>0</v>
      </c>
      <c r="K777" t="s">
        <v>8259</v>
      </c>
      <c r="L777" t="s">
        <v>57</v>
      </c>
      <c r="M777" t="s">
        <v>39</v>
      </c>
      <c r="N777">
        <v>0.97870000000000001</v>
      </c>
      <c r="O777" s="1">
        <v>1</v>
      </c>
      <c r="P777" t="s">
        <v>8260</v>
      </c>
      <c r="Q777" t="s">
        <v>8261</v>
      </c>
      <c r="S777" t="s">
        <v>166</v>
      </c>
      <c r="T777" t="s">
        <v>838</v>
      </c>
      <c r="U777" t="s">
        <v>8262</v>
      </c>
      <c r="V777">
        <v>4</v>
      </c>
      <c r="AE777" t="s">
        <v>74</v>
      </c>
      <c r="AF777" t="s">
        <v>8263</v>
      </c>
      <c r="AG777" t="s">
        <v>8264</v>
      </c>
      <c r="AH777" t="str">
        <f>HYPERLINK("http://compartments.jensenlab.org/Entity?figures=subcell_cell_%&amp;knowledge=10&amp;textmining=10&amp;experiments=10&amp;predictions=10&amp;type1=9606&amp;type2=-22&amp;id1=ENSP00000299766","link")</f>
        <v>link</v>
      </c>
      <c r="AI777" t="s">
        <v>65</v>
      </c>
      <c r="AJ777" t="s">
        <v>51</v>
      </c>
      <c r="AK777" t="str">
        <f>HYPERLINK("http://www.proteinatlas.org/P32245","HPA016719")</f>
        <v>HPA016719</v>
      </c>
      <c r="AM777">
        <v>4160</v>
      </c>
    </row>
    <row r="778" spans="1:39" x14ac:dyDescent="0.35">
      <c r="A778" t="s">
        <v>8265</v>
      </c>
      <c r="B778" t="str">
        <f>HYPERLINK("http://www.uniprot.org/uniprot/P32246","P32246")</f>
        <v>P32246</v>
      </c>
      <c r="C778" t="s">
        <v>8266</v>
      </c>
      <c r="D778" t="s">
        <v>8267</v>
      </c>
      <c r="E778" t="s">
        <v>39</v>
      </c>
      <c r="F778" t="s">
        <v>55</v>
      </c>
      <c r="H778">
        <v>355</v>
      </c>
      <c r="I778">
        <v>7</v>
      </c>
      <c r="J778">
        <v>0</v>
      </c>
      <c r="K778" t="s">
        <v>8268</v>
      </c>
      <c r="L778" t="s">
        <v>57</v>
      </c>
      <c r="M778" t="s">
        <v>39</v>
      </c>
      <c r="N778">
        <v>0.94969999999999999</v>
      </c>
      <c r="O778" s="1">
        <v>1</v>
      </c>
      <c r="P778" t="s">
        <v>8269</v>
      </c>
      <c r="Q778" t="s">
        <v>8270</v>
      </c>
      <c r="R778" t="s">
        <v>8271</v>
      </c>
      <c r="S778" t="s">
        <v>166</v>
      </c>
      <c r="T778" t="s">
        <v>838</v>
      </c>
      <c r="U778" t="s">
        <v>8272</v>
      </c>
      <c r="V778">
        <v>1</v>
      </c>
      <c r="W778" t="s">
        <v>8272</v>
      </c>
      <c r="X778" t="s">
        <v>8273</v>
      </c>
      <c r="AE778" t="s">
        <v>74</v>
      </c>
      <c r="AF778" t="s">
        <v>8274</v>
      </c>
      <c r="AG778" t="s">
        <v>8275</v>
      </c>
      <c r="AH778" t="str">
        <f>HYPERLINK("http://compartments.jensenlab.org/Entity?figures=subcell_cell_%&amp;knowledge=10&amp;textmining=10&amp;experiments=10&amp;predictions=10&amp;type1=9606&amp;type2=-22&amp;id1=ENSP00000296140","link")</f>
        <v>link</v>
      </c>
      <c r="AI778" t="s">
        <v>65</v>
      </c>
      <c r="AJ778" t="s">
        <v>51</v>
      </c>
      <c r="AK778" t="str">
        <f>HYPERLINK("http://www.proteinatlas.org/P32246","no")</f>
        <v>no</v>
      </c>
      <c r="AM778">
        <v>1230</v>
      </c>
    </row>
    <row r="779" spans="1:39" x14ac:dyDescent="0.35">
      <c r="A779" t="s">
        <v>8276</v>
      </c>
      <c r="B779" t="str">
        <f>HYPERLINK("http://www.uniprot.org/uniprot/P32247","P32247")</f>
        <v>P32247</v>
      </c>
      <c r="C779" t="s">
        <v>8277</v>
      </c>
      <c r="D779" t="s">
        <v>8278</v>
      </c>
      <c r="E779" t="s">
        <v>39</v>
      </c>
      <c r="F779" t="s">
        <v>55</v>
      </c>
      <c r="H779">
        <v>399</v>
      </c>
      <c r="I779">
        <v>7</v>
      </c>
      <c r="J779">
        <v>0</v>
      </c>
      <c r="K779" t="s">
        <v>8279</v>
      </c>
      <c r="L779" t="s">
        <v>57</v>
      </c>
      <c r="M779" t="s">
        <v>39</v>
      </c>
      <c r="N779">
        <v>0.93049999999999999</v>
      </c>
      <c r="O779" s="1">
        <v>1</v>
      </c>
      <c r="P779" t="s">
        <v>8280</v>
      </c>
      <c r="Q779" t="s">
        <v>8281</v>
      </c>
      <c r="S779" t="s">
        <v>166</v>
      </c>
      <c r="T779" t="s">
        <v>838</v>
      </c>
      <c r="U779" t="s">
        <v>8282</v>
      </c>
      <c r="V779">
        <v>3</v>
      </c>
      <c r="AE779" t="s">
        <v>74</v>
      </c>
      <c r="AF779" t="s">
        <v>2359</v>
      </c>
      <c r="AG779" t="s">
        <v>8283</v>
      </c>
      <c r="AH779" t="str">
        <f>HYPERLINK("http://compartments.jensenlab.org/Entity?figures=subcell_cell_%&amp;knowledge=10&amp;textmining=10&amp;experiments=10&amp;predictions=10&amp;type1=9606&amp;type2=-22&amp;id1=ENSP00000359682","link")</f>
        <v>link</v>
      </c>
      <c r="AI779" t="s">
        <v>65</v>
      </c>
      <c r="AJ779" t="s">
        <v>51</v>
      </c>
      <c r="AK779" t="str">
        <f>HYPERLINK("http://www.proteinatlas.org/P32247","HPA003626")</f>
        <v>HPA003626</v>
      </c>
      <c r="AM779">
        <v>680</v>
      </c>
    </row>
    <row r="780" spans="1:39" x14ac:dyDescent="0.35">
      <c r="A780" t="s">
        <v>8284</v>
      </c>
      <c r="B780" t="str">
        <f>HYPERLINK("http://www.uniprot.org/uniprot/P32248","P32248")</f>
        <v>P32248</v>
      </c>
      <c r="C780" t="s">
        <v>8285</v>
      </c>
      <c r="D780" t="s">
        <v>8286</v>
      </c>
      <c r="E780" t="s">
        <v>39</v>
      </c>
      <c r="F780" t="s">
        <v>55</v>
      </c>
      <c r="H780">
        <v>378</v>
      </c>
      <c r="I780">
        <v>7</v>
      </c>
      <c r="J780">
        <v>1</v>
      </c>
      <c r="K780" t="s">
        <v>8287</v>
      </c>
      <c r="L780" t="s">
        <v>101</v>
      </c>
      <c r="M780" t="s">
        <v>39</v>
      </c>
      <c r="N780">
        <v>0.95479999999999998</v>
      </c>
      <c r="O780" s="1">
        <v>1</v>
      </c>
      <c r="P780" t="s">
        <v>8288</v>
      </c>
      <c r="Q780" t="s">
        <v>8289</v>
      </c>
      <c r="R780" t="s">
        <v>8290</v>
      </c>
      <c r="S780" t="s">
        <v>166</v>
      </c>
      <c r="T780" t="s">
        <v>838</v>
      </c>
      <c r="U780" t="s">
        <v>8291</v>
      </c>
      <c r="V780">
        <v>2</v>
      </c>
      <c r="W780" t="s">
        <v>8291</v>
      </c>
      <c r="X780" t="s">
        <v>8292</v>
      </c>
      <c r="Z780" t="s">
        <v>107</v>
      </c>
      <c r="AA780">
        <v>7</v>
      </c>
      <c r="AB780" t="s">
        <v>8293</v>
      </c>
      <c r="AC780">
        <v>292</v>
      </c>
      <c r="AD780" t="s">
        <v>8294</v>
      </c>
      <c r="AE780" t="s">
        <v>74</v>
      </c>
      <c r="AF780" t="s">
        <v>2382</v>
      </c>
      <c r="AG780" t="s">
        <v>8295</v>
      </c>
      <c r="AH780" t="str">
        <f>HYPERLINK("http://compartments.jensenlab.org/Entity?figures=subcell_cell_%&amp;knowledge=10&amp;textmining=10&amp;experiments=10&amp;predictions=10&amp;type1=9606&amp;type2=-22&amp;id1=ENSP00000246657","link")</f>
        <v>link</v>
      </c>
      <c r="AI780" t="s">
        <v>65</v>
      </c>
      <c r="AJ780" t="s">
        <v>113</v>
      </c>
      <c r="AK780" t="str">
        <f>HYPERLINK("http://www.proteinatlas.org/P32248","CAB003796")</f>
        <v>CAB003796</v>
      </c>
      <c r="AM780">
        <v>1236</v>
      </c>
    </row>
    <row r="781" spans="1:39" x14ac:dyDescent="0.35">
      <c r="A781" t="s">
        <v>8296</v>
      </c>
      <c r="B781" t="str">
        <f>HYPERLINK("http://www.uniprot.org/uniprot/P32249","P32249")</f>
        <v>P32249</v>
      </c>
      <c r="C781" t="s">
        <v>8297</v>
      </c>
      <c r="D781" t="s">
        <v>8298</v>
      </c>
      <c r="E781" t="s">
        <v>39</v>
      </c>
      <c r="F781" t="s">
        <v>55</v>
      </c>
      <c r="H781">
        <v>361</v>
      </c>
      <c r="I781">
        <v>7</v>
      </c>
      <c r="J781">
        <v>0</v>
      </c>
      <c r="K781" t="s">
        <v>8299</v>
      </c>
      <c r="L781" t="s">
        <v>57</v>
      </c>
      <c r="M781" t="s">
        <v>39</v>
      </c>
      <c r="N781">
        <v>0.99460000000000004</v>
      </c>
      <c r="O781" s="1">
        <v>1</v>
      </c>
      <c r="P781" t="s">
        <v>8300</v>
      </c>
      <c r="Q781" t="s">
        <v>8301</v>
      </c>
      <c r="S781" t="s">
        <v>166</v>
      </c>
      <c r="T781" t="s">
        <v>838</v>
      </c>
      <c r="U781" t="s">
        <v>8302</v>
      </c>
      <c r="V781">
        <v>1</v>
      </c>
      <c r="W781" t="s">
        <v>8302</v>
      </c>
      <c r="AE781" t="s">
        <v>74</v>
      </c>
      <c r="AF781" t="s">
        <v>8303</v>
      </c>
      <c r="AG781" t="s">
        <v>8304</v>
      </c>
      <c r="AH781" t="str">
        <f>HYPERLINK("http://compartments.jensenlab.org/Entity?figures=subcell_cell_%&amp;knowledge=10&amp;textmining=10&amp;experiments=10&amp;predictions=10&amp;type1=9606&amp;type2=-22&amp;id1=ENSP00000365596","link")</f>
        <v>link</v>
      </c>
      <c r="AI781" t="s">
        <v>65</v>
      </c>
      <c r="AJ781" t="s">
        <v>51</v>
      </c>
      <c r="AK781" t="str">
        <f>HYPERLINK("http://www.proteinatlas.org/P32249","HPA028847;CAB033690")</f>
        <v>HPA028847;CAB033690</v>
      </c>
      <c r="AM781">
        <v>1880</v>
      </c>
    </row>
    <row r="782" spans="1:39" x14ac:dyDescent="0.35">
      <c r="A782" t="s">
        <v>8305</v>
      </c>
      <c r="B782" t="str">
        <f>HYPERLINK("http://www.uniprot.org/uniprot/P32297","P32297")</f>
        <v>P32297</v>
      </c>
      <c r="C782" t="s">
        <v>8306</v>
      </c>
      <c r="D782" t="s">
        <v>8307</v>
      </c>
      <c r="E782" t="s">
        <v>39</v>
      </c>
      <c r="F782" t="s">
        <v>55</v>
      </c>
      <c r="H782">
        <v>505</v>
      </c>
      <c r="I782">
        <v>4</v>
      </c>
      <c r="J782">
        <v>1</v>
      </c>
      <c r="K782" t="s">
        <v>8308</v>
      </c>
      <c r="L782" t="s">
        <v>101</v>
      </c>
      <c r="M782" t="s">
        <v>39</v>
      </c>
      <c r="N782">
        <v>0.83609999999999995</v>
      </c>
      <c r="O782" s="1">
        <v>1</v>
      </c>
      <c r="P782" t="s">
        <v>8309</v>
      </c>
      <c r="S782" t="s">
        <v>45</v>
      </c>
      <c r="T782" t="s">
        <v>195</v>
      </c>
      <c r="U782" t="s">
        <v>8310</v>
      </c>
      <c r="V782">
        <v>2</v>
      </c>
      <c r="Z782" t="s">
        <v>107</v>
      </c>
      <c r="AA782">
        <v>1</v>
      </c>
      <c r="AB782" t="s">
        <v>8311</v>
      </c>
      <c r="AC782">
        <v>172</v>
      </c>
      <c r="AD782" t="s">
        <v>8312</v>
      </c>
      <c r="AE782" t="s">
        <v>619</v>
      </c>
      <c r="AF782" t="s">
        <v>8313</v>
      </c>
      <c r="AG782" t="s">
        <v>8314</v>
      </c>
      <c r="AK782" t="str">
        <f>HYPERLINK("http://www.proteinatlas.org/P32297","HPA029430")</f>
        <v>HPA029430</v>
      </c>
      <c r="AL782" t="s">
        <v>8315</v>
      </c>
      <c r="AM782">
        <v>1136</v>
      </c>
    </row>
    <row r="783" spans="1:39" x14ac:dyDescent="0.35">
      <c r="A783" t="s">
        <v>8316</v>
      </c>
      <c r="B783" t="str">
        <f>HYPERLINK("http://www.uniprot.org/uniprot/P32302","P32302")</f>
        <v>P32302</v>
      </c>
      <c r="C783" t="s">
        <v>8317</v>
      </c>
      <c r="D783" t="s">
        <v>8318</v>
      </c>
      <c r="E783" t="s">
        <v>39</v>
      </c>
      <c r="F783" t="s">
        <v>55</v>
      </c>
      <c r="H783">
        <v>372</v>
      </c>
      <c r="I783">
        <v>7</v>
      </c>
      <c r="J783">
        <v>0</v>
      </c>
      <c r="K783" t="s">
        <v>8319</v>
      </c>
      <c r="L783" t="s">
        <v>101</v>
      </c>
      <c r="M783" t="s">
        <v>39</v>
      </c>
      <c r="N783">
        <v>0.98309999999999997</v>
      </c>
      <c r="O783" s="1">
        <v>1</v>
      </c>
      <c r="P783" t="s">
        <v>8320</v>
      </c>
      <c r="Q783" t="s">
        <v>8321</v>
      </c>
      <c r="R783" t="s">
        <v>8322</v>
      </c>
      <c r="S783" t="s">
        <v>166</v>
      </c>
      <c r="T783" t="s">
        <v>838</v>
      </c>
      <c r="U783" t="s">
        <v>8323</v>
      </c>
      <c r="V783">
        <v>3</v>
      </c>
      <c r="W783" t="s">
        <v>8324</v>
      </c>
      <c r="Z783" t="s">
        <v>107</v>
      </c>
      <c r="AA783">
        <v>11</v>
      </c>
      <c r="AB783" t="s">
        <v>8325</v>
      </c>
      <c r="AC783" t="s">
        <v>8326</v>
      </c>
      <c r="AD783" t="s">
        <v>8327</v>
      </c>
      <c r="AE783" t="s">
        <v>74</v>
      </c>
      <c r="AF783" t="s">
        <v>8328</v>
      </c>
      <c r="AG783" t="s">
        <v>8329</v>
      </c>
      <c r="AH783" t="str">
        <f>HYPERLINK("http://compartments.jensenlab.org/Entity?figures=subcell_cell_%&amp;knowledge=10&amp;textmining=10&amp;experiments=10&amp;predictions=10&amp;type1=9606&amp;type2=-22&amp;id1=ENSP00000292174","link")</f>
        <v>link</v>
      </c>
      <c r="AI783" t="s">
        <v>65</v>
      </c>
      <c r="AJ783" t="s">
        <v>51</v>
      </c>
      <c r="AK783" t="str">
        <f>HYPERLINK("http://www.proteinatlas.org/P32302","CAB026149;HPA042432")</f>
        <v>CAB026149;HPA042432</v>
      </c>
      <c r="AM783">
        <v>643</v>
      </c>
    </row>
    <row r="784" spans="1:39" x14ac:dyDescent="0.35">
      <c r="A784" t="s">
        <v>8330</v>
      </c>
      <c r="B784" t="str">
        <f>HYPERLINK("http://www.uniprot.org/uniprot/P32418","P32418")</f>
        <v>P32418</v>
      </c>
      <c r="C784" t="s">
        <v>8331</v>
      </c>
      <c r="D784" t="s">
        <v>8332</v>
      </c>
      <c r="E784" t="s">
        <v>39</v>
      </c>
      <c r="F784" t="s">
        <v>55</v>
      </c>
      <c r="H784">
        <v>973</v>
      </c>
      <c r="I784">
        <v>10</v>
      </c>
      <c r="J784">
        <v>1</v>
      </c>
      <c r="K784" t="s">
        <v>8333</v>
      </c>
      <c r="L784" t="s">
        <v>101</v>
      </c>
      <c r="M784" t="s">
        <v>39</v>
      </c>
      <c r="N784">
        <v>0.81289999999999996</v>
      </c>
      <c r="O784" s="1">
        <v>1</v>
      </c>
      <c r="P784" t="s">
        <v>8334</v>
      </c>
      <c r="Q784" t="s">
        <v>8335</v>
      </c>
      <c r="S784" t="s">
        <v>45</v>
      </c>
      <c r="T784" t="s">
        <v>8336</v>
      </c>
      <c r="U784" t="s">
        <v>8337</v>
      </c>
      <c r="V784">
        <v>2</v>
      </c>
      <c r="W784" t="s">
        <v>8337</v>
      </c>
      <c r="Y784">
        <v>798</v>
      </c>
      <c r="Z784" t="s">
        <v>107</v>
      </c>
      <c r="AA784">
        <v>1</v>
      </c>
      <c r="AB784" t="s">
        <v>8338</v>
      </c>
      <c r="AC784">
        <v>44</v>
      </c>
      <c r="AD784" t="s">
        <v>8339</v>
      </c>
      <c r="AE784" t="s">
        <v>74</v>
      </c>
      <c r="AF784" t="s">
        <v>8340</v>
      </c>
      <c r="AG784" t="s">
        <v>8341</v>
      </c>
      <c r="AH784" t="str">
        <f>HYPERLINK("http://compartments.jensenlab.org/Entity?figures=subcell_cell_%&amp;knowledge=10&amp;textmining=10&amp;experiments=10&amp;predictions=10&amp;type1=9606&amp;type2=-22&amp;id1=ENSP00000332931","link")</f>
        <v>link</v>
      </c>
      <c r="AI784" t="s">
        <v>65</v>
      </c>
      <c r="AJ784" t="s">
        <v>51</v>
      </c>
      <c r="AK784" t="str">
        <f>HYPERLINK("http://www.proteinatlas.org/P32418","CAB022694")</f>
        <v>CAB022694</v>
      </c>
      <c r="AL784" t="s">
        <v>8342</v>
      </c>
      <c r="AM784">
        <v>6546</v>
      </c>
    </row>
    <row r="785" spans="1:39" x14ac:dyDescent="0.35">
      <c r="A785" t="s">
        <v>8343</v>
      </c>
      <c r="B785" t="str">
        <f>HYPERLINK("http://www.uniprot.org/uniprot/P32745","P32745")</f>
        <v>P32745</v>
      </c>
      <c r="C785" t="s">
        <v>8344</v>
      </c>
      <c r="D785" t="s">
        <v>8345</v>
      </c>
      <c r="E785" t="s">
        <v>39</v>
      </c>
      <c r="F785" t="s">
        <v>40</v>
      </c>
      <c r="H785">
        <v>418</v>
      </c>
      <c r="I785">
        <v>7</v>
      </c>
      <c r="J785">
        <v>0</v>
      </c>
      <c r="K785" t="s">
        <v>8346</v>
      </c>
      <c r="L785" t="s">
        <v>57</v>
      </c>
      <c r="N785">
        <v>0.95209999999999995</v>
      </c>
      <c r="O785" s="1">
        <v>1</v>
      </c>
      <c r="P785" t="s">
        <v>8347</v>
      </c>
      <c r="Q785" t="s">
        <v>8348</v>
      </c>
      <c r="S785" t="s">
        <v>166</v>
      </c>
      <c r="T785" t="s">
        <v>838</v>
      </c>
      <c r="U785" t="s">
        <v>8349</v>
      </c>
      <c r="V785">
        <v>2</v>
      </c>
      <c r="AE785" t="s">
        <v>74</v>
      </c>
      <c r="AF785" t="s">
        <v>8350</v>
      </c>
      <c r="AG785" t="s">
        <v>8351</v>
      </c>
      <c r="AH785" t="str">
        <f>HYPERLINK("http://compartments.jensenlab.org/Entity?figures=subcell_cell_%&amp;knowledge=10&amp;textmining=10&amp;experiments=10&amp;predictions=10&amp;type1=9606&amp;type2=-22&amp;id1=ENSP00000480971","link")</f>
        <v>link</v>
      </c>
      <c r="AK785" t="str">
        <f>HYPERLINK("http://www.proteinatlas.org/P32745","no")</f>
        <v>no</v>
      </c>
      <c r="AL785" t="s">
        <v>8352</v>
      </c>
      <c r="AM785">
        <v>6753</v>
      </c>
    </row>
    <row r="786" spans="1:39" x14ac:dyDescent="0.35">
      <c r="A786" t="s">
        <v>8353</v>
      </c>
      <c r="B786" t="str">
        <f>HYPERLINK("http://www.uniprot.org/uniprot/P32926","P32926")</f>
        <v>P32926</v>
      </c>
      <c r="C786" t="s">
        <v>8354</v>
      </c>
      <c r="D786" t="s">
        <v>8355</v>
      </c>
      <c r="E786" t="s">
        <v>39</v>
      </c>
      <c r="F786" t="s">
        <v>40</v>
      </c>
      <c r="H786">
        <v>999</v>
      </c>
      <c r="I786">
        <v>1</v>
      </c>
      <c r="J786">
        <v>1</v>
      </c>
      <c r="K786" t="s">
        <v>8356</v>
      </c>
      <c r="L786" t="s">
        <v>57</v>
      </c>
      <c r="N786">
        <v>0.89019999999999999</v>
      </c>
      <c r="O786" s="1">
        <v>1</v>
      </c>
      <c r="P786" t="s">
        <v>8357</v>
      </c>
      <c r="Q786" t="s">
        <v>8358</v>
      </c>
      <c r="S786" t="s">
        <v>91</v>
      </c>
      <c r="T786" t="s">
        <v>8359</v>
      </c>
      <c r="U786" t="s">
        <v>8360</v>
      </c>
      <c r="V786">
        <v>4</v>
      </c>
      <c r="AE786" t="s">
        <v>8361</v>
      </c>
      <c r="AF786" t="s">
        <v>8362</v>
      </c>
      <c r="AG786" t="s">
        <v>8363</v>
      </c>
      <c r="AH786" t="str">
        <f>HYPERLINK("http://compartments.jensenlab.org/Entity?figures=subcell_cell_%&amp;knowledge=10&amp;textmining=10&amp;experiments=10&amp;predictions=10&amp;type1=9606&amp;type2=-22&amp;id1=ENSP00000257189","link")</f>
        <v>link</v>
      </c>
      <c r="AI786" t="s">
        <v>65</v>
      </c>
      <c r="AJ786" t="s">
        <v>4758</v>
      </c>
      <c r="AK786" t="str">
        <f>HYPERLINK("http://www.proteinatlas.org/P32926","HPA046864;HPA056863;CAB069880")</f>
        <v>HPA046864;HPA056863;CAB069880</v>
      </c>
      <c r="AM786">
        <v>1830</v>
      </c>
    </row>
    <row r="787" spans="1:39" x14ac:dyDescent="0.35">
      <c r="A787" t="s">
        <v>8364</v>
      </c>
      <c r="B787" t="str">
        <f>HYPERLINK("http://www.uniprot.org/uniprot/P32927","P32927")</f>
        <v>P32927</v>
      </c>
      <c r="C787" t="s">
        <v>8365</v>
      </c>
      <c r="D787" t="s">
        <v>8366</v>
      </c>
      <c r="E787" t="s">
        <v>39</v>
      </c>
      <c r="F787" t="s">
        <v>55</v>
      </c>
      <c r="H787">
        <v>897</v>
      </c>
      <c r="I787">
        <v>1</v>
      </c>
      <c r="J787">
        <v>1</v>
      </c>
      <c r="K787" t="s">
        <v>8367</v>
      </c>
      <c r="L787" t="s">
        <v>101</v>
      </c>
      <c r="M787" t="s">
        <v>39</v>
      </c>
      <c r="N787">
        <v>0.76629999999999998</v>
      </c>
      <c r="O787" s="1">
        <v>1</v>
      </c>
      <c r="P787" t="s">
        <v>8368</v>
      </c>
      <c r="Q787" t="s">
        <v>8369</v>
      </c>
      <c r="R787" t="s">
        <v>8370</v>
      </c>
      <c r="S787" t="s">
        <v>166</v>
      </c>
      <c r="T787" t="s">
        <v>3171</v>
      </c>
      <c r="U787" t="s">
        <v>8371</v>
      </c>
      <c r="V787">
        <v>3</v>
      </c>
      <c r="Y787">
        <v>425</v>
      </c>
      <c r="Z787" t="s">
        <v>107</v>
      </c>
      <c r="AA787">
        <v>2</v>
      </c>
      <c r="AB787" t="s">
        <v>8372</v>
      </c>
      <c r="AC787" t="s">
        <v>8373</v>
      </c>
      <c r="AD787" t="s">
        <v>8374</v>
      </c>
      <c r="AE787" t="s">
        <v>144</v>
      </c>
      <c r="AF787" t="s">
        <v>8375</v>
      </c>
      <c r="AG787" t="s">
        <v>8376</v>
      </c>
      <c r="AH787" t="str">
        <f>HYPERLINK("http://compartments.jensenlab.org/Entity?figures=subcell_cell_%&amp;knowledge=10&amp;textmining=10&amp;experiments=10&amp;predictions=10&amp;type1=9606&amp;type2=-22&amp;id1=ENSP00000384053","link")</f>
        <v>link</v>
      </c>
      <c r="AI787" t="s">
        <v>65</v>
      </c>
      <c r="AJ787" t="s">
        <v>51</v>
      </c>
      <c r="AK787" t="str">
        <f>HYPERLINK("http://www.proteinatlas.org/P32927","CAB010251")</f>
        <v>CAB010251</v>
      </c>
      <c r="AL787" t="s">
        <v>5689</v>
      </c>
      <c r="AM787">
        <v>1439</v>
      </c>
    </row>
    <row r="788" spans="1:39" x14ac:dyDescent="0.35">
      <c r="A788" t="s">
        <v>8377</v>
      </c>
      <c r="B788" t="str">
        <f>HYPERLINK("http://www.uniprot.org/uniprot/P32942","P32942")</f>
        <v>P32942</v>
      </c>
      <c r="C788" t="s">
        <v>8378</v>
      </c>
      <c r="D788" t="s">
        <v>8379</v>
      </c>
      <c r="E788" t="s">
        <v>39</v>
      </c>
      <c r="F788" t="s">
        <v>40</v>
      </c>
      <c r="H788">
        <v>547</v>
      </c>
      <c r="I788">
        <v>1</v>
      </c>
      <c r="J788">
        <v>1</v>
      </c>
      <c r="K788" t="s">
        <v>8380</v>
      </c>
      <c r="L788" t="s">
        <v>101</v>
      </c>
      <c r="N788">
        <v>0.96209999999999996</v>
      </c>
      <c r="O788" s="1">
        <v>1</v>
      </c>
      <c r="P788" t="s">
        <v>8381</v>
      </c>
      <c r="Q788" t="s">
        <v>8382</v>
      </c>
      <c r="R788" t="s">
        <v>8383</v>
      </c>
      <c r="S788" t="s">
        <v>166</v>
      </c>
      <c r="T788" t="s">
        <v>2505</v>
      </c>
      <c r="U788" t="s">
        <v>8384</v>
      </c>
      <c r="V788">
        <v>15</v>
      </c>
      <c r="W788" t="s">
        <v>8385</v>
      </c>
      <c r="Z788" t="s">
        <v>107</v>
      </c>
      <c r="AA788">
        <v>105</v>
      </c>
      <c r="AB788" t="s">
        <v>8386</v>
      </c>
      <c r="AC788" t="s">
        <v>8384</v>
      </c>
      <c r="AD788" t="s">
        <v>8387</v>
      </c>
      <c r="AE788" t="s">
        <v>144</v>
      </c>
      <c r="AF788" t="s">
        <v>8388</v>
      </c>
      <c r="AG788" t="s">
        <v>8389</v>
      </c>
      <c r="AH788" t="str">
        <f>HYPERLINK("http://compartments.jensenlab.org/Entity?figures=subcell_cell_%&amp;knowledge=10&amp;textmining=10&amp;experiments=10&amp;predictions=10&amp;type1=9606&amp;type2=-22&amp;id1=ENSP00000160262","link")</f>
        <v>link</v>
      </c>
      <c r="AJ788" t="s">
        <v>51</v>
      </c>
      <c r="AK788" t="str">
        <f>HYPERLINK("http://www.proteinatlas.org/P32942","CAB002498")</f>
        <v>CAB002498</v>
      </c>
      <c r="AM788">
        <v>3385</v>
      </c>
    </row>
    <row r="789" spans="1:39" x14ac:dyDescent="0.35">
      <c r="A789" t="s">
        <v>8390</v>
      </c>
      <c r="B789" t="str">
        <f>HYPERLINK("http://www.uniprot.org/uniprot/P32970","P32970")</f>
        <v>P32970</v>
      </c>
      <c r="C789" t="s">
        <v>8391</v>
      </c>
      <c r="D789" t="s">
        <v>8392</v>
      </c>
      <c r="E789" t="s">
        <v>39</v>
      </c>
      <c r="F789" t="s">
        <v>40</v>
      </c>
      <c r="H789">
        <v>193</v>
      </c>
      <c r="I789">
        <v>1</v>
      </c>
      <c r="J789">
        <v>0</v>
      </c>
      <c r="K789" t="s">
        <v>8393</v>
      </c>
      <c r="L789" t="s">
        <v>101</v>
      </c>
      <c r="N789">
        <v>0.6028</v>
      </c>
      <c r="O789" s="1">
        <v>2</v>
      </c>
      <c r="P789" t="s">
        <v>8394</v>
      </c>
      <c r="Q789" t="s">
        <v>8395</v>
      </c>
      <c r="R789" t="s">
        <v>8392</v>
      </c>
      <c r="S789" t="s">
        <v>60</v>
      </c>
      <c r="T789" t="s">
        <v>60</v>
      </c>
      <c r="U789" t="s">
        <v>8396</v>
      </c>
      <c r="V789">
        <v>2</v>
      </c>
      <c r="W789" t="s">
        <v>8396</v>
      </c>
      <c r="Z789" t="s">
        <v>123</v>
      </c>
      <c r="AA789">
        <v>16</v>
      </c>
      <c r="AB789" t="s">
        <v>8397</v>
      </c>
      <c r="AC789" t="s">
        <v>8396</v>
      </c>
      <c r="AD789" t="s">
        <v>8398</v>
      </c>
      <c r="AE789" t="s">
        <v>359</v>
      </c>
      <c r="AF789" t="s">
        <v>8399</v>
      </c>
      <c r="AG789" t="s">
        <v>8400</v>
      </c>
      <c r="AH789" t="str">
        <f>HYPERLINK("http://compartments.jensenlab.org/Entity?figures=subcell_cell_%&amp;knowledge=10&amp;textmining=10&amp;experiments=10&amp;predictions=10&amp;type1=9606&amp;type2=-22&amp;id1=ENSP00000245903","link")</f>
        <v>link</v>
      </c>
      <c r="AJ789" t="s">
        <v>902</v>
      </c>
      <c r="AK789" t="str">
        <f>HYPERLINK("http://www.proteinatlas.org/P32970","no")</f>
        <v>no</v>
      </c>
      <c r="AM789">
        <v>970</v>
      </c>
    </row>
    <row r="790" spans="1:39" x14ac:dyDescent="0.35">
      <c r="A790" t="s">
        <v>8401</v>
      </c>
      <c r="B790" t="str">
        <f>HYPERLINK("http://www.uniprot.org/uniprot/P32971","P32971")</f>
        <v>P32971</v>
      </c>
      <c r="C790" t="s">
        <v>8402</v>
      </c>
      <c r="D790" t="s">
        <v>8403</v>
      </c>
      <c r="E790" t="s">
        <v>39</v>
      </c>
      <c r="F790" t="s">
        <v>40</v>
      </c>
      <c r="H790">
        <v>234</v>
      </c>
      <c r="I790">
        <v>1</v>
      </c>
      <c r="J790">
        <v>0</v>
      </c>
      <c r="K790" t="s">
        <v>8404</v>
      </c>
      <c r="L790" t="s">
        <v>57</v>
      </c>
      <c r="N790">
        <v>0.8024</v>
      </c>
      <c r="O790" s="1">
        <v>1</v>
      </c>
      <c r="P790" t="s">
        <v>8405</v>
      </c>
      <c r="Q790" t="s">
        <v>8406</v>
      </c>
      <c r="R790" t="s">
        <v>8407</v>
      </c>
      <c r="S790" t="s">
        <v>60</v>
      </c>
      <c r="T790" t="s">
        <v>60</v>
      </c>
      <c r="U790" t="s">
        <v>8408</v>
      </c>
      <c r="V790">
        <v>5</v>
      </c>
      <c r="W790" t="s">
        <v>8408</v>
      </c>
      <c r="AE790" t="s">
        <v>359</v>
      </c>
      <c r="AF790" t="s">
        <v>8409</v>
      </c>
      <c r="AG790" t="s">
        <v>8410</v>
      </c>
      <c r="AH790" t="str">
        <f>HYPERLINK("http://compartments.jensenlab.org/Entity?figures=subcell_cell_%&amp;knowledge=10&amp;textmining=10&amp;experiments=10&amp;predictions=10&amp;type1=9606&amp;type2=-22&amp;id1=ENSP00000223795","link")</f>
        <v>link</v>
      </c>
      <c r="AJ790" t="s">
        <v>902</v>
      </c>
      <c r="AK790" t="str">
        <f>HYPERLINK("http://www.proteinatlas.org/P32971","no")</f>
        <v>no</v>
      </c>
      <c r="AM790">
        <v>944</v>
      </c>
    </row>
    <row r="791" spans="1:39" x14ac:dyDescent="0.35">
      <c r="A791" t="s">
        <v>8411</v>
      </c>
      <c r="B791" t="str">
        <f>HYPERLINK("http://www.uniprot.org/uniprot/P33032","P33032")</f>
        <v>P33032</v>
      </c>
      <c r="C791" t="s">
        <v>8412</v>
      </c>
      <c r="D791" t="s">
        <v>8413</v>
      </c>
      <c r="E791" t="s">
        <v>39</v>
      </c>
      <c r="F791" t="s">
        <v>55</v>
      </c>
      <c r="H791">
        <v>325</v>
      </c>
      <c r="I791">
        <v>7</v>
      </c>
      <c r="J791">
        <v>0</v>
      </c>
      <c r="K791" t="s">
        <v>8414</v>
      </c>
      <c r="L791" t="s">
        <v>57</v>
      </c>
      <c r="N791">
        <v>0.95209999999999995</v>
      </c>
      <c r="O791" s="1">
        <v>1</v>
      </c>
      <c r="P791" t="s">
        <v>8415</v>
      </c>
      <c r="Q791" t="s">
        <v>8416</v>
      </c>
      <c r="S791" t="s">
        <v>166</v>
      </c>
      <c r="T791" t="s">
        <v>838</v>
      </c>
      <c r="U791" t="s">
        <v>8417</v>
      </c>
      <c r="V791">
        <v>4</v>
      </c>
      <c r="W791">
        <v>15</v>
      </c>
      <c r="AE791" t="s">
        <v>74</v>
      </c>
      <c r="AF791" t="s">
        <v>8418</v>
      </c>
      <c r="AG791" t="s">
        <v>8419</v>
      </c>
      <c r="AH791" t="str">
        <f>HYPERLINK("http://compartments.jensenlab.org/Entity?figures=subcell_cell_%&amp;knowledge=10&amp;textmining=10&amp;experiments=10&amp;predictions=10&amp;type1=9606&amp;type2=-22&amp;id1=ENSP00000318077","link")</f>
        <v>link</v>
      </c>
      <c r="AI791" t="s">
        <v>65</v>
      </c>
      <c r="AJ791" t="s">
        <v>51</v>
      </c>
      <c r="AK791" t="str">
        <f>HYPERLINK("http://www.proteinatlas.org/P33032","HPA042365")</f>
        <v>HPA042365</v>
      </c>
      <c r="AM791">
        <v>4161</v>
      </c>
    </row>
    <row r="792" spans="1:39" x14ac:dyDescent="0.35">
      <c r="A792" t="s">
        <v>8420</v>
      </c>
      <c r="B792" t="str">
        <f>HYPERLINK("http://www.uniprot.org/uniprot/P33151","P33151")</f>
        <v>P33151</v>
      </c>
      <c r="C792" t="s">
        <v>8421</v>
      </c>
      <c r="D792" t="s">
        <v>8422</v>
      </c>
      <c r="E792" t="s">
        <v>39</v>
      </c>
      <c r="F792" t="s">
        <v>55</v>
      </c>
      <c r="H792">
        <v>784</v>
      </c>
      <c r="I792">
        <v>1</v>
      </c>
      <c r="J792">
        <v>1</v>
      </c>
      <c r="K792" t="s">
        <v>8423</v>
      </c>
      <c r="L792" t="s">
        <v>101</v>
      </c>
      <c r="M792" t="s">
        <v>39</v>
      </c>
      <c r="N792">
        <v>0.94710000000000005</v>
      </c>
      <c r="O792" s="1">
        <v>1</v>
      </c>
      <c r="P792" t="s">
        <v>8424</v>
      </c>
      <c r="Q792" t="s">
        <v>8425</v>
      </c>
      <c r="R792" t="s">
        <v>8426</v>
      </c>
      <c r="S792" t="s">
        <v>91</v>
      </c>
      <c r="T792" t="s">
        <v>2622</v>
      </c>
      <c r="U792" t="s">
        <v>8427</v>
      </c>
      <c r="V792">
        <v>7</v>
      </c>
      <c r="Z792" t="s">
        <v>107</v>
      </c>
      <c r="AA792">
        <v>4</v>
      </c>
      <c r="AB792" t="s">
        <v>8428</v>
      </c>
      <c r="AC792" t="s">
        <v>8429</v>
      </c>
      <c r="AD792" t="s">
        <v>8430</v>
      </c>
      <c r="AE792" t="s">
        <v>8431</v>
      </c>
      <c r="AF792" t="s">
        <v>8432</v>
      </c>
      <c r="AG792" t="s">
        <v>8433</v>
      </c>
      <c r="AH792" t="str">
        <f>HYPERLINK("http://compartments.jensenlab.org/Entity?figures=subcell_cell_%&amp;knowledge=10&amp;textmining=10&amp;experiments=10&amp;predictions=10&amp;type1=9606&amp;type2=-22&amp;id1=ENSP00000344115","link")</f>
        <v>link</v>
      </c>
      <c r="AI792" t="s">
        <v>65</v>
      </c>
      <c r="AJ792" t="s">
        <v>51</v>
      </c>
      <c r="AK792" t="str">
        <f>HYPERLINK("http://www.proteinatlas.org/P33151","CAB028366;HPA030562")</f>
        <v>CAB028366;HPA030562</v>
      </c>
      <c r="AL792" t="s">
        <v>8434</v>
      </c>
      <c r="AM792">
        <v>1003</v>
      </c>
    </row>
    <row r="793" spans="1:39" x14ac:dyDescent="0.35">
      <c r="A793" t="s">
        <v>8435</v>
      </c>
      <c r="B793" t="str">
        <f>HYPERLINK("http://www.uniprot.org/uniprot/P33527","P33527")</f>
        <v>P33527</v>
      </c>
      <c r="C793" t="s">
        <v>8436</v>
      </c>
      <c r="D793" t="s">
        <v>8437</v>
      </c>
      <c r="E793" t="s">
        <v>39</v>
      </c>
      <c r="F793" t="s">
        <v>55</v>
      </c>
      <c r="H793">
        <v>1531</v>
      </c>
      <c r="I793">
        <v>17</v>
      </c>
      <c r="J793">
        <v>0</v>
      </c>
      <c r="K793" t="s">
        <v>8438</v>
      </c>
      <c r="L793" t="s">
        <v>101</v>
      </c>
      <c r="M793" t="s">
        <v>39</v>
      </c>
      <c r="N793">
        <v>0.79530000000000001</v>
      </c>
      <c r="O793" s="1">
        <v>1</v>
      </c>
      <c r="P793" t="s">
        <v>8439</v>
      </c>
      <c r="Q793" t="s">
        <v>8440</v>
      </c>
      <c r="S793" t="s">
        <v>45</v>
      </c>
      <c r="T793" t="s">
        <v>1583</v>
      </c>
      <c r="U793" t="s">
        <v>8441</v>
      </c>
      <c r="V793">
        <v>4</v>
      </c>
      <c r="W793" t="s">
        <v>8442</v>
      </c>
      <c r="Z793" t="s">
        <v>107</v>
      </c>
      <c r="AA793">
        <v>10</v>
      </c>
      <c r="AB793" t="s">
        <v>8443</v>
      </c>
      <c r="AC793" t="s">
        <v>8444</v>
      </c>
      <c r="AD793" t="s">
        <v>8445</v>
      </c>
      <c r="AE793" t="s">
        <v>74</v>
      </c>
      <c r="AF793" t="s">
        <v>8446</v>
      </c>
      <c r="AG793" t="s">
        <v>8447</v>
      </c>
      <c r="AH793" t="str">
        <f>HYPERLINK("http://compartments.jensenlab.org/Entity?figures=subcell_cell_%&amp;knowledge=10&amp;textmining=10&amp;experiments=10&amp;predictions=10&amp;type1=9606&amp;type2=-22&amp;id1=ENSP00000382342","link")</f>
        <v>link</v>
      </c>
      <c r="AI793" t="s">
        <v>65</v>
      </c>
      <c r="AJ793" t="s">
        <v>8448</v>
      </c>
      <c r="AK793" t="str">
        <f>HYPERLINK("http://www.proteinatlas.org/P33527","HPA002380")</f>
        <v>HPA002380</v>
      </c>
      <c r="AL793" t="s">
        <v>8449</v>
      </c>
      <c r="AM793">
        <v>4363</v>
      </c>
    </row>
    <row r="794" spans="1:39" x14ac:dyDescent="0.35">
      <c r="A794" t="s">
        <v>8450</v>
      </c>
      <c r="B794" t="str">
        <f>HYPERLINK("http://www.uniprot.org/uniprot/P33681","P33681")</f>
        <v>P33681</v>
      </c>
      <c r="C794" t="s">
        <v>8451</v>
      </c>
      <c r="D794" t="s">
        <v>8452</v>
      </c>
      <c r="E794" t="s">
        <v>39</v>
      </c>
      <c r="F794" t="s">
        <v>40</v>
      </c>
      <c r="H794">
        <v>288</v>
      </c>
      <c r="I794">
        <v>1</v>
      </c>
      <c r="J794">
        <v>1</v>
      </c>
      <c r="K794" t="s">
        <v>8453</v>
      </c>
      <c r="L794" t="s">
        <v>101</v>
      </c>
      <c r="N794">
        <v>0.82040000000000002</v>
      </c>
      <c r="O794" s="1">
        <v>1</v>
      </c>
      <c r="P794" t="s">
        <v>8454</v>
      </c>
      <c r="Q794" t="s">
        <v>8455</v>
      </c>
      <c r="R794" t="s">
        <v>8452</v>
      </c>
      <c r="S794" t="s">
        <v>60</v>
      </c>
      <c r="T794" t="s">
        <v>60</v>
      </c>
      <c r="U794" t="s">
        <v>8456</v>
      </c>
      <c r="V794">
        <v>8</v>
      </c>
      <c r="W794" t="s">
        <v>8456</v>
      </c>
      <c r="X794" t="s">
        <v>7105</v>
      </c>
      <c r="Y794" t="s">
        <v>8457</v>
      </c>
      <c r="Z794" t="s">
        <v>107</v>
      </c>
      <c r="AA794">
        <v>12</v>
      </c>
      <c r="AB794" t="s">
        <v>8458</v>
      </c>
      <c r="AC794" t="s">
        <v>8459</v>
      </c>
      <c r="AD794" t="s">
        <v>8460</v>
      </c>
      <c r="AE794" t="s">
        <v>144</v>
      </c>
      <c r="AF794" t="s">
        <v>8461</v>
      </c>
      <c r="AG794" t="s">
        <v>8462</v>
      </c>
      <c r="AH794" t="str">
        <f>HYPERLINK("http://compartments.jensenlab.org/Entity?figures=subcell_cell_%&amp;knowledge=10&amp;textmining=10&amp;experiments=10&amp;predictions=10&amp;type1=9606&amp;type2=-22&amp;id1=ENSP00000264246","link")</f>
        <v>link</v>
      </c>
      <c r="AJ794" t="s">
        <v>113</v>
      </c>
      <c r="AK794" t="str">
        <f>HYPERLINK("http://www.proteinatlas.org/P33681","CAB025368")</f>
        <v>CAB025368</v>
      </c>
      <c r="AL794" t="s">
        <v>8463</v>
      </c>
      <c r="AM794">
        <v>941</v>
      </c>
    </row>
    <row r="795" spans="1:39" x14ac:dyDescent="0.35">
      <c r="A795" t="s">
        <v>8464</v>
      </c>
      <c r="B795" t="str">
        <f>HYPERLINK("http://www.uniprot.org/uniprot/P33765","P33765")</f>
        <v>P33765</v>
      </c>
      <c r="C795" t="s">
        <v>8465</v>
      </c>
      <c r="D795" t="s">
        <v>8466</v>
      </c>
      <c r="E795" t="s">
        <v>39</v>
      </c>
      <c r="F795" t="s">
        <v>40</v>
      </c>
      <c r="H795">
        <v>318</v>
      </c>
      <c r="I795">
        <v>7</v>
      </c>
      <c r="J795">
        <v>0</v>
      </c>
      <c r="K795" t="s">
        <v>8467</v>
      </c>
      <c r="L795" t="s">
        <v>57</v>
      </c>
      <c r="N795">
        <v>0.88819999999999999</v>
      </c>
      <c r="O795" s="1">
        <v>1</v>
      </c>
      <c r="P795" t="s">
        <v>8468</v>
      </c>
      <c r="Q795" t="s">
        <v>8469</v>
      </c>
      <c r="U795" t="s">
        <v>8470</v>
      </c>
      <c r="V795">
        <v>4</v>
      </c>
      <c r="W795" t="s">
        <v>8471</v>
      </c>
      <c r="AE795" t="s">
        <v>74</v>
      </c>
      <c r="AF795" t="s">
        <v>8472</v>
      </c>
      <c r="AG795" t="s">
        <v>8473</v>
      </c>
      <c r="AH795" t="str">
        <f>HYPERLINK("http://compartments.jensenlab.org/Entity?figures=subcell_cell_%&amp;knowledge=10&amp;textmining=10&amp;experiments=10&amp;predictions=10&amp;type1=9606&amp;type2=-22&amp;id1=ENSP00000241356","link")</f>
        <v>link</v>
      </c>
      <c r="AK795" t="str">
        <f>HYPERLINK("http://www.proteinatlas.org/P33765","HPA028509;HPA028566;HPA028568")</f>
        <v>HPA028509;HPA028566;HPA028568</v>
      </c>
      <c r="AL795" t="s">
        <v>8474</v>
      </c>
      <c r="AM795" t="s">
        <v>8475</v>
      </c>
    </row>
    <row r="796" spans="1:39" x14ac:dyDescent="0.35">
      <c r="A796" t="s">
        <v>8476</v>
      </c>
      <c r="B796" t="str">
        <f>HYPERLINK("http://www.uniprot.org/uniprot/P34741","P34741")</f>
        <v>P34741</v>
      </c>
      <c r="C796" t="s">
        <v>8477</v>
      </c>
      <c r="D796" t="s">
        <v>8478</v>
      </c>
      <c r="E796" t="s">
        <v>39</v>
      </c>
      <c r="F796" t="s">
        <v>40</v>
      </c>
      <c r="H796">
        <v>201</v>
      </c>
      <c r="I796">
        <v>1</v>
      </c>
      <c r="J796">
        <v>1</v>
      </c>
      <c r="K796" t="s">
        <v>8479</v>
      </c>
      <c r="L796" t="s">
        <v>57</v>
      </c>
      <c r="N796">
        <v>0.82830000000000004</v>
      </c>
      <c r="O796" s="1">
        <v>1</v>
      </c>
      <c r="P796" t="s">
        <v>8480</v>
      </c>
      <c r="Q796" t="s">
        <v>8481</v>
      </c>
      <c r="R796" t="s">
        <v>8482</v>
      </c>
      <c r="S796" t="s">
        <v>166</v>
      </c>
      <c r="T796" t="s">
        <v>6208</v>
      </c>
      <c r="U796">
        <v>34</v>
      </c>
      <c r="V796">
        <v>1</v>
      </c>
      <c r="W796">
        <v>34</v>
      </c>
      <c r="AE796" t="s">
        <v>144</v>
      </c>
      <c r="AF796" t="s">
        <v>8483</v>
      </c>
      <c r="AG796" t="s">
        <v>8484</v>
      </c>
      <c r="AH796" t="str">
        <f>HYPERLINK("http://compartments.jensenlab.org/Entity?figures=subcell_cell_%&amp;knowledge=10&amp;textmining=10&amp;experiments=10&amp;predictions=10&amp;type1=9606&amp;type2=-22&amp;id1=ENSP00000307046","link")</f>
        <v>link</v>
      </c>
      <c r="AI796" t="s">
        <v>65</v>
      </c>
      <c r="AJ796" t="s">
        <v>51</v>
      </c>
      <c r="AK796" t="str">
        <f>HYPERLINK("http://www.proteinatlas.org/P34741","CAB025123;HPA044416")</f>
        <v>CAB025123;HPA044416</v>
      </c>
      <c r="AL796" t="s">
        <v>5689</v>
      </c>
      <c r="AM796">
        <v>6383</v>
      </c>
    </row>
    <row r="797" spans="1:39" x14ac:dyDescent="0.35">
      <c r="A797" t="s">
        <v>8485</v>
      </c>
      <c r="B797" t="str">
        <f>HYPERLINK("http://www.uniprot.org/uniprot/P34810","P34810")</f>
        <v>P34810</v>
      </c>
      <c r="C797" t="s">
        <v>8486</v>
      </c>
      <c r="D797" t="s">
        <v>8487</v>
      </c>
      <c r="E797" t="s">
        <v>39</v>
      </c>
      <c r="F797" t="s">
        <v>55</v>
      </c>
      <c r="H797">
        <v>354</v>
      </c>
      <c r="I797">
        <v>1</v>
      </c>
      <c r="J797">
        <v>1</v>
      </c>
      <c r="K797" t="s">
        <v>8488</v>
      </c>
      <c r="L797" t="s">
        <v>101</v>
      </c>
      <c r="M797" t="s">
        <v>39</v>
      </c>
      <c r="N797">
        <v>0.84299999999999997</v>
      </c>
      <c r="O797" s="1">
        <v>1</v>
      </c>
      <c r="P797" t="s">
        <v>8489</v>
      </c>
      <c r="Q797" t="s">
        <v>8490</v>
      </c>
      <c r="R797" t="s">
        <v>8487</v>
      </c>
      <c r="S797" t="s">
        <v>166</v>
      </c>
      <c r="T797" t="s">
        <v>5124</v>
      </c>
      <c r="U797" t="s">
        <v>8491</v>
      </c>
      <c r="V797">
        <v>9</v>
      </c>
      <c r="W797" t="s">
        <v>8492</v>
      </c>
      <c r="X797">
        <v>125</v>
      </c>
      <c r="Z797" t="s">
        <v>107</v>
      </c>
      <c r="AA797">
        <v>3</v>
      </c>
      <c r="AB797" t="s">
        <v>8493</v>
      </c>
      <c r="AC797" t="s">
        <v>8494</v>
      </c>
      <c r="AD797" t="s">
        <v>8495</v>
      </c>
      <c r="AE797" t="s">
        <v>8496</v>
      </c>
      <c r="AF797" t="s">
        <v>8497</v>
      </c>
      <c r="AG797" t="s">
        <v>8498</v>
      </c>
      <c r="AH797" t="str">
        <f>HYPERLINK("http://compartments.jensenlab.org/Entity?figures=subcell_cell_%&amp;knowledge=10&amp;textmining=10&amp;experiments=10&amp;predictions=10&amp;type1=9606&amp;type2=-22&amp;id1=ENSP00000250092","link")</f>
        <v>link</v>
      </c>
      <c r="AI797" t="s">
        <v>4661</v>
      </c>
      <c r="AJ797" t="s">
        <v>4662</v>
      </c>
      <c r="AK797" t="str">
        <f>HYPERLINK("http://www.proteinatlas.org/P34810","CAB000051;CAB000066;HPA048982")</f>
        <v>CAB000051;CAB000066;HPA048982</v>
      </c>
      <c r="AM797">
        <v>968</v>
      </c>
    </row>
    <row r="798" spans="1:39" x14ac:dyDescent="0.35">
      <c r="A798" t="s">
        <v>8499</v>
      </c>
      <c r="B798" t="str">
        <f>HYPERLINK("http://www.uniprot.org/uniprot/P34903","P34903")</f>
        <v>P34903</v>
      </c>
      <c r="C798" t="s">
        <v>8500</v>
      </c>
      <c r="D798" t="s">
        <v>8501</v>
      </c>
      <c r="E798" t="s">
        <v>39</v>
      </c>
      <c r="F798" t="s">
        <v>40</v>
      </c>
      <c r="H798">
        <v>492</v>
      </c>
      <c r="I798">
        <v>4</v>
      </c>
      <c r="J798">
        <v>1</v>
      </c>
      <c r="K798" t="s">
        <v>8502</v>
      </c>
      <c r="L798" t="s">
        <v>57</v>
      </c>
      <c r="N798">
        <v>0.93410000000000004</v>
      </c>
      <c r="O798" s="1">
        <v>1</v>
      </c>
      <c r="P798" t="s">
        <v>8503</v>
      </c>
      <c r="Q798" t="s">
        <v>8504</v>
      </c>
      <c r="S798" t="s">
        <v>45</v>
      </c>
      <c r="T798" t="s">
        <v>195</v>
      </c>
      <c r="U798" t="s">
        <v>8505</v>
      </c>
      <c r="V798">
        <v>4</v>
      </c>
      <c r="W798" t="s">
        <v>8506</v>
      </c>
      <c r="AE798" t="s">
        <v>619</v>
      </c>
      <c r="AF798" t="s">
        <v>8507</v>
      </c>
      <c r="AG798" t="s">
        <v>8508</v>
      </c>
      <c r="AH798" t="str">
        <f>HYPERLINK("http://compartments.jensenlab.org/Entity?figures=subcell_cell_%&amp;knowledge=10&amp;textmining=10&amp;experiments=10&amp;predictions=10&amp;type1=9606&amp;type2=-22&amp;id1=ENSP00000359337","link")</f>
        <v>link</v>
      </c>
      <c r="AK798" t="str">
        <f>HYPERLINK("http://www.proteinatlas.org/P34903","HPA000839")</f>
        <v>HPA000839</v>
      </c>
      <c r="AL798" t="s">
        <v>8509</v>
      </c>
      <c r="AM798">
        <v>2556</v>
      </c>
    </row>
    <row r="799" spans="1:39" x14ac:dyDescent="0.35">
      <c r="A799" t="s">
        <v>8510</v>
      </c>
      <c r="B799" t="str">
        <f>HYPERLINK("http://www.uniprot.org/uniprot/P34910","P34910")</f>
        <v>P34910</v>
      </c>
      <c r="C799" t="s">
        <v>8511</v>
      </c>
      <c r="D799" t="s">
        <v>8512</v>
      </c>
      <c r="E799" t="s">
        <v>39</v>
      </c>
      <c r="F799" t="s">
        <v>40</v>
      </c>
      <c r="H799">
        <v>448</v>
      </c>
      <c r="I799">
        <v>1</v>
      </c>
      <c r="J799">
        <v>1</v>
      </c>
      <c r="K799" t="s">
        <v>8513</v>
      </c>
      <c r="L799" t="s">
        <v>57</v>
      </c>
      <c r="N799">
        <v>0.87229999999999996</v>
      </c>
      <c r="O799" s="1">
        <v>1</v>
      </c>
      <c r="P799" t="s">
        <v>8514</v>
      </c>
      <c r="Q799" t="s">
        <v>8515</v>
      </c>
      <c r="R799" t="s">
        <v>8516</v>
      </c>
      <c r="S799" t="s">
        <v>60</v>
      </c>
      <c r="T799" t="s">
        <v>60</v>
      </c>
      <c r="U799" t="s">
        <v>8517</v>
      </c>
      <c r="V799">
        <v>2</v>
      </c>
      <c r="W799" t="s">
        <v>8518</v>
      </c>
      <c r="AE799" t="s">
        <v>144</v>
      </c>
      <c r="AF799" t="s">
        <v>8519</v>
      </c>
      <c r="AG799" t="s">
        <v>8520</v>
      </c>
      <c r="AH799" t="str">
        <f>HYPERLINK("http://compartments.jensenlab.org/Entity?figures=subcell_cell_%&amp;knowledge=10&amp;textmining=10&amp;experiments=10&amp;predictions=10&amp;type1=9606&amp;type2=-22&amp;id1=ENSP00000333779","link")</f>
        <v>link</v>
      </c>
      <c r="AJ799" t="s">
        <v>2124</v>
      </c>
      <c r="AK799" t="str">
        <f>HYPERLINK("http://www.proteinatlas.org/P34910","HPA007436;HPA053383")</f>
        <v>HPA007436;HPA053383</v>
      </c>
      <c r="AM799">
        <v>2124</v>
      </c>
    </row>
    <row r="800" spans="1:39" x14ac:dyDescent="0.35">
      <c r="A800" t="s">
        <v>8521</v>
      </c>
      <c r="B800" t="str">
        <f>HYPERLINK("http://www.uniprot.org/uniprot/P34925","P34925")</f>
        <v>P34925</v>
      </c>
      <c r="C800" t="s">
        <v>8522</v>
      </c>
      <c r="D800" t="s">
        <v>8523</v>
      </c>
      <c r="E800" t="s">
        <v>39</v>
      </c>
      <c r="F800" t="s">
        <v>40</v>
      </c>
      <c r="H800">
        <v>604</v>
      </c>
      <c r="I800">
        <v>1</v>
      </c>
      <c r="J800">
        <v>1</v>
      </c>
      <c r="K800" t="s">
        <v>8524</v>
      </c>
      <c r="L800" t="s">
        <v>101</v>
      </c>
      <c r="N800">
        <v>0.94410000000000005</v>
      </c>
      <c r="O800" s="1">
        <v>1</v>
      </c>
      <c r="P800" t="s">
        <v>8525</v>
      </c>
      <c r="Q800" t="s">
        <v>8526</v>
      </c>
      <c r="S800" t="s">
        <v>166</v>
      </c>
      <c r="T800" t="s">
        <v>1411</v>
      </c>
      <c r="U800" t="s">
        <v>8527</v>
      </c>
      <c r="V800">
        <v>5</v>
      </c>
      <c r="W800" t="s">
        <v>8528</v>
      </c>
      <c r="Z800" t="s">
        <v>107</v>
      </c>
      <c r="AA800">
        <v>2</v>
      </c>
      <c r="AB800" t="s">
        <v>8529</v>
      </c>
      <c r="AC800" t="s">
        <v>8530</v>
      </c>
      <c r="AD800" t="s">
        <v>8531</v>
      </c>
      <c r="AE800" t="s">
        <v>8532</v>
      </c>
      <c r="AF800" t="s">
        <v>8533</v>
      </c>
      <c r="AG800" t="s">
        <v>8534</v>
      </c>
      <c r="AH800" t="str">
        <f>HYPERLINK("http://compartments.jensenlab.org/Entity?figures=subcell_cell_%&amp;knowledge=10&amp;textmining=10&amp;experiments=10&amp;predictions=10&amp;type1=9606&amp;type2=-22&amp;id1=ENSP00000296084","link")</f>
        <v>link</v>
      </c>
      <c r="AJ800" t="s">
        <v>299</v>
      </c>
      <c r="AK800" t="str">
        <f>HYPERLINK("http://www.proteinatlas.org/P34925","CAB034117;HPA045503")</f>
        <v>CAB034117;HPA045503</v>
      </c>
      <c r="AM800">
        <v>6259</v>
      </c>
    </row>
    <row r="801" spans="1:39" x14ac:dyDescent="0.35">
      <c r="A801" t="s">
        <v>8535</v>
      </c>
      <c r="B801" t="str">
        <f>HYPERLINK("http://www.uniprot.org/uniprot/P34969","P34969")</f>
        <v>P34969</v>
      </c>
      <c r="C801" t="s">
        <v>8536</v>
      </c>
      <c r="D801" t="s">
        <v>8537</v>
      </c>
      <c r="E801" t="s">
        <v>39</v>
      </c>
      <c r="F801" t="s">
        <v>55</v>
      </c>
      <c r="H801">
        <v>479</v>
      </c>
      <c r="I801">
        <v>7</v>
      </c>
      <c r="J801">
        <v>0</v>
      </c>
      <c r="K801" t="s">
        <v>8538</v>
      </c>
      <c r="L801" t="s">
        <v>57</v>
      </c>
      <c r="M801" t="s">
        <v>39</v>
      </c>
      <c r="N801">
        <v>0.94440000000000002</v>
      </c>
      <c r="O801" s="1">
        <v>1</v>
      </c>
      <c r="P801" t="s">
        <v>8539</v>
      </c>
      <c r="Q801" t="s">
        <v>8540</v>
      </c>
      <c r="S801" t="s">
        <v>166</v>
      </c>
      <c r="T801" t="s">
        <v>838</v>
      </c>
      <c r="U801" t="s">
        <v>8541</v>
      </c>
      <c r="V801">
        <v>2</v>
      </c>
      <c r="AE801" t="s">
        <v>74</v>
      </c>
      <c r="AF801" t="s">
        <v>7063</v>
      </c>
      <c r="AG801" t="s">
        <v>8542</v>
      </c>
      <c r="AH801" t="str">
        <f>HYPERLINK("http://compartments.jensenlab.org/Entity?figures=subcell_cell_%&amp;knowledge=10&amp;textmining=10&amp;experiments=10&amp;predictions=10&amp;type1=9606&amp;type2=-22&amp;id1=ENSP00000337949","link")</f>
        <v>link</v>
      </c>
      <c r="AI801" t="s">
        <v>65</v>
      </c>
      <c r="AJ801" t="s">
        <v>51</v>
      </c>
      <c r="AK801" t="str">
        <f>HYPERLINK("http://www.proteinatlas.org/P34969","CAB022708")</f>
        <v>CAB022708</v>
      </c>
      <c r="AL801" t="s">
        <v>8543</v>
      </c>
      <c r="AM801">
        <v>3363</v>
      </c>
    </row>
    <row r="802" spans="1:39" x14ac:dyDescent="0.35">
      <c r="A802" t="s">
        <v>8544</v>
      </c>
      <c r="B802" t="str">
        <f>HYPERLINK("http://www.uniprot.org/uniprot/P34972","P34972")</f>
        <v>P34972</v>
      </c>
      <c r="C802" t="s">
        <v>8545</v>
      </c>
      <c r="D802" t="s">
        <v>8546</v>
      </c>
      <c r="E802" t="s">
        <v>39</v>
      </c>
      <c r="F802" t="s">
        <v>55</v>
      </c>
      <c r="H802">
        <v>360</v>
      </c>
      <c r="I802">
        <v>7</v>
      </c>
      <c r="J802">
        <v>0</v>
      </c>
      <c r="K802" t="s">
        <v>8547</v>
      </c>
      <c r="L802" t="s">
        <v>101</v>
      </c>
      <c r="M802" t="s">
        <v>39</v>
      </c>
      <c r="N802">
        <v>0.94710000000000005</v>
      </c>
      <c r="O802" s="1">
        <v>1</v>
      </c>
      <c r="P802" t="s">
        <v>8548</v>
      </c>
      <c r="Q802" t="s">
        <v>8549</v>
      </c>
      <c r="S802" t="s">
        <v>166</v>
      </c>
      <c r="T802" t="s">
        <v>838</v>
      </c>
      <c r="U802">
        <v>11</v>
      </c>
      <c r="V802">
        <v>1</v>
      </c>
      <c r="X802">
        <v>336</v>
      </c>
      <c r="Z802" t="s">
        <v>107</v>
      </c>
      <c r="AA802">
        <v>2</v>
      </c>
      <c r="AB802" t="s">
        <v>8550</v>
      </c>
      <c r="AC802">
        <v>11</v>
      </c>
      <c r="AD802" t="s">
        <v>8551</v>
      </c>
      <c r="AE802" t="s">
        <v>8552</v>
      </c>
      <c r="AF802" t="s">
        <v>8553</v>
      </c>
      <c r="AG802" t="s">
        <v>8554</v>
      </c>
      <c r="AH802" t="str">
        <f>HYPERLINK("http://compartments.jensenlab.org/Entity?figures=subcell_cell_%&amp;knowledge=10&amp;textmining=10&amp;experiments=10&amp;predictions=10&amp;type1=9606&amp;type2=-22&amp;id1=ENSP00000363596","link")</f>
        <v>link</v>
      </c>
      <c r="AI802" t="s">
        <v>65</v>
      </c>
      <c r="AJ802" t="s">
        <v>51</v>
      </c>
      <c r="AK802" t="str">
        <f>HYPERLINK("http://www.proteinatlas.org/P34972","CAB009719")</f>
        <v>CAB009719</v>
      </c>
      <c r="AL802" t="s">
        <v>8555</v>
      </c>
      <c r="AM802">
        <v>1269</v>
      </c>
    </row>
    <row r="803" spans="1:39" x14ac:dyDescent="0.35">
      <c r="A803" t="s">
        <v>8556</v>
      </c>
      <c r="B803" t="str">
        <f>HYPERLINK("http://www.uniprot.org/uniprot/P34981","P34981")</f>
        <v>P34981</v>
      </c>
      <c r="C803" t="s">
        <v>8557</v>
      </c>
      <c r="D803" t="s">
        <v>8558</v>
      </c>
      <c r="E803" t="s">
        <v>39</v>
      </c>
      <c r="F803" t="s">
        <v>55</v>
      </c>
      <c r="H803">
        <v>398</v>
      </c>
      <c r="I803">
        <v>6</v>
      </c>
      <c r="J803">
        <v>0</v>
      </c>
      <c r="K803" t="s">
        <v>8559</v>
      </c>
      <c r="L803" t="s">
        <v>3024</v>
      </c>
      <c r="M803" t="s">
        <v>39</v>
      </c>
      <c r="N803">
        <v>0.71099999999999997</v>
      </c>
      <c r="O803" s="1">
        <v>2</v>
      </c>
      <c r="P803" t="s">
        <v>8560</v>
      </c>
      <c r="Q803" t="s">
        <v>8561</v>
      </c>
      <c r="S803" t="s">
        <v>166</v>
      </c>
      <c r="T803" t="s">
        <v>838</v>
      </c>
      <c r="U803" t="s">
        <v>8562</v>
      </c>
      <c r="V803">
        <v>9</v>
      </c>
      <c r="W803" t="s">
        <v>8563</v>
      </c>
      <c r="Z803" t="s">
        <v>107</v>
      </c>
      <c r="AA803">
        <v>2</v>
      </c>
      <c r="AB803" t="s">
        <v>8564</v>
      </c>
      <c r="AC803" t="s">
        <v>7432</v>
      </c>
      <c r="AD803" t="s">
        <v>8565</v>
      </c>
      <c r="AE803" t="s">
        <v>74</v>
      </c>
      <c r="AF803" t="s">
        <v>967</v>
      </c>
      <c r="AG803" t="s">
        <v>8566</v>
      </c>
      <c r="AH803" t="str">
        <f>HYPERLINK("http://compartments.jensenlab.org/Entity?figures=subcell_cell_%&amp;knowledge=10&amp;textmining=10&amp;experiments=10&amp;predictions=10&amp;type1=9606&amp;type2=-22&amp;id1=ENSP00000309818","link")</f>
        <v>link</v>
      </c>
      <c r="AI803" t="s">
        <v>65</v>
      </c>
      <c r="AJ803" t="s">
        <v>51</v>
      </c>
      <c r="AK803" t="str">
        <f>HYPERLINK("http://www.proteinatlas.org/P34981","no")</f>
        <v>no</v>
      </c>
      <c r="AM803">
        <v>7201</v>
      </c>
    </row>
    <row r="804" spans="1:39" x14ac:dyDescent="0.35">
      <c r="A804" t="s">
        <v>8567</v>
      </c>
      <c r="B804" t="str">
        <f>HYPERLINK("http://www.uniprot.org/uniprot/P34982","P34982")</f>
        <v>P34982</v>
      </c>
      <c r="C804" t="s">
        <v>8568</v>
      </c>
      <c r="D804" t="s">
        <v>8569</v>
      </c>
      <c r="E804" t="s">
        <v>39</v>
      </c>
      <c r="F804" t="s">
        <v>40</v>
      </c>
      <c r="H804">
        <v>312</v>
      </c>
      <c r="I804">
        <v>7</v>
      </c>
      <c r="J804">
        <v>0</v>
      </c>
      <c r="K804" t="s">
        <v>8570</v>
      </c>
      <c r="L804" t="s">
        <v>57</v>
      </c>
      <c r="N804">
        <v>0.99399999999999999</v>
      </c>
      <c r="O804" s="1">
        <v>1</v>
      </c>
      <c r="P804" t="s">
        <v>8571</v>
      </c>
      <c r="Q804" t="s">
        <v>8572</v>
      </c>
      <c r="S804" t="s">
        <v>166</v>
      </c>
      <c r="T804" t="s">
        <v>167</v>
      </c>
      <c r="U804" t="s">
        <v>8573</v>
      </c>
      <c r="V804">
        <v>2</v>
      </c>
      <c r="W804">
        <v>195</v>
      </c>
      <c r="AE804" t="s">
        <v>74</v>
      </c>
      <c r="AF804" t="s">
        <v>8574</v>
      </c>
      <c r="AG804" t="s">
        <v>8575</v>
      </c>
      <c r="AH804" t="str">
        <f>HYPERLINK("http://compartments.jensenlab.org/Entity?figures=subcell_cell_%&amp;knowledge=10&amp;textmining=10&amp;experiments=10&amp;predictions=10&amp;type1=9606&amp;type2=-22&amp;id1=ENSP00000327585","link")</f>
        <v>link</v>
      </c>
      <c r="AI804" t="s">
        <v>65</v>
      </c>
      <c r="AJ804" t="s">
        <v>51</v>
      </c>
      <c r="AK804" t="str">
        <f>HYPERLINK("http://www.proteinatlas.org/P34982","no")</f>
        <v>no</v>
      </c>
      <c r="AM804">
        <v>4991</v>
      </c>
    </row>
    <row r="805" spans="1:39" x14ac:dyDescent="0.35">
      <c r="A805" t="s">
        <v>8576</v>
      </c>
      <c r="B805" t="str">
        <f>HYPERLINK("http://www.uniprot.org/uniprot/P34995","P34995")</f>
        <v>P34995</v>
      </c>
      <c r="C805" t="s">
        <v>8577</v>
      </c>
      <c r="D805" t="s">
        <v>8578</v>
      </c>
      <c r="E805" t="s">
        <v>39</v>
      </c>
      <c r="F805" t="s">
        <v>55</v>
      </c>
      <c r="H805">
        <v>402</v>
      </c>
      <c r="I805">
        <v>7</v>
      </c>
      <c r="J805">
        <v>0</v>
      </c>
      <c r="K805" t="s">
        <v>8579</v>
      </c>
      <c r="L805" t="s">
        <v>57</v>
      </c>
      <c r="M805" t="s">
        <v>39</v>
      </c>
      <c r="N805">
        <v>0.9365</v>
      </c>
      <c r="O805" s="1">
        <v>1</v>
      </c>
      <c r="P805" t="s">
        <v>8580</v>
      </c>
      <c r="Q805" t="s">
        <v>8581</v>
      </c>
      <c r="S805" t="s">
        <v>166</v>
      </c>
      <c r="T805" t="s">
        <v>838</v>
      </c>
      <c r="U805" t="s">
        <v>8582</v>
      </c>
      <c r="V805">
        <v>2</v>
      </c>
      <c r="AE805" t="s">
        <v>74</v>
      </c>
      <c r="AF805" t="s">
        <v>8350</v>
      </c>
      <c r="AG805" t="s">
        <v>8583</v>
      </c>
      <c r="AH805" t="str">
        <f>HYPERLINK("http://compartments.jensenlab.org/Entity?figures=subcell_cell_%&amp;knowledge=10&amp;textmining=10&amp;experiments=10&amp;predictions=10&amp;type1=9606&amp;type2=-22&amp;id1=ENSP00000292513","link")</f>
        <v>link</v>
      </c>
      <c r="AI805" t="s">
        <v>65</v>
      </c>
      <c r="AJ805" t="s">
        <v>51</v>
      </c>
      <c r="AK805" t="str">
        <f>HYPERLINK("http://www.proteinatlas.org/P34995","no")</f>
        <v>no</v>
      </c>
      <c r="AL805" t="s">
        <v>8584</v>
      </c>
      <c r="AM805">
        <v>5731</v>
      </c>
    </row>
    <row r="806" spans="1:39" x14ac:dyDescent="0.35">
      <c r="A806" t="s">
        <v>8585</v>
      </c>
      <c r="B806" t="str">
        <f>HYPERLINK("http://www.uniprot.org/uniprot/P34998","P34998")</f>
        <v>P34998</v>
      </c>
      <c r="C806" t="s">
        <v>8586</v>
      </c>
      <c r="D806" t="s">
        <v>8587</v>
      </c>
      <c r="E806" t="s">
        <v>39</v>
      </c>
      <c r="F806" t="s">
        <v>40</v>
      </c>
      <c r="H806">
        <v>444</v>
      </c>
      <c r="I806">
        <v>7</v>
      </c>
      <c r="J806">
        <v>1</v>
      </c>
      <c r="K806" t="s">
        <v>8588</v>
      </c>
      <c r="L806" t="s">
        <v>57</v>
      </c>
      <c r="N806">
        <v>0.93410000000000004</v>
      </c>
      <c r="O806" s="1">
        <v>1</v>
      </c>
      <c r="P806" t="s">
        <v>8589</v>
      </c>
      <c r="Q806" t="s">
        <v>8590</v>
      </c>
      <c r="S806" t="s">
        <v>166</v>
      </c>
      <c r="T806" t="s">
        <v>3409</v>
      </c>
      <c r="U806" t="s">
        <v>8591</v>
      </c>
      <c r="V806">
        <v>5</v>
      </c>
      <c r="W806" t="s">
        <v>8591</v>
      </c>
      <c r="Y806">
        <v>407</v>
      </c>
      <c r="AE806" t="s">
        <v>8592</v>
      </c>
      <c r="AF806" t="s">
        <v>8593</v>
      </c>
      <c r="AG806" t="s">
        <v>8594</v>
      </c>
      <c r="AH806" t="str">
        <f>HYPERLINK("http://compartments.jensenlab.org/Entity?figures=subcell_cell_%&amp;knowledge=10&amp;textmining=10&amp;experiments=10&amp;predictions=10&amp;type1=9606&amp;type2=-22&amp;id1=ENSP00000381333","link")</f>
        <v>link</v>
      </c>
      <c r="AI806" t="s">
        <v>65</v>
      </c>
      <c r="AJ806" t="s">
        <v>1791</v>
      </c>
      <c r="AK806" t="str">
        <f>HYPERLINK("http://www.proteinatlas.org/P34998","no")</f>
        <v>no</v>
      </c>
      <c r="AM806">
        <v>1394</v>
      </c>
    </row>
    <row r="807" spans="1:39" x14ac:dyDescent="0.35">
      <c r="A807" t="s">
        <v>8595</v>
      </c>
      <c r="B807" t="str">
        <f>HYPERLINK("http://www.uniprot.org/uniprot/P35052","P35052")</f>
        <v>P35052</v>
      </c>
      <c r="C807" t="s">
        <v>8596</v>
      </c>
      <c r="D807" t="s">
        <v>8597</v>
      </c>
      <c r="E807" t="s">
        <v>39</v>
      </c>
      <c r="F807" t="s">
        <v>239</v>
      </c>
      <c r="H807">
        <v>558</v>
      </c>
      <c r="I807">
        <v>0</v>
      </c>
      <c r="J807">
        <v>1</v>
      </c>
      <c r="K807" t="s">
        <v>8598</v>
      </c>
      <c r="L807" t="s">
        <v>996</v>
      </c>
      <c r="N807">
        <v>0.58679999999999999</v>
      </c>
      <c r="O807" s="1" t="s">
        <v>241</v>
      </c>
      <c r="P807" t="s">
        <v>8599</v>
      </c>
      <c r="Q807" t="s">
        <v>8600</v>
      </c>
      <c r="U807" t="s">
        <v>8601</v>
      </c>
      <c r="V807">
        <v>2</v>
      </c>
      <c r="W807" t="s">
        <v>8601</v>
      </c>
      <c r="Z807" t="s">
        <v>107</v>
      </c>
      <c r="AA807">
        <v>6</v>
      </c>
      <c r="AB807" t="s">
        <v>8602</v>
      </c>
      <c r="AC807" t="s">
        <v>8601</v>
      </c>
      <c r="AD807" t="s">
        <v>8603</v>
      </c>
      <c r="AE807" t="s">
        <v>8604</v>
      </c>
      <c r="AF807" t="s">
        <v>8605</v>
      </c>
      <c r="AG807" t="s">
        <v>8606</v>
      </c>
      <c r="AH807" t="str">
        <f>HYPERLINK("http://compartments.jensenlab.org/Entity?figures=subcell_cell_%&amp;knowledge=10&amp;textmining=10&amp;experiments=10&amp;predictions=10&amp;type1=9606&amp;type2=-22&amp;id1=ENSP00000264039","link")</f>
        <v>link</v>
      </c>
      <c r="AI807" t="s">
        <v>6095</v>
      </c>
      <c r="AJ807" t="s">
        <v>3634</v>
      </c>
      <c r="AK807" t="str">
        <f>HYPERLINK("http://www.proteinatlas.org/P35052","HPA030571")</f>
        <v>HPA030571</v>
      </c>
      <c r="AM807">
        <v>2817</v>
      </c>
    </row>
    <row r="808" spans="1:39" x14ac:dyDescent="0.35">
      <c r="A808" t="s">
        <v>8607</v>
      </c>
      <c r="B808" t="str">
        <f>HYPERLINK("http://www.uniprot.org/uniprot/P35070","P35070")</f>
        <v>P35070</v>
      </c>
      <c r="C808" t="s">
        <v>8608</v>
      </c>
      <c r="D808" t="s">
        <v>8609</v>
      </c>
      <c r="E808" t="s">
        <v>39</v>
      </c>
      <c r="F808" t="s">
        <v>40</v>
      </c>
      <c r="H808">
        <v>178</v>
      </c>
      <c r="I808">
        <v>1</v>
      </c>
      <c r="J808">
        <v>1</v>
      </c>
      <c r="K808" t="s">
        <v>8610</v>
      </c>
      <c r="L808" t="s">
        <v>57</v>
      </c>
      <c r="N808">
        <v>0.9042</v>
      </c>
      <c r="O808" s="1">
        <v>1</v>
      </c>
      <c r="P808" t="s">
        <v>8611</v>
      </c>
      <c r="Q808" t="s">
        <v>8612</v>
      </c>
      <c r="S808" t="s">
        <v>60</v>
      </c>
      <c r="T808" t="s">
        <v>60</v>
      </c>
      <c r="U808">
        <v>34</v>
      </c>
      <c r="V808">
        <v>1</v>
      </c>
      <c r="W808">
        <v>34</v>
      </c>
      <c r="X808" t="s">
        <v>8613</v>
      </c>
      <c r="AE808" t="s">
        <v>1373</v>
      </c>
      <c r="AF808" t="s">
        <v>8614</v>
      </c>
      <c r="AG808" t="s">
        <v>8615</v>
      </c>
      <c r="AH808" t="str">
        <f>HYPERLINK("http://compartments.jensenlab.org/Entity?figures=subcell_cell_%&amp;knowledge=10&amp;textmining=10&amp;experiments=10&amp;predictions=10&amp;type1=9606&amp;type2=-22&amp;id1=ENSP00000379092","link")</f>
        <v>link</v>
      </c>
      <c r="AK808" t="str">
        <f>HYPERLINK("http://www.proteinatlas.org/P35070","no")</f>
        <v>no</v>
      </c>
      <c r="AM808">
        <v>685</v>
      </c>
    </row>
    <row r="809" spans="1:39" x14ac:dyDescent="0.35">
      <c r="A809" t="s">
        <v>8616</v>
      </c>
      <c r="B809" t="str">
        <f>HYPERLINK("http://www.uniprot.org/uniprot/P35212","P35212")</f>
        <v>P35212</v>
      </c>
      <c r="C809" t="s">
        <v>8617</v>
      </c>
      <c r="D809" t="s">
        <v>8618</v>
      </c>
      <c r="E809" t="s">
        <v>39</v>
      </c>
      <c r="F809" t="s">
        <v>55</v>
      </c>
      <c r="H809">
        <v>333</v>
      </c>
      <c r="I809">
        <v>4</v>
      </c>
      <c r="J809">
        <v>0</v>
      </c>
      <c r="K809" t="s">
        <v>8619</v>
      </c>
      <c r="L809" t="s">
        <v>57</v>
      </c>
      <c r="M809" t="s">
        <v>39</v>
      </c>
      <c r="N809">
        <v>0.65049999999999997</v>
      </c>
      <c r="O809" s="1">
        <v>2</v>
      </c>
      <c r="P809" t="s">
        <v>8620</v>
      </c>
      <c r="Q809" t="s">
        <v>8621</v>
      </c>
      <c r="S809" t="s">
        <v>91</v>
      </c>
      <c r="T809" t="s">
        <v>2797</v>
      </c>
      <c r="U809">
        <v>293</v>
      </c>
      <c r="V809">
        <v>0</v>
      </c>
      <c r="W809">
        <v>293</v>
      </c>
      <c r="AE809" t="s">
        <v>2798</v>
      </c>
      <c r="AF809" t="s">
        <v>8622</v>
      </c>
      <c r="AG809" t="s">
        <v>8623</v>
      </c>
      <c r="AH809" t="str">
        <f>HYPERLINK("http://compartments.jensenlab.org/Entity?figures=subcell_cell_%&amp;knowledge=10&amp;textmining=10&amp;experiments=10&amp;predictions=10&amp;type1=9606&amp;type2=-22&amp;id1=ENSP00000343676","link")</f>
        <v>link</v>
      </c>
      <c r="AI809" t="s">
        <v>65</v>
      </c>
      <c r="AJ809" t="s">
        <v>51</v>
      </c>
      <c r="AK809" t="str">
        <f>HYPERLINK("http://www.proteinatlas.org/P35212","CAB013247")</f>
        <v>CAB013247</v>
      </c>
      <c r="AM809">
        <v>2701</v>
      </c>
    </row>
    <row r="810" spans="1:39" x14ac:dyDescent="0.35">
      <c r="A810" t="s">
        <v>8624</v>
      </c>
      <c r="B810" t="str">
        <f>HYPERLINK("http://www.uniprot.org/uniprot/P35346","P35346")</f>
        <v>P35346</v>
      </c>
      <c r="C810" t="s">
        <v>8625</v>
      </c>
      <c r="D810" t="s">
        <v>8626</v>
      </c>
      <c r="E810" t="s">
        <v>39</v>
      </c>
      <c r="F810" t="s">
        <v>40</v>
      </c>
      <c r="H810">
        <v>364</v>
      </c>
      <c r="I810">
        <v>7</v>
      </c>
      <c r="J810">
        <v>0</v>
      </c>
      <c r="K810" t="s">
        <v>8627</v>
      </c>
      <c r="L810" t="s">
        <v>57</v>
      </c>
      <c r="N810">
        <v>0.95809999999999995</v>
      </c>
      <c r="O810" s="1">
        <v>1</v>
      </c>
      <c r="P810" t="s">
        <v>8628</v>
      </c>
      <c r="Q810" t="s">
        <v>8629</v>
      </c>
      <c r="S810" t="s">
        <v>166</v>
      </c>
      <c r="T810" t="s">
        <v>838</v>
      </c>
      <c r="U810" t="s">
        <v>8630</v>
      </c>
      <c r="V810">
        <v>3</v>
      </c>
      <c r="W810">
        <v>26</v>
      </c>
      <c r="AE810" t="s">
        <v>74</v>
      </c>
      <c r="AF810" t="s">
        <v>8631</v>
      </c>
      <c r="AG810" t="s">
        <v>8632</v>
      </c>
      <c r="AH810" t="str">
        <f>HYPERLINK("http://compartments.jensenlab.org/Entity?figures=subcell_cell_%&amp;knowledge=10&amp;textmining=10&amp;experiments=10&amp;predictions=10&amp;type1=9606&amp;type2=-22&amp;id1=ENSP00000293897","link")</f>
        <v>link</v>
      </c>
      <c r="AI810" t="s">
        <v>65</v>
      </c>
      <c r="AJ810" t="s">
        <v>2124</v>
      </c>
      <c r="AK810" t="str">
        <f>HYPERLINK("http://www.proteinatlas.org/P35346","no")</f>
        <v>no</v>
      </c>
      <c r="AL810" t="s">
        <v>8035</v>
      </c>
      <c r="AM810">
        <v>6755</v>
      </c>
    </row>
    <row r="811" spans="1:39" x14ac:dyDescent="0.35">
      <c r="A811" t="s">
        <v>8633</v>
      </c>
      <c r="B811" t="str">
        <f>HYPERLINK("http://www.uniprot.org/uniprot/P35348","P35348")</f>
        <v>P35348</v>
      </c>
      <c r="C811" t="s">
        <v>8634</v>
      </c>
      <c r="D811" t="s">
        <v>8635</v>
      </c>
      <c r="E811" t="s">
        <v>39</v>
      </c>
      <c r="F811" t="s">
        <v>40</v>
      </c>
      <c r="H811">
        <v>466</v>
      </c>
      <c r="I811">
        <v>7</v>
      </c>
      <c r="J811">
        <v>0</v>
      </c>
      <c r="K811" t="s">
        <v>8636</v>
      </c>
      <c r="L811" t="s">
        <v>57</v>
      </c>
      <c r="N811">
        <v>0.93010000000000004</v>
      </c>
      <c r="O811" s="1">
        <v>1</v>
      </c>
      <c r="P811" t="s">
        <v>8637</v>
      </c>
      <c r="Q811" t="s">
        <v>8638</v>
      </c>
      <c r="S811" t="s">
        <v>166</v>
      </c>
      <c r="T811" t="s">
        <v>838</v>
      </c>
      <c r="U811" t="s">
        <v>8639</v>
      </c>
      <c r="V811">
        <v>3</v>
      </c>
      <c r="W811">
        <v>13</v>
      </c>
      <c r="X811" t="s">
        <v>8640</v>
      </c>
      <c r="AE811" t="s">
        <v>8641</v>
      </c>
      <c r="AF811" t="s">
        <v>8642</v>
      </c>
      <c r="AG811" t="s">
        <v>8643</v>
      </c>
      <c r="AH811" t="str">
        <f>HYPERLINK("http://compartments.jensenlab.org/Entity?figures=subcell_cell_%&amp;knowledge=10&amp;textmining=10&amp;experiments=10&amp;predictions=10&amp;type1=9606&amp;type2=-22&amp;id1=ENSP00000276393","link")</f>
        <v>link</v>
      </c>
      <c r="AK811" t="str">
        <f>HYPERLINK("http://www.proteinatlas.org/P35348","HPA029678;HPA029679")</f>
        <v>HPA029678;HPA029679</v>
      </c>
      <c r="AL811" t="s">
        <v>8644</v>
      </c>
      <c r="AM811">
        <v>148</v>
      </c>
    </row>
    <row r="812" spans="1:39" x14ac:dyDescent="0.35">
      <c r="A812" t="s">
        <v>8645</v>
      </c>
      <c r="B812" t="str">
        <f>HYPERLINK("http://www.uniprot.org/uniprot/P35367","P35367")</f>
        <v>P35367</v>
      </c>
      <c r="C812" t="s">
        <v>8646</v>
      </c>
      <c r="D812" t="s">
        <v>8647</v>
      </c>
      <c r="E812" t="s">
        <v>39</v>
      </c>
      <c r="F812" t="s">
        <v>40</v>
      </c>
      <c r="H812">
        <v>487</v>
      </c>
      <c r="I812">
        <v>7</v>
      </c>
      <c r="J812">
        <v>0</v>
      </c>
      <c r="K812" t="s">
        <v>8648</v>
      </c>
      <c r="L812" t="s">
        <v>57</v>
      </c>
      <c r="N812">
        <v>0.87819999999999998</v>
      </c>
      <c r="O812" s="1">
        <v>1</v>
      </c>
      <c r="P812" t="s">
        <v>8649</v>
      </c>
      <c r="Q812" t="s">
        <v>8650</v>
      </c>
      <c r="S812" t="s">
        <v>166</v>
      </c>
      <c r="T812" t="s">
        <v>838</v>
      </c>
      <c r="U812" t="s">
        <v>8651</v>
      </c>
      <c r="V812">
        <v>2</v>
      </c>
      <c r="W812" t="s">
        <v>8652</v>
      </c>
      <c r="X812" t="s">
        <v>8653</v>
      </c>
      <c r="AE812" t="s">
        <v>74</v>
      </c>
      <c r="AF812" t="s">
        <v>8654</v>
      </c>
      <c r="AG812" t="s">
        <v>8655</v>
      </c>
      <c r="AH812" t="str">
        <f>HYPERLINK("http://compartments.jensenlab.org/Entity?figures=subcell_cell_%&amp;knowledge=10&amp;textmining=10&amp;experiments=10&amp;predictions=10&amp;type1=9606&amp;type2=-22&amp;id1=ENSP00000380247","link")</f>
        <v>link</v>
      </c>
      <c r="AK812" t="str">
        <f>HYPERLINK("http://www.proteinatlas.org/P35367","HPA029740")</f>
        <v>HPA029740</v>
      </c>
      <c r="AL812" t="s">
        <v>8656</v>
      </c>
      <c r="AM812">
        <v>3269</v>
      </c>
    </row>
    <row r="813" spans="1:39" x14ac:dyDescent="0.35">
      <c r="A813" t="s">
        <v>8657</v>
      </c>
      <c r="B813" t="str">
        <f>HYPERLINK("http://www.uniprot.org/uniprot/P35368","P35368")</f>
        <v>P35368</v>
      </c>
      <c r="C813" t="s">
        <v>8658</v>
      </c>
      <c r="D813" t="s">
        <v>8659</v>
      </c>
      <c r="E813" t="s">
        <v>39</v>
      </c>
      <c r="F813" t="s">
        <v>55</v>
      </c>
      <c r="H813">
        <v>520</v>
      </c>
      <c r="I813">
        <v>7</v>
      </c>
      <c r="J813">
        <v>0</v>
      </c>
      <c r="K813" t="s">
        <v>8660</v>
      </c>
      <c r="L813" t="s">
        <v>57</v>
      </c>
      <c r="M813" t="s">
        <v>39</v>
      </c>
      <c r="N813">
        <v>0.92130000000000001</v>
      </c>
      <c r="O813" s="1">
        <v>1</v>
      </c>
      <c r="P813" t="s">
        <v>8661</v>
      </c>
      <c r="Q813" t="s">
        <v>8662</v>
      </c>
      <c r="S813" t="s">
        <v>166</v>
      </c>
      <c r="T813" t="s">
        <v>838</v>
      </c>
      <c r="U813" t="s">
        <v>8663</v>
      </c>
      <c r="V813">
        <v>4</v>
      </c>
      <c r="W813" t="s">
        <v>8664</v>
      </c>
      <c r="AE813" t="s">
        <v>8641</v>
      </c>
      <c r="AF813" t="s">
        <v>8665</v>
      </c>
      <c r="AG813" t="s">
        <v>8666</v>
      </c>
      <c r="AH813" t="str">
        <f>HYPERLINK("http://compartments.jensenlab.org/Entity?figures=subcell_cell_%&amp;knowledge=10&amp;textmining=10&amp;experiments=10&amp;predictions=10&amp;type1=9606&amp;type2=-22&amp;id1=ENSP00000306662","link")</f>
        <v>link</v>
      </c>
      <c r="AI813" t="s">
        <v>65</v>
      </c>
      <c r="AJ813" t="s">
        <v>51</v>
      </c>
      <c r="AK813" t="str">
        <f>HYPERLINK("http://www.proteinatlas.org/P35368","no")</f>
        <v>no</v>
      </c>
      <c r="AL813" t="s">
        <v>8667</v>
      </c>
      <c r="AM813">
        <v>147</v>
      </c>
    </row>
    <row r="814" spans="1:39" x14ac:dyDescent="0.35">
      <c r="A814" t="s">
        <v>8668</v>
      </c>
      <c r="B814" t="str">
        <f>HYPERLINK("http://www.uniprot.org/uniprot/P35372","P35372")</f>
        <v>P35372</v>
      </c>
      <c r="C814" t="s">
        <v>8669</v>
      </c>
      <c r="D814" t="s">
        <v>8670</v>
      </c>
      <c r="E814" t="s">
        <v>39</v>
      </c>
      <c r="F814" t="s">
        <v>40</v>
      </c>
      <c r="H814">
        <v>400</v>
      </c>
      <c r="I814">
        <v>7</v>
      </c>
      <c r="J814">
        <v>0</v>
      </c>
      <c r="K814" t="s">
        <v>8671</v>
      </c>
      <c r="L814" t="s">
        <v>57</v>
      </c>
      <c r="N814">
        <v>0.99199999999999999</v>
      </c>
      <c r="O814" s="1">
        <v>1</v>
      </c>
      <c r="P814" t="s">
        <v>8672</v>
      </c>
      <c r="Q814" t="s">
        <v>8673</v>
      </c>
      <c r="S814" t="s">
        <v>166</v>
      </c>
      <c r="T814" t="s">
        <v>838</v>
      </c>
      <c r="U814" t="s">
        <v>8674</v>
      </c>
      <c r="V814">
        <v>5</v>
      </c>
      <c r="W814" t="s">
        <v>8675</v>
      </c>
      <c r="AE814" t="s">
        <v>8032</v>
      </c>
      <c r="AF814" t="s">
        <v>8676</v>
      </c>
      <c r="AG814" t="s">
        <v>8677</v>
      </c>
      <c r="AH814" t="str">
        <f>HYPERLINK("http://compartments.jensenlab.org/Entity?figures=subcell_cell_%&amp;knowledge=10&amp;textmining=10&amp;experiments=10&amp;predictions=10&amp;type1=9606&amp;type2=-22&amp;id1=ENSP00000328264","link")</f>
        <v>link</v>
      </c>
      <c r="AK814" t="str">
        <f>HYPERLINK("http://www.proteinatlas.org/P35372","HPA014509")</f>
        <v>HPA014509</v>
      </c>
      <c r="AL814" t="s">
        <v>8678</v>
      </c>
      <c r="AM814">
        <v>4988</v>
      </c>
    </row>
    <row r="815" spans="1:39" x14ac:dyDescent="0.35">
      <c r="A815" t="s">
        <v>8679</v>
      </c>
      <c r="B815" t="str">
        <f>HYPERLINK("http://www.uniprot.org/uniprot/P35408","P35408")</f>
        <v>P35408</v>
      </c>
      <c r="C815" t="s">
        <v>8680</v>
      </c>
      <c r="D815" t="s">
        <v>8681</v>
      </c>
      <c r="E815" t="s">
        <v>39</v>
      </c>
      <c r="F815" t="s">
        <v>55</v>
      </c>
      <c r="H815">
        <v>488</v>
      </c>
      <c r="I815">
        <v>7</v>
      </c>
      <c r="J815">
        <v>0</v>
      </c>
      <c r="K815" t="s">
        <v>8682</v>
      </c>
      <c r="L815" t="s">
        <v>57</v>
      </c>
      <c r="M815" t="s">
        <v>39</v>
      </c>
      <c r="N815">
        <v>0.90959999999999996</v>
      </c>
      <c r="O815" s="1">
        <v>1</v>
      </c>
      <c r="P815" t="s">
        <v>8683</v>
      </c>
      <c r="Q815" t="s">
        <v>8684</v>
      </c>
      <c r="S815" t="s">
        <v>166</v>
      </c>
      <c r="T815" t="s">
        <v>838</v>
      </c>
      <c r="U815" t="s">
        <v>8685</v>
      </c>
      <c r="V815">
        <v>2</v>
      </c>
      <c r="AE815" t="s">
        <v>74</v>
      </c>
      <c r="AF815" t="s">
        <v>8686</v>
      </c>
      <c r="AG815" t="s">
        <v>8687</v>
      </c>
      <c r="AH815" t="str">
        <f>HYPERLINK("http://compartments.jensenlab.org/Entity?figures=subcell_cell_%&amp;knowledge=10&amp;textmining=10&amp;experiments=10&amp;predictions=10&amp;type1=9606&amp;type2=-22&amp;id1=ENSP00000302846","link")</f>
        <v>link</v>
      </c>
      <c r="AI815" t="s">
        <v>65</v>
      </c>
      <c r="AJ815" t="s">
        <v>51</v>
      </c>
      <c r="AK815" t="str">
        <f>HYPERLINK("http://www.proteinatlas.org/P35408","HPA011226;HPA012756")</f>
        <v>HPA011226;HPA012756</v>
      </c>
      <c r="AL815" t="s">
        <v>8688</v>
      </c>
      <c r="AM815">
        <v>5734</v>
      </c>
    </row>
    <row r="816" spans="1:39" x14ac:dyDescent="0.35">
      <c r="A816" t="s">
        <v>8689</v>
      </c>
      <c r="B816" t="str">
        <f>HYPERLINK("http://www.uniprot.org/uniprot/P35410","P35410")</f>
        <v>P35410</v>
      </c>
      <c r="C816" t="s">
        <v>8690</v>
      </c>
      <c r="D816" t="s">
        <v>8691</v>
      </c>
      <c r="E816" t="s">
        <v>39</v>
      </c>
      <c r="F816" t="s">
        <v>40</v>
      </c>
      <c r="H816">
        <v>378</v>
      </c>
      <c r="I816">
        <v>7</v>
      </c>
      <c r="J816">
        <v>0</v>
      </c>
      <c r="K816" t="s">
        <v>8692</v>
      </c>
      <c r="L816" t="s">
        <v>57</v>
      </c>
      <c r="N816">
        <v>0.99199999999999999</v>
      </c>
      <c r="O816" s="1">
        <v>1</v>
      </c>
      <c r="P816" t="s">
        <v>8693</v>
      </c>
      <c r="Q816" t="s">
        <v>8694</v>
      </c>
      <c r="S816" t="s">
        <v>166</v>
      </c>
      <c r="T816" t="s">
        <v>838</v>
      </c>
      <c r="U816" t="s">
        <v>8695</v>
      </c>
      <c r="V816">
        <v>2</v>
      </c>
      <c r="AE816" t="s">
        <v>74</v>
      </c>
      <c r="AF816" t="s">
        <v>910</v>
      </c>
      <c r="AG816" t="s">
        <v>8696</v>
      </c>
      <c r="AH816" t="str">
        <f>HYPERLINK("http://compartments.jensenlab.org/Entity?figures=subcell_cell_%&amp;knowledge=10&amp;textmining=10&amp;experiments=10&amp;predictions=10&amp;type1=9606&amp;type2=-22&amp;id1=ENSP00000366331","link")</f>
        <v>link</v>
      </c>
      <c r="AI816" t="s">
        <v>2883</v>
      </c>
      <c r="AJ816" t="s">
        <v>8697</v>
      </c>
      <c r="AK816" t="str">
        <f>HYPERLINK("http://www.proteinatlas.org/P35410","HPA017983")</f>
        <v>HPA017983</v>
      </c>
      <c r="AM816">
        <v>116511</v>
      </c>
    </row>
    <row r="817" spans="1:39" x14ac:dyDescent="0.35">
      <c r="A817" t="s">
        <v>8698</v>
      </c>
      <c r="B817" t="str">
        <f>HYPERLINK("http://www.uniprot.org/uniprot/P35414","P35414")</f>
        <v>P35414</v>
      </c>
      <c r="C817" t="s">
        <v>8699</v>
      </c>
      <c r="D817" t="s">
        <v>8700</v>
      </c>
      <c r="E817" t="s">
        <v>39</v>
      </c>
      <c r="F817" t="s">
        <v>55</v>
      </c>
      <c r="H817">
        <v>380</v>
      </c>
      <c r="I817">
        <v>7</v>
      </c>
      <c r="J817">
        <v>0</v>
      </c>
      <c r="K817" t="s">
        <v>8701</v>
      </c>
      <c r="L817" t="s">
        <v>101</v>
      </c>
      <c r="M817" t="s">
        <v>39</v>
      </c>
      <c r="N817">
        <v>0.9274</v>
      </c>
      <c r="O817" s="1">
        <v>1</v>
      </c>
      <c r="P817" t="s">
        <v>8702</v>
      </c>
      <c r="Q817" t="s">
        <v>8703</v>
      </c>
      <c r="S817" t="s">
        <v>166</v>
      </c>
      <c r="T817" t="s">
        <v>838</v>
      </c>
      <c r="U817" t="s">
        <v>8704</v>
      </c>
      <c r="V817">
        <v>2</v>
      </c>
      <c r="W817">
        <v>175</v>
      </c>
      <c r="Z817" t="s">
        <v>107</v>
      </c>
      <c r="AA817">
        <v>1</v>
      </c>
      <c r="AB817" t="s">
        <v>8705</v>
      </c>
      <c r="AC817">
        <v>175</v>
      </c>
      <c r="AD817" t="s">
        <v>8706</v>
      </c>
      <c r="AE817" t="s">
        <v>74</v>
      </c>
      <c r="AF817" t="s">
        <v>8707</v>
      </c>
      <c r="AG817" t="s">
        <v>8708</v>
      </c>
      <c r="AH817" t="str">
        <f>HYPERLINK("http://compartments.jensenlab.org/Entity?figures=subcell_cell_%&amp;knowledge=10&amp;textmining=10&amp;experiments=10&amp;predictions=10&amp;type1=9606&amp;type2=-22&amp;id1=ENSP00000257254","link")</f>
        <v>link</v>
      </c>
      <c r="AI817" t="s">
        <v>65</v>
      </c>
      <c r="AJ817" t="s">
        <v>2873</v>
      </c>
      <c r="AK817" t="str">
        <f>HYPERLINK("http://www.proteinatlas.org/P35414","CAB025842")</f>
        <v>CAB025842</v>
      </c>
      <c r="AM817">
        <v>187</v>
      </c>
    </row>
    <row r="818" spans="1:39" x14ac:dyDescent="0.35">
      <c r="A818" t="s">
        <v>8709</v>
      </c>
      <c r="B818" t="str">
        <f>HYPERLINK("http://www.uniprot.org/uniprot/P35462","P35462")</f>
        <v>P35462</v>
      </c>
      <c r="C818" t="s">
        <v>8710</v>
      </c>
      <c r="D818" t="s">
        <v>8711</v>
      </c>
      <c r="E818" t="s">
        <v>39</v>
      </c>
      <c r="F818" t="s">
        <v>55</v>
      </c>
      <c r="H818">
        <v>400</v>
      </c>
      <c r="I818">
        <v>7</v>
      </c>
      <c r="J818">
        <v>0</v>
      </c>
      <c r="K818" t="s">
        <v>8712</v>
      </c>
      <c r="L818" t="s">
        <v>57</v>
      </c>
      <c r="M818" t="s">
        <v>39</v>
      </c>
      <c r="N818">
        <v>0.98870000000000002</v>
      </c>
      <c r="O818" s="1">
        <v>1</v>
      </c>
      <c r="P818" t="s">
        <v>8713</v>
      </c>
      <c r="Q818" t="s">
        <v>8714</v>
      </c>
      <c r="S818" t="s">
        <v>166</v>
      </c>
      <c r="T818" t="s">
        <v>838</v>
      </c>
      <c r="U818" t="s">
        <v>8715</v>
      </c>
      <c r="V818">
        <v>4</v>
      </c>
      <c r="W818" t="s">
        <v>8716</v>
      </c>
      <c r="X818" t="s">
        <v>8717</v>
      </c>
      <c r="AE818" t="s">
        <v>74</v>
      </c>
      <c r="AF818" t="s">
        <v>8718</v>
      </c>
      <c r="AG818" t="s">
        <v>8719</v>
      </c>
      <c r="AH818" t="str">
        <f>HYPERLINK("http://compartments.jensenlab.org/Entity?figures=subcell_cell_%&amp;knowledge=10&amp;textmining=10&amp;experiments=10&amp;predictions=10&amp;type1=9606&amp;type2=-22&amp;id1=ENSP00000373169","link")</f>
        <v>link</v>
      </c>
      <c r="AI818" t="s">
        <v>65</v>
      </c>
      <c r="AJ818" t="s">
        <v>51</v>
      </c>
      <c r="AK818" t="str">
        <f>HYPERLINK("http://www.proteinatlas.org/P35462","no")</f>
        <v>no</v>
      </c>
      <c r="AL818" t="s">
        <v>8720</v>
      </c>
      <c r="AM818">
        <v>1814</v>
      </c>
    </row>
    <row r="819" spans="1:39" x14ac:dyDescent="0.35">
      <c r="A819" t="s">
        <v>8721</v>
      </c>
      <c r="B819" t="str">
        <f>HYPERLINK("http://www.uniprot.org/uniprot/P35498","P35498")</f>
        <v>P35498</v>
      </c>
      <c r="C819" t="s">
        <v>8722</v>
      </c>
      <c r="D819" t="s">
        <v>8723</v>
      </c>
      <c r="E819" t="s">
        <v>39</v>
      </c>
      <c r="F819" t="s">
        <v>40</v>
      </c>
      <c r="H819">
        <v>2009</v>
      </c>
      <c r="I819">
        <v>24</v>
      </c>
      <c r="J819">
        <v>0</v>
      </c>
      <c r="K819" t="s">
        <v>8724</v>
      </c>
      <c r="L819" t="s">
        <v>57</v>
      </c>
      <c r="N819">
        <v>0.66069999999999995</v>
      </c>
      <c r="O819" s="1">
        <v>2</v>
      </c>
      <c r="P819" t="s">
        <v>8725</v>
      </c>
      <c r="Q819" t="s">
        <v>8726</v>
      </c>
      <c r="S819" t="s">
        <v>45</v>
      </c>
      <c r="T819" t="s">
        <v>8727</v>
      </c>
      <c r="U819" t="s">
        <v>8728</v>
      </c>
      <c r="V819">
        <v>9</v>
      </c>
      <c r="AE819" t="s">
        <v>48</v>
      </c>
      <c r="AF819" t="s">
        <v>8729</v>
      </c>
      <c r="AG819" t="s">
        <v>8730</v>
      </c>
      <c r="AH819" t="str">
        <f>HYPERLINK("http://compartments.jensenlab.org/Entity?figures=subcell_cell_%&amp;knowledge=10&amp;textmining=10&amp;experiments=10&amp;predictions=10&amp;type1=9606&amp;type2=-22&amp;id1=ENSP00000303540","link")</f>
        <v>link</v>
      </c>
      <c r="AK819" t="str">
        <f>HYPERLINK("http://www.proteinatlas.org/P35498","HPA034686")</f>
        <v>HPA034686</v>
      </c>
      <c r="AL819" t="s">
        <v>8731</v>
      </c>
      <c r="AM819">
        <v>6323</v>
      </c>
    </row>
    <row r="820" spans="1:39" x14ac:dyDescent="0.35">
      <c r="A820" t="s">
        <v>8732</v>
      </c>
      <c r="B820" t="str">
        <f>HYPERLINK("http://www.uniprot.org/uniprot/P35499","P35499")</f>
        <v>P35499</v>
      </c>
      <c r="C820" t="s">
        <v>8733</v>
      </c>
      <c r="D820" t="s">
        <v>8734</v>
      </c>
      <c r="E820" t="s">
        <v>39</v>
      </c>
      <c r="F820" t="s">
        <v>40</v>
      </c>
      <c r="H820">
        <v>1836</v>
      </c>
      <c r="I820">
        <v>24</v>
      </c>
      <c r="J820">
        <v>0</v>
      </c>
      <c r="K820" t="s">
        <v>8735</v>
      </c>
      <c r="L820" t="s">
        <v>57</v>
      </c>
      <c r="N820">
        <v>0.8004</v>
      </c>
      <c r="O820" s="1">
        <v>1</v>
      </c>
      <c r="P820" t="s">
        <v>8736</v>
      </c>
      <c r="Q820" t="s">
        <v>8737</v>
      </c>
      <c r="S820" t="s">
        <v>45</v>
      </c>
      <c r="T820" t="s">
        <v>8727</v>
      </c>
      <c r="U820" t="s">
        <v>8738</v>
      </c>
      <c r="V820">
        <v>12</v>
      </c>
      <c r="W820" t="s">
        <v>8739</v>
      </c>
      <c r="AE820" t="s">
        <v>48</v>
      </c>
      <c r="AF820" t="s">
        <v>8740</v>
      </c>
      <c r="AG820" t="s">
        <v>8741</v>
      </c>
      <c r="AH820" t="str">
        <f>HYPERLINK("http://compartments.jensenlab.org/Entity?figures=subcell_cell_%&amp;knowledge=10&amp;textmining=10&amp;experiments=10&amp;predictions=10&amp;type1=9606&amp;type2=-22&amp;id1=ENSP00000396320","link")</f>
        <v>link</v>
      </c>
      <c r="AJ820" t="s">
        <v>51</v>
      </c>
      <c r="AK820" t="str">
        <f>HYPERLINK("http://www.proteinatlas.org/P35499","HPA053992")</f>
        <v>HPA053992</v>
      </c>
      <c r="AL820" t="s">
        <v>8742</v>
      </c>
      <c r="AM820">
        <v>6329</v>
      </c>
    </row>
    <row r="821" spans="1:39" x14ac:dyDescent="0.35">
      <c r="A821" t="s">
        <v>8743</v>
      </c>
      <c r="B821" t="str">
        <f>HYPERLINK("http://www.uniprot.org/uniprot/P35590","P35590")</f>
        <v>P35590</v>
      </c>
      <c r="C821" t="s">
        <v>8744</v>
      </c>
      <c r="D821" t="s">
        <v>8745</v>
      </c>
      <c r="E821" t="s">
        <v>39</v>
      </c>
      <c r="F821" t="s">
        <v>55</v>
      </c>
      <c r="H821">
        <v>1138</v>
      </c>
      <c r="I821">
        <v>1</v>
      </c>
      <c r="J821">
        <v>1</v>
      </c>
      <c r="K821" t="s">
        <v>8746</v>
      </c>
      <c r="L821" t="s">
        <v>101</v>
      </c>
      <c r="M821" t="s">
        <v>39</v>
      </c>
      <c r="N821">
        <v>0.97340000000000004</v>
      </c>
      <c r="O821" s="1">
        <v>1</v>
      </c>
      <c r="P821" t="s">
        <v>8747</v>
      </c>
      <c r="Q821" t="s">
        <v>8748</v>
      </c>
      <c r="S821" t="s">
        <v>166</v>
      </c>
      <c r="T821" t="s">
        <v>1411</v>
      </c>
      <c r="U821" t="s">
        <v>8749</v>
      </c>
      <c r="V821">
        <v>5</v>
      </c>
      <c r="W821" t="s">
        <v>8750</v>
      </c>
      <c r="Z821" t="s">
        <v>107</v>
      </c>
      <c r="AA821">
        <v>1</v>
      </c>
      <c r="AB821" t="s">
        <v>8751</v>
      </c>
      <c r="AC821">
        <v>596</v>
      </c>
      <c r="AD821" t="s">
        <v>8752</v>
      </c>
      <c r="AE821" t="s">
        <v>332</v>
      </c>
      <c r="AF821" t="s">
        <v>8753</v>
      </c>
      <c r="AG821" t="s">
        <v>8754</v>
      </c>
      <c r="AH821" t="str">
        <f>HYPERLINK("http://compartments.jensenlab.org/Entity?figures=subcell_cell_%&amp;knowledge=10&amp;textmining=10&amp;experiments=10&amp;predictions=10&amp;type1=9606&amp;type2=-22&amp;id1=ENSP00000361554","link")</f>
        <v>link</v>
      </c>
      <c r="AI821" t="s">
        <v>65</v>
      </c>
      <c r="AJ821" t="s">
        <v>51</v>
      </c>
      <c r="AK821" t="str">
        <f>HYPERLINK("http://www.proteinatlas.org/P35590","no")</f>
        <v>no</v>
      </c>
      <c r="AM821">
        <v>7075</v>
      </c>
    </row>
    <row r="822" spans="1:39" x14ac:dyDescent="0.35">
      <c r="A822" t="s">
        <v>8755</v>
      </c>
      <c r="B822" t="str">
        <f>HYPERLINK("http://www.uniprot.org/uniprot/P35613","P35613")</f>
        <v>P35613</v>
      </c>
      <c r="C822" t="s">
        <v>8756</v>
      </c>
      <c r="D822" t="s">
        <v>8757</v>
      </c>
      <c r="E822" t="s">
        <v>39</v>
      </c>
      <c r="F822" t="s">
        <v>55</v>
      </c>
      <c r="H822">
        <v>385</v>
      </c>
      <c r="I822">
        <v>1</v>
      </c>
      <c r="J822">
        <v>1</v>
      </c>
      <c r="K822" t="s">
        <v>8758</v>
      </c>
      <c r="L822" t="s">
        <v>101</v>
      </c>
      <c r="M822" t="s">
        <v>39</v>
      </c>
      <c r="N822">
        <v>0.92420000000000002</v>
      </c>
      <c r="O822" s="1">
        <v>1</v>
      </c>
      <c r="P822" t="s">
        <v>8759</v>
      </c>
      <c r="Q822" t="s">
        <v>8760</v>
      </c>
      <c r="R822" t="s">
        <v>8761</v>
      </c>
      <c r="S822" t="s">
        <v>60</v>
      </c>
      <c r="T822" t="s">
        <v>60</v>
      </c>
      <c r="U822" t="s">
        <v>8762</v>
      </c>
      <c r="V822">
        <v>4</v>
      </c>
      <c r="W822" t="s">
        <v>8762</v>
      </c>
      <c r="X822">
        <v>368</v>
      </c>
      <c r="Z822" t="s">
        <v>107</v>
      </c>
      <c r="AA822">
        <v>25</v>
      </c>
      <c r="AB822" t="s">
        <v>8763</v>
      </c>
      <c r="AC822" t="s">
        <v>8764</v>
      </c>
      <c r="AD822" t="s">
        <v>8765</v>
      </c>
      <c r="AE822" t="s">
        <v>8766</v>
      </c>
      <c r="AF822" t="s">
        <v>8767</v>
      </c>
      <c r="AG822" t="s">
        <v>8768</v>
      </c>
      <c r="AH822" t="str">
        <f>HYPERLINK("http://compartments.jensenlab.org/Entity?figures=subcell_cell_%&amp;knowledge=10&amp;textmining=10&amp;experiments=10&amp;predictions=10&amp;type1=9606&amp;type2=-22&amp;id1=ENSP00000333769","link")</f>
        <v>link</v>
      </c>
      <c r="AI822" t="s">
        <v>65</v>
      </c>
      <c r="AJ822" t="s">
        <v>8769</v>
      </c>
      <c r="AK822" t="str">
        <f>HYPERLINK("http://www.proteinatlas.org/P35613","CAB002427;HPA036048")</f>
        <v>CAB002427;HPA036048</v>
      </c>
      <c r="AM822">
        <v>682</v>
      </c>
    </row>
    <row r="823" spans="1:39" x14ac:dyDescent="0.35">
      <c r="A823" t="s">
        <v>8770</v>
      </c>
      <c r="B823" t="str">
        <f>HYPERLINK("http://www.uniprot.org/uniprot/P35916","P35916")</f>
        <v>P35916</v>
      </c>
      <c r="C823" t="s">
        <v>8771</v>
      </c>
      <c r="D823" t="s">
        <v>8772</v>
      </c>
      <c r="E823" t="s">
        <v>39</v>
      </c>
      <c r="F823" t="s">
        <v>55</v>
      </c>
      <c r="H823">
        <v>1363</v>
      </c>
      <c r="I823">
        <v>1</v>
      </c>
      <c r="J823">
        <v>1</v>
      </c>
      <c r="K823" t="s">
        <v>8773</v>
      </c>
      <c r="L823" t="s">
        <v>101</v>
      </c>
      <c r="M823" t="s">
        <v>39</v>
      </c>
      <c r="N823">
        <v>0.99419999999999997</v>
      </c>
      <c r="O823" s="1">
        <v>1</v>
      </c>
      <c r="P823" t="s">
        <v>8774</v>
      </c>
      <c r="Q823" t="s">
        <v>8775</v>
      </c>
      <c r="S823" t="s">
        <v>166</v>
      </c>
      <c r="T823" t="s">
        <v>1411</v>
      </c>
      <c r="U823" t="s">
        <v>8776</v>
      </c>
      <c r="V823">
        <v>12</v>
      </c>
      <c r="W823" t="s">
        <v>8776</v>
      </c>
      <c r="X823" t="s">
        <v>8777</v>
      </c>
      <c r="Y823">
        <v>460</v>
      </c>
      <c r="Z823" t="s">
        <v>107</v>
      </c>
      <c r="AA823">
        <v>2</v>
      </c>
      <c r="AB823" t="s">
        <v>8778</v>
      </c>
      <c r="AC823">
        <v>527</v>
      </c>
      <c r="AD823" t="s">
        <v>8779</v>
      </c>
      <c r="AE823" t="s">
        <v>8780</v>
      </c>
      <c r="AF823" t="s">
        <v>8781</v>
      </c>
      <c r="AG823" t="s">
        <v>8782</v>
      </c>
      <c r="AH823" t="str">
        <f>HYPERLINK("http://compartments.jensenlab.org/Entity?figures=subcell_cell_%&amp;knowledge=10&amp;textmining=10&amp;experiments=10&amp;predictions=10&amp;type1=9606&amp;type2=-22&amp;id1=ENSP00000377016","link")</f>
        <v>link</v>
      </c>
      <c r="AK823" t="str">
        <f>HYPERLINK("http://www.proteinatlas.org/P35916","CAB000099")</f>
        <v>CAB000099</v>
      </c>
      <c r="AL823" t="s">
        <v>6096</v>
      </c>
      <c r="AM823">
        <v>2324</v>
      </c>
    </row>
    <row r="824" spans="1:39" x14ac:dyDescent="0.35">
      <c r="A824" t="s">
        <v>8783</v>
      </c>
      <c r="B824" t="str">
        <f>HYPERLINK("http://www.uniprot.org/uniprot/P35968","P35968")</f>
        <v>P35968</v>
      </c>
      <c r="C824" t="s">
        <v>8784</v>
      </c>
      <c r="D824" t="s">
        <v>8785</v>
      </c>
      <c r="E824" t="s">
        <v>39</v>
      </c>
      <c r="F824" t="s">
        <v>40</v>
      </c>
      <c r="H824">
        <v>1356</v>
      </c>
      <c r="I824">
        <v>1</v>
      </c>
      <c r="J824">
        <v>1</v>
      </c>
      <c r="K824" t="s">
        <v>8786</v>
      </c>
      <c r="L824" t="s">
        <v>57</v>
      </c>
      <c r="N824">
        <v>1</v>
      </c>
      <c r="O824" s="1">
        <v>1</v>
      </c>
      <c r="P824" t="s">
        <v>8787</v>
      </c>
      <c r="Q824" t="s">
        <v>8788</v>
      </c>
      <c r="R824" t="s">
        <v>8789</v>
      </c>
      <c r="S824" t="s">
        <v>166</v>
      </c>
      <c r="T824" t="s">
        <v>1411</v>
      </c>
      <c r="U824" t="s">
        <v>8790</v>
      </c>
      <c r="V824">
        <v>18</v>
      </c>
      <c r="W824" t="s">
        <v>8790</v>
      </c>
      <c r="X824" t="s">
        <v>8791</v>
      </c>
      <c r="AE824" t="s">
        <v>8792</v>
      </c>
      <c r="AF824" t="s">
        <v>8793</v>
      </c>
      <c r="AG824" t="s">
        <v>8794</v>
      </c>
      <c r="AH824" t="str">
        <f>HYPERLINK("http://compartments.jensenlab.org/Entity?figures=subcell_cell_%&amp;knowledge=10&amp;textmining=10&amp;experiments=10&amp;predictions=10&amp;type1=9606&amp;type2=-22&amp;id1=ENSP00000263923","link")</f>
        <v>link</v>
      </c>
      <c r="AI824" t="s">
        <v>8795</v>
      </c>
      <c r="AJ824" t="s">
        <v>4988</v>
      </c>
      <c r="AK824" t="str">
        <f>HYPERLINK("http://www.proteinatlas.org/P35968","CAB004028;HPA030893")</f>
        <v>CAB004028;HPA030893</v>
      </c>
      <c r="AL824" t="s">
        <v>8796</v>
      </c>
      <c r="AM824">
        <v>3791</v>
      </c>
    </row>
    <row r="825" spans="1:39" x14ac:dyDescent="0.35">
      <c r="A825" t="s">
        <v>8797</v>
      </c>
      <c r="B825" t="str">
        <f>HYPERLINK("http://www.uniprot.org/uniprot/P36544","P36544")</f>
        <v>P36544</v>
      </c>
      <c r="C825" t="s">
        <v>8798</v>
      </c>
      <c r="D825" t="s">
        <v>8799</v>
      </c>
      <c r="E825" t="s">
        <v>39</v>
      </c>
      <c r="F825" t="s">
        <v>55</v>
      </c>
      <c r="H825">
        <v>502</v>
      </c>
      <c r="I825">
        <v>4</v>
      </c>
      <c r="J825">
        <v>1</v>
      </c>
      <c r="K825" t="s">
        <v>8800</v>
      </c>
      <c r="L825" t="s">
        <v>57</v>
      </c>
      <c r="M825" t="s">
        <v>39</v>
      </c>
      <c r="N825">
        <v>0.95630000000000004</v>
      </c>
      <c r="O825" s="1">
        <v>1</v>
      </c>
      <c r="P825" t="s">
        <v>8801</v>
      </c>
      <c r="Q825" t="s">
        <v>8802</v>
      </c>
      <c r="S825" t="s">
        <v>45</v>
      </c>
      <c r="T825" t="s">
        <v>195</v>
      </c>
      <c r="U825" t="s">
        <v>8803</v>
      </c>
      <c r="V825">
        <v>3</v>
      </c>
      <c r="Y825">
        <v>338</v>
      </c>
      <c r="AE825" t="s">
        <v>619</v>
      </c>
      <c r="AF825" t="s">
        <v>8804</v>
      </c>
      <c r="AG825" t="s">
        <v>8805</v>
      </c>
      <c r="AH825" t="str">
        <f>HYPERLINK("http://compartments.jensenlab.org/Entity?figures=subcell_cell_%&amp;knowledge=10&amp;textmining=10&amp;experiments=10&amp;predictions=10&amp;type1=9606&amp;type2=-22&amp;id1=ENSP00000303727","link")</f>
        <v>link</v>
      </c>
      <c r="AI825" t="s">
        <v>65</v>
      </c>
      <c r="AJ825" t="s">
        <v>51</v>
      </c>
      <c r="AK825" t="str">
        <f>HYPERLINK("http://www.proteinatlas.org/P36544","HPA029422;CAB033624")</f>
        <v>HPA029422;CAB033624</v>
      </c>
      <c r="AL825" t="s">
        <v>8806</v>
      </c>
      <c r="AM825" t="s">
        <v>8807</v>
      </c>
    </row>
    <row r="826" spans="1:39" x14ac:dyDescent="0.35">
      <c r="A826" t="s">
        <v>8808</v>
      </c>
      <c r="B826" t="str">
        <f>HYPERLINK("http://www.uniprot.org/uniprot/P36888","P36888")</f>
        <v>P36888</v>
      </c>
      <c r="C826" t="s">
        <v>8809</v>
      </c>
      <c r="D826" t="s">
        <v>8810</v>
      </c>
      <c r="E826" t="s">
        <v>39</v>
      </c>
      <c r="F826" t="s">
        <v>40</v>
      </c>
      <c r="H826">
        <v>993</v>
      </c>
      <c r="I826">
        <v>1</v>
      </c>
      <c r="J826">
        <v>1</v>
      </c>
      <c r="K826" t="s">
        <v>8811</v>
      </c>
      <c r="L826" t="s">
        <v>101</v>
      </c>
      <c r="N826">
        <v>0.99</v>
      </c>
      <c r="O826" s="1">
        <v>1</v>
      </c>
      <c r="P826" t="s">
        <v>8812</v>
      </c>
      <c r="Q826" t="s">
        <v>8813</v>
      </c>
      <c r="R826" t="s">
        <v>8814</v>
      </c>
      <c r="S826" t="s">
        <v>166</v>
      </c>
      <c r="T826" t="s">
        <v>4272</v>
      </c>
      <c r="U826" t="s">
        <v>8815</v>
      </c>
      <c r="V826">
        <v>11</v>
      </c>
      <c r="W826" t="s">
        <v>8815</v>
      </c>
      <c r="Z826" t="s">
        <v>107</v>
      </c>
      <c r="AA826">
        <v>5</v>
      </c>
      <c r="AB826" t="s">
        <v>8816</v>
      </c>
      <c r="AC826" t="s">
        <v>8817</v>
      </c>
      <c r="AD826" t="s">
        <v>8818</v>
      </c>
      <c r="AE826" t="s">
        <v>8819</v>
      </c>
      <c r="AF826" t="s">
        <v>8820</v>
      </c>
      <c r="AG826" t="s">
        <v>8821</v>
      </c>
      <c r="AH826" t="str">
        <f>HYPERLINK("http://compartments.jensenlab.org/Entity?figures=subcell_cell_%&amp;knowledge=10&amp;textmining=10&amp;experiments=10&amp;predictions=10&amp;type1=9606&amp;type2=-22&amp;id1=ENSP00000241453","link")</f>
        <v>link</v>
      </c>
      <c r="AI826" t="s">
        <v>980</v>
      </c>
      <c r="AJ826" t="s">
        <v>345</v>
      </c>
      <c r="AK826" t="str">
        <f>HYPERLINK("http://www.proteinatlas.org/P36888","CAB018358")</f>
        <v>CAB018358</v>
      </c>
      <c r="AL826" t="s">
        <v>8822</v>
      </c>
      <c r="AM826">
        <v>2322</v>
      </c>
    </row>
    <row r="827" spans="1:39" x14ac:dyDescent="0.35">
      <c r="A827" t="s">
        <v>8823</v>
      </c>
      <c r="B827" t="str">
        <f>HYPERLINK("http://www.uniprot.org/uniprot/P36894","P36894")</f>
        <v>P36894</v>
      </c>
      <c r="C827" t="s">
        <v>8824</v>
      </c>
      <c r="D827" t="s">
        <v>8825</v>
      </c>
      <c r="E827" t="s">
        <v>39</v>
      </c>
      <c r="F827" t="s">
        <v>40</v>
      </c>
      <c r="H827">
        <v>532</v>
      </c>
      <c r="I827">
        <v>1</v>
      </c>
      <c r="J827">
        <v>1</v>
      </c>
      <c r="K827" t="s">
        <v>8826</v>
      </c>
      <c r="L827" t="s">
        <v>57</v>
      </c>
      <c r="N827">
        <v>0.80840000000000001</v>
      </c>
      <c r="O827" s="1">
        <v>1</v>
      </c>
      <c r="P827" t="s">
        <v>8827</v>
      </c>
      <c r="Q827" t="s">
        <v>8828</v>
      </c>
      <c r="R827" t="s">
        <v>8829</v>
      </c>
      <c r="S827" t="s">
        <v>166</v>
      </c>
      <c r="T827" t="s">
        <v>7370</v>
      </c>
      <c r="U827" t="s">
        <v>8830</v>
      </c>
      <c r="V827">
        <v>1</v>
      </c>
      <c r="X827" t="s">
        <v>8831</v>
      </c>
      <c r="AE827" t="s">
        <v>144</v>
      </c>
      <c r="AF827" t="s">
        <v>8832</v>
      </c>
      <c r="AG827" t="s">
        <v>8833</v>
      </c>
      <c r="AH827" t="str">
        <f>HYPERLINK("http://compartments.jensenlab.org/Entity?figures=subcell_cell_%&amp;knowledge=10&amp;textmining=10&amp;experiments=10&amp;predictions=10&amp;type1=9606&amp;type2=-22&amp;id1=ENSP00000361107","link")</f>
        <v>link</v>
      </c>
      <c r="AK827" t="str">
        <f>HYPERLINK("http://www.proteinatlas.org/P36894","CAB019398")</f>
        <v>CAB019398</v>
      </c>
      <c r="AM827">
        <v>657</v>
      </c>
    </row>
    <row r="828" spans="1:39" x14ac:dyDescent="0.35">
      <c r="A828" t="s">
        <v>8834</v>
      </c>
      <c r="B828" t="str">
        <f>HYPERLINK("http://www.uniprot.org/uniprot/P36896","P36896")</f>
        <v>P36896</v>
      </c>
      <c r="C828" t="s">
        <v>8835</v>
      </c>
      <c r="D828" t="s">
        <v>8836</v>
      </c>
      <c r="E828" t="s">
        <v>39</v>
      </c>
      <c r="F828" t="s">
        <v>40</v>
      </c>
      <c r="H828">
        <v>505</v>
      </c>
      <c r="I828">
        <v>1</v>
      </c>
      <c r="J828">
        <v>1</v>
      </c>
      <c r="K828" t="s">
        <v>8837</v>
      </c>
      <c r="L828" t="s">
        <v>57</v>
      </c>
      <c r="N828">
        <v>0.93610000000000004</v>
      </c>
      <c r="O828" s="1">
        <v>1</v>
      </c>
      <c r="P828" t="s">
        <v>8838</v>
      </c>
      <c r="Q828" t="s">
        <v>8839</v>
      </c>
      <c r="S828" t="s">
        <v>166</v>
      </c>
      <c r="T828" t="s">
        <v>7370</v>
      </c>
      <c r="U828" t="s">
        <v>8840</v>
      </c>
      <c r="V828">
        <v>1</v>
      </c>
      <c r="W828" t="s">
        <v>8840</v>
      </c>
      <c r="X828" t="s">
        <v>8841</v>
      </c>
      <c r="AE828" t="s">
        <v>332</v>
      </c>
      <c r="AF828" t="s">
        <v>8842</v>
      </c>
      <c r="AG828" t="s">
        <v>8843</v>
      </c>
      <c r="AH828" t="str">
        <f>HYPERLINK("http://compartments.jensenlab.org/Entity?figures=subcell_cell_%&amp;knowledge=10&amp;textmining=10&amp;experiments=10&amp;predictions=10&amp;type1=9606&amp;type2=-22&amp;id1=ENSP00000257963","link")</f>
        <v>link</v>
      </c>
      <c r="AI828" t="s">
        <v>65</v>
      </c>
      <c r="AJ828" t="s">
        <v>51</v>
      </c>
      <c r="AK828" t="str">
        <f>HYPERLINK("http://www.proteinatlas.org/P36896","CAB026126;HPA063761")</f>
        <v>CAB026126;HPA063761</v>
      </c>
      <c r="AL828" t="s">
        <v>8844</v>
      </c>
      <c r="AM828">
        <v>91</v>
      </c>
    </row>
    <row r="829" spans="1:39" x14ac:dyDescent="0.35">
      <c r="A829" t="s">
        <v>8845</v>
      </c>
      <c r="B829" t="str">
        <f>HYPERLINK("http://www.uniprot.org/uniprot/P36897","P36897")</f>
        <v>P36897</v>
      </c>
      <c r="C829" t="s">
        <v>8846</v>
      </c>
      <c r="D829" t="s">
        <v>8847</v>
      </c>
      <c r="E829" t="s">
        <v>39</v>
      </c>
      <c r="F829" t="s">
        <v>55</v>
      </c>
      <c r="H829">
        <v>503</v>
      </c>
      <c r="I829">
        <v>1</v>
      </c>
      <c r="J829">
        <v>1</v>
      </c>
      <c r="K829" t="s">
        <v>8848</v>
      </c>
      <c r="L829" t="s">
        <v>57</v>
      </c>
      <c r="M829" t="s">
        <v>39</v>
      </c>
      <c r="N829">
        <v>0.86980000000000002</v>
      </c>
      <c r="O829" s="1">
        <v>1</v>
      </c>
      <c r="P829" t="s">
        <v>8849</v>
      </c>
      <c r="Q829" t="s">
        <v>8850</v>
      </c>
      <c r="S829" t="s">
        <v>166</v>
      </c>
      <c r="T829" t="s">
        <v>7370</v>
      </c>
      <c r="U829" t="s">
        <v>8851</v>
      </c>
      <c r="V829">
        <v>1</v>
      </c>
      <c r="X829" t="s">
        <v>8852</v>
      </c>
      <c r="AE829" t="s">
        <v>8853</v>
      </c>
      <c r="AF829" t="s">
        <v>8854</v>
      </c>
      <c r="AG829" t="s">
        <v>8855</v>
      </c>
      <c r="AH829" t="str">
        <f>HYPERLINK("http://compartments.jensenlab.org/Entity?figures=subcell_cell_%&amp;knowledge=10&amp;textmining=10&amp;experiments=10&amp;predictions=10&amp;type1=9606&amp;type2=-22&amp;id1=ENSP00000364133","link")</f>
        <v>link</v>
      </c>
      <c r="AI829" t="s">
        <v>65</v>
      </c>
      <c r="AJ829" t="s">
        <v>51</v>
      </c>
      <c r="AK829" t="str">
        <f>HYPERLINK("http://www.proteinatlas.org/P36897","CAB002441;CAB031481;HPA056473")</f>
        <v>CAB002441;CAB031481;HPA056473</v>
      </c>
      <c r="AM829">
        <v>7046</v>
      </c>
    </row>
    <row r="830" spans="1:39" x14ac:dyDescent="0.35">
      <c r="A830" t="s">
        <v>8856</v>
      </c>
      <c r="B830" t="str">
        <f>HYPERLINK("http://www.uniprot.org/uniprot/P36941","P36941")</f>
        <v>P36941</v>
      </c>
      <c r="C830" t="s">
        <v>8857</v>
      </c>
      <c r="D830" t="s">
        <v>8858</v>
      </c>
      <c r="E830" t="s">
        <v>39</v>
      </c>
      <c r="F830" t="s">
        <v>40</v>
      </c>
      <c r="H830">
        <v>435</v>
      </c>
      <c r="I830">
        <v>1</v>
      </c>
      <c r="J830">
        <v>1</v>
      </c>
      <c r="K830" t="s">
        <v>8859</v>
      </c>
      <c r="L830" t="s">
        <v>101</v>
      </c>
      <c r="N830">
        <v>0.96409999999999996</v>
      </c>
      <c r="O830" s="1">
        <v>1</v>
      </c>
      <c r="P830" t="s">
        <v>8860</v>
      </c>
      <c r="Q830" t="s">
        <v>8861</v>
      </c>
      <c r="S830" t="s">
        <v>166</v>
      </c>
      <c r="T830" t="s">
        <v>864</v>
      </c>
      <c r="U830" t="s">
        <v>8862</v>
      </c>
      <c r="V830">
        <v>2</v>
      </c>
      <c r="X830" t="s">
        <v>8863</v>
      </c>
      <c r="Z830" t="s">
        <v>107</v>
      </c>
      <c r="AA830">
        <v>5</v>
      </c>
      <c r="AB830" t="s">
        <v>8864</v>
      </c>
      <c r="AC830">
        <v>177</v>
      </c>
      <c r="AD830" t="s">
        <v>8865</v>
      </c>
      <c r="AE830" t="s">
        <v>144</v>
      </c>
      <c r="AF830" t="s">
        <v>8866</v>
      </c>
      <c r="AG830" t="s">
        <v>8867</v>
      </c>
      <c r="AH830" t="str">
        <f>HYPERLINK("http://compartments.jensenlab.org/Entity?figures=subcell_cell_%&amp;knowledge=10&amp;textmining=10&amp;experiments=10&amp;predictions=10&amp;type1=9606&amp;type2=-22&amp;id1=ENSP00000228918","link")</f>
        <v>link</v>
      </c>
      <c r="AJ830" t="s">
        <v>51</v>
      </c>
      <c r="AK830" t="str">
        <f>HYPERLINK("http://www.proteinatlas.org/P36941","CAB026202")</f>
        <v>CAB026202</v>
      </c>
      <c r="AM830">
        <v>4055</v>
      </c>
    </row>
    <row r="831" spans="1:39" x14ac:dyDescent="0.35">
      <c r="A831" t="s">
        <v>8868</v>
      </c>
      <c r="B831" t="str">
        <f>HYPERLINK("http://www.uniprot.org/uniprot/P37023","P37023")</f>
        <v>P37023</v>
      </c>
      <c r="C831" t="s">
        <v>8869</v>
      </c>
      <c r="D831" t="s">
        <v>8870</v>
      </c>
      <c r="E831" t="s">
        <v>39</v>
      </c>
      <c r="F831" t="s">
        <v>40</v>
      </c>
      <c r="H831">
        <v>503</v>
      </c>
      <c r="I831">
        <v>1</v>
      </c>
      <c r="J831">
        <v>1</v>
      </c>
      <c r="K831" t="s">
        <v>8871</v>
      </c>
      <c r="L831" t="s">
        <v>57</v>
      </c>
      <c r="N831">
        <v>0.86429999999999996</v>
      </c>
      <c r="O831" s="1">
        <v>1</v>
      </c>
      <c r="P831" t="s">
        <v>8872</v>
      </c>
      <c r="Q831" t="s">
        <v>8873</v>
      </c>
      <c r="S831" t="s">
        <v>166</v>
      </c>
      <c r="T831" t="s">
        <v>7370</v>
      </c>
      <c r="U831" t="s">
        <v>8874</v>
      </c>
      <c r="V831">
        <v>1</v>
      </c>
      <c r="W831" t="s">
        <v>8875</v>
      </c>
      <c r="X831" t="s">
        <v>8876</v>
      </c>
      <c r="AE831" t="s">
        <v>144</v>
      </c>
      <c r="AF831" t="s">
        <v>8877</v>
      </c>
      <c r="AG831" t="s">
        <v>8878</v>
      </c>
      <c r="AH831" t="str">
        <f>HYPERLINK("http://compartments.jensenlab.org/Entity?figures=subcell_cell_%&amp;knowledge=10&amp;textmining=10&amp;experiments=10&amp;predictions=10&amp;type1=9606&amp;type2=-22&amp;id1=ENSP00000373574","link")</f>
        <v>link</v>
      </c>
      <c r="AK831" t="str">
        <f>HYPERLINK("http://www.proteinatlas.org/P37023","HPA007041")</f>
        <v>HPA007041</v>
      </c>
      <c r="AL831" t="s">
        <v>8844</v>
      </c>
      <c r="AM831">
        <v>94</v>
      </c>
    </row>
    <row r="832" spans="1:39" x14ac:dyDescent="0.35">
      <c r="A832" t="s">
        <v>8879</v>
      </c>
      <c r="B832" t="str">
        <f>HYPERLINK("http://www.uniprot.org/uniprot/P37088","P37088")</f>
        <v>P37088</v>
      </c>
      <c r="C832" t="s">
        <v>8880</v>
      </c>
      <c r="D832" t="s">
        <v>8881</v>
      </c>
      <c r="E832" t="s">
        <v>39</v>
      </c>
      <c r="F832" t="s">
        <v>55</v>
      </c>
      <c r="H832">
        <v>669</v>
      </c>
      <c r="I832">
        <v>2</v>
      </c>
      <c r="J832">
        <v>0</v>
      </c>
      <c r="K832" t="s">
        <v>8882</v>
      </c>
      <c r="L832" t="s">
        <v>57</v>
      </c>
      <c r="M832" t="s">
        <v>39</v>
      </c>
      <c r="N832">
        <v>0.5988</v>
      </c>
      <c r="O832" s="1">
        <v>2</v>
      </c>
      <c r="P832" t="s">
        <v>8883</v>
      </c>
      <c r="Q832" t="s">
        <v>8884</v>
      </c>
      <c r="S832" t="s">
        <v>60</v>
      </c>
      <c r="T832" t="s">
        <v>60</v>
      </c>
      <c r="U832" t="s">
        <v>8885</v>
      </c>
      <c r="V832">
        <v>5</v>
      </c>
      <c r="W832" t="s">
        <v>8886</v>
      </c>
      <c r="Y832" t="s">
        <v>8887</v>
      </c>
      <c r="AE832" t="s">
        <v>8888</v>
      </c>
      <c r="AF832" t="s">
        <v>8889</v>
      </c>
      <c r="AG832" t="s">
        <v>8890</v>
      </c>
      <c r="AH832" t="str">
        <f>HYPERLINK("http://compartments.jensenlab.org/Entity?figures=subcell_cell_%&amp;knowledge=10&amp;textmining=10&amp;experiments=10&amp;predictions=10&amp;type1=9606&amp;type2=-22&amp;id1=ENSP00000228916","link")</f>
        <v>link</v>
      </c>
      <c r="AI832" t="s">
        <v>65</v>
      </c>
      <c r="AJ832" t="s">
        <v>1811</v>
      </c>
      <c r="AK832" t="str">
        <f>HYPERLINK("http://www.proteinatlas.org/P37088","HPA012743;HPA012939")</f>
        <v>HPA012743;HPA012939</v>
      </c>
      <c r="AL832" t="s">
        <v>8891</v>
      </c>
      <c r="AM832">
        <v>6337</v>
      </c>
    </row>
    <row r="833" spans="1:39" x14ac:dyDescent="0.35">
      <c r="A833" t="s">
        <v>8892</v>
      </c>
      <c r="B833" t="str">
        <f>HYPERLINK("http://www.uniprot.org/uniprot/P37173","P37173")</f>
        <v>P37173</v>
      </c>
      <c r="C833" t="s">
        <v>8893</v>
      </c>
      <c r="D833" t="s">
        <v>8894</v>
      </c>
      <c r="E833" t="s">
        <v>39</v>
      </c>
      <c r="F833" t="s">
        <v>55</v>
      </c>
      <c r="H833">
        <v>567</v>
      </c>
      <c r="I833">
        <v>1</v>
      </c>
      <c r="J833">
        <v>1</v>
      </c>
      <c r="K833" t="s">
        <v>8895</v>
      </c>
      <c r="L833" t="s">
        <v>101</v>
      </c>
      <c r="M833" t="s">
        <v>39</v>
      </c>
      <c r="N833">
        <v>0.94850000000000001</v>
      </c>
      <c r="O833" s="1">
        <v>1</v>
      </c>
      <c r="P833" t="s">
        <v>8896</v>
      </c>
      <c r="Q833" t="s">
        <v>8897</v>
      </c>
      <c r="S833" t="s">
        <v>166</v>
      </c>
      <c r="T833" t="s">
        <v>7370</v>
      </c>
      <c r="U833" t="s">
        <v>8898</v>
      </c>
      <c r="V833">
        <v>3</v>
      </c>
      <c r="W833" t="s">
        <v>8899</v>
      </c>
      <c r="X833" t="s">
        <v>8900</v>
      </c>
      <c r="Z833" t="s">
        <v>107</v>
      </c>
      <c r="AA833">
        <v>3</v>
      </c>
      <c r="AB833" t="s">
        <v>8901</v>
      </c>
      <c r="AC833" t="s">
        <v>8902</v>
      </c>
      <c r="AD833" t="s">
        <v>8903</v>
      </c>
      <c r="AE833" t="s">
        <v>332</v>
      </c>
      <c r="AF833" t="s">
        <v>8904</v>
      </c>
      <c r="AG833" t="s">
        <v>8905</v>
      </c>
      <c r="AH833" t="str">
        <f>HYPERLINK("http://compartments.jensenlab.org/Entity?figures=subcell_cell_%&amp;knowledge=10&amp;textmining=10&amp;experiments=10&amp;predictions=10&amp;type1=9606&amp;type2=-22&amp;id1=ENSP00000295754","link")</f>
        <v>link</v>
      </c>
      <c r="AK833" t="str">
        <f>HYPERLINK("http://www.proteinatlas.org/P37173","no")</f>
        <v>no</v>
      </c>
      <c r="AM833">
        <v>7048</v>
      </c>
    </row>
    <row r="834" spans="1:39" x14ac:dyDescent="0.35">
      <c r="A834" t="s">
        <v>8906</v>
      </c>
      <c r="B834" t="str">
        <f>HYPERLINK("http://www.uniprot.org/uniprot/P37288","P37288")</f>
        <v>P37288</v>
      </c>
      <c r="C834" t="s">
        <v>8907</v>
      </c>
      <c r="D834" t="s">
        <v>8908</v>
      </c>
      <c r="E834" t="s">
        <v>39</v>
      </c>
      <c r="F834" t="s">
        <v>40</v>
      </c>
      <c r="H834">
        <v>418</v>
      </c>
      <c r="I834">
        <v>7</v>
      </c>
      <c r="J834">
        <v>0</v>
      </c>
      <c r="K834" t="s">
        <v>8909</v>
      </c>
      <c r="L834" t="s">
        <v>57</v>
      </c>
      <c r="N834">
        <v>0.93610000000000004</v>
      </c>
      <c r="O834" s="1">
        <v>1</v>
      </c>
      <c r="P834" t="s">
        <v>8910</v>
      </c>
      <c r="Q834" t="s">
        <v>8911</v>
      </c>
      <c r="S834" t="s">
        <v>166</v>
      </c>
      <c r="T834" t="s">
        <v>838</v>
      </c>
      <c r="U834" t="s">
        <v>8912</v>
      </c>
      <c r="V834">
        <v>3</v>
      </c>
      <c r="W834" t="s">
        <v>8913</v>
      </c>
      <c r="Y834">
        <v>313</v>
      </c>
      <c r="AE834" t="s">
        <v>74</v>
      </c>
      <c r="AF834" t="s">
        <v>8914</v>
      </c>
      <c r="AG834" t="s">
        <v>8915</v>
      </c>
      <c r="AH834" t="str">
        <f>HYPERLINK("http://compartments.jensenlab.org/Entity?figures=subcell_cell_%&amp;knowledge=10&amp;textmining=10&amp;experiments=10&amp;predictions=10&amp;type1=9606&amp;type2=-22&amp;id1=ENSP00000299178","link")</f>
        <v>link</v>
      </c>
      <c r="AI834" t="s">
        <v>65</v>
      </c>
      <c r="AJ834" t="s">
        <v>1791</v>
      </c>
      <c r="AK834" t="str">
        <f>HYPERLINK("http://www.proteinatlas.org/P37288","no")</f>
        <v>no</v>
      </c>
      <c r="AL834" t="s">
        <v>8916</v>
      </c>
      <c r="AM834">
        <v>552</v>
      </c>
    </row>
    <row r="835" spans="1:39" x14ac:dyDescent="0.35">
      <c r="A835" t="s">
        <v>8917</v>
      </c>
      <c r="B835" t="str">
        <f>HYPERLINK("http://www.uniprot.org/uniprot/P38484","P38484")</f>
        <v>P38484</v>
      </c>
      <c r="C835" t="s">
        <v>8918</v>
      </c>
      <c r="D835" t="s">
        <v>8919</v>
      </c>
      <c r="E835" t="s">
        <v>39</v>
      </c>
      <c r="F835" t="s">
        <v>40</v>
      </c>
      <c r="H835">
        <v>337</v>
      </c>
      <c r="I835">
        <v>1</v>
      </c>
      <c r="J835">
        <v>1</v>
      </c>
      <c r="K835" t="s">
        <v>8920</v>
      </c>
      <c r="L835" t="s">
        <v>57</v>
      </c>
      <c r="N835">
        <v>0.93410000000000004</v>
      </c>
      <c r="O835" s="1">
        <v>1</v>
      </c>
      <c r="P835" t="s">
        <v>8921</v>
      </c>
      <c r="Q835" t="s">
        <v>8922</v>
      </c>
      <c r="S835" t="s">
        <v>166</v>
      </c>
      <c r="T835" t="s">
        <v>5643</v>
      </c>
      <c r="U835" t="s">
        <v>8923</v>
      </c>
      <c r="V835">
        <v>6</v>
      </c>
      <c r="W835" t="s">
        <v>8924</v>
      </c>
      <c r="AE835" t="s">
        <v>144</v>
      </c>
      <c r="AF835" t="s">
        <v>8925</v>
      </c>
      <c r="AG835" t="s">
        <v>8926</v>
      </c>
      <c r="AH835" t="str">
        <f>HYPERLINK("http://compartments.jensenlab.org/Entity?figures=subcell_cell_%&amp;knowledge=10&amp;textmining=10&amp;experiments=10&amp;predictions=10&amp;type1=9606&amp;type2=-22&amp;id1=ENSP00000290219","link")</f>
        <v>link</v>
      </c>
      <c r="AI835" t="s">
        <v>980</v>
      </c>
      <c r="AJ835" t="s">
        <v>345</v>
      </c>
      <c r="AK835" t="str">
        <f>HYPERLINK("http://www.proteinatlas.org/P38484","HPA001535")</f>
        <v>HPA001535</v>
      </c>
      <c r="AL835" t="s">
        <v>5649</v>
      </c>
      <c r="AM835">
        <v>3460</v>
      </c>
    </row>
    <row r="836" spans="1:39" x14ac:dyDescent="0.35">
      <c r="A836" t="s">
        <v>8927</v>
      </c>
      <c r="B836" t="str">
        <f>HYPERLINK("http://www.uniprot.org/uniprot/P38567","P38567")</f>
        <v>P38567</v>
      </c>
      <c r="C836" t="s">
        <v>8928</v>
      </c>
      <c r="D836" t="s">
        <v>8929</v>
      </c>
      <c r="E836" t="s">
        <v>39</v>
      </c>
      <c r="F836" t="s">
        <v>239</v>
      </c>
      <c r="H836">
        <v>509</v>
      </c>
      <c r="I836">
        <v>0</v>
      </c>
      <c r="J836">
        <v>1</v>
      </c>
      <c r="K836" t="s">
        <v>8930</v>
      </c>
      <c r="L836" t="s">
        <v>57</v>
      </c>
      <c r="N836">
        <v>0.72260000000000002</v>
      </c>
      <c r="O836" s="1" t="s">
        <v>241</v>
      </c>
      <c r="P836" t="s">
        <v>8931</v>
      </c>
      <c r="Q836" t="s">
        <v>8932</v>
      </c>
      <c r="S836" t="s">
        <v>947</v>
      </c>
      <c r="T836" t="s">
        <v>4765</v>
      </c>
      <c r="U836" t="s">
        <v>8933</v>
      </c>
      <c r="V836">
        <v>7</v>
      </c>
      <c r="W836" t="s">
        <v>8933</v>
      </c>
      <c r="Y836">
        <v>147</v>
      </c>
      <c r="AE836" t="s">
        <v>243</v>
      </c>
      <c r="AF836" t="s">
        <v>8934</v>
      </c>
      <c r="AG836" t="s">
        <v>8935</v>
      </c>
      <c r="AH836" t="str">
        <f>HYPERLINK("http://compartments.jensenlab.org/Entity?figures=subcell_cell_%&amp;knowledge=10&amp;textmining=10&amp;experiments=10&amp;predictions=10&amp;type1=9606&amp;type2=-22&amp;id1=ENSP00000223028","link")</f>
        <v>link</v>
      </c>
      <c r="AK836" t="str">
        <f>HYPERLINK("http://www.proteinatlas.org/P38567","HPA017984")</f>
        <v>HPA017984</v>
      </c>
      <c r="AM836">
        <v>6677</v>
      </c>
    </row>
    <row r="837" spans="1:39" x14ac:dyDescent="0.35">
      <c r="A837" t="s">
        <v>8936</v>
      </c>
      <c r="B837" t="str">
        <f>HYPERLINK("http://www.uniprot.org/uniprot/P38570","P38570")</f>
        <v>P38570</v>
      </c>
      <c r="C837" t="s">
        <v>8937</v>
      </c>
      <c r="D837" t="s">
        <v>8938</v>
      </c>
      <c r="E837" t="s">
        <v>39</v>
      </c>
      <c r="F837" t="s">
        <v>40</v>
      </c>
      <c r="H837">
        <v>1179</v>
      </c>
      <c r="I837">
        <v>1</v>
      </c>
      <c r="J837">
        <v>1</v>
      </c>
      <c r="K837" t="s">
        <v>8939</v>
      </c>
      <c r="L837" t="s">
        <v>101</v>
      </c>
      <c r="N837">
        <v>0.80840000000000001</v>
      </c>
      <c r="O837" s="1">
        <v>1</v>
      </c>
      <c r="P837" t="s">
        <v>8940</v>
      </c>
      <c r="Q837" t="s">
        <v>8941</v>
      </c>
      <c r="R837" t="s">
        <v>8942</v>
      </c>
      <c r="S837" t="s">
        <v>166</v>
      </c>
      <c r="T837" t="s">
        <v>2763</v>
      </c>
      <c r="U837" t="s">
        <v>8943</v>
      </c>
      <c r="V837">
        <v>11</v>
      </c>
      <c r="W837" t="s">
        <v>8944</v>
      </c>
      <c r="Z837" t="s">
        <v>107</v>
      </c>
      <c r="AA837">
        <v>1</v>
      </c>
      <c r="AB837" t="s">
        <v>8945</v>
      </c>
      <c r="AC837">
        <v>271</v>
      </c>
      <c r="AD837" t="s">
        <v>8946</v>
      </c>
      <c r="AE837" t="s">
        <v>144</v>
      </c>
      <c r="AF837" t="s">
        <v>8947</v>
      </c>
      <c r="AG837" t="s">
        <v>8948</v>
      </c>
      <c r="AH837" t="str">
        <f>HYPERLINK("http://compartments.jensenlab.org/Entity?figures=subcell_cell_%&amp;knowledge=10&amp;textmining=10&amp;experiments=10&amp;predictions=10&amp;type1=9606&amp;type2=-22&amp;id1=ENSP00000263087","link")</f>
        <v>link</v>
      </c>
      <c r="AJ837" t="s">
        <v>51</v>
      </c>
      <c r="AK837" t="str">
        <f>HYPERLINK("http://www.proteinatlas.org/P38570","CAB026461;HPA036313;HPA052147")</f>
        <v>CAB026461;HPA036313;HPA052147</v>
      </c>
      <c r="AM837">
        <v>3682</v>
      </c>
    </row>
    <row r="838" spans="1:39" x14ac:dyDescent="0.35">
      <c r="A838" t="s">
        <v>8949</v>
      </c>
      <c r="B838" t="str">
        <f>HYPERLINK("http://www.uniprot.org/uniprot/P39086","P39086")</f>
        <v>P39086</v>
      </c>
      <c r="C838" t="s">
        <v>8950</v>
      </c>
      <c r="D838" t="s">
        <v>8951</v>
      </c>
      <c r="E838" t="s">
        <v>39</v>
      </c>
      <c r="F838" t="s">
        <v>55</v>
      </c>
      <c r="H838">
        <v>918</v>
      </c>
      <c r="I838">
        <v>3</v>
      </c>
      <c r="J838">
        <v>1</v>
      </c>
      <c r="K838" t="s">
        <v>8952</v>
      </c>
      <c r="L838" t="s">
        <v>57</v>
      </c>
      <c r="M838" t="s">
        <v>39</v>
      </c>
      <c r="N838">
        <v>0.94359999999999999</v>
      </c>
      <c r="O838" s="1">
        <v>1</v>
      </c>
      <c r="P838" t="s">
        <v>8953</v>
      </c>
      <c r="Q838" t="s">
        <v>8954</v>
      </c>
      <c r="S838" t="s">
        <v>45</v>
      </c>
      <c r="T838" t="s">
        <v>1554</v>
      </c>
      <c r="U838" t="s">
        <v>8955</v>
      </c>
      <c r="V838">
        <v>9</v>
      </c>
      <c r="W838" t="s">
        <v>8955</v>
      </c>
      <c r="AE838" t="s">
        <v>619</v>
      </c>
      <c r="AF838" t="s">
        <v>8956</v>
      </c>
      <c r="AG838" t="s">
        <v>8957</v>
      </c>
      <c r="AH838" t="str">
        <f>HYPERLINK("http://compartments.jensenlab.org/Entity?figures=subcell_cell_%&amp;knowledge=10&amp;textmining=10&amp;experiments=10&amp;predictions=10&amp;type1=9606&amp;type2=-22&amp;id1=ENSP00000382791","link")</f>
        <v>link</v>
      </c>
      <c r="AI838" t="s">
        <v>65</v>
      </c>
      <c r="AJ838" t="s">
        <v>51</v>
      </c>
      <c r="AK838" t="str">
        <f>HYPERLINK("http://www.proteinatlas.org/P39086","HPA014623")</f>
        <v>HPA014623</v>
      </c>
      <c r="AL838" t="s">
        <v>8958</v>
      </c>
      <c r="AM838">
        <v>2897</v>
      </c>
    </row>
    <row r="839" spans="1:39" x14ac:dyDescent="0.35">
      <c r="A839" t="s">
        <v>8959</v>
      </c>
      <c r="B839" t="str">
        <f>HYPERLINK("http://www.uniprot.org/uniprot/P40126","P40126")</f>
        <v>P40126</v>
      </c>
      <c r="C839" t="s">
        <v>8960</v>
      </c>
      <c r="D839" t="s">
        <v>8961</v>
      </c>
      <c r="E839" t="s">
        <v>39</v>
      </c>
      <c r="F839" t="s">
        <v>40</v>
      </c>
      <c r="H839">
        <v>519</v>
      </c>
      <c r="I839">
        <v>1</v>
      </c>
      <c r="J839">
        <v>1</v>
      </c>
      <c r="K839" t="s">
        <v>8962</v>
      </c>
      <c r="L839" t="s">
        <v>101</v>
      </c>
      <c r="N839">
        <v>0.87029999999999996</v>
      </c>
      <c r="O839" s="1">
        <v>1</v>
      </c>
      <c r="P839" t="s">
        <v>8963</v>
      </c>
      <c r="Q839" t="s">
        <v>8964</v>
      </c>
      <c r="S839" t="s">
        <v>947</v>
      </c>
      <c r="T839" t="s">
        <v>8965</v>
      </c>
      <c r="U839" t="s">
        <v>8966</v>
      </c>
      <c r="V839">
        <v>6</v>
      </c>
      <c r="W839" t="s">
        <v>8967</v>
      </c>
      <c r="Z839" t="s">
        <v>107</v>
      </c>
      <c r="AA839">
        <v>1</v>
      </c>
      <c r="AB839" t="s">
        <v>8968</v>
      </c>
      <c r="AC839">
        <v>342</v>
      </c>
      <c r="AD839" t="s">
        <v>8969</v>
      </c>
      <c r="AE839" t="s">
        <v>5558</v>
      </c>
      <c r="AF839" t="s">
        <v>8970</v>
      </c>
      <c r="AG839" t="s">
        <v>8971</v>
      </c>
      <c r="AH839" t="str">
        <f>HYPERLINK("http://compartments.jensenlab.org/Entity?figures=subcell_cell_%&amp;knowledge=10&amp;textmining=10&amp;experiments=10&amp;predictions=10&amp;type1=9606&amp;type2=-22&amp;id1=ENSP00000366227","link")</f>
        <v>link</v>
      </c>
      <c r="AK839" t="str">
        <f>HYPERLINK("http://www.proteinatlas.org/P40126","HPA010743;HPA010800;CAB017634")</f>
        <v>HPA010743;HPA010800;CAB017634</v>
      </c>
      <c r="AM839">
        <v>1638</v>
      </c>
    </row>
    <row r="840" spans="1:39" x14ac:dyDescent="0.35">
      <c r="A840" t="s">
        <v>8972</v>
      </c>
      <c r="B840" t="str">
        <f>HYPERLINK("http://www.uniprot.org/uniprot/P40189","P40189")</f>
        <v>P40189</v>
      </c>
      <c r="C840" t="s">
        <v>8973</v>
      </c>
      <c r="D840" t="s">
        <v>8974</v>
      </c>
      <c r="E840" t="s">
        <v>39</v>
      </c>
      <c r="F840" t="s">
        <v>55</v>
      </c>
      <c r="H840">
        <v>918</v>
      </c>
      <c r="I840">
        <v>1</v>
      </c>
      <c r="J840">
        <v>1</v>
      </c>
      <c r="K840" t="s">
        <v>8975</v>
      </c>
      <c r="L840" t="s">
        <v>101</v>
      </c>
      <c r="M840" t="s">
        <v>39</v>
      </c>
      <c r="N840">
        <v>0.97340000000000004</v>
      </c>
      <c r="O840" s="1">
        <v>1</v>
      </c>
      <c r="P840" t="s">
        <v>8976</v>
      </c>
      <c r="Q840" t="s">
        <v>8977</v>
      </c>
      <c r="R840" t="s">
        <v>8978</v>
      </c>
      <c r="S840" t="s">
        <v>166</v>
      </c>
      <c r="T840" t="s">
        <v>3171</v>
      </c>
      <c r="U840" t="s">
        <v>8979</v>
      </c>
      <c r="V840">
        <v>10</v>
      </c>
      <c r="W840" t="s">
        <v>8980</v>
      </c>
      <c r="X840" t="s">
        <v>8981</v>
      </c>
      <c r="Y840" t="s">
        <v>8982</v>
      </c>
      <c r="Z840" t="s">
        <v>107</v>
      </c>
      <c r="AA840">
        <v>11</v>
      </c>
      <c r="AB840" t="s">
        <v>8983</v>
      </c>
      <c r="AC840" t="s">
        <v>8984</v>
      </c>
      <c r="AD840" t="s">
        <v>8985</v>
      </c>
      <c r="AE840" t="s">
        <v>1250</v>
      </c>
      <c r="AF840" t="s">
        <v>8986</v>
      </c>
      <c r="AG840" t="s">
        <v>8987</v>
      </c>
      <c r="AH840" t="str">
        <f>HYPERLINK("http://compartments.jensenlab.org/Entity?figures=subcell_cell_%&amp;knowledge=10&amp;textmining=10&amp;experiments=10&amp;predictions=10&amp;type1=9606&amp;type2=-22&amp;id1=ENSP00000338799","link")</f>
        <v>link</v>
      </c>
      <c r="AI840" t="s">
        <v>1058</v>
      </c>
      <c r="AJ840" t="s">
        <v>902</v>
      </c>
      <c r="AK840" t="str">
        <f>HYPERLINK("http://www.proteinatlas.org/P40189","HPA010558;CAB025784")</f>
        <v>HPA010558;CAB025784</v>
      </c>
      <c r="AM840">
        <v>3572</v>
      </c>
    </row>
    <row r="841" spans="1:39" x14ac:dyDescent="0.35">
      <c r="A841" t="s">
        <v>8988</v>
      </c>
      <c r="B841" t="str">
        <f>HYPERLINK("http://www.uniprot.org/uniprot/P40197","P40197")</f>
        <v>P40197</v>
      </c>
      <c r="C841" t="s">
        <v>8989</v>
      </c>
      <c r="D841" t="s">
        <v>8990</v>
      </c>
      <c r="E841" t="s">
        <v>39</v>
      </c>
      <c r="F841" t="s">
        <v>40</v>
      </c>
      <c r="H841">
        <v>560</v>
      </c>
      <c r="I841">
        <v>1</v>
      </c>
      <c r="J841">
        <v>1</v>
      </c>
      <c r="K841" t="s">
        <v>8991</v>
      </c>
      <c r="L841" t="s">
        <v>101</v>
      </c>
      <c r="N841">
        <v>0.72650000000000003</v>
      </c>
      <c r="O841" s="1">
        <v>2</v>
      </c>
      <c r="P841" t="s">
        <v>8992</v>
      </c>
      <c r="Q841" t="s">
        <v>8993</v>
      </c>
      <c r="R841" t="s">
        <v>8994</v>
      </c>
      <c r="S841" t="s">
        <v>91</v>
      </c>
      <c r="T841" t="s">
        <v>260</v>
      </c>
      <c r="U841" t="s">
        <v>8995</v>
      </c>
      <c r="V841">
        <v>8</v>
      </c>
      <c r="W841" t="s">
        <v>8996</v>
      </c>
      <c r="Z841" t="s">
        <v>107</v>
      </c>
      <c r="AA841">
        <v>2</v>
      </c>
      <c r="AB841" t="s">
        <v>8997</v>
      </c>
      <c r="AC841" t="s">
        <v>8998</v>
      </c>
      <c r="AD841" t="s">
        <v>8999</v>
      </c>
      <c r="AE841" t="s">
        <v>144</v>
      </c>
      <c r="AF841" t="s">
        <v>9000</v>
      </c>
      <c r="AG841" t="s">
        <v>9001</v>
      </c>
      <c r="AH841" t="str">
        <f>HYPERLINK("http://compartments.jensenlab.org/Entity?figures=subcell_cell_%&amp;knowledge=10&amp;textmining=10&amp;experiments=10&amp;predictions=10&amp;type1=9606&amp;type2=-22&amp;id1=ENSP00000383931","link")</f>
        <v>link</v>
      </c>
      <c r="AK841" t="str">
        <f>HYPERLINK("http://www.proteinatlas.org/P40197","no")</f>
        <v>no</v>
      </c>
      <c r="AM841">
        <v>2814</v>
      </c>
    </row>
    <row r="842" spans="1:39" x14ac:dyDescent="0.35">
      <c r="A842" t="s">
        <v>9002</v>
      </c>
      <c r="B842" t="str">
        <f>HYPERLINK("http://www.uniprot.org/uniprot/P40198","P40198")</f>
        <v>P40198</v>
      </c>
      <c r="C842" t="s">
        <v>9003</v>
      </c>
      <c r="D842" t="s">
        <v>9004</v>
      </c>
      <c r="E842" t="s">
        <v>39</v>
      </c>
      <c r="F842" t="s">
        <v>40</v>
      </c>
      <c r="H842">
        <v>252</v>
      </c>
      <c r="I842">
        <v>1</v>
      </c>
      <c r="J842">
        <v>1</v>
      </c>
      <c r="K842" t="s">
        <v>9005</v>
      </c>
      <c r="L842" t="s">
        <v>57</v>
      </c>
      <c r="N842">
        <v>0.84430000000000005</v>
      </c>
      <c r="O842" s="1">
        <v>1</v>
      </c>
      <c r="P842" t="s">
        <v>9006</v>
      </c>
      <c r="Q842" t="s">
        <v>9007</v>
      </c>
      <c r="R842" t="s">
        <v>9008</v>
      </c>
      <c r="S842" t="s">
        <v>91</v>
      </c>
      <c r="T842" t="s">
        <v>555</v>
      </c>
      <c r="U842" t="s">
        <v>9009</v>
      </c>
      <c r="V842">
        <v>2</v>
      </c>
      <c r="AE842" t="s">
        <v>144</v>
      </c>
      <c r="AF842" t="s">
        <v>9010</v>
      </c>
      <c r="AG842" t="s">
        <v>9011</v>
      </c>
      <c r="AH842" t="str">
        <f>HYPERLINK("http://compartments.jensenlab.org/Entity?figures=subcell_cell_%&amp;knowledge=10&amp;textmining=10&amp;experiments=10&amp;predictions=10&amp;type1=9606&amp;type2=-22&amp;id1=ENSP00000349971","link")</f>
        <v>link</v>
      </c>
      <c r="AJ842" t="s">
        <v>51</v>
      </c>
      <c r="AK842" t="str">
        <f>HYPERLINK("http://www.proteinatlas.org/P40198","HPA011041")</f>
        <v>HPA011041</v>
      </c>
      <c r="AM842">
        <v>1084</v>
      </c>
    </row>
    <row r="843" spans="1:39" x14ac:dyDescent="0.35">
      <c r="A843" t="s">
        <v>9012</v>
      </c>
      <c r="B843" t="str">
        <f>HYPERLINK("http://www.uniprot.org/uniprot/P40199","P40199")</f>
        <v>P40199</v>
      </c>
      <c r="C843" t="s">
        <v>9013</v>
      </c>
      <c r="D843" t="s">
        <v>9014</v>
      </c>
      <c r="E843" t="s">
        <v>39</v>
      </c>
      <c r="F843" t="s">
        <v>239</v>
      </c>
      <c r="H843">
        <v>344</v>
      </c>
      <c r="I843">
        <v>0</v>
      </c>
      <c r="J843">
        <v>1</v>
      </c>
      <c r="K843" t="s">
        <v>9015</v>
      </c>
      <c r="L843" t="s">
        <v>996</v>
      </c>
      <c r="N843">
        <v>0.76649999999999996</v>
      </c>
      <c r="O843" s="1" t="s">
        <v>997</v>
      </c>
      <c r="P843" t="s">
        <v>9016</v>
      </c>
      <c r="Q843" t="s">
        <v>9017</v>
      </c>
      <c r="R843" t="s">
        <v>9018</v>
      </c>
      <c r="S843" t="s">
        <v>91</v>
      </c>
      <c r="T843" t="s">
        <v>555</v>
      </c>
      <c r="U843" t="s">
        <v>9019</v>
      </c>
      <c r="V843">
        <v>12</v>
      </c>
      <c r="W843" t="s">
        <v>9019</v>
      </c>
      <c r="Z843" t="s">
        <v>107</v>
      </c>
      <c r="AA843">
        <v>2</v>
      </c>
      <c r="AB843" t="s">
        <v>9020</v>
      </c>
      <c r="AC843">
        <v>197</v>
      </c>
      <c r="AD843" t="s">
        <v>9021</v>
      </c>
      <c r="AE843" t="s">
        <v>243</v>
      </c>
      <c r="AF843" t="s">
        <v>9022</v>
      </c>
      <c r="AG843" t="s">
        <v>9023</v>
      </c>
      <c r="AH843" t="str">
        <f>HYPERLINK("http://compartments.jensenlab.org/Entity?figures=subcell_cell_%&amp;knowledge=10&amp;textmining=10&amp;experiments=10&amp;predictions=10&amp;type1=9606&amp;type2=-22&amp;id1=ENSP00000199764","link")</f>
        <v>link</v>
      </c>
      <c r="AI843" t="s">
        <v>65</v>
      </c>
      <c r="AJ843" t="s">
        <v>51</v>
      </c>
      <c r="AK843" t="str">
        <f>HYPERLINK("http://www.proteinatlas.org/P40199","CAB008370;HPA011041")</f>
        <v>CAB008370;HPA011041</v>
      </c>
      <c r="AM843">
        <v>4680</v>
      </c>
    </row>
    <row r="844" spans="1:39" x14ac:dyDescent="0.35">
      <c r="A844" t="s">
        <v>9024</v>
      </c>
      <c r="B844" t="str">
        <f>HYPERLINK("http://www.uniprot.org/uniprot/P40200","P40200")</f>
        <v>P40200</v>
      </c>
      <c r="C844" t="s">
        <v>9025</v>
      </c>
      <c r="D844" t="s">
        <v>9026</v>
      </c>
      <c r="E844" t="s">
        <v>39</v>
      </c>
      <c r="F844" t="s">
        <v>40</v>
      </c>
      <c r="H844">
        <v>585</v>
      </c>
      <c r="I844">
        <v>1</v>
      </c>
      <c r="J844">
        <v>1</v>
      </c>
      <c r="K844" t="s">
        <v>9027</v>
      </c>
      <c r="L844" t="s">
        <v>101</v>
      </c>
      <c r="N844">
        <v>0.83030000000000004</v>
      </c>
      <c r="O844" s="1">
        <v>1</v>
      </c>
      <c r="P844" t="s">
        <v>9028</v>
      </c>
      <c r="Q844" t="s">
        <v>9029</v>
      </c>
      <c r="R844" t="s">
        <v>9026</v>
      </c>
      <c r="S844" t="s">
        <v>60</v>
      </c>
      <c r="T844" t="s">
        <v>60</v>
      </c>
      <c r="U844" t="s">
        <v>9030</v>
      </c>
      <c r="V844">
        <v>17</v>
      </c>
      <c r="W844" t="s">
        <v>9031</v>
      </c>
      <c r="X844" t="s">
        <v>9032</v>
      </c>
      <c r="Z844" t="s">
        <v>107</v>
      </c>
      <c r="AA844">
        <v>8</v>
      </c>
      <c r="AB844" t="s">
        <v>9033</v>
      </c>
      <c r="AC844" t="s">
        <v>9034</v>
      </c>
      <c r="AD844" t="s">
        <v>9035</v>
      </c>
      <c r="AE844" t="s">
        <v>144</v>
      </c>
      <c r="AF844" t="s">
        <v>9036</v>
      </c>
      <c r="AG844" t="s">
        <v>9037</v>
      </c>
      <c r="AH844" t="str">
        <f>HYPERLINK("http://compartments.jensenlab.org/Entity?figures=subcell_cell_%&amp;knowledge=10&amp;textmining=10&amp;experiments=10&amp;predictions=10&amp;type1=9606&amp;type2=-22&amp;id1=ENSP00000283285","link")</f>
        <v>link</v>
      </c>
      <c r="AJ844" t="s">
        <v>51</v>
      </c>
      <c r="AK844" t="str">
        <f>HYPERLINK("http://www.proteinatlas.org/P40200","no")</f>
        <v>no</v>
      </c>
      <c r="AM844">
        <v>10225</v>
      </c>
    </row>
    <row r="845" spans="1:39" x14ac:dyDescent="0.35">
      <c r="A845" t="s">
        <v>9038</v>
      </c>
      <c r="B845" t="str">
        <f>HYPERLINK("http://www.uniprot.org/uniprot/P40238","P40238")</f>
        <v>P40238</v>
      </c>
      <c r="C845" t="s">
        <v>9039</v>
      </c>
      <c r="D845" t="s">
        <v>9040</v>
      </c>
      <c r="E845" t="s">
        <v>39</v>
      </c>
      <c r="F845" t="s">
        <v>40</v>
      </c>
      <c r="H845">
        <v>635</v>
      </c>
      <c r="I845">
        <v>1</v>
      </c>
      <c r="J845">
        <v>1</v>
      </c>
      <c r="K845" t="s">
        <v>9041</v>
      </c>
      <c r="L845" t="s">
        <v>57</v>
      </c>
      <c r="N845">
        <v>0.96409999999999996</v>
      </c>
      <c r="O845" s="1">
        <v>1</v>
      </c>
      <c r="P845" t="s">
        <v>9042</v>
      </c>
      <c r="Q845" t="s">
        <v>9043</v>
      </c>
      <c r="R845" t="s">
        <v>9044</v>
      </c>
      <c r="S845" t="s">
        <v>166</v>
      </c>
      <c r="T845" t="s">
        <v>3171</v>
      </c>
      <c r="U845" t="s">
        <v>9045</v>
      </c>
      <c r="V845">
        <v>4</v>
      </c>
      <c r="W845" t="s">
        <v>9046</v>
      </c>
      <c r="X845" t="s">
        <v>9047</v>
      </c>
      <c r="Y845" t="s">
        <v>9048</v>
      </c>
      <c r="AE845" t="s">
        <v>144</v>
      </c>
      <c r="AF845" t="s">
        <v>9049</v>
      </c>
      <c r="AG845" t="s">
        <v>9050</v>
      </c>
      <c r="AH845" t="str">
        <f>HYPERLINK("http://compartments.jensenlab.org/Entity?figures=subcell_cell_%&amp;knowledge=10&amp;textmining=10&amp;experiments=10&amp;predictions=10&amp;type1=9606&amp;type2=-22&amp;id1=ENSP00000361548","link")</f>
        <v>link</v>
      </c>
      <c r="AJ845" t="s">
        <v>51</v>
      </c>
      <c r="AK845" t="str">
        <f>HYPERLINK("http://www.proteinatlas.org/P40238","CAB002011;HPA007619")</f>
        <v>CAB002011;HPA007619</v>
      </c>
      <c r="AL845" t="s">
        <v>9051</v>
      </c>
      <c r="AM845">
        <v>4352</v>
      </c>
    </row>
    <row r="846" spans="1:39" x14ac:dyDescent="0.35">
      <c r="A846" t="s">
        <v>9052</v>
      </c>
      <c r="B846" t="str">
        <f>HYPERLINK("http://www.uniprot.org/uniprot/P40259","P40259")</f>
        <v>P40259</v>
      </c>
      <c r="C846" t="s">
        <v>9053</v>
      </c>
      <c r="D846" t="s">
        <v>9054</v>
      </c>
      <c r="E846" t="s">
        <v>39</v>
      </c>
      <c r="F846" t="s">
        <v>55</v>
      </c>
      <c r="H846">
        <v>229</v>
      </c>
      <c r="I846">
        <v>1</v>
      </c>
      <c r="J846">
        <v>1</v>
      </c>
      <c r="K846" t="s">
        <v>9055</v>
      </c>
      <c r="L846" t="s">
        <v>101</v>
      </c>
      <c r="M846" t="s">
        <v>39</v>
      </c>
      <c r="N846">
        <v>0.80859999999999999</v>
      </c>
      <c r="O846" s="1">
        <v>1</v>
      </c>
      <c r="P846" t="s">
        <v>9056</v>
      </c>
      <c r="Q846" t="s">
        <v>9057</v>
      </c>
      <c r="R846" t="s">
        <v>9058</v>
      </c>
      <c r="S846" t="s">
        <v>60</v>
      </c>
      <c r="T846" t="s">
        <v>60</v>
      </c>
      <c r="U846" t="s">
        <v>9059</v>
      </c>
      <c r="V846">
        <v>4</v>
      </c>
      <c r="W846" t="s">
        <v>9059</v>
      </c>
      <c r="Z846" t="s">
        <v>107</v>
      </c>
      <c r="AA846">
        <v>18</v>
      </c>
      <c r="AB846" t="s">
        <v>9060</v>
      </c>
      <c r="AC846" t="s">
        <v>9059</v>
      </c>
      <c r="AD846" t="s">
        <v>9061</v>
      </c>
      <c r="AE846" t="s">
        <v>332</v>
      </c>
      <c r="AF846" t="s">
        <v>9062</v>
      </c>
      <c r="AG846" t="s">
        <v>9063</v>
      </c>
      <c r="AH846" t="str">
        <f>HYPERLINK("http://compartments.jensenlab.org/Entity?figures=subcell_cell_%&amp;knowledge=10&amp;textmining=10&amp;experiments=10&amp;predictions=10&amp;type1=9606&amp;type2=-22&amp;id1=ENSP00000006750","link")</f>
        <v>link</v>
      </c>
      <c r="AK846" t="str">
        <f>HYPERLINK("http://www.proteinatlas.org/P40259","HPA009178;CAB009751")</f>
        <v>HPA009178;CAB009751</v>
      </c>
      <c r="AM846">
        <v>974</v>
      </c>
    </row>
    <row r="847" spans="1:39" x14ac:dyDescent="0.35">
      <c r="A847" t="s">
        <v>9064</v>
      </c>
      <c r="B847" t="str">
        <f>HYPERLINK("http://www.uniprot.org/uniprot/P40879","P40879")</f>
        <v>P40879</v>
      </c>
      <c r="C847" t="s">
        <v>9065</v>
      </c>
      <c r="D847" t="s">
        <v>9066</v>
      </c>
      <c r="E847" t="s">
        <v>39</v>
      </c>
      <c r="F847" t="s">
        <v>40</v>
      </c>
      <c r="H847">
        <v>764</v>
      </c>
      <c r="I847">
        <v>14</v>
      </c>
      <c r="J847">
        <v>0</v>
      </c>
      <c r="K847" t="s">
        <v>9067</v>
      </c>
      <c r="L847" t="s">
        <v>57</v>
      </c>
      <c r="N847">
        <v>0.62480000000000002</v>
      </c>
      <c r="O847" s="1">
        <v>2</v>
      </c>
      <c r="P847" t="s">
        <v>9068</v>
      </c>
      <c r="Q847" t="s">
        <v>9069</v>
      </c>
      <c r="S847" t="s">
        <v>45</v>
      </c>
      <c r="T847" t="s">
        <v>1861</v>
      </c>
      <c r="U847" t="s">
        <v>9070</v>
      </c>
      <c r="V847">
        <v>4</v>
      </c>
      <c r="AE847" t="s">
        <v>9071</v>
      </c>
      <c r="AF847" t="s">
        <v>9072</v>
      </c>
      <c r="AG847" t="s">
        <v>9073</v>
      </c>
      <c r="AH847" t="str">
        <f>HYPERLINK("http://compartments.jensenlab.org/Entity?figures=subcell_cell_%&amp;knowledge=10&amp;textmining=10&amp;experiments=10&amp;predictions=10&amp;type1=9606&amp;type2=-22&amp;id1=ENSP00000345873","link")</f>
        <v>link</v>
      </c>
      <c r="AJ847" t="s">
        <v>51</v>
      </c>
      <c r="AK847" t="str">
        <f>HYPERLINK("http://www.proteinatlas.org/P40879","HPA036055")</f>
        <v>HPA036055</v>
      </c>
      <c r="AM847">
        <v>1811</v>
      </c>
    </row>
    <row r="848" spans="1:39" x14ac:dyDescent="0.35">
      <c r="A848" t="s">
        <v>9074</v>
      </c>
      <c r="B848" t="str">
        <f>HYPERLINK("http://www.uniprot.org/uniprot/P40967","P40967")</f>
        <v>P40967</v>
      </c>
      <c r="C848" t="s">
        <v>9075</v>
      </c>
      <c r="D848" t="s">
        <v>9076</v>
      </c>
      <c r="E848" t="s">
        <v>39</v>
      </c>
      <c r="F848" t="s">
        <v>40</v>
      </c>
      <c r="H848">
        <v>661</v>
      </c>
      <c r="I848">
        <v>1</v>
      </c>
      <c r="J848">
        <v>1</v>
      </c>
      <c r="K848" t="s">
        <v>9077</v>
      </c>
      <c r="L848" t="s">
        <v>101</v>
      </c>
      <c r="N848">
        <v>0.92020000000000002</v>
      </c>
      <c r="O848" s="1">
        <v>1</v>
      </c>
      <c r="P848" t="s">
        <v>9078</v>
      </c>
      <c r="Q848" t="s">
        <v>9079</v>
      </c>
      <c r="S848" t="s">
        <v>60</v>
      </c>
      <c r="T848" t="s">
        <v>60</v>
      </c>
      <c r="U848" t="s">
        <v>9080</v>
      </c>
      <c r="V848">
        <v>5</v>
      </c>
      <c r="W848" t="s">
        <v>9080</v>
      </c>
      <c r="X848">
        <v>300</v>
      </c>
      <c r="Y848">
        <v>153</v>
      </c>
      <c r="Z848" t="s">
        <v>107</v>
      </c>
      <c r="AA848">
        <v>1</v>
      </c>
      <c r="AB848" t="s">
        <v>9081</v>
      </c>
      <c r="AC848">
        <v>81</v>
      </c>
      <c r="AD848" t="s">
        <v>9082</v>
      </c>
      <c r="AE848" t="s">
        <v>9083</v>
      </c>
      <c r="AF848" t="s">
        <v>9084</v>
      </c>
      <c r="AG848" t="s">
        <v>9085</v>
      </c>
      <c r="AH848" t="str">
        <f>HYPERLINK("http://compartments.jensenlab.org/Entity?figures=subcell_cell_%&amp;knowledge=10&amp;textmining=10&amp;experiments=10&amp;predictions=10&amp;type1=9606&amp;type2=-22&amp;id1=ENSP00000447374","link")</f>
        <v>link</v>
      </c>
      <c r="AK848" t="str">
        <f>HYPERLINK("http://www.proteinatlas.org/P40967","HPA031649")</f>
        <v>HPA031649</v>
      </c>
      <c r="AM848">
        <v>6490</v>
      </c>
    </row>
    <row r="849" spans="1:39" x14ac:dyDescent="0.35">
      <c r="A849" t="s">
        <v>9086</v>
      </c>
      <c r="B849" t="str">
        <f>HYPERLINK("http://www.uniprot.org/uniprot/P41143","P41143")</f>
        <v>P41143</v>
      </c>
      <c r="C849" t="s">
        <v>9087</v>
      </c>
      <c r="D849" t="s">
        <v>9088</v>
      </c>
      <c r="E849" t="s">
        <v>39</v>
      </c>
      <c r="F849" t="s">
        <v>40</v>
      </c>
      <c r="H849">
        <v>372</v>
      </c>
      <c r="I849">
        <v>7</v>
      </c>
      <c r="J849">
        <v>0</v>
      </c>
      <c r="K849" t="s">
        <v>9089</v>
      </c>
      <c r="L849" t="s">
        <v>57</v>
      </c>
      <c r="N849">
        <v>0.97799999999999998</v>
      </c>
      <c r="O849" s="1">
        <v>1</v>
      </c>
      <c r="P849" t="s">
        <v>9090</v>
      </c>
      <c r="Q849" t="s">
        <v>9091</v>
      </c>
      <c r="S849" t="s">
        <v>166</v>
      </c>
      <c r="T849" t="s">
        <v>838</v>
      </c>
      <c r="U849" t="s">
        <v>9092</v>
      </c>
      <c r="V849">
        <v>2</v>
      </c>
      <c r="W849" t="s">
        <v>9092</v>
      </c>
      <c r="X849">
        <v>363</v>
      </c>
      <c r="AE849" t="s">
        <v>6534</v>
      </c>
      <c r="AF849" t="s">
        <v>7241</v>
      </c>
      <c r="AG849" t="s">
        <v>9093</v>
      </c>
      <c r="AH849" t="str">
        <f>HYPERLINK("http://compartments.jensenlab.org/Entity?figures=subcell_cell_%&amp;knowledge=10&amp;textmining=10&amp;experiments=10&amp;predictions=10&amp;type1=9606&amp;type2=-22&amp;id1=ENSP00000234961","link")</f>
        <v>link</v>
      </c>
      <c r="AI849" t="s">
        <v>65</v>
      </c>
      <c r="AJ849" t="s">
        <v>2124</v>
      </c>
      <c r="AK849" t="str">
        <f>HYPERLINK("http://www.proteinatlas.org/P41143","HPA013744")</f>
        <v>HPA013744</v>
      </c>
      <c r="AL849" t="s">
        <v>9094</v>
      </c>
      <c r="AM849">
        <v>4985</v>
      </c>
    </row>
    <row r="850" spans="1:39" x14ac:dyDescent="0.35">
      <c r="A850" t="s">
        <v>9095</v>
      </c>
      <c r="B850" t="str">
        <f>HYPERLINK("http://www.uniprot.org/uniprot/P41145","P41145")</f>
        <v>P41145</v>
      </c>
      <c r="C850" t="s">
        <v>9096</v>
      </c>
      <c r="D850" t="s">
        <v>9097</v>
      </c>
      <c r="E850" t="s">
        <v>39</v>
      </c>
      <c r="F850" t="s">
        <v>40</v>
      </c>
      <c r="H850">
        <v>380</v>
      </c>
      <c r="I850">
        <v>7</v>
      </c>
      <c r="J850">
        <v>0</v>
      </c>
      <c r="K850" t="s">
        <v>9098</v>
      </c>
      <c r="L850" t="s">
        <v>57</v>
      </c>
      <c r="N850">
        <v>0.95809999999999995</v>
      </c>
      <c r="O850" s="1">
        <v>1</v>
      </c>
      <c r="P850" t="s">
        <v>9099</v>
      </c>
      <c r="Q850" t="s">
        <v>9100</v>
      </c>
      <c r="S850" t="s">
        <v>166</v>
      </c>
      <c r="T850" t="s">
        <v>838</v>
      </c>
      <c r="U850" t="s">
        <v>9101</v>
      </c>
      <c r="V850">
        <v>2</v>
      </c>
      <c r="AE850" t="s">
        <v>74</v>
      </c>
      <c r="AF850" t="s">
        <v>9102</v>
      </c>
      <c r="AG850" t="s">
        <v>9103</v>
      </c>
      <c r="AH850" t="str">
        <f>HYPERLINK("http://compartments.jensenlab.org/Entity?figures=subcell_cell_%&amp;knowledge=10&amp;textmining=10&amp;experiments=10&amp;predictions=10&amp;type1=9606&amp;type2=-22&amp;id1=ENSP00000265572","link")</f>
        <v>link</v>
      </c>
      <c r="AI850" t="s">
        <v>65</v>
      </c>
      <c r="AJ850" t="s">
        <v>51</v>
      </c>
      <c r="AK850" t="str">
        <f>HYPERLINK("http://www.proteinatlas.org/P41145","CAB022595")</f>
        <v>CAB022595</v>
      </c>
      <c r="AL850" t="s">
        <v>9104</v>
      </c>
      <c r="AM850">
        <v>4986</v>
      </c>
    </row>
    <row r="851" spans="1:39" x14ac:dyDescent="0.35">
      <c r="A851" t="s">
        <v>9105</v>
      </c>
      <c r="B851" t="str">
        <f>HYPERLINK("http://www.uniprot.org/uniprot/P41146","P41146")</f>
        <v>P41146</v>
      </c>
      <c r="C851" t="s">
        <v>9106</v>
      </c>
      <c r="D851" t="s">
        <v>9107</v>
      </c>
      <c r="E851" t="s">
        <v>39</v>
      </c>
      <c r="F851" t="s">
        <v>55</v>
      </c>
      <c r="H851">
        <v>370</v>
      </c>
      <c r="I851">
        <v>7</v>
      </c>
      <c r="J851">
        <v>0</v>
      </c>
      <c r="K851" t="s">
        <v>9108</v>
      </c>
      <c r="L851" t="s">
        <v>57</v>
      </c>
      <c r="M851" t="s">
        <v>39</v>
      </c>
      <c r="N851">
        <v>0.90059999999999996</v>
      </c>
      <c r="O851" s="1">
        <v>1</v>
      </c>
      <c r="P851" t="s">
        <v>9109</v>
      </c>
      <c r="Q851" t="s">
        <v>9110</v>
      </c>
      <c r="S851" t="s">
        <v>166</v>
      </c>
      <c r="T851" t="s">
        <v>838</v>
      </c>
      <c r="U851" t="s">
        <v>9111</v>
      </c>
      <c r="V851">
        <v>3</v>
      </c>
      <c r="AE851" t="s">
        <v>6610</v>
      </c>
      <c r="AF851" t="s">
        <v>9112</v>
      </c>
      <c r="AG851" t="s">
        <v>9113</v>
      </c>
      <c r="AH851" t="str">
        <f>HYPERLINK("http://compartments.jensenlab.org/Entity?figures=subcell_cell_%&amp;knowledge=10&amp;textmining=10&amp;experiments=10&amp;predictions=10&amp;type1=9606&amp;type2=-22&amp;id1=ENSP00000336843","link")</f>
        <v>link</v>
      </c>
      <c r="AI851" t="s">
        <v>65</v>
      </c>
      <c r="AJ851" t="s">
        <v>51</v>
      </c>
      <c r="AK851" t="str">
        <f>HYPERLINK("http://www.proteinatlas.org/P41146","no")</f>
        <v>no</v>
      </c>
      <c r="AM851">
        <v>4987</v>
      </c>
    </row>
    <row r="852" spans="1:39" x14ac:dyDescent="0.35">
      <c r="A852" t="s">
        <v>9114</v>
      </c>
      <c r="B852" t="str">
        <f>HYPERLINK("http://www.uniprot.org/uniprot/P41180","P41180")</f>
        <v>P41180</v>
      </c>
      <c r="C852" t="s">
        <v>9115</v>
      </c>
      <c r="D852" t="s">
        <v>9116</v>
      </c>
      <c r="E852" t="s">
        <v>39</v>
      </c>
      <c r="F852" t="s">
        <v>40</v>
      </c>
      <c r="H852">
        <v>1078</v>
      </c>
      <c r="I852">
        <v>7</v>
      </c>
      <c r="J852">
        <v>1</v>
      </c>
      <c r="K852" t="s">
        <v>9117</v>
      </c>
      <c r="L852" t="s">
        <v>57</v>
      </c>
      <c r="N852">
        <v>0.94010000000000005</v>
      </c>
      <c r="O852" s="1">
        <v>1</v>
      </c>
      <c r="P852" t="s">
        <v>9118</v>
      </c>
      <c r="Q852" t="s">
        <v>9119</v>
      </c>
      <c r="S852" t="s">
        <v>166</v>
      </c>
      <c r="T852" t="s">
        <v>874</v>
      </c>
      <c r="U852" t="s">
        <v>9120</v>
      </c>
      <c r="V852">
        <v>12</v>
      </c>
      <c r="W852" t="s">
        <v>9121</v>
      </c>
      <c r="AE852" t="s">
        <v>74</v>
      </c>
      <c r="AF852" t="s">
        <v>9122</v>
      </c>
      <c r="AG852" t="s">
        <v>9123</v>
      </c>
      <c r="AH852" t="str">
        <f>HYPERLINK("http://compartments.jensenlab.org/Entity?figures=subcell_cell_%&amp;knowledge=10&amp;textmining=10&amp;experiments=10&amp;predictions=10&amp;type1=9606&amp;type2=-22&amp;id1=ENSP00000296154","link")</f>
        <v>link</v>
      </c>
      <c r="AI852" t="s">
        <v>65</v>
      </c>
      <c r="AJ852" t="s">
        <v>51</v>
      </c>
      <c r="AK852" t="str">
        <f>HYPERLINK("http://www.proteinatlas.org/P41180","HPA039686;HPA050335")</f>
        <v>HPA039686;HPA050335</v>
      </c>
      <c r="AL852" t="s">
        <v>9124</v>
      </c>
      <c r="AM852">
        <v>846</v>
      </c>
    </row>
    <row r="853" spans="1:39" x14ac:dyDescent="0.35">
      <c r="A853" t="s">
        <v>9125</v>
      </c>
      <c r="B853" t="str">
        <f>HYPERLINK("http://www.uniprot.org/uniprot/P41181","P41181")</f>
        <v>P41181</v>
      </c>
      <c r="C853" t="s">
        <v>9126</v>
      </c>
      <c r="D853" t="s">
        <v>9127</v>
      </c>
      <c r="E853" t="s">
        <v>39</v>
      </c>
      <c r="F853" t="s">
        <v>40</v>
      </c>
      <c r="H853">
        <v>271</v>
      </c>
      <c r="I853">
        <v>6</v>
      </c>
      <c r="J853">
        <v>0</v>
      </c>
      <c r="K853" t="s">
        <v>9128</v>
      </c>
      <c r="L853" t="s">
        <v>57</v>
      </c>
      <c r="N853">
        <v>0.61080000000000001</v>
      </c>
      <c r="O853" s="1">
        <v>2</v>
      </c>
      <c r="P853" t="s">
        <v>9129</v>
      </c>
      <c r="Q853" t="s">
        <v>9130</v>
      </c>
      <c r="S853" t="s">
        <v>45</v>
      </c>
      <c r="T853" t="s">
        <v>1798</v>
      </c>
      <c r="U853">
        <v>123</v>
      </c>
      <c r="V853">
        <v>1</v>
      </c>
      <c r="X853">
        <v>264</v>
      </c>
      <c r="Y853">
        <v>202</v>
      </c>
      <c r="AE853" t="s">
        <v>9131</v>
      </c>
      <c r="AF853" t="s">
        <v>9132</v>
      </c>
      <c r="AG853" t="s">
        <v>9133</v>
      </c>
      <c r="AH853" t="str">
        <f>HYPERLINK("http://compartments.jensenlab.org/Entity?figures=subcell_cell_%&amp;knowledge=10&amp;textmining=10&amp;experiments=10&amp;predictions=10&amp;type1=9606&amp;type2=-22&amp;id1=ENSP00000199280","link")</f>
        <v>link</v>
      </c>
      <c r="AI853" t="s">
        <v>65</v>
      </c>
      <c r="AJ853" t="s">
        <v>8232</v>
      </c>
      <c r="AK853" t="str">
        <f>HYPERLINK("http://www.proteinatlas.org/P41181","HPA046834")</f>
        <v>HPA046834</v>
      </c>
      <c r="AM853">
        <v>359</v>
      </c>
    </row>
    <row r="854" spans="1:39" x14ac:dyDescent="0.35">
      <c r="A854" t="s">
        <v>9134</v>
      </c>
      <c r="B854" t="str">
        <f>HYPERLINK("http://www.uniprot.org/uniprot/P41217","P41217")</f>
        <v>P41217</v>
      </c>
      <c r="C854" t="s">
        <v>9135</v>
      </c>
      <c r="D854" t="s">
        <v>9136</v>
      </c>
      <c r="E854" t="s">
        <v>39</v>
      </c>
      <c r="F854" t="s">
        <v>55</v>
      </c>
      <c r="H854">
        <v>278</v>
      </c>
      <c r="I854">
        <v>1</v>
      </c>
      <c r="J854">
        <v>1</v>
      </c>
      <c r="K854" t="s">
        <v>9137</v>
      </c>
      <c r="L854" t="s">
        <v>101</v>
      </c>
      <c r="M854" t="s">
        <v>39</v>
      </c>
      <c r="N854">
        <v>0.89139999999999997</v>
      </c>
      <c r="O854" s="1">
        <v>1</v>
      </c>
      <c r="P854" t="s">
        <v>9138</v>
      </c>
      <c r="R854" t="s">
        <v>9136</v>
      </c>
      <c r="S854" t="s">
        <v>91</v>
      </c>
      <c r="T854" t="s">
        <v>3369</v>
      </c>
      <c r="U854" t="s">
        <v>9139</v>
      </c>
      <c r="V854">
        <v>6</v>
      </c>
      <c r="W854" t="s">
        <v>9139</v>
      </c>
      <c r="Z854" t="s">
        <v>107</v>
      </c>
      <c r="AA854">
        <v>8</v>
      </c>
      <c r="AB854" t="s">
        <v>9140</v>
      </c>
      <c r="AC854" t="s">
        <v>9141</v>
      </c>
      <c r="AD854" t="s">
        <v>9142</v>
      </c>
      <c r="AE854" t="s">
        <v>332</v>
      </c>
      <c r="AF854" t="s">
        <v>9143</v>
      </c>
      <c r="AG854" t="s">
        <v>9144</v>
      </c>
      <c r="AK854" t="str">
        <f>HYPERLINK("http://www.proteinatlas.org/P41217","HPA031149")</f>
        <v>HPA031149</v>
      </c>
      <c r="AM854">
        <v>4345</v>
      </c>
    </row>
    <row r="855" spans="1:39" x14ac:dyDescent="0.35">
      <c r="A855" t="s">
        <v>9145</v>
      </c>
      <c r="B855" t="str">
        <f>HYPERLINK("http://www.uniprot.org/uniprot/P41231","P41231")</f>
        <v>P41231</v>
      </c>
      <c r="C855" t="s">
        <v>9146</v>
      </c>
      <c r="D855" t="s">
        <v>9147</v>
      </c>
      <c r="E855" t="s">
        <v>39</v>
      </c>
      <c r="F855" t="s">
        <v>40</v>
      </c>
      <c r="H855">
        <v>377</v>
      </c>
      <c r="I855">
        <v>7</v>
      </c>
      <c r="J855">
        <v>0</v>
      </c>
      <c r="K855" t="s">
        <v>9148</v>
      </c>
      <c r="L855" t="s">
        <v>57</v>
      </c>
      <c r="N855">
        <v>0.96809999999999996</v>
      </c>
      <c r="O855" s="1">
        <v>1</v>
      </c>
      <c r="P855" t="s">
        <v>9149</v>
      </c>
      <c r="Q855" t="s">
        <v>9150</v>
      </c>
      <c r="S855" t="s">
        <v>166</v>
      </c>
      <c r="T855" t="s">
        <v>838</v>
      </c>
      <c r="U855" t="s">
        <v>9151</v>
      </c>
      <c r="V855">
        <v>2</v>
      </c>
      <c r="W855" t="s">
        <v>9152</v>
      </c>
      <c r="AE855" t="s">
        <v>74</v>
      </c>
      <c r="AF855" t="s">
        <v>9153</v>
      </c>
      <c r="AG855" t="s">
        <v>9154</v>
      </c>
      <c r="AH855" t="str">
        <f>HYPERLINK("http://compartments.jensenlab.org/Entity?figures=subcell_cell_%&amp;knowledge=10&amp;textmining=10&amp;experiments=10&amp;predictions=10&amp;type1=9606&amp;type2=-22&amp;id1=ENSP00000310305","link")</f>
        <v>link</v>
      </c>
      <c r="AI855" t="s">
        <v>65</v>
      </c>
      <c r="AJ855" t="s">
        <v>9155</v>
      </c>
      <c r="AK855" t="str">
        <f>HYPERLINK("http://www.proteinatlas.org/P41231","CAB022642")</f>
        <v>CAB022642</v>
      </c>
      <c r="AL855" t="s">
        <v>9156</v>
      </c>
      <c r="AM855">
        <v>5029</v>
      </c>
    </row>
    <row r="856" spans="1:39" x14ac:dyDescent="0.35">
      <c r="A856" t="s">
        <v>9157</v>
      </c>
      <c r="B856" t="str">
        <f>HYPERLINK("http://www.uniprot.org/uniprot/P41440","P41440")</f>
        <v>P41440</v>
      </c>
      <c r="C856" t="s">
        <v>9158</v>
      </c>
      <c r="D856" t="s">
        <v>9159</v>
      </c>
      <c r="E856" t="s">
        <v>39</v>
      </c>
      <c r="F856" t="s">
        <v>40</v>
      </c>
      <c r="H856">
        <v>591</v>
      </c>
      <c r="I856">
        <v>12</v>
      </c>
      <c r="J856">
        <v>0</v>
      </c>
      <c r="K856" t="s">
        <v>9160</v>
      </c>
      <c r="L856" t="s">
        <v>101</v>
      </c>
      <c r="N856">
        <v>0.66469999999999996</v>
      </c>
      <c r="O856" s="1">
        <v>2</v>
      </c>
      <c r="P856" t="s">
        <v>9161</v>
      </c>
      <c r="Q856" t="s">
        <v>9162</v>
      </c>
      <c r="S856" t="s">
        <v>45</v>
      </c>
      <c r="T856" t="s">
        <v>2367</v>
      </c>
      <c r="U856">
        <v>58</v>
      </c>
      <c r="V856">
        <v>1</v>
      </c>
      <c r="W856">
        <v>58</v>
      </c>
      <c r="Y856" t="s">
        <v>9163</v>
      </c>
      <c r="Z856" t="s">
        <v>123</v>
      </c>
      <c r="AA856">
        <v>4</v>
      </c>
      <c r="AB856" t="s">
        <v>9164</v>
      </c>
      <c r="AC856">
        <v>58</v>
      </c>
      <c r="AD856" t="s">
        <v>9165</v>
      </c>
      <c r="AE856" t="s">
        <v>48</v>
      </c>
      <c r="AF856" t="s">
        <v>9166</v>
      </c>
      <c r="AG856" t="s">
        <v>9167</v>
      </c>
      <c r="AH856" t="str">
        <f>HYPERLINK("http://compartments.jensenlab.org/Entity?figures=subcell_cell_%&amp;knowledge=10&amp;textmining=10&amp;experiments=10&amp;predictions=10&amp;type1=9606&amp;type2=-22&amp;id1=ENSP00000308895","link")</f>
        <v>link</v>
      </c>
      <c r="AJ856" t="s">
        <v>51</v>
      </c>
      <c r="AK856" t="str">
        <f>HYPERLINK("http://www.proteinatlas.org/P41440","HPA024802")</f>
        <v>HPA024802</v>
      </c>
      <c r="AM856">
        <v>6573</v>
      </c>
    </row>
    <row r="857" spans="1:39" x14ac:dyDescent="0.35">
      <c r="A857" t="s">
        <v>9168</v>
      </c>
      <c r="B857" t="str">
        <f>HYPERLINK("http://www.uniprot.org/uniprot/P41586","P41586")</f>
        <v>P41586</v>
      </c>
      <c r="C857" t="s">
        <v>9169</v>
      </c>
      <c r="D857" t="s">
        <v>9170</v>
      </c>
      <c r="E857" t="s">
        <v>39</v>
      </c>
      <c r="F857" t="s">
        <v>55</v>
      </c>
      <c r="H857">
        <v>468</v>
      </c>
      <c r="I857">
        <v>7</v>
      </c>
      <c r="J857">
        <v>1</v>
      </c>
      <c r="K857" t="s">
        <v>9171</v>
      </c>
      <c r="L857" t="s">
        <v>57</v>
      </c>
      <c r="M857" t="s">
        <v>39</v>
      </c>
      <c r="N857">
        <v>0.92630000000000001</v>
      </c>
      <c r="O857" s="1">
        <v>1</v>
      </c>
      <c r="P857" t="s">
        <v>9172</v>
      </c>
      <c r="Q857" t="s">
        <v>9173</v>
      </c>
      <c r="S857" t="s">
        <v>166</v>
      </c>
      <c r="T857" t="s">
        <v>3409</v>
      </c>
      <c r="U857" t="s">
        <v>9174</v>
      </c>
      <c r="V857">
        <v>5</v>
      </c>
      <c r="W857" t="s">
        <v>9174</v>
      </c>
      <c r="Y857">
        <v>415</v>
      </c>
      <c r="AE857" t="s">
        <v>74</v>
      </c>
      <c r="AF857" t="s">
        <v>9175</v>
      </c>
      <c r="AG857" t="s">
        <v>9176</v>
      </c>
      <c r="AH857" t="str">
        <f>HYPERLINK("http://compartments.jensenlab.org/Entity?figures=subcell_cell_%&amp;knowledge=10&amp;textmining=10&amp;experiments=10&amp;predictions=10&amp;type1=9606&amp;type2=-22&amp;id1=ENSP00000306620","link")</f>
        <v>link</v>
      </c>
      <c r="AI857" t="s">
        <v>65</v>
      </c>
      <c r="AJ857" t="s">
        <v>51</v>
      </c>
      <c r="AK857" t="str">
        <f>HYPERLINK("http://www.proteinatlas.org/P41586","HPA049877")</f>
        <v>HPA049877</v>
      </c>
      <c r="AM857">
        <v>117</v>
      </c>
    </row>
    <row r="858" spans="1:39" x14ac:dyDescent="0.35">
      <c r="A858" t="s">
        <v>9177</v>
      </c>
      <c r="B858" t="str">
        <f>HYPERLINK("http://www.uniprot.org/uniprot/P41587","P41587")</f>
        <v>P41587</v>
      </c>
      <c r="C858" t="s">
        <v>9178</v>
      </c>
      <c r="D858" t="s">
        <v>9179</v>
      </c>
      <c r="E858" t="s">
        <v>39</v>
      </c>
      <c r="F858" t="s">
        <v>55</v>
      </c>
      <c r="H858">
        <v>438</v>
      </c>
      <c r="I858">
        <v>7</v>
      </c>
      <c r="J858">
        <v>1</v>
      </c>
      <c r="K858" t="s">
        <v>9180</v>
      </c>
      <c r="L858" t="s">
        <v>57</v>
      </c>
      <c r="M858" t="s">
        <v>39</v>
      </c>
      <c r="N858">
        <v>0.96830000000000005</v>
      </c>
      <c r="O858" s="1">
        <v>1</v>
      </c>
      <c r="P858" t="s">
        <v>9181</v>
      </c>
      <c r="Q858" t="s">
        <v>9182</v>
      </c>
      <c r="S858" t="s">
        <v>166</v>
      </c>
      <c r="T858" t="s">
        <v>3409</v>
      </c>
      <c r="U858" t="s">
        <v>9183</v>
      </c>
      <c r="V858">
        <v>3</v>
      </c>
      <c r="W858" t="s">
        <v>9184</v>
      </c>
      <c r="AE858" t="s">
        <v>74</v>
      </c>
      <c r="AF858" t="s">
        <v>8254</v>
      </c>
      <c r="AG858" t="s">
        <v>9185</v>
      </c>
      <c r="AH858" t="str">
        <f>HYPERLINK("http://compartments.jensenlab.org/Entity?figures=subcell_cell_%&amp;knowledge=10&amp;textmining=10&amp;experiments=10&amp;predictions=10&amp;type1=9606&amp;type2=-22&amp;id1=ENSP00000262178","link")</f>
        <v>link</v>
      </c>
      <c r="AI858" t="s">
        <v>65</v>
      </c>
      <c r="AJ858" t="s">
        <v>51</v>
      </c>
      <c r="AK858" t="str">
        <f>HYPERLINK("http://www.proteinatlas.org/P41587","HPA062707")</f>
        <v>HPA062707</v>
      </c>
      <c r="AM858">
        <v>7434</v>
      </c>
    </row>
    <row r="859" spans="1:39" x14ac:dyDescent="0.35">
      <c r="A859" t="s">
        <v>9186</v>
      </c>
      <c r="B859" t="str">
        <f>HYPERLINK("http://www.uniprot.org/uniprot/P41594","P41594")</f>
        <v>P41594</v>
      </c>
      <c r="C859" t="s">
        <v>9187</v>
      </c>
      <c r="D859" t="s">
        <v>9188</v>
      </c>
      <c r="E859" t="s">
        <v>39</v>
      </c>
      <c r="F859" t="s">
        <v>40</v>
      </c>
      <c r="H859">
        <v>1212</v>
      </c>
      <c r="I859">
        <v>7</v>
      </c>
      <c r="J859">
        <v>1</v>
      </c>
      <c r="K859" t="s">
        <v>9189</v>
      </c>
      <c r="L859" t="s">
        <v>57</v>
      </c>
      <c r="N859">
        <v>0.92420000000000002</v>
      </c>
      <c r="O859" s="1">
        <v>1</v>
      </c>
      <c r="P859" t="s">
        <v>9190</v>
      </c>
      <c r="Q859" t="s">
        <v>9191</v>
      </c>
      <c r="S859" t="s">
        <v>166</v>
      </c>
      <c r="T859" t="s">
        <v>874</v>
      </c>
      <c r="U859" t="s">
        <v>9192</v>
      </c>
      <c r="V859">
        <v>6</v>
      </c>
      <c r="W859" t="s">
        <v>9193</v>
      </c>
      <c r="AE859" t="s">
        <v>74</v>
      </c>
      <c r="AF859" t="s">
        <v>9194</v>
      </c>
      <c r="AG859" t="s">
        <v>9195</v>
      </c>
      <c r="AH859" t="str">
        <f>HYPERLINK("http://compartments.jensenlab.org/Entity?figures=subcell_cell_%&amp;knowledge=10&amp;textmining=10&amp;experiments=10&amp;predictions=10&amp;type1=9606&amp;type2=-22&amp;id1=ENSP00000306138","link")</f>
        <v>link</v>
      </c>
      <c r="AI859" t="s">
        <v>65</v>
      </c>
      <c r="AJ859" t="s">
        <v>1649</v>
      </c>
      <c r="AK859" t="str">
        <f>HYPERLINK("http://www.proteinatlas.org/P41594","HPA014096")</f>
        <v>HPA014096</v>
      </c>
      <c r="AL859" t="s">
        <v>9196</v>
      </c>
      <c r="AM859">
        <v>2915</v>
      </c>
    </row>
    <row r="860" spans="1:39" x14ac:dyDescent="0.35">
      <c r="A860" t="s">
        <v>9197</v>
      </c>
      <c r="B860" t="str">
        <f>HYPERLINK("http://www.uniprot.org/uniprot/P41595","P41595")</f>
        <v>P41595</v>
      </c>
      <c r="C860" t="s">
        <v>9198</v>
      </c>
      <c r="D860" t="s">
        <v>9199</v>
      </c>
      <c r="E860" t="s">
        <v>39</v>
      </c>
      <c r="F860" t="s">
        <v>55</v>
      </c>
      <c r="H860">
        <v>481</v>
      </c>
      <c r="I860">
        <v>7</v>
      </c>
      <c r="J860">
        <v>0</v>
      </c>
      <c r="K860" t="s">
        <v>9200</v>
      </c>
      <c r="L860" t="s">
        <v>101</v>
      </c>
      <c r="M860" t="s">
        <v>39</v>
      </c>
      <c r="N860">
        <v>0.88519999999999999</v>
      </c>
      <c r="O860" s="1">
        <v>1</v>
      </c>
      <c r="P860" t="s">
        <v>9201</v>
      </c>
      <c r="Q860" t="s">
        <v>9202</v>
      </c>
      <c r="S860" t="s">
        <v>166</v>
      </c>
      <c r="T860" t="s">
        <v>838</v>
      </c>
      <c r="U860" t="s">
        <v>9203</v>
      </c>
      <c r="V860">
        <v>3</v>
      </c>
      <c r="X860" t="s">
        <v>9204</v>
      </c>
      <c r="Z860" t="s">
        <v>107</v>
      </c>
      <c r="AA860">
        <v>1</v>
      </c>
      <c r="AB860" t="s">
        <v>9205</v>
      </c>
      <c r="AC860">
        <v>204</v>
      </c>
      <c r="AD860" t="s">
        <v>9206</v>
      </c>
      <c r="AE860" t="s">
        <v>9207</v>
      </c>
      <c r="AF860" t="s">
        <v>9208</v>
      </c>
      <c r="AG860" t="s">
        <v>9209</v>
      </c>
      <c r="AH860" t="str">
        <f>HYPERLINK("http://compartments.jensenlab.org/Entity?figures=subcell_cell_%&amp;knowledge=10&amp;textmining=10&amp;experiments=10&amp;predictions=10&amp;type1=9606&amp;type2=-22&amp;id1=ENSP00000258400","link")</f>
        <v>link</v>
      </c>
      <c r="AI860" t="s">
        <v>65</v>
      </c>
      <c r="AJ860" t="s">
        <v>2124</v>
      </c>
      <c r="AK860" t="str">
        <f>HYPERLINK("http://www.proteinatlas.org/P41595","CAB011448;HPA012867")</f>
        <v>CAB011448;HPA012867</v>
      </c>
      <c r="AL860" t="s">
        <v>9210</v>
      </c>
      <c r="AM860">
        <v>3357</v>
      </c>
    </row>
    <row r="861" spans="1:39" x14ac:dyDescent="0.35">
      <c r="A861" t="s">
        <v>9211</v>
      </c>
      <c r="B861" t="str">
        <f>HYPERLINK("http://www.uniprot.org/uniprot/P41597","P41597")</f>
        <v>P41597</v>
      </c>
      <c r="C861" t="s">
        <v>9212</v>
      </c>
      <c r="D861" t="s">
        <v>9213</v>
      </c>
      <c r="E861" t="s">
        <v>39</v>
      </c>
      <c r="F861" t="s">
        <v>40</v>
      </c>
      <c r="H861">
        <v>374</v>
      </c>
      <c r="I861">
        <v>7</v>
      </c>
      <c r="J861">
        <v>0</v>
      </c>
      <c r="K861" t="s">
        <v>9214</v>
      </c>
      <c r="L861" t="s">
        <v>57</v>
      </c>
      <c r="N861">
        <v>0.96409999999999996</v>
      </c>
      <c r="O861" s="1">
        <v>1</v>
      </c>
      <c r="P861" t="s">
        <v>9215</v>
      </c>
      <c r="Q861" t="s">
        <v>9216</v>
      </c>
      <c r="R861" t="s">
        <v>9217</v>
      </c>
      <c r="S861" t="s">
        <v>60</v>
      </c>
      <c r="T861" t="s">
        <v>60</v>
      </c>
      <c r="U861">
        <v>14</v>
      </c>
      <c r="V861">
        <v>1</v>
      </c>
      <c r="X861" t="s">
        <v>9218</v>
      </c>
      <c r="AE861" t="s">
        <v>74</v>
      </c>
      <c r="AF861" t="s">
        <v>9219</v>
      </c>
      <c r="AG861" t="s">
        <v>9220</v>
      </c>
      <c r="AH861" t="str">
        <f>HYPERLINK("http://compartments.jensenlab.org/Entity?figures=subcell_cell_%&amp;knowledge=10&amp;textmining=10&amp;experiments=10&amp;predictions=10&amp;type1=9606&amp;type2=-22&amp;id1=ENSP00000292301","link")</f>
        <v>link</v>
      </c>
      <c r="AI861" t="s">
        <v>65</v>
      </c>
      <c r="AJ861" t="s">
        <v>4758</v>
      </c>
      <c r="AK861" t="str">
        <f>HYPERLINK("http://www.proteinatlas.org/P41597","CAB003793")</f>
        <v>CAB003793</v>
      </c>
      <c r="AM861">
        <v>729230</v>
      </c>
    </row>
    <row r="862" spans="1:39" x14ac:dyDescent="0.35">
      <c r="A862" t="s">
        <v>9221</v>
      </c>
      <c r="B862" t="str">
        <f>HYPERLINK("http://www.uniprot.org/uniprot/P41732","P41732")</f>
        <v>P41732</v>
      </c>
      <c r="C862" t="s">
        <v>9222</v>
      </c>
      <c r="D862" t="s">
        <v>9223</v>
      </c>
      <c r="E862" t="s">
        <v>39</v>
      </c>
      <c r="F862" t="s">
        <v>40</v>
      </c>
      <c r="H862">
        <v>249</v>
      </c>
      <c r="I862">
        <v>4</v>
      </c>
      <c r="J862">
        <v>0</v>
      </c>
      <c r="K862" t="s">
        <v>9224</v>
      </c>
      <c r="L862" t="s">
        <v>57</v>
      </c>
      <c r="N862">
        <v>0.86429999999999996</v>
      </c>
      <c r="O862" s="1">
        <v>1</v>
      </c>
      <c r="P862" t="s">
        <v>9225</v>
      </c>
      <c r="Q862" t="s">
        <v>9226</v>
      </c>
      <c r="R862" t="s">
        <v>9227</v>
      </c>
      <c r="S862" t="s">
        <v>91</v>
      </c>
      <c r="T862" t="s">
        <v>135</v>
      </c>
      <c r="U862" t="s">
        <v>9228</v>
      </c>
      <c r="V862">
        <v>5</v>
      </c>
      <c r="W862" t="s">
        <v>9228</v>
      </c>
      <c r="AE862" t="s">
        <v>48</v>
      </c>
      <c r="AF862" t="s">
        <v>9229</v>
      </c>
      <c r="AG862" t="s">
        <v>9230</v>
      </c>
      <c r="AH862" t="str">
        <f>HYPERLINK("http://compartments.jensenlab.org/Entity?figures=subcell_cell_%&amp;knowledge=10&amp;textmining=10&amp;experiments=10&amp;predictions=10&amp;type1=9606&amp;type2=-22&amp;id1=ENSP00000367743","link")</f>
        <v>link</v>
      </c>
      <c r="AJ862" t="s">
        <v>51</v>
      </c>
      <c r="AK862" t="str">
        <f>HYPERLINK("http://www.proteinatlas.org/P41732","HPA003140;CAB062566;CAB068245")</f>
        <v>HPA003140;CAB062566;CAB068245</v>
      </c>
      <c r="AM862">
        <v>7102</v>
      </c>
    </row>
    <row r="863" spans="1:39" x14ac:dyDescent="0.35">
      <c r="A863" t="s">
        <v>9231</v>
      </c>
      <c r="B863" t="str">
        <f>HYPERLINK("http://www.uniprot.org/uniprot/P41968","P41968")</f>
        <v>P41968</v>
      </c>
      <c r="C863" t="s">
        <v>9232</v>
      </c>
      <c r="D863" t="s">
        <v>9233</v>
      </c>
      <c r="E863" t="s">
        <v>39</v>
      </c>
      <c r="F863" t="s">
        <v>55</v>
      </c>
      <c r="H863">
        <v>323</v>
      </c>
      <c r="I863">
        <v>7</v>
      </c>
      <c r="J863">
        <v>0</v>
      </c>
      <c r="K863" t="s">
        <v>9234</v>
      </c>
      <c r="L863" t="s">
        <v>57</v>
      </c>
      <c r="M863" t="s">
        <v>39</v>
      </c>
      <c r="N863">
        <v>0.95699999999999996</v>
      </c>
      <c r="O863" s="1">
        <v>1</v>
      </c>
      <c r="P863" t="s">
        <v>9235</v>
      </c>
      <c r="Q863" t="s">
        <v>9236</v>
      </c>
      <c r="S863" t="s">
        <v>166</v>
      </c>
      <c r="T863" t="s">
        <v>838</v>
      </c>
      <c r="U863" t="s">
        <v>9237</v>
      </c>
      <c r="V863">
        <v>3</v>
      </c>
      <c r="AE863" t="s">
        <v>74</v>
      </c>
      <c r="AF863" t="s">
        <v>8418</v>
      </c>
      <c r="AG863" t="s">
        <v>9238</v>
      </c>
      <c r="AH863" t="str">
        <f>HYPERLINK("http://compartments.jensenlab.org/Entity?figures=subcell_cell_%&amp;knowledge=10&amp;textmining=10&amp;experiments=10&amp;predictions=10&amp;type1=9606&amp;type2=-22&amp;id1=ENSP00000243911","link")</f>
        <v>link</v>
      </c>
      <c r="AI863" t="s">
        <v>65</v>
      </c>
      <c r="AJ863" t="s">
        <v>51</v>
      </c>
      <c r="AK863" t="str">
        <f>HYPERLINK("http://www.proteinatlas.org/P41968","no")</f>
        <v>no</v>
      </c>
      <c r="AM863">
        <v>4159</v>
      </c>
    </row>
    <row r="864" spans="1:39" x14ac:dyDescent="0.35">
      <c r="A864" t="s">
        <v>9239</v>
      </c>
      <c r="B864" t="str">
        <f>HYPERLINK("http://www.uniprot.org/uniprot/P42081","P42081")</f>
        <v>P42081</v>
      </c>
      <c r="C864" t="s">
        <v>9240</v>
      </c>
      <c r="D864" t="s">
        <v>9241</v>
      </c>
      <c r="E864" t="s">
        <v>39</v>
      </c>
      <c r="F864" t="s">
        <v>55</v>
      </c>
      <c r="H864">
        <v>329</v>
      </c>
      <c r="I864">
        <v>1</v>
      </c>
      <c r="J864">
        <v>1</v>
      </c>
      <c r="K864" t="s">
        <v>9242</v>
      </c>
      <c r="L864" t="s">
        <v>101</v>
      </c>
      <c r="M864" t="s">
        <v>39</v>
      </c>
      <c r="N864">
        <v>0.93259999999999998</v>
      </c>
      <c r="O864" s="1">
        <v>1</v>
      </c>
      <c r="P864" t="s">
        <v>9243</v>
      </c>
      <c r="Q864" t="s">
        <v>9244</v>
      </c>
      <c r="R864" t="s">
        <v>9241</v>
      </c>
      <c r="S864" t="s">
        <v>91</v>
      </c>
      <c r="T864" t="s">
        <v>1012</v>
      </c>
      <c r="U864" t="s">
        <v>9245</v>
      </c>
      <c r="V864">
        <v>8</v>
      </c>
      <c r="W864" t="s">
        <v>9245</v>
      </c>
      <c r="X864" t="s">
        <v>9246</v>
      </c>
      <c r="Y864" t="s">
        <v>9247</v>
      </c>
      <c r="Z864" t="s">
        <v>107</v>
      </c>
      <c r="AA864">
        <v>4</v>
      </c>
      <c r="AB864" t="s">
        <v>9248</v>
      </c>
      <c r="AC864" t="s">
        <v>9249</v>
      </c>
      <c r="AD864" t="s">
        <v>9250</v>
      </c>
      <c r="AE864" t="s">
        <v>332</v>
      </c>
      <c r="AF864" t="s">
        <v>9251</v>
      </c>
      <c r="AG864" t="s">
        <v>9252</v>
      </c>
      <c r="AH864" t="str">
        <f>HYPERLINK("http://compartments.jensenlab.org/Entity?figures=subcell_cell_%&amp;knowledge=10&amp;textmining=10&amp;experiments=10&amp;predictions=10&amp;type1=9606&amp;type2=-22&amp;id1=ENSP00000332049","link")</f>
        <v>link</v>
      </c>
      <c r="AI864" t="s">
        <v>65</v>
      </c>
      <c r="AJ864" t="s">
        <v>1801</v>
      </c>
      <c r="AK864" t="str">
        <f>HYPERLINK("http://www.proteinatlas.org/P42081","CAB004319")</f>
        <v>CAB004319</v>
      </c>
      <c r="AL864" t="s">
        <v>9253</v>
      </c>
      <c r="AM864">
        <v>942</v>
      </c>
    </row>
    <row r="865" spans="1:39" x14ac:dyDescent="0.35">
      <c r="A865" t="s">
        <v>9254</v>
      </c>
      <c r="B865" t="str">
        <f>HYPERLINK("http://www.uniprot.org/uniprot/P42261","P42261")</f>
        <v>P42261</v>
      </c>
      <c r="C865" t="s">
        <v>9255</v>
      </c>
      <c r="D865" t="s">
        <v>9256</v>
      </c>
      <c r="E865" t="s">
        <v>39</v>
      </c>
      <c r="F865" t="s">
        <v>40</v>
      </c>
      <c r="H865">
        <v>906</v>
      </c>
      <c r="I865">
        <v>3</v>
      </c>
      <c r="J865">
        <v>1</v>
      </c>
      <c r="K865" t="s">
        <v>9257</v>
      </c>
      <c r="L865" t="s">
        <v>57</v>
      </c>
      <c r="N865">
        <v>0.88219999999999998</v>
      </c>
      <c r="O865" s="1">
        <v>1</v>
      </c>
      <c r="P865" t="s">
        <v>9258</v>
      </c>
      <c r="Q865" t="s">
        <v>9259</v>
      </c>
      <c r="S865" t="s">
        <v>45</v>
      </c>
      <c r="T865" t="s">
        <v>1554</v>
      </c>
      <c r="U865" t="s">
        <v>9260</v>
      </c>
      <c r="V865">
        <v>6</v>
      </c>
      <c r="W865" t="s">
        <v>9260</v>
      </c>
      <c r="AE865" t="s">
        <v>9261</v>
      </c>
      <c r="AF865" t="s">
        <v>9262</v>
      </c>
      <c r="AG865" t="s">
        <v>9263</v>
      </c>
      <c r="AH865" t="str">
        <f>HYPERLINK("http://compartments.jensenlab.org/Entity?figures=subcell_cell_%&amp;knowledge=10&amp;textmining=10&amp;experiments=10&amp;predictions=10&amp;type1=9606&amp;type2=-22&amp;id1=ENSP00000285900","link")</f>
        <v>link</v>
      </c>
      <c r="AI865" t="s">
        <v>1500</v>
      </c>
      <c r="AJ865" t="s">
        <v>7966</v>
      </c>
      <c r="AK865" t="str">
        <f>HYPERLINK("http://www.proteinatlas.org/P42261","CAB001965;HPA035202")</f>
        <v>CAB001965;HPA035202</v>
      </c>
      <c r="AL865" t="s">
        <v>9264</v>
      </c>
      <c r="AM865">
        <v>2890</v>
      </c>
    </row>
    <row r="866" spans="1:39" x14ac:dyDescent="0.35">
      <c r="A866" t="s">
        <v>9265</v>
      </c>
      <c r="B866" t="str">
        <f>HYPERLINK("http://www.uniprot.org/uniprot/P42262","P42262")</f>
        <v>P42262</v>
      </c>
      <c r="C866" t="s">
        <v>9266</v>
      </c>
      <c r="D866" t="s">
        <v>9267</v>
      </c>
      <c r="E866" t="s">
        <v>39</v>
      </c>
      <c r="F866" t="s">
        <v>40</v>
      </c>
      <c r="H866">
        <v>883</v>
      </c>
      <c r="I866">
        <v>3</v>
      </c>
      <c r="J866">
        <v>1</v>
      </c>
      <c r="K866" t="s">
        <v>9268</v>
      </c>
      <c r="L866" t="s">
        <v>57</v>
      </c>
      <c r="N866">
        <v>0.74650000000000005</v>
      </c>
      <c r="O866" s="1">
        <v>2</v>
      </c>
      <c r="P866" t="s">
        <v>9269</v>
      </c>
      <c r="Q866" t="s">
        <v>9270</v>
      </c>
      <c r="S866" t="s">
        <v>45</v>
      </c>
      <c r="T866" t="s">
        <v>1554</v>
      </c>
      <c r="U866" t="s">
        <v>9271</v>
      </c>
      <c r="V866">
        <v>4</v>
      </c>
      <c r="AE866" t="s">
        <v>9272</v>
      </c>
      <c r="AF866" t="s">
        <v>9273</v>
      </c>
      <c r="AG866" t="s">
        <v>9274</v>
      </c>
      <c r="AH866" t="str">
        <f>HYPERLINK("http://compartments.jensenlab.org/Entity?figures=subcell_cell_%&amp;knowledge=10&amp;textmining=10&amp;experiments=10&amp;predictions=10&amp;type1=9606&amp;type2=-22&amp;id1=ENSP00000264426","link")</f>
        <v>link</v>
      </c>
      <c r="AI866" t="s">
        <v>1500</v>
      </c>
      <c r="AJ866" t="s">
        <v>345</v>
      </c>
      <c r="AK866" t="str">
        <f>HYPERLINK("http://www.proteinatlas.org/P42262","CAB006830;CAB007812;HPA008441;CAB012981")</f>
        <v>CAB006830;CAB007812;HPA008441;CAB012981</v>
      </c>
      <c r="AL866" t="s">
        <v>9275</v>
      </c>
      <c r="AM866">
        <v>2891</v>
      </c>
    </row>
    <row r="867" spans="1:39" x14ac:dyDescent="0.35">
      <c r="A867" t="s">
        <v>9276</v>
      </c>
      <c r="B867" t="str">
        <f>HYPERLINK("http://www.uniprot.org/uniprot/P42263","P42263")</f>
        <v>P42263</v>
      </c>
      <c r="C867" t="s">
        <v>9277</v>
      </c>
      <c r="D867" t="s">
        <v>9278</v>
      </c>
      <c r="E867" t="s">
        <v>39</v>
      </c>
      <c r="F867" t="s">
        <v>40</v>
      </c>
      <c r="H867">
        <v>894</v>
      </c>
      <c r="I867">
        <v>3</v>
      </c>
      <c r="J867">
        <v>1</v>
      </c>
      <c r="K867" t="s">
        <v>9279</v>
      </c>
      <c r="L867" t="s">
        <v>57</v>
      </c>
      <c r="N867">
        <v>0.77449999999999997</v>
      </c>
      <c r="O867" s="1">
        <v>1</v>
      </c>
      <c r="P867" t="s">
        <v>9280</v>
      </c>
      <c r="Q867" t="s">
        <v>9281</v>
      </c>
      <c r="S867" t="s">
        <v>45</v>
      </c>
      <c r="T867" t="s">
        <v>1554</v>
      </c>
      <c r="U867" t="s">
        <v>9282</v>
      </c>
      <c r="V867">
        <v>5</v>
      </c>
      <c r="AE867" t="s">
        <v>619</v>
      </c>
      <c r="AF867" t="s">
        <v>9283</v>
      </c>
      <c r="AG867" t="s">
        <v>9284</v>
      </c>
      <c r="AH867" t="str">
        <f>HYPERLINK("http://compartments.jensenlab.org/Entity?figures=subcell_cell_%&amp;knowledge=10&amp;textmining=10&amp;experiments=10&amp;predictions=10&amp;type1=9606&amp;type2=-22&amp;id1=ENSP00000446440","link")</f>
        <v>link</v>
      </c>
      <c r="AK867" t="str">
        <f>HYPERLINK("http://www.proteinatlas.org/P42263","HPA058659")</f>
        <v>HPA058659</v>
      </c>
      <c r="AL867" t="s">
        <v>9285</v>
      </c>
      <c r="AM867">
        <v>2892</v>
      </c>
    </row>
    <row r="868" spans="1:39" x14ac:dyDescent="0.35">
      <c r="A868" t="s">
        <v>9286</v>
      </c>
      <c r="B868" t="str">
        <f>HYPERLINK("http://www.uniprot.org/uniprot/P42658","P42658")</f>
        <v>P42658</v>
      </c>
      <c r="C868" t="s">
        <v>9287</v>
      </c>
      <c r="D868" t="s">
        <v>9288</v>
      </c>
      <c r="E868" t="s">
        <v>39</v>
      </c>
      <c r="F868" t="s">
        <v>40</v>
      </c>
      <c r="H868">
        <v>865</v>
      </c>
      <c r="I868">
        <v>1</v>
      </c>
      <c r="J868">
        <v>0</v>
      </c>
      <c r="K868" t="s">
        <v>9289</v>
      </c>
      <c r="L868" t="s">
        <v>57</v>
      </c>
      <c r="N868">
        <v>0.63670000000000004</v>
      </c>
      <c r="O868" s="1">
        <v>2</v>
      </c>
      <c r="P868" t="s">
        <v>9290</v>
      </c>
      <c r="Q868" t="s">
        <v>9291</v>
      </c>
      <c r="S868" t="s">
        <v>60</v>
      </c>
      <c r="T868" t="s">
        <v>60</v>
      </c>
      <c r="U868" t="s">
        <v>9292</v>
      </c>
      <c r="V868">
        <v>7</v>
      </c>
      <c r="AE868" t="s">
        <v>359</v>
      </c>
      <c r="AF868" t="s">
        <v>9293</v>
      </c>
      <c r="AG868" t="s">
        <v>9294</v>
      </c>
      <c r="AH868" t="str">
        <f>HYPERLINK("http://compartments.jensenlab.org/Entity?figures=subcell_cell_%&amp;knowledge=10&amp;textmining=10&amp;experiments=10&amp;predictions=10&amp;type1=9606&amp;type2=-22&amp;id1=ENSP00000367001","link")</f>
        <v>link</v>
      </c>
      <c r="AJ868" t="s">
        <v>51</v>
      </c>
      <c r="AK868" t="str">
        <f>HYPERLINK("http://www.proteinatlas.org/P42658","HPA050509")</f>
        <v>HPA050509</v>
      </c>
      <c r="AM868">
        <v>1804</v>
      </c>
    </row>
    <row r="869" spans="1:39" x14ac:dyDescent="0.35">
      <c r="A869" t="s">
        <v>9295</v>
      </c>
      <c r="B869" t="str">
        <f>HYPERLINK("http://www.uniprot.org/uniprot/P42701","P42701")</f>
        <v>P42701</v>
      </c>
      <c r="C869" t="s">
        <v>9296</v>
      </c>
      <c r="D869" t="s">
        <v>9297</v>
      </c>
      <c r="E869" t="s">
        <v>39</v>
      </c>
      <c r="F869" t="s">
        <v>40</v>
      </c>
      <c r="H869">
        <v>662</v>
      </c>
      <c r="I869">
        <v>1</v>
      </c>
      <c r="J869">
        <v>1</v>
      </c>
      <c r="K869" t="s">
        <v>9298</v>
      </c>
      <c r="L869" t="s">
        <v>57</v>
      </c>
      <c r="N869">
        <v>0.94610000000000005</v>
      </c>
      <c r="O869" s="1">
        <v>1</v>
      </c>
      <c r="P869" t="s">
        <v>9299</v>
      </c>
      <c r="Q869" t="s">
        <v>9300</v>
      </c>
      <c r="R869" t="s">
        <v>9301</v>
      </c>
      <c r="S869" t="s">
        <v>166</v>
      </c>
      <c r="T869" t="s">
        <v>3171</v>
      </c>
      <c r="U869" t="s">
        <v>9302</v>
      </c>
      <c r="V869">
        <v>6</v>
      </c>
      <c r="Y869">
        <v>222</v>
      </c>
      <c r="AE869" t="s">
        <v>144</v>
      </c>
      <c r="AF869" t="s">
        <v>9303</v>
      </c>
      <c r="AG869" t="s">
        <v>9304</v>
      </c>
      <c r="AH869" t="str">
        <f>HYPERLINK("http://compartments.jensenlab.org/Entity?figures=subcell_cell_%&amp;knowledge=10&amp;textmining=10&amp;experiments=10&amp;predictions=10&amp;type1=9606&amp;type2=-22&amp;id1=ENSP00000472165","link")</f>
        <v>link</v>
      </c>
      <c r="AK869" t="str">
        <f>HYPERLINK("http://www.proteinatlas.org/P42701","no")</f>
        <v>no</v>
      </c>
      <c r="AM869">
        <v>3594</v>
      </c>
    </row>
    <row r="870" spans="1:39" x14ac:dyDescent="0.35">
      <c r="A870" t="s">
        <v>9305</v>
      </c>
      <c r="B870" t="str">
        <f>HYPERLINK("http://www.uniprot.org/uniprot/P42702","P42702")</f>
        <v>P42702</v>
      </c>
      <c r="C870" t="s">
        <v>9306</v>
      </c>
      <c r="D870" t="s">
        <v>9307</v>
      </c>
      <c r="E870" t="s">
        <v>39</v>
      </c>
      <c r="F870" t="s">
        <v>40</v>
      </c>
      <c r="H870">
        <v>1097</v>
      </c>
      <c r="I870">
        <v>1</v>
      </c>
      <c r="J870">
        <v>1</v>
      </c>
      <c r="K870" t="s">
        <v>9308</v>
      </c>
      <c r="L870" t="s">
        <v>101</v>
      </c>
      <c r="N870">
        <v>0.98199999999999998</v>
      </c>
      <c r="O870" s="1">
        <v>1</v>
      </c>
      <c r="P870" t="s">
        <v>9309</v>
      </c>
      <c r="Q870" t="s">
        <v>9310</v>
      </c>
      <c r="R870" t="s">
        <v>9311</v>
      </c>
      <c r="S870" t="s">
        <v>166</v>
      </c>
      <c r="T870" t="s">
        <v>3171</v>
      </c>
      <c r="U870" t="s">
        <v>9312</v>
      </c>
      <c r="V870">
        <v>19</v>
      </c>
      <c r="W870" t="s">
        <v>9312</v>
      </c>
      <c r="Y870" t="s">
        <v>9313</v>
      </c>
      <c r="Z870" t="s">
        <v>107</v>
      </c>
      <c r="AA870">
        <v>10</v>
      </c>
      <c r="AB870" t="s">
        <v>9314</v>
      </c>
      <c r="AC870" t="s">
        <v>9315</v>
      </c>
      <c r="AD870" t="s">
        <v>9316</v>
      </c>
      <c r="AE870" t="s">
        <v>1250</v>
      </c>
      <c r="AF870" t="s">
        <v>9317</v>
      </c>
      <c r="AG870" t="s">
        <v>9318</v>
      </c>
      <c r="AH870" t="str">
        <f>HYPERLINK("http://compartments.jensenlab.org/Entity?figures=subcell_cell_%&amp;knowledge=10&amp;textmining=10&amp;experiments=10&amp;predictions=10&amp;type1=9606&amp;type2=-22&amp;id1=ENSP00000263409","link")</f>
        <v>link</v>
      </c>
      <c r="AI870" t="s">
        <v>1058</v>
      </c>
      <c r="AJ870" t="s">
        <v>902</v>
      </c>
      <c r="AK870" t="str">
        <f>HYPERLINK("http://www.proteinatlas.org/P42702","HPA004478;CAB010252;HPA064147")</f>
        <v>HPA004478;CAB010252;HPA064147</v>
      </c>
      <c r="AM870">
        <v>3977</v>
      </c>
    </row>
    <row r="871" spans="1:39" x14ac:dyDescent="0.35">
      <c r="A871" t="s">
        <v>9319</v>
      </c>
      <c r="B871" t="str">
        <f>HYPERLINK("http://www.uniprot.org/uniprot/P42892","P42892")</f>
        <v>P42892</v>
      </c>
      <c r="C871" t="s">
        <v>9320</v>
      </c>
      <c r="D871" t="s">
        <v>9321</v>
      </c>
      <c r="E871" t="s">
        <v>39</v>
      </c>
      <c r="F871" t="s">
        <v>55</v>
      </c>
      <c r="H871">
        <v>770</v>
      </c>
      <c r="I871">
        <v>1</v>
      </c>
      <c r="J871">
        <v>0</v>
      </c>
      <c r="K871" t="s">
        <v>9322</v>
      </c>
      <c r="L871" t="s">
        <v>101</v>
      </c>
      <c r="M871" t="s">
        <v>39</v>
      </c>
      <c r="N871">
        <v>0.79490000000000005</v>
      </c>
      <c r="O871" s="1">
        <v>1</v>
      </c>
      <c r="P871" t="s">
        <v>9323</v>
      </c>
      <c r="Q871" t="s">
        <v>9324</v>
      </c>
      <c r="S871" t="s">
        <v>947</v>
      </c>
      <c r="T871" t="s">
        <v>1208</v>
      </c>
      <c r="U871" t="s">
        <v>9325</v>
      </c>
      <c r="V871">
        <v>10</v>
      </c>
      <c r="W871" t="s">
        <v>9325</v>
      </c>
      <c r="Z871" t="s">
        <v>107</v>
      </c>
      <c r="AA871">
        <v>20</v>
      </c>
      <c r="AB871" t="s">
        <v>9326</v>
      </c>
      <c r="AC871" t="s">
        <v>9327</v>
      </c>
      <c r="AD871" t="s">
        <v>9328</v>
      </c>
      <c r="AE871" t="s">
        <v>764</v>
      </c>
      <c r="AF871" t="s">
        <v>9329</v>
      </c>
      <c r="AG871" t="s">
        <v>9330</v>
      </c>
      <c r="AH871" t="str">
        <f>HYPERLINK("http://compartments.jensenlab.org/Entity?figures=subcell_cell_%&amp;knowledge=10&amp;textmining=10&amp;experiments=10&amp;predictions=10&amp;type1=9606&amp;type2=-22&amp;id1=ENSP00000364028","link")</f>
        <v>link</v>
      </c>
      <c r="AI871" t="s">
        <v>65</v>
      </c>
      <c r="AJ871" t="s">
        <v>1791</v>
      </c>
      <c r="AK871" t="str">
        <f>HYPERLINK("http://www.proteinatlas.org/P42892","HPA001490;HPA013616")</f>
        <v>HPA001490;HPA013616</v>
      </c>
      <c r="AM871">
        <v>1889</v>
      </c>
    </row>
    <row r="872" spans="1:39" x14ac:dyDescent="0.35">
      <c r="A872" t="s">
        <v>9331</v>
      </c>
      <c r="B872" t="str">
        <f>HYPERLINK("http://www.uniprot.org/uniprot/P43003","P43003")</f>
        <v>P43003</v>
      </c>
      <c r="C872" t="s">
        <v>9332</v>
      </c>
      <c r="D872" t="s">
        <v>9333</v>
      </c>
      <c r="E872" t="s">
        <v>39</v>
      </c>
      <c r="F872" t="s">
        <v>40</v>
      </c>
      <c r="H872">
        <v>542</v>
      </c>
      <c r="I872">
        <v>6</v>
      </c>
      <c r="J872">
        <v>0</v>
      </c>
      <c r="K872" t="s">
        <v>9334</v>
      </c>
      <c r="L872" t="s">
        <v>101</v>
      </c>
      <c r="N872">
        <v>0.71060000000000001</v>
      </c>
      <c r="O872" s="1">
        <v>2</v>
      </c>
      <c r="P872" t="s">
        <v>9335</v>
      </c>
      <c r="Q872" t="s">
        <v>9336</v>
      </c>
      <c r="S872" t="s">
        <v>45</v>
      </c>
      <c r="T872" t="s">
        <v>937</v>
      </c>
      <c r="U872" t="s">
        <v>9337</v>
      </c>
      <c r="V872">
        <v>2</v>
      </c>
      <c r="W872" t="s">
        <v>9337</v>
      </c>
      <c r="Z872" t="s">
        <v>123</v>
      </c>
      <c r="AA872">
        <v>10</v>
      </c>
      <c r="AB872" t="s">
        <v>9338</v>
      </c>
      <c r="AC872" t="s">
        <v>9339</v>
      </c>
      <c r="AD872" t="s">
        <v>9340</v>
      </c>
      <c r="AE872" t="s">
        <v>48</v>
      </c>
      <c r="AF872" t="s">
        <v>9341</v>
      </c>
      <c r="AG872" t="s">
        <v>9342</v>
      </c>
      <c r="AH872" t="str">
        <f>HYPERLINK("http://compartments.jensenlab.org/Entity?figures=subcell_cell_%&amp;knowledge=10&amp;textmining=10&amp;experiments=10&amp;predictions=10&amp;type1=9606&amp;type2=-22&amp;id1=ENSP00000265113","link")</f>
        <v>link</v>
      </c>
      <c r="AJ872" t="s">
        <v>9343</v>
      </c>
      <c r="AK872" t="str">
        <f>HYPERLINK("http://www.proteinatlas.org/P43003","CAB002573;HPA037467;HPA037468")</f>
        <v>CAB002573;HPA037467;HPA037468</v>
      </c>
      <c r="AM872">
        <v>6507</v>
      </c>
    </row>
    <row r="873" spans="1:39" x14ac:dyDescent="0.35">
      <c r="A873" t="s">
        <v>9344</v>
      </c>
      <c r="B873" t="str">
        <f>HYPERLINK("http://www.uniprot.org/uniprot/P43004","P43004")</f>
        <v>P43004</v>
      </c>
      <c r="C873" t="s">
        <v>9345</v>
      </c>
      <c r="D873" t="s">
        <v>9346</v>
      </c>
      <c r="E873" t="s">
        <v>39</v>
      </c>
      <c r="F873" t="s">
        <v>40</v>
      </c>
      <c r="H873">
        <v>574</v>
      </c>
      <c r="I873">
        <v>8</v>
      </c>
      <c r="J873">
        <v>0</v>
      </c>
      <c r="K873" t="s">
        <v>9347</v>
      </c>
      <c r="L873" t="s">
        <v>57</v>
      </c>
      <c r="N873">
        <v>0.74450000000000005</v>
      </c>
      <c r="O873" s="1">
        <v>2</v>
      </c>
      <c r="P873" t="s">
        <v>9348</v>
      </c>
      <c r="Q873" t="s">
        <v>9349</v>
      </c>
      <c r="S873" t="s">
        <v>45</v>
      </c>
      <c r="T873" t="s">
        <v>937</v>
      </c>
      <c r="U873" t="s">
        <v>9339</v>
      </c>
      <c r="V873">
        <v>2</v>
      </c>
      <c r="AE873" t="s">
        <v>48</v>
      </c>
      <c r="AF873" t="s">
        <v>9350</v>
      </c>
      <c r="AG873" t="s">
        <v>9351</v>
      </c>
      <c r="AH873" t="str">
        <f>HYPERLINK("http://compartments.jensenlab.org/Entity?figures=subcell_cell_%&amp;knowledge=10&amp;textmining=10&amp;experiments=10&amp;predictions=10&amp;type1=9606&amp;type2=-22&amp;id1=ENSP00000278379","link")</f>
        <v>link</v>
      </c>
      <c r="AJ873" t="s">
        <v>51</v>
      </c>
      <c r="AK873" t="str">
        <f>HYPERLINK("http://www.proteinatlas.org/P43004","CAB002574;HPA009172")</f>
        <v>CAB002574;HPA009172</v>
      </c>
      <c r="AM873">
        <v>6506</v>
      </c>
    </row>
    <row r="874" spans="1:39" x14ac:dyDescent="0.35">
      <c r="A874" t="s">
        <v>9352</v>
      </c>
      <c r="B874" t="str">
        <f>HYPERLINK("http://www.uniprot.org/uniprot/P43005","P43005")</f>
        <v>P43005</v>
      </c>
      <c r="C874" t="s">
        <v>9353</v>
      </c>
      <c r="D874" t="s">
        <v>9354</v>
      </c>
      <c r="E874" t="s">
        <v>39</v>
      </c>
      <c r="F874" t="s">
        <v>40</v>
      </c>
      <c r="H874">
        <v>524</v>
      </c>
      <c r="I874">
        <v>10</v>
      </c>
      <c r="J874">
        <v>0</v>
      </c>
      <c r="K874" t="s">
        <v>9355</v>
      </c>
      <c r="L874" t="s">
        <v>57</v>
      </c>
      <c r="N874">
        <v>0.86229999999999996</v>
      </c>
      <c r="O874" s="1">
        <v>1</v>
      </c>
      <c r="P874" t="s">
        <v>9356</v>
      </c>
      <c r="Q874" t="s">
        <v>9357</v>
      </c>
      <c r="S874" t="s">
        <v>45</v>
      </c>
      <c r="T874" t="s">
        <v>937</v>
      </c>
      <c r="U874" t="s">
        <v>9358</v>
      </c>
      <c r="V874">
        <v>3</v>
      </c>
      <c r="W874" t="s">
        <v>9359</v>
      </c>
      <c r="AE874" t="s">
        <v>48</v>
      </c>
      <c r="AF874" t="s">
        <v>9360</v>
      </c>
      <c r="AG874" t="s">
        <v>9361</v>
      </c>
      <c r="AH874" t="str">
        <f>HYPERLINK("http://compartments.jensenlab.org/Entity?figures=subcell_cell_%&amp;knowledge=10&amp;textmining=10&amp;experiments=10&amp;predictions=10&amp;type1=9606&amp;type2=-22&amp;id1=ENSP00000262352","link")</f>
        <v>link</v>
      </c>
      <c r="AJ874" t="s">
        <v>51</v>
      </c>
      <c r="AK874" t="str">
        <f>HYPERLINK("http://www.proteinatlas.org/P43005","CAB015466;HPA020086")</f>
        <v>CAB015466;HPA020086</v>
      </c>
      <c r="AL874" t="s">
        <v>9362</v>
      </c>
      <c r="AM874">
        <v>6505</v>
      </c>
    </row>
    <row r="875" spans="1:39" x14ac:dyDescent="0.35">
      <c r="A875" t="s">
        <v>9363</v>
      </c>
      <c r="B875" t="str">
        <f>HYPERLINK("http://www.uniprot.org/uniprot/P43007","P43007")</f>
        <v>P43007</v>
      </c>
      <c r="C875" t="s">
        <v>9364</v>
      </c>
      <c r="D875" t="s">
        <v>9365</v>
      </c>
      <c r="E875" t="s">
        <v>39</v>
      </c>
      <c r="F875" t="s">
        <v>40</v>
      </c>
      <c r="H875">
        <v>532</v>
      </c>
      <c r="I875">
        <v>9</v>
      </c>
      <c r="J875">
        <v>0</v>
      </c>
      <c r="K875" t="s">
        <v>9366</v>
      </c>
      <c r="L875" t="s">
        <v>101</v>
      </c>
      <c r="N875">
        <v>0.89419999999999999</v>
      </c>
      <c r="O875" s="1">
        <v>1</v>
      </c>
      <c r="P875" t="s">
        <v>9367</v>
      </c>
      <c r="Q875" t="s">
        <v>9368</v>
      </c>
      <c r="S875" t="s">
        <v>45</v>
      </c>
      <c r="T875" t="s">
        <v>937</v>
      </c>
      <c r="U875" t="s">
        <v>9369</v>
      </c>
      <c r="V875">
        <v>2</v>
      </c>
      <c r="W875" t="s">
        <v>9369</v>
      </c>
      <c r="Y875">
        <v>264</v>
      </c>
      <c r="Z875" t="s">
        <v>123</v>
      </c>
      <c r="AA875">
        <v>20</v>
      </c>
      <c r="AB875" t="s">
        <v>9370</v>
      </c>
      <c r="AC875" t="s">
        <v>9371</v>
      </c>
      <c r="AD875" t="s">
        <v>9372</v>
      </c>
      <c r="AE875" t="s">
        <v>9373</v>
      </c>
      <c r="AF875" t="s">
        <v>9374</v>
      </c>
      <c r="AG875" t="s">
        <v>9375</v>
      </c>
      <c r="AH875" t="str">
        <f>HYPERLINK("http://compartments.jensenlab.org/Entity?figures=subcell_cell_%&amp;knowledge=10&amp;textmining=10&amp;experiments=10&amp;predictions=10&amp;type1=9606&amp;type2=-22&amp;id1=ENSP00000234256","link")</f>
        <v>link</v>
      </c>
      <c r="AJ875" t="s">
        <v>1811</v>
      </c>
      <c r="AK875" t="str">
        <f>HYPERLINK("http://www.proteinatlas.org/P43007","HPA034963;HPA034964")</f>
        <v>HPA034963;HPA034964</v>
      </c>
      <c r="AL875" t="s">
        <v>9376</v>
      </c>
      <c r="AM875">
        <v>6509</v>
      </c>
    </row>
    <row r="876" spans="1:39" x14ac:dyDescent="0.35">
      <c r="A876" t="s">
        <v>9377</v>
      </c>
      <c r="B876" t="str">
        <f>HYPERLINK("http://www.uniprot.org/uniprot/P43088","P43088")</f>
        <v>P43088</v>
      </c>
      <c r="C876" t="s">
        <v>9378</v>
      </c>
      <c r="D876" t="s">
        <v>9379</v>
      </c>
      <c r="E876" t="s">
        <v>39</v>
      </c>
      <c r="F876" t="s">
        <v>40</v>
      </c>
      <c r="H876">
        <v>359</v>
      </c>
      <c r="I876">
        <v>7</v>
      </c>
      <c r="J876">
        <v>0</v>
      </c>
      <c r="K876" t="s">
        <v>9380</v>
      </c>
      <c r="L876" t="s">
        <v>57</v>
      </c>
      <c r="N876">
        <v>0.96609999999999996</v>
      </c>
      <c r="O876" s="1">
        <v>1</v>
      </c>
      <c r="P876" t="s">
        <v>9381</v>
      </c>
      <c r="Q876" t="s">
        <v>9382</v>
      </c>
      <c r="S876" t="s">
        <v>166</v>
      </c>
      <c r="T876" t="s">
        <v>838</v>
      </c>
      <c r="U876" t="s">
        <v>9383</v>
      </c>
      <c r="V876">
        <v>3</v>
      </c>
      <c r="W876" t="s">
        <v>9383</v>
      </c>
      <c r="X876" t="s">
        <v>9384</v>
      </c>
      <c r="AE876" t="s">
        <v>74</v>
      </c>
      <c r="AF876" t="s">
        <v>1723</v>
      </c>
      <c r="AG876" t="s">
        <v>9385</v>
      </c>
      <c r="AH876" t="str">
        <f>HYPERLINK("http://compartments.jensenlab.org/Entity?figures=subcell_cell_%&amp;knowledge=10&amp;textmining=10&amp;experiments=10&amp;predictions=10&amp;type1=9606&amp;type2=-22&amp;id1=ENSP00000359793","link")</f>
        <v>link</v>
      </c>
      <c r="AI876" t="s">
        <v>1058</v>
      </c>
      <c r="AJ876" t="s">
        <v>1767</v>
      </c>
      <c r="AK876" t="str">
        <f>HYPERLINK("http://www.proteinatlas.org/P43088","no")</f>
        <v>no</v>
      </c>
      <c r="AL876" t="s">
        <v>9386</v>
      </c>
      <c r="AM876">
        <v>5737</v>
      </c>
    </row>
    <row r="877" spans="1:39" x14ac:dyDescent="0.35">
      <c r="A877" t="s">
        <v>9387</v>
      </c>
      <c r="B877" t="str">
        <f>HYPERLINK("http://www.uniprot.org/uniprot/P43115","P43115")</f>
        <v>P43115</v>
      </c>
      <c r="C877" t="s">
        <v>9388</v>
      </c>
      <c r="D877" t="s">
        <v>9389</v>
      </c>
      <c r="E877" t="s">
        <v>39</v>
      </c>
      <c r="F877" t="s">
        <v>55</v>
      </c>
      <c r="H877">
        <v>390</v>
      </c>
      <c r="I877">
        <v>7</v>
      </c>
      <c r="J877">
        <v>0</v>
      </c>
      <c r="K877" t="s">
        <v>9390</v>
      </c>
      <c r="L877" t="s">
        <v>101</v>
      </c>
      <c r="M877" t="s">
        <v>39</v>
      </c>
      <c r="N877">
        <v>0.95379999999999998</v>
      </c>
      <c r="O877" s="1">
        <v>1</v>
      </c>
      <c r="P877" t="s">
        <v>9391</v>
      </c>
      <c r="Q877" t="s">
        <v>9392</v>
      </c>
      <c r="S877" t="s">
        <v>166</v>
      </c>
      <c r="T877" t="s">
        <v>838</v>
      </c>
      <c r="U877" t="s">
        <v>9393</v>
      </c>
      <c r="V877">
        <v>4</v>
      </c>
      <c r="W877" t="s">
        <v>9394</v>
      </c>
      <c r="Z877" t="s">
        <v>107</v>
      </c>
      <c r="AA877">
        <v>1</v>
      </c>
      <c r="AB877" t="s">
        <v>9395</v>
      </c>
      <c r="AC877">
        <v>18</v>
      </c>
      <c r="AD877" t="s">
        <v>9396</v>
      </c>
      <c r="AE877" t="s">
        <v>74</v>
      </c>
      <c r="AF877" t="s">
        <v>9397</v>
      </c>
      <c r="AG877" t="s">
        <v>9398</v>
      </c>
      <c r="AH877" t="str">
        <f>HYPERLINK("http://compartments.jensenlab.org/Entity?figures=subcell_cell_%&amp;knowledge=10&amp;textmining=10&amp;experiments=10&amp;predictions=10&amp;type1=9606&amp;type2=-22&amp;id1=ENSP00000302313","link")</f>
        <v>link</v>
      </c>
      <c r="AK877" t="str">
        <f>HYPERLINK("http://www.proteinatlas.org/P43115","HPA010689")</f>
        <v>HPA010689</v>
      </c>
      <c r="AL877" t="s">
        <v>9399</v>
      </c>
      <c r="AM877">
        <v>5733</v>
      </c>
    </row>
    <row r="878" spans="1:39" x14ac:dyDescent="0.35">
      <c r="A878" t="s">
        <v>9400</v>
      </c>
      <c r="B878" t="str">
        <f>HYPERLINK("http://www.uniprot.org/uniprot/P43116","P43116")</f>
        <v>P43116</v>
      </c>
      <c r="C878" t="s">
        <v>9401</v>
      </c>
      <c r="D878" t="s">
        <v>9402</v>
      </c>
      <c r="E878" t="s">
        <v>39</v>
      </c>
      <c r="F878" t="s">
        <v>55</v>
      </c>
      <c r="H878">
        <v>358</v>
      </c>
      <c r="I878">
        <v>7</v>
      </c>
      <c r="J878">
        <v>0</v>
      </c>
      <c r="K878" t="s">
        <v>9403</v>
      </c>
      <c r="L878" t="s">
        <v>101</v>
      </c>
      <c r="M878" t="s">
        <v>39</v>
      </c>
      <c r="N878">
        <v>0.97919999999999996</v>
      </c>
      <c r="O878" s="1">
        <v>1</v>
      </c>
      <c r="P878" t="s">
        <v>9404</v>
      </c>
      <c r="Q878" t="s">
        <v>9405</v>
      </c>
      <c r="S878" t="s">
        <v>166</v>
      </c>
      <c r="T878" t="s">
        <v>838</v>
      </c>
      <c r="U878" t="s">
        <v>9406</v>
      </c>
      <c r="V878">
        <v>4</v>
      </c>
      <c r="W878" t="s">
        <v>9407</v>
      </c>
      <c r="Z878" t="s">
        <v>107</v>
      </c>
      <c r="AA878">
        <v>3</v>
      </c>
      <c r="AB878" t="s">
        <v>9408</v>
      </c>
      <c r="AC878" t="s">
        <v>9409</v>
      </c>
      <c r="AD878" t="s">
        <v>9410</v>
      </c>
      <c r="AE878" t="s">
        <v>74</v>
      </c>
      <c r="AF878" t="s">
        <v>1913</v>
      </c>
      <c r="AG878" t="s">
        <v>9411</v>
      </c>
      <c r="AH878" t="str">
        <f>HYPERLINK("http://compartments.jensenlab.org/Entity?figures=subcell_cell_%&amp;knowledge=10&amp;textmining=10&amp;experiments=10&amp;predictions=10&amp;type1=9606&amp;type2=-22&amp;id1=ENSP00000245457","link")</f>
        <v>link</v>
      </c>
      <c r="AI878" t="s">
        <v>65</v>
      </c>
      <c r="AJ878" t="s">
        <v>51</v>
      </c>
      <c r="AK878" t="str">
        <f>HYPERLINK("http://www.proteinatlas.org/P43116","no")</f>
        <v>no</v>
      </c>
      <c r="AL878" t="s">
        <v>9412</v>
      </c>
      <c r="AM878">
        <v>5732</v>
      </c>
    </row>
    <row r="879" spans="1:39" x14ac:dyDescent="0.35">
      <c r="A879" t="s">
        <v>9413</v>
      </c>
      <c r="B879" t="str">
        <f>HYPERLINK("http://www.uniprot.org/uniprot/P43119","P43119")</f>
        <v>P43119</v>
      </c>
      <c r="C879" t="s">
        <v>9414</v>
      </c>
      <c r="D879" t="s">
        <v>9415</v>
      </c>
      <c r="E879" t="s">
        <v>39</v>
      </c>
      <c r="F879" t="s">
        <v>55</v>
      </c>
      <c r="H879">
        <v>386</v>
      </c>
      <c r="I879">
        <v>7</v>
      </c>
      <c r="J879">
        <v>0</v>
      </c>
      <c r="K879" t="s">
        <v>9416</v>
      </c>
      <c r="L879" t="s">
        <v>101</v>
      </c>
      <c r="M879" t="s">
        <v>39</v>
      </c>
      <c r="N879">
        <v>0.9708</v>
      </c>
      <c r="O879" s="1">
        <v>1</v>
      </c>
      <c r="P879" t="s">
        <v>9417</v>
      </c>
      <c r="Q879" t="s">
        <v>9418</v>
      </c>
      <c r="S879" t="s">
        <v>166</v>
      </c>
      <c r="T879" t="s">
        <v>838</v>
      </c>
      <c r="U879" t="s">
        <v>9419</v>
      </c>
      <c r="V879">
        <v>2</v>
      </c>
      <c r="W879">
        <v>7</v>
      </c>
      <c r="X879" t="s">
        <v>9420</v>
      </c>
      <c r="Z879" t="s">
        <v>107</v>
      </c>
      <c r="AA879">
        <v>1</v>
      </c>
      <c r="AB879" t="s">
        <v>9421</v>
      </c>
      <c r="AC879">
        <v>78</v>
      </c>
      <c r="AD879" t="s">
        <v>9422</v>
      </c>
      <c r="AE879" t="s">
        <v>74</v>
      </c>
      <c r="AF879" t="s">
        <v>9423</v>
      </c>
      <c r="AG879" t="s">
        <v>9424</v>
      </c>
      <c r="AH879" t="str">
        <f>HYPERLINK("http://compartments.jensenlab.org/Entity?figures=subcell_cell_%&amp;knowledge=10&amp;textmining=10&amp;experiments=10&amp;predictions=10&amp;type1=9606&amp;type2=-22&amp;id1=ENSP00000291294","link")</f>
        <v>link</v>
      </c>
      <c r="AI879" t="s">
        <v>65</v>
      </c>
      <c r="AJ879" t="s">
        <v>51</v>
      </c>
      <c r="AK879" t="str">
        <f>HYPERLINK("http://www.proteinatlas.org/P43119","no")</f>
        <v>no</v>
      </c>
      <c r="AL879" t="s">
        <v>9425</v>
      </c>
      <c r="AM879">
        <v>5739</v>
      </c>
    </row>
    <row r="880" spans="1:39" x14ac:dyDescent="0.35">
      <c r="A880" t="s">
        <v>9426</v>
      </c>
      <c r="B880" t="str">
        <f>HYPERLINK("http://www.uniprot.org/uniprot/P43121","P43121")</f>
        <v>P43121</v>
      </c>
      <c r="C880" t="s">
        <v>9427</v>
      </c>
      <c r="D880" t="s">
        <v>9428</v>
      </c>
      <c r="E880" t="s">
        <v>39</v>
      </c>
      <c r="F880" t="s">
        <v>55</v>
      </c>
      <c r="H880">
        <v>646</v>
      </c>
      <c r="I880">
        <v>1</v>
      </c>
      <c r="J880">
        <v>1</v>
      </c>
      <c r="K880" t="s">
        <v>9429</v>
      </c>
      <c r="L880" t="s">
        <v>101</v>
      </c>
      <c r="M880" t="s">
        <v>39</v>
      </c>
      <c r="N880">
        <v>0.96130000000000004</v>
      </c>
      <c r="O880" s="1">
        <v>1</v>
      </c>
      <c r="P880" t="s">
        <v>9430</v>
      </c>
      <c r="Q880" t="s">
        <v>9431</v>
      </c>
      <c r="R880" t="s">
        <v>9432</v>
      </c>
      <c r="S880" t="s">
        <v>60</v>
      </c>
      <c r="T880" t="s">
        <v>60</v>
      </c>
      <c r="U880" t="s">
        <v>9433</v>
      </c>
      <c r="V880">
        <v>8</v>
      </c>
      <c r="W880" t="s">
        <v>9434</v>
      </c>
      <c r="Z880" t="s">
        <v>107</v>
      </c>
      <c r="AA880">
        <v>15</v>
      </c>
      <c r="AB880" t="s">
        <v>9435</v>
      </c>
      <c r="AC880" t="s">
        <v>9436</v>
      </c>
      <c r="AD880" t="s">
        <v>9437</v>
      </c>
      <c r="AE880" t="s">
        <v>144</v>
      </c>
      <c r="AF880" t="s">
        <v>9438</v>
      </c>
      <c r="AG880" t="s">
        <v>9439</v>
      </c>
      <c r="AH880" t="str">
        <f>HYPERLINK("http://compartments.jensenlab.org/Entity?figures=subcell_cell_%&amp;knowledge=10&amp;textmining=10&amp;experiments=10&amp;predictions=10&amp;type1=9606&amp;type2=-22&amp;id1=ENSP00000264036","link")</f>
        <v>link</v>
      </c>
      <c r="AI880" t="s">
        <v>65</v>
      </c>
      <c r="AJ880" t="s">
        <v>51</v>
      </c>
      <c r="AK880" t="str">
        <f>HYPERLINK("http://www.proteinatlas.org/P43121","CAB002147;HPA008848")</f>
        <v>CAB002147;HPA008848</v>
      </c>
      <c r="AM880">
        <v>4162</v>
      </c>
    </row>
    <row r="881" spans="1:39" x14ac:dyDescent="0.35">
      <c r="A881" t="s">
        <v>9440</v>
      </c>
      <c r="B881" t="str">
        <f>HYPERLINK("http://www.uniprot.org/uniprot/P43146","P43146")</f>
        <v>P43146</v>
      </c>
      <c r="C881" t="s">
        <v>9441</v>
      </c>
      <c r="D881" t="s">
        <v>9442</v>
      </c>
      <c r="E881" t="s">
        <v>39</v>
      </c>
      <c r="F881" t="s">
        <v>40</v>
      </c>
      <c r="H881">
        <v>1447</v>
      </c>
      <c r="I881">
        <v>1</v>
      </c>
      <c r="J881">
        <v>1</v>
      </c>
      <c r="K881" t="s">
        <v>9443</v>
      </c>
      <c r="L881" t="s">
        <v>57</v>
      </c>
      <c r="N881">
        <v>0.99</v>
      </c>
      <c r="O881" s="1">
        <v>1</v>
      </c>
      <c r="P881" t="s">
        <v>9444</v>
      </c>
      <c r="Q881" t="s">
        <v>9445</v>
      </c>
      <c r="S881" t="s">
        <v>166</v>
      </c>
      <c r="T881" t="s">
        <v>3120</v>
      </c>
      <c r="U881" t="s">
        <v>9446</v>
      </c>
      <c r="V881">
        <v>6</v>
      </c>
      <c r="W881" t="s">
        <v>9446</v>
      </c>
      <c r="AE881" t="s">
        <v>144</v>
      </c>
      <c r="AF881" t="s">
        <v>9447</v>
      </c>
      <c r="AG881" t="s">
        <v>9448</v>
      </c>
      <c r="AH881" t="str">
        <f>HYPERLINK("http://compartments.jensenlab.org/Entity?figures=subcell_cell_%&amp;knowledge=10&amp;textmining=10&amp;experiments=10&amp;predictions=10&amp;type1=9606&amp;type2=-22&amp;id1=ENSP00000389140","link")</f>
        <v>link</v>
      </c>
      <c r="AJ881" t="s">
        <v>4758</v>
      </c>
      <c r="AK881" t="str">
        <f>HYPERLINK("http://www.proteinatlas.org/P43146","CAB002311")</f>
        <v>CAB002311</v>
      </c>
      <c r="AM881">
        <v>1630</v>
      </c>
    </row>
    <row r="882" spans="1:39" x14ac:dyDescent="0.35">
      <c r="A882" t="s">
        <v>9449</v>
      </c>
      <c r="B882" t="str">
        <f>HYPERLINK("http://www.uniprot.org/uniprot/P43220","P43220")</f>
        <v>P43220</v>
      </c>
      <c r="C882" t="s">
        <v>9450</v>
      </c>
      <c r="D882" t="s">
        <v>9451</v>
      </c>
      <c r="E882" t="s">
        <v>39</v>
      </c>
      <c r="F882" t="s">
        <v>55</v>
      </c>
      <c r="H882">
        <v>463</v>
      </c>
      <c r="I882">
        <v>7</v>
      </c>
      <c r="J882">
        <v>1</v>
      </c>
      <c r="K882" t="s">
        <v>9452</v>
      </c>
      <c r="L882" t="s">
        <v>57</v>
      </c>
      <c r="M882" t="s">
        <v>39</v>
      </c>
      <c r="N882">
        <v>0.86009999999999998</v>
      </c>
      <c r="O882" s="1">
        <v>1</v>
      </c>
      <c r="P882" t="s">
        <v>9453</v>
      </c>
      <c r="Q882" t="s">
        <v>9454</v>
      </c>
      <c r="S882" t="s">
        <v>166</v>
      </c>
      <c r="T882" t="s">
        <v>3409</v>
      </c>
      <c r="U882" t="s">
        <v>9455</v>
      </c>
      <c r="V882">
        <v>3</v>
      </c>
      <c r="X882" t="s">
        <v>9456</v>
      </c>
      <c r="Y882">
        <v>417</v>
      </c>
      <c r="AE882" t="s">
        <v>74</v>
      </c>
      <c r="AF882" t="s">
        <v>9457</v>
      </c>
      <c r="AG882" t="s">
        <v>9458</v>
      </c>
      <c r="AH882" t="str">
        <f>HYPERLINK("http://compartments.jensenlab.org/Entity?figures=subcell_cell_%&amp;knowledge=10&amp;textmining=10&amp;experiments=10&amp;predictions=10&amp;type1=9606&amp;type2=-22&amp;id1=ENSP00000362353","link")</f>
        <v>link</v>
      </c>
      <c r="AI882" t="s">
        <v>65</v>
      </c>
      <c r="AJ882" t="s">
        <v>51</v>
      </c>
      <c r="AK882" t="str">
        <f>HYPERLINK("http://www.proteinatlas.org/P43220","no")</f>
        <v>no</v>
      </c>
      <c r="AL882" t="s">
        <v>9459</v>
      </c>
      <c r="AM882">
        <v>2740</v>
      </c>
    </row>
    <row r="883" spans="1:39" x14ac:dyDescent="0.35">
      <c r="A883" t="s">
        <v>9460</v>
      </c>
      <c r="B883" t="str">
        <f>HYPERLINK("http://www.uniprot.org/uniprot/P43307","P43307")</f>
        <v>P43307</v>
      </c>
      <c r="C883" t="s">
        <v>9461</v>
      </c>
      <c r="D883" t="s">
        <v>9462</v>
      </c>
      <c r="E883" t="s">
        <v>39</v>
      </c>
      <c r="F883" t="s">
        <v>40</v>
      </c>
      <c r="H883">
        <v>286</v>
      </c>
      <c r="I883">
        <v>1</v>
      </c>
      <c r="J883">
        <v>1</v>
      </c>
      <c r="K883" t="s">
        <v>9463</v>
      </c>
      <c r="L883" t="s">
        <v>101</v>
      </c>
      <c r="N883">
        <v>0.64270000000000005</v>
      </c>
      <c r="O883" s="1">
        <v>2</v>
      </c>
      <c r="P883" t="s">
        <v>9464</v>
      </c>
      <c r="Q883" t="s">
        <v>9465</v>
      </c>
      <c r="S883" t="s">
        <v>60</v>
      </c>
      <c r="T883" t="s">
        <v>60</v>
      </c>
      <c r="U883" t="s">
        <v>9466</v>
      </c>
      <c r="V883">
        <v>2</v>
      </c>
      <c r="Z883" t="s">
        <v>107</v>
      </c>
      <c r="AA883">
        <v>9</v>
      </c>
      <c r="AB883" t="s">
        <v>9467</v>
      </c>
      <c r="AC883" t="s">
        <v>9466</v>
      </c>
      <c r="AD883" t="s">
        <v>9468</v>
      </c>
      <c r="AE883" t="s">
        <v>2788</v>
      </c>
      <c r="AF883" t="s">
        <v>9469</v>
      </c>
      <c r="AG883" t="s">
        <v>9470</v>
      </c>
      <c r="AH883" t="str">
        <f>HYPERLINK("http://compartments.jensenlab.org/Entity?figures=subcell_cell_%&amp;knowledge=10&amp;textmining=10&amp;experiments=10&amp;predictions=10&amp;type1=9606&amp;type2=-22&amp;id1=ENSP00000244763","link")</f>
        <v>link</v>
      </c>
      <c r="AI883" t="s">
        <v>980</v>
      </c>
      <c r="AJ883" t="s">
        <v>3965</v>
      </c>
      <c r="AK883" t="str">
        <f>HYPERLINK("http://www.proteinatlas.org/P43307","HPA011276;HPA017062")</f>
        <v>HPA011276;HPA017062</v>
      </c>
      <c r="AM883">
        <v>6745</v>
      </c>
    </row>
    <row r="884" spans="1:39" x14ac:dyDescent="0.35">
      <c r="A884" t="s">
        <v>9471</v>
      </c>
      <c r="B884" t="str">
        <f>HYPERLINK("http://www.uniprot.org/uniprot/P43489","P43489")</f>
        <v>P43489</v>
      </c>
      <c r="C884" t="s">
        <v>9472</v>
      </c>
      <c r="D884" t="s">
        <v>9473</v>
      </c>
      <c r="E884" t="s">
        <v>39</v>
      </c>
      <c r="F884" t="s">
        <v>40</v>
      </c>
      <c r="H884">
        <v>277</v>
      </c>
      <c r="I884">
        <v>1</v>
      </c>
      <c r="J884">
        <v>1</v>
      </c>
      <c r="K884" t="s">
        <v>9474</v>
      </c>
      <c r="L884" t="s">
        <v>57</v>
      </c>
      <c r="N884">
        <v>0.96809999999999996</v>
      </c>
      <c r="O884" s="1">
        <v>1</v>
      </c>
      <c r="P884" t="s">
        <v>9475</v>
      </c>
      <c r="Q884" t="s">
        <v>9476</v>
      </c>
      <c r="R884" t="s">
        <v>9477</v>
      </c>
      <c r="S884" t="s">
        <v>166</v>
      </c>
      <c r="T884" t="s">
        <v>864</v>
      </c>
      <c r="U884" t="s">
        <v>9478</v>
      </c>
      <c r="V884">
        <v>2</v>
      </c>
      <c r="W884" t="s">
        <v>9478</v>
      </c>
      <c r="X884" t="s">
        <v>9479</v>
      </c>
      <c r="AE884" t="s">
        <v>144</v>
      </c>
      <c r="AF884" t="s">
        <v>9480</v>
      </c>
      <c r="AG884" t="s">
        <v>9481</v>
      </c>
      <c r="AH884" t="str">
        <f>HYPERLINK("http://compartments.jensenlab.org/Entity?figures=subcell_cell_%&amp;knowledge=10&amp;textmining=10&amp;experiments=10&amp;predictions=10&amp;type1=9606&amp;type2=-22&amp;id1=ENSP00000368538","link")</f>
        <v>link</v>
      </c>
      <c r="AJ884" t="s">
        <v>51</v>
      </c>
      <c r="AK884" t="str">
        <f>HYPERLINK("http://www.proteinatlas.org/P43489","CAB016128")</f>
        <v>CAB016128</v>
      </c>
      <c r="AM884">
        <v>7293</v>
      </c>
    </row>
    <row r="885" spans="1:39" x14ac:dyDescent="0.35">
      <c r="A885" t="s">
        <v>9482</v>
      </c>
      <c r="B885" t="str">
        <f>HYPERLINK("http://www.uniprot.org/uniprot/P43626","P43626")</f>
        <v>P43626</v>
      </c>
      <c r="C885" t="s">
        <v>9483</v>
      </c>
      <c r="D885" t="s">
        <v>9484</v>
      </c>
      <c r="E885" t="s">
        <v>39</v>
      </c>
      <c r="F885" t="s">
        <v>40</v>
      </c>
      <c r="H885">
        <v>348</v>
      </c>
      <c r="I885">
        <v>1</v>
      </c>
      <c r="J885">
        <v>1</v>
      </c>
      <c r="K885" t="s">
        <v>9485</v>
      </c>
      <c r="L885" t="s">
        <v>57</v>
      </c>
      <c r="N885">
        <v>0.97009999999999996</v>
      </c>
      <c r="O885" s="1">
        <v>1</v>
      </c>
      <c r="P885" t="s">
        <v>9486</v>
      </c>
      <c r="Q885" t="s">
        <v>9487</v>
      </c>
      <c r="R885" t="s">
        <v>9488</v>
      </c>
      <c r="S885" t="s">
        <v>166</v>
      </c>
      <c r="T885" t="s">
        <v>9489</v>
      </c>
      <c r="U885" t="s">
        <v>9490</v>
      </c>
      <c r="V885">
        <v>4</v>
      </c>
      <c r="W885" t="s">
        <v>9491</v>
      </c>
      <c r="X885">
        <v>319</v>
      </c>
      <c r="AE885" t="s">
        <v>332</v>
      </c>
      <c r="AF885" t="s">
        <v>9492</v>
      </c>
      <c r="AG885" t="s">
        <v>9493</v>
      </c>
      <c r="AH885" t="str">
        <f>HYPERLINK("http://compartments.jensenlab.org/Entity?figures=subcell_cell_%&amp;knowledge=10&amp;textmining=10&amp;experiments=10&amp;predictions=10&amp;type1=9606&amp;type2=-22&amp;id1=ENSP00000291633","link")</f>
        <v>link</v>
      </c>
      <c r="AK885" t="str">
        <f>HYPERLINK("http://www.proteinatlas.org/P43626","no")</f>
        <v>no</v>
      </c>
      <c r="AM885">
        <v>3802</v>
      </c>
    </row>
    <row r="886" spans="1:39" x14ac:dyDescent="0.35">
      <c r="A886" t="s">
        <v>9494</v>
      </c>
      <c r="B886" t="str">
        <f>HYPERLINK("http://www.uniprot.org/uniprot/P43627","P43627")</f>
        <v>P43627</v>
      </c>
      <c r="C886" t="s">
        <v>9495</v>
      </c>
      <c r="D886" t="s">
        <v>9496</v>
      </c>
      <c r="E886" t="s">
        <v>39</v>
      </c>
      <c r="F886" t="s">
        <v>40</v>
      </c>
      <c r="H886">
        <v>348</v>
      </c>
      <c r="I886">
        <v>1</v>
      </c>
      <c r="J886">
        <v>1</v>
      </c>
      <c r="K886" t="s">
        <v>9485</v>
      </c>
      <c r="L886" t="s">
        <v>57</v>
      </c>
      <c r="N886">
        <v>0.91420000000000001</v>
      </c>
      <c r="O886" s="1">
        <v>1</v>
      </c>
      <c r="P886" t="s">
        <v>9497</v>
      </c>
      <c r="Q886" t="s">
        <v>9498</v>
      </c>
      <c r="R886" t="s">
        <v>9499</v>
      </c>
      <c r="S886" t="s">
        <v>166</v>
      </c>
      <c r="T886" t="s">
        <v>9489</v>
      </c>
      <c r="U886" t="s">
        <v>9500</v>
      </c>
      <c r="V886">
        <v>3</v>
      </c>
      <c r="AE886" t="s">
        <v>332</v>
      </c>
      <c r="AF886" t="s">
        <v>9501</v>
      </c>
      <c r="AG886" t="s">
        <v>9502</v>
      </c>
      <c r="AH886" t="str">
        <f>HYPERLINK("http://compartments.jensenlab.org/Entity?figures=subcell_cell_%&amp;knowledge=10&amp;textmining=10&amp;experiments=10&amp;predictions=10&amp;type1=9606&amp;type2=-22&amp;id1=ENSP00000482519","link")</f>
        <v>link</v>
      </c>
      <c r="AK886" t="str">
        <f>HYPERLINK("http://www.proteinatlas.org/P43627","no")</f>
        <v>no</v>
      </c>
      <c r="AM886">
        <v>3803</v>
      </c>
    </row>
    <row r="887" spans="1:39" x14ac:dyDescent="0.35">
      <c r="A887" t="s">
        <v>9503</v>
      </c>
      <c r="B887" t="str">
        <f>HYPERLINK("http://www.uniprot.org/uniprot/P43628","P43628")</f>
        <v>P43628</v>
      </c>
      <c r="C887" t="s">
        <v>9504</v>
      </c>
      <c r="D887" t="s">
        <v>9505</v>
      </c>
      <c r="E887" t="s">
        <v>39</v>
      </c>
      <c r="F887" t="s">
        <v>55</v>
      </c>
      <c r="H887">
        <v>341</v>
      </c>
      <c r="I887">
        <v>1</v>
      </c>
      <c r="J887">
        <v>1</v>
      </c>
      <c r="K887" t="s">
        <v>9506</v>
      </c>
      <c r="L887" t="s">
        <v>57</v>
      </c>
      <c r="M887" t="s">
        <v>39</v>
      </c>
      <c r="N887">
        <v>0.98970000000000002</v>
      </c>
      <c r="O887" s="1">
        <v>1</v>
      </c>
      <c r="P887" t="s">
        <v>9507</v>
      </c>
      <c r="Q887" t="s">
        <v>9508</v>
      </c>
      <c r="R887" t="s">
        <v>9509</v>
      </c>
      <c r="S887" t="s">
        <v>166</v>
      </c>
      <c r="T887" t="s">
        <v>9489</v>
      </c>
      <c r="U887" t="s">
        <v>9510</v>
      </c>
      <c r="V887">
        <v>3</v>
      </c>
      <c r="W887" t="s">
        <v>9511</v>
      </c>
      <c r="AE887" t="s">
        <v>332</v>
      </c>
      <c r="AF887" t="s">
        <v>2908</v>
      </c>
      <c r="AG887" t="s">
        <v>9512</v>
      </c>
      <c r="AH887" t="str">
        <f>HYPERLINK("http://compartments.jensenlab.org/Entity?figures=subcell_cell_%&amp;knowledge=10&amp;textmining=10&amp;experiments=10&amp;predictions=10&amp;type1=9606&amp;type2=-22&amp;id1=ENSP00000342215","link")</f>
        <v>link</v>
      </c>
      <c r="AI887" t="s">
        <v>65</v>
      </c>
      <c r="AJ887" t="s">
        <v>51</v>
      </c>
      <c r="AK887" t="str">
        <f>HYPERLINK("http://www.proteinatlas.org/P43628","no")</f>
        <v>no</v>
      </c>
      <c r="AM887">
        <v>3804</v>
      </c>
    </row>
    <row r="888" spans="1:39" x14ac:dyDescent="0.35">
      <c r="A888" t="s">
        <v>9513</v>
      </c>
      <c r="B888" t="str">
        <f>HYPERLINK("http://www.uniprot.org/uniprot/P43629","P43629")</f>
        <v>P43629</v>
      </c>
      <c r="C888" t="s">
        <v>9514</v>
      </c>
      <c r="D888" t="s">
        <v>9515</v>
      </c>
      <c r="E888" t="s">
        <v>39</v>
      </c>
      <c r="F888" t="s">
        <v>55</v>
      </c>
      <c r="H888">
        <v>444</v>
      </c>
      <c r="I888">
        <v>1</v>
      </c>
      <c r="J888">
        <v>1</v>
      </c>
      <c r="K888" t="s">
        <v>9516</v>
      </c>
      <c r="L888" t="s">
        <v>57</v>
      </c>
      <c r="N888">
        <v>0.93610000000000004</v>
      </c>
      <c r="O888" s="1">
        <v>1</v>
      </c>
      <c r="P888" t="s">
        <v>9517</v>
      </c>
      <c r="Q888" t="s">
        <v>9518</v>
      </c>
      <c r="R888" t="s">
        <v>9519</v>
      </c>
      <c r="S888" t="s">
        <v>166</v>
      </c>
      <c r="T888" t="s">
        <v>9489</v>
      </c>
      <c r="U888" t="s">
        <v>9520</v>
      </c>
      <c r="V888">
        <v>4</v>
      </c>
      <c r="W888" t="s">
        <v>9521</v>
      </c>
      <c r="AE888" t="s">
        <v>332</v>
      </c>
      <c r="AF888" t="s">
        <v>2908</v>
      </c>
      <c r="AG888" t="s">
        <v>9522</v>
      </c>
      <c r="AH888" t="str">
        <f>HYPERLINK("http://compartments.jensenlab.org/Entity?figures=subcell_cell_%&amp;knowledge=10&amp;textmining=10&amp;experiments=10&amp;predictions=10&amp;type1=9606&amp;type2=-22&amp;id1=ENSP00000375608","link")</f>
        <v>link</v>
      </c>
      <c r="AI888" t="s">
        <v>65</v>
      </c>
      <c r="AJ888" t="s">
        <v>51</v>
      </c>
      <c r="AK888" t="str">
        <f>HYPERLINK("http://www.proteinatlas.org/P43629","no")</f>
        <v>no</v>
      </c>
      <c r="AM888">
        <v>3811</v>
      </c>
    </row>
    <row r="889" spans="1:39" x14ac:dyDescent="0.35">
      <c r="A889" t="s">
        <v>9523</v>
      </c>
      <c r="B889" t="str">
        <f>HYPERLINK("http://www.uniprot.org/uniprot/P43630","P43630")</f>
        <v>P43630</v>
      </c>
      <c r="C889" t="s">
        <v>9524</v>
      </c>
      <c r="D889" t="s">
        <v>9525</v>
      </c>
      <c r="E889" t="s">
        <v>39</v>
      </c>
      <c r="F889" t="s">
        <v>55</v>
      </c>
      <c r="H889">
        <v>455</v>
      </c>
      <c r="I889">
        <v>1</v>
      </c>
      <c r="J889">
        <v>1</v>
      </c>
      <c r="K889" t="s">
        <v>9526</v>
      </c>
      <c r="L889" t="s">
        <v>57</v>
      </c>
      <c r="N889">
        <v>0.96609999999999996</v>
      </c>
      <c r="O889" s="1">
        <v>1</v>
      </c>
      <c r="P889" t="s">
        <v>9527</v>
      </c>
      <c r="Q889" t="s">
        <v>9528</v>
      </c>
      <c r="R889" t="s">
        <v>9529</v>
      </c>
      <c r="S889" t="s">
        <v>166</v>
      </c>
      <c r="T889" t="s">
        <v>9489</v>
      </c>
      <c r="U889" t="s">
        <v>9530</v>
      </c>
      <c r="V889">
        <v>4</v>
      </c>
      <c r="W889" t="s">
        <v>9531</v>
      </c>
      <c r="AE889" t="s">
        <v>332</v>
      </c>
      <c r="AF889" t="s">
        <v>9532</v>
      </c>
      <c r="AG889" t="s">
        <v>9533</v>
      </c>
      <c r="AH889" t="str">
        <f>HYPERLINK("http://compartments.jensenlab.org/Entity?figures=subcell_cell_%&amp;knowledge=10&amp;textmining=10&amp;experiments=10&amp;predictions=10&amp;type1=9606&amp;type2=-22&amp;id1=ENSP00000325525","link")</f>
        <v>link</v>
      </c>
      <c r="AI889" t="s">
        <v>65</v>
      </c>
      <c r="AJ889" t="s">
        <v>51</v>
      </c>
      <c r="AK889" t="str">
        <f>HYPERLINK("http://www.proteinatlas.org/P43630","no")</f>
        <v>no</v>
      </c>
      <c r="AM889">
        <v>3812</v>
      </c>
    </row>
    <row r="890" spans="1:39" x14ac:dyDescent="0.35">
      <c r="A890" t="s">
        <v>9534</v>
      </c>
      <c r="B890" t="str">
        <f>HYPERLINK("http://www.uniprot.org/uniprot/P43631","P43631")</f>
        <v>P43631</v>
      </c>
      <c r="C890" t="s">
        <v>9535</v>
      </c>
      <c r="D890" t="s">
        <v>9536</v>
      </c>
      <c r="E890" t="s">
        <v>39</v>
      </c>
      <c r="F890" t="s">
        <v>40</v>
      </c>
      <c r="H890">
        <v>304</v>
      </c>
      <c r="I890">
        <v>1</v>
      </c>
      <c r="J890">
        <v>1</v>
      </c>
      <c r="K890" t="s">
        <v>9537</v>
      </c>
      <c r="L890" t="s">
        <v>57</v>
      </c>
      <c r="N890">
        <v>0.88419999999999999</v>
      </c>
      <c r="O890" s="1">
        <v>1</v>
      </c>
      <c r="P890" t="s">
        <v>9538</v>
      </c>
      <c r="Q890" t="s">
        <v>9539</v>
      </c>
      <c r="R890" t="s">
        <v>9540</v>
      </c>
      <c r="S890" t="s">
        <v>166</v>
      </c>
      <c r="T890" t="s">
        <v>9489</v>
      </c>
      <c r="U890" t="s">
        <v>9510</v>
      </c>
      <c r="V890">
        <v>3</v>
      </c>
      <c r="X890">
        <v>230</v>
      </c>
      <c r="AE890" t="s">
        <v>332</v>
      </c>
      <c r="AF890" t="s">
        <v>9501</v>
      </c>
      <c r="AG890" t="s">
        <v>9541</v>
      </c>
      <c r="AH890" t="str">
        <f>HYPERLINK("http://compartments.jensenlab.org/Entity?figures=subcell_cell_%&amp;knowledge=10&amp;textmining=10&amp;experiments=10&amp;predictions=10&amp;type1=9606&amp;type2=-22&amp;id1=ENSP00000484281","link")</f>
        <v>link</v>
      </c>
      <c r="AK890" t="str">
        <f>HYPERLINK("http://www.proteinatlas.org/P43631","no")</f>
        <v>no</v>
      </c>
      <c r="AM890" t="s">
        <v>9542</v>
      </c>
    </row>
    <row r="891" spans="1:39" x14ac:dyDescent="0.35">
      <c r="A891" t="s">
        <v>9543</v>
      </c>
      <c r="B891" t="str">
        <f>HYPERLINK("http://www.uniprot.org/uniprot/P43632","P43632")</f>
        <v>P43632</v>
      </c>
      <c r="C891" t="s">
        <v>9544</v>
      </c>
      <c r="D891" t="s">
        <v>9545</v>
      </c>
      <c r="E891" t="s">
        <v>39</v>
      </c>
      <c r="F891" t="s">
        <v>55</v>
      </c>
      <c r="H891">
        <v>304</v>
      </c>
      <c r="I891">
        <v>1</v>
      </c>
      <c r="J891">
        <v>1</v>
      </c>
      <c r="K891" t="s">
        <v>9537</v>
      </c>
      <c r="L891" t="s">
        <v>101</v>
      </c>
      <c r="M891" t="s">
        <v>39</v>
      </c>
      <c r="N891">
        <v>0.91210000000000002</v>
      </c>
      <c r="O891" s="1">
        <v>1</v>
      </c>
      <c r="P891" t="s">
        <v>9546</v>
      </c>
      <c r="Q891" t="s">
        <v>9547</v>
      </c>
      <c r="R891" t="s">
        <v>9548</v>
      </c>
      <c r="S891" t="s">
        <v>166</v>
      </c>
      <c r="T891" t="s">
        <v>9489</v>
      </c>
      <c r="U891" t="s">
        <v>9549</v>
      </c>
      <c r="V891">
        <v>5</v>
      </c>
      <c r="W891" t="s">
        <v>9550</v>
      </c>
      <c r="Z891" t="s">
        <v>107</v>
      </c>
      <c r="AA891">
        <v>2</v>
      </c>
      <c r="AB891" t="s">
        <v>9551</v>
      </c>
      <c r="AC891" t="s">
        <v>9552</v>
      </c>
      <c r="AD891" t="s">
        <v>9553</v>
      </c>
      <c r="AE891" t="s">
        <v>332</v>
      </c>
      <c r="AF891" t="s">
        <v>9501</v>
      </c>
      <c r="AG891" t="s">
        <v>9554</v>
      </c>
      <c r="AH891" t="str">
        <f>HYPERLINK("http://compartments.jensenlab.org/Entity?figures=subcell_cell_%&amp;knowledge=10&amp;textmining=10&amp;experiments=10&amp;predictions=10&amp;type1=9606&amp;type2=-22&amp;id1=ENSP00000484123","link")</f>
        <v>link</v>
      </c>
      <c r="AK891" t="str">
        <f>HYPERLINK("http://www.proteinatlas.org/P43632","no")</f>
        <v>no</v>
      </c>
      <c r="AM891">
        <v>3809</v>
      </c>
    </row>
    <row r="892" spans="1:39" x14ac:dyDescent="0.35">
      <c r="A892" t="s">
        <v>9555</v>
      </c>
      <c r="B892" t="str">
        <f>HYPERLINK("http://www.uniprot.org/uniprot/P43657","P43657")</f>
        <v>P43657</v>
      </c>
      <c r="C892" t="s">
        <v>9556</v>
      </c>
      <c r="D892" t="s">
        <v>9557</v>
      </c>
      <c r="E892" t="s">
        <v>39</v>
      </c>
      <c r="F892" t="s">
        <v>55</v>
      </c>
      <c r="H892">
        <v>344</v>
      </c>
      <c r="I892">
        <v>7</v>
      </c>
      <c r="J892">
        <v>0</v>
      </c>
      <c r="K892" t="s">
        <v>9558</v>
      </c>
      <c r="L892" t="s">
        <v>57</v>
      </c>
      <c r="M892" t="s">
        <v>39</v>
      </c>
      <c r="N892">
        <v>0.91459999999999997</v>
      </c>
      <c r="O892" s="1">
        <v>1</v>
      </c>
      <c r="P892" t="s">
        <v>9559</v>
      </c>
      <c r="Q892" t="s">
        <v>9560</v>
      </c>
      <c r="S892" t="s">
        <v>166</v>
      </c>
      <c r="T892" t="s">
        <v>838</v>
      </c>
      <c r="U892" t="s">
        <v>9561</v>
      </c>
      <c r="V892">
        <v>4</v>
      </c>
      <c r="AE892" t="s">
        <v>74</v>
      </c>
      <c r="AF892" t="s">
        <v>9562</v>
      </c>
      <c r="AG892" t="s">
        <v>9563</v>
      </c>
      <c r="AH892" t="str">
        <f>HYPERLINK("http://compartments.jensenlab.org/Entity?figures=subcell_cell_%&amp;knowledge=10&amp;textmining=10&amp;experiments=10&amp;predictions=10&amp;type1=9606&amp;type2=-22&amp;id1=ENSP00000344353","link")</f>
        <v>link</v>
      </c>
      <c r="AI892" t="s">
        <v>65</v>
      </c>
      <c r="AJ892" t="s">
        <v>51</v>
      </c>
      <c r="AK892" t="str">
        <f>HYPERLINK("http://www.proteinatlas.org/P43657","HPA028934")</f>
        <v>HPA028934</v>
      </c>
      <c r="AM892">
        <v>10161</v>
      </c>
    </row>
    <row r="893" spans="1:39" x14ac:dyDescent="0.35">
      <c r="A893" t="s">
        <v>9564</v>
      </c>
      <c r="B893" t="str">
        <f>HYPERLINK("http://www.uniprot.org/uniprot/P43681","P43681")</f>
        <v>P43681</v>
      </c>
      <c r="C893" t="s">
        <v>9565</v>
      </c>
      <c r="D893" t="s">
        <v>9566</v>
      </c>
      <c r="E893" t="s">
        <v>39</v>
      </c>
      <c r="F893" t="s">
        <v>55</v>
      </c>
      <c r="H893">
        <v>627</v>
      </c>
      <c r="I893">
        <v>4</v>
      </c>
      <c r="J893">
        <v>1</v>
      </c>
      <c r="K893" t="s">
        <v>9567</v>
      </c>
      <c r="L893" t="s">
        <v>57</v>
      </c>
      <c r="M893" t="s">
        <v>39</v>
      </c>
      <c r="N893">
        <v>0.97809999999999997</v>
      </c>
      <c r="O893" s="1">
        <v>1</v>
      </c>
      <c r="P893" t="s">
        <v>9568</v>
      </c>
      <c r="Q893" t="s">
        <v>9569</v>
      </c>
      <c r="S893" t="s">
        <v>45</v>
      </c>
      <c r="T893" t="s">
        <v>195</v>
      </c>
      <c r="U893" t="s">
        <v>9570</v>
      </c>
      <c r="V893">
        <v>3</v>
      </c>
      <c r="W893" t="s">
        <v>9571</v>
      </c>
      <c r="AE893" t="s">
        <v>9572</v>
      </c>
      <c r="AF893" t="s">
        <v>9573</v>
      </c>
      <c r="AG893" t="s">
        <v>9574</v>
      </c>
      <c r="AH893" t="str">
        <f>HYPERLINK("http://compartments.jensenlab.org/Entity?figures=subcell_cell_%&amp;knowledge=10&amp;textmining=10&amp;experiments=10&amp;predictions=10&amp;type1=9606&amp;type2=-22&amp;id1=ENSP00000359285","link")</f>
        <v>link</v>
      </c>
      <c r="AI893" t="s">
        <v>65</v>
      </c>
      <c r="AJ893" t="s">
        <v>51</v>
      </c>
      <c r="AK893" t="str">
        <f>HYPERLINK("http://www.proteinatlas.org/P43681","CAB034064")</f>
        <v>CAB034064</v>
      </c>
      <c r="AL893" t="s">
        <v>8806</v>
      </c>
      <c r="AM893">
        <v>1137</v>
      </c>
    </row>
    <row r="894" spans="1:39" x14ac:dyDescent="0.35">
      <c r="A894" t="s">
        <v>9575</v>
      </c>
      <c r="B894" t="str">
        <f>HYPERLINK("http://www.uniprot.org/uniprot/P46059","P46059")</f>
        <v>P46059</v>
      </c>
      <c r="C894" t="s">
        <v>9576</v>
      </c>
      <c r="D894" t="s">
        <v>9577</v>
      </c>
      <c r="E894" t="s">
        <v>39</v>
      </c>
      <c r="F894" t="s">
        <v>40</v>
      </c>
      <c r="H894">
        <v>708</v>
      </c>
      <c r="I894">
        <v>12</v>
      </c>
      <c r="J894">
        <v>0</v>
      </c>
      <c r="K894" t="s">
        <v>9578</v>
      </c>
      <c r="L894" t="s">
        <v>57</v>
      </c>
      <c r="N894">
        <v>0.82630000000000003</v>
      </c>
      <c r="O894" s="1">
        <v>1</v>
      </c>
      <c r="P894" t="s">
        <v>9579</v>
      </c>
      <c r="Q894" t="s">
        <v>9580</v>
      </c>
      <c r="S894" t="s">
        <v>45</v>
      </c>
      <c r="T894" t="s">
        <v>9581</v>
      </c>
      <c r="U894" t="s">
        <v>9582</v>
      </c>
      <c r="V894">
        <v>7</v>
      </c>
      <c r="W894" t="s">
        <v>9583</v>
      </c>
      <c r="Y894">
        <v>261</v>
      </c>
      <c r="AE894" t="s">
        <v>48</v>
      </c>
      <c r="AF894" t="s">
        <v>9584</v>
      </c>
      <c r="AG894" t="s">
        <v>9585</v>
      </c>
      <c r="AH894" t="str">
        <f>HYPERLINK("http://compartments.jensenlab.org/Entity?figures=subcell_cell_%&amp;knowledge=10&amp;textmining=10&amp;experiments=10&amp;predictions=10&amp;type1=9606&amp;type2=-22&amp;id1=ENSP00000365686","link")</f>
        <v>link</v>
      </c>
      <c r="AJ894" t="s">
        <v>51</v>
      </c>
      <c r="AK894" t="str">
        <f>HYPERLINK("http://www.proteinatlas.org/P46059","HPA002827")</f>
        <v>HPA002827</v>
      </c>
      <c r="AM894">
        <v>6564</v>
      </c>
    </row>
    <row r="895" spans="1:39" x14ac:dyDescent="0.35">
      <c r="A895" t="s">
        <v>9586</v>
      </c>
      <c r="B895" t="str">
        <f>HYPERLINK("http://www.uniprot.org/uniprot/P46089","P46089")</f>
        <v>P46089</v>
      </c>
      <c r="C895" t="s">
        <v>9587</v>
      </c>
      <c r="D895" t="s">
        <v>9588</v>
      </c>
      <c r="E895" t="s">
        <v>39</v>
      </c>
      <c r="F895" t="s">
        <v>55</v>
      </c>
      <c r="H895">
        <v>330</v>
      </c>
      <c r="I895">
        <v>7</v>
      </c>
      <c r="J895">
        <v>0</v>
      </c>
      <c r="K895" t="s">
        <v>9589</v>
      </c>
      <c r="L895" t="s">
        <v>57</v>
      </c>
      <c r="M895" t="s">
        <v>39</v>
      </c>
      <c r="N895">
        <v>0.95699999999999996</v>
      </c>
      <c r="O895" s="1">
        <v>1</v>
      </c>
      <c r="P895" t="s">
        <v>9590</v>
      </c>
      <c r="Q895" t="s">
        <v>9591</v>
      </c>
      <c r="S895" t="s">
        <v>166</v>
      </c>
      <c r="T895" t="s">
        <v>838</v>
      </c>
      <c r="U895">
        <v>20</v>
      </c>
      <c r="V895">
        <v>1</v>
      </c>
      <c r="AE895" t="s">
        <v>74</v>
      </c>
      <c r="AF895" t="s">
        <v>9592</v>
      </c>
      <c r="AG895" t="s">
        <v>9593</v>
      </c>
      <c r="AH895" t="str">
        <f>HYPERLINK("http://compartments.jensenlab.org/Entity?figures=subcell_cell_%&amp;knowledge=10&amp;textmining=10&amp;experiments=10&amp;predictions=10&amp;type1=9606&amp;type2=-22&amp;id1=ENSP00000363136","link")</f>
        <v>link</v>
      </c>
      <c r="AI895" t="s">
        <v>65</v>
      </c>
      <c r="AJ895" t="s">
        <v>51</v>
      </c>
      <c r="AK895" t="str">
        <f>HYPERLINK("http://www.proteinatlas.org/P46089","CAB006254")</f>
        <v>CAB006254</v>
      </c>
      <c r="AM895">
        <v>2827</v>
      </c>
    </row>
    <row r="896" spans="1:39" x14ac:dyDescent="0.35">
      <c r="A896" t="s">
        <v>9594</v>
      </c>
      <c r="B896" t="str">
        <f>HYPERLINK("http://www.uniprot.org/uniprot/P46091","P46091")</f>
        <v>P46091</v>
      </c>
      <c r="C896" t="s">
        <v>9595</v>
      </c>
      <c r="D896" t="s">
        <v>9596</v>
      </c>
      <c r="E896" t="s">
        <v>39</v>
      </c>
      <c r="F896" t="s">
        <v>40</v>
      </c>
      <c r="H896">
        <v>355</v>
      </c>
      <c r="I896">
        <v>7</v>
      </c>
      <c r="J896">
        <v>0</v>
      </c>
      <c r="K896" t="s">
        <v>9597</v>
      </c>
      <c r="L896" t="s">
        <v>57</v>
      </c>
      <c r="N896">
        <v>0.85029999999999994</v>
      </c>
      <c r="O896" s="1">
        <v>1</v>
      </c>
      <c r="P896" t="s">
        <v>9598</v>
      </c>
      <c r="Q896" t="s">
        <v>9599</v>
      </c>
      <c r="S896" t="s">
        <v>166</v>
      </c>
      <c r="T896" t="s">
        <v>838</v>
      </c>
      <c r="U896" t="s">
        <v>9600</v>
      </c>
      <c r="V896">
        <v>2</v>
      </c>
      <c r="W896">
        <v>183</v>
      </c>
      <c r="AE896" t="s">
        <v>74</v>
      </c>
      <c r="AF896" t="s">
        <v>967</v>
      </c>
      <c r="AG896" t="s">
        <v>9601</v>
      </c>
      <c r="AH896" t="str">
        <f>HYPERLINK("http://compartments.jensenlab.org/Entity?figures=subcell_cell_%&amp;knowledge=10&amp;textmining=10&amp;experiments=10&amp;predictions=10&amp;type1=9606&amp;type2=-22&amp;id1=ENSP00000384345","link")</f>
        <v>link</v>
      </c>
      <c r="AK896" t="str">
        <f>HYPERLINK("http://www.proteinatlas.org/P46091","HPA010525")</f>
        <v>HPA010525</v>
      </c>
      <c r="AM896">
        <v>2825</v>
      </c>
    </row>
    <row r="897" spans="1:39" x14ac:dyDescent="0.35">
      <c r="A897" t="s">
        <v>9602</v>
      </c>
      <c r="B897" t="str">
        <f>HYPERLINK("http://www.uniprot.org/uniprot/P46092","P46092")</f>
        <v>P46092</v>
      </c>
      <c r="C897" t="s">
        <v>9603</v>
      </c>
      <c r="D897" t="s">
        <v>9604</v>
      </c>
      <c r="E897" t="s">
        <v>39</v>
      </c>
      <c r="F897" t="s">
        <v>55</v>
      </c>
      <c r="H897">
        <v>362</v>
      </c>
      <c r="I897">
        <v>7</v>
      </c>
      <c r="J897">
        <v>0</v>
      </c>
      <c r="K897" t="s">
        <v>9605</v>
      </c>
      <c r="L897" t="s">
        <v>57</v>
      </c>
      <c r="M897" t="s">
        <v>39</v>
      </c>
      <c r="N897">
        <v>0.73799999999999999</v>
      </c>
      <c r="O897" s="1">
        <v>2</v>
      </c>
      <c r="P897" t="s">
        <v>9606</v>
      </c>
      <c r="Q897" t="s">
        <v>9607</v>
      </c>
      <c r="S897" t="s">
        <v>166</v>
      </c>
      <c r="T897" t="s">
        <v>838</v>
      </c>
      <c r="V897">
        <v>0</v>
      </c>
      <c r="AE897" t="s">
        <v>74</v>
      </c>
      <c r="AF897" t="s">
        <v>9608</v>
      </c>
      <c r="AG897" t="s">
        <v>9609</v>
      </c>
      <c r="AH897" t="str">
        <f>HYPERLINK("http://compartments.jensenlab.org/Entity?figures=subcell_cell_%&amp;knowledge=10&amp;textmining=10&amp;experiments=10&amp;predictions=10&amp;type1=9606&amp;type2=-22&amp;id1=ENSP00000332504","link")</f>
        <v>link</v>
      </c>
      <c r="AI897" t="s">
        <v>65</v>
      </c>
      <c r="AJ897" t="s">
        <v>51</v>
      </c>
      <c r="AK897" t="str">
        <f>HYPERLINK("http://www.proteinatlas.org/P46092","CAB011684")</f>
        <v>CAB011684</v>
      </c>
      <c r="AM897">
        <v>2826</v>
      </c>
    </row>
    <row r="898" spans="1:39" x14ac:dyDescent="0.35">
      <c r="A898" t="s">
        <v>9610</v>
      </c>
      <c r="B898" t="str">
        <f>HYPERLINK("http://www.uniprot.org/uniprot/P46093","P46093")</f>
        <v>P46093</v>
      </c>
      <c r="C898" t="s">
        <v>9611</v>
      </c>
      <c r="D898" t="s">
        <v>9612</v>
      </c>
      <c r="E898" t="s">
        <v>39</v>
      </c>
      <c r="F898" t="s">
        <v>55</v>
      </c>
      <c r="H898">
        <v>362</v>
      </c>
      <c r="I898">
        <v>7</v>
      </c>
      <c r="J898">
        <v>0</v>
      </c>
      <c r="K898" t="s">
        <v>9613</v>
      </c>
      <c r="L898" t="s">
        <v>57</v>
      </c>
      <c r="M898" t="s">
        <v>39</v>
      </c>
      <c r="N898">
        <v>0.94510000000000005</v>
      </c>
      <c r="O898" s="1">
        <v>1</v>
      </c>
      <c r="P898" t="s">
        <v>9614</v>
      </c>
      <c r="Q898" t="s">
        <v>9615</v>
      </c>
      <c r="S898" t="s">
        <v>166</v>
      </c>
      <c r="T898" t="s">
        <v>838</v>
      </c>
      <c r="U898" t="s">
        <v>9616</v>
      </c>
      <c r="V898">
        <v>2</v>
      </c>
      <c r="W898" t="s">
        <v>9617</v>
      </c>
      <c r="Y898">
        <v>177</v>
      </c>
      <c r="AE898" t="s">
        <v>74</v>
      </c>
      <c r="AF898" t="s">
        <v>967</v>
      </c>
      <c r="AG898" t="s">
        <v>9618</v>
      </c>
      <c r="AH898" t="str">
        <f>HYPERLINK("http://compartments.jensenlab.org/Entity?figures=subcell_cell_%&amp;knowledge=10&amp;textmining=10&amp;experiments=10&amp;predictions=10&amp;type1=9606&amp;type2=-22&amp;id1=ENSP00000319744","link")</f>
        <v>link</v>
      </c>
      <c r="AI898" t="s">
        <v>65</v>
      </c>
      <c r="AJ898" t="s">
        <v>51</v>
      </c>
      <c r="AK898" t="str">
        <f>HYPERLINK("http://www.proteinatlas.org/P46093","HPA014278")</f>
        <v>HPA014278</v>
      </c>
      <c r="AM898">
        <v>2828</v>
      </c>
    </row>
    <row r="899" spans="1:39" x14ac:dyDescent="0.35">
      <c r="A899" t="s">
        <v>9619</v>
      </c>
      <c r="B899" t="str">
        <f>HYPERLINK("http://www.uniprot.org/uniprot/P46094","P46094")</f>
        <v>P46094</v>
      </c>
      <c r="C899" t="s">
        <v>9620</v>
      </c>
      <c r="D899" t="s">
        <v>9621</v>
      </c>
      <c r="E899" t="s">
        <v>39</v>
      </c>
      <c r="F899" t="s">
        <v>55</v>
      </c>
      <c r="H899">
        <v>333</v>
      </c>
      <c r="I899">
        <v>7</v>
      </c>
      <c r="J899">
        <v>0</v>
      </c>
      <c r="K899" t="s">
        <v>9622</v>
      </c>
      <c r="L899" t="s">
        <v>57</v>
      </c>
      <c r="M899" t="s">
        <v>39</v>
      </c>
      <c r="N899">
        <v>0.71109999999999995</v>
      </c>
      <c r="O899" s="1">
        <v>2</v>
      </c>
      <c r="P899" t="s">
        <v>9623</v>
      </c>
      <c r="Q899" t="s">
        <v>9624</v>
      </c>
      <c r="S899" t="s">
        <v>166</v>
      </c>
      <c r="T899" t="s">
        <v>838</v>
      </c>
      <c r="U899">
        <v>242</v>
      </c>
      <c r="V899">
        <v>0</v>
      </c>
      <c r="W899">
        <v>242</v>
      </c>
      <c r="AE899" t="s">
        <v>74</v>
      </c>
      <c r="AF899" t="s">
        <v>9608</v>
      </c>
      <c r="AG899" t="s">
        <v>9625</v>
      </c>
      <c r="AH899" t="str">
        <f>HYPERLINK("http://compartments.jensenlab.org/Entity?figures=subcell_cell_%&amp;knowledge=10&amp;textmining=10&amp;experiments=10&amp;predictions=10&amp;type1=9606&amp;type2=-22&amp;id1=ENSP00000310405","link")</f>
        <v>link</v>
      </c>
      <c r="AI899" t="s">
        <v>65</v>
      </c>
      <c r="AJ899" t="s">
        <v>51</v>
      </c>
      <c r="AK899" t="str">
        <f>HYPERLINK("http://www.proteinatlas.org/P46094","HPA013169")</f>
        <v>HPA013169</v>
      </c>
      <c r="AM899">
        <v>2829</v>
      </c>
    </row>
    <row r="900" spans="1:39" x14ac:dyDescent="0.35">
      <c r="A900" t="s">
        <v>9626</v>
      </c>
      <c r="B900" t="str">
        <f>HYPERLINK("http://www.uniprot.org/uniprot/P46095","P46095")</f>
        <v>P46095</v>
      </c>
      <c r="C900" t="s">
        <v>9627</v>
      </c>
      <c r="D900" t="s">
        <v>9628</v>
      </c>
      <c r="E900" t="s">
        <v>39</v>
      </c>
      <c r="F900" t="s">
        <v>40</v>
      </c>
      <c r="H900">
        <v>362</v>
      </c>
      <c r="I900">
        <v>7</v>
      </c>
      <c r="J900">
        <v>0</v>
      </c>
      <c r="K900" t="s">
        <v>9629</v>
      </c>
      <c r="L900" t="s">
        <v>57</v>
      </c>
      <c r="N900">
        <v>0.82630000000000003</v>
      </c>
      <c r="O900" s="1">
        <v>1</v>
      </c>
      <c r="P900" t="s">
        <v>9630</v>
      </c>
      <c r="Q900" t="s">
        <v>9631</v>
      </c>
      <c r="S900" t="s">
        <v>166</v>
      </c>
      <c r="T900" t="s">
        <v>838</v>
      </c>
      <c r="U900" t="s">
        <v>9632</v>
      </c>
      <c r="V900">
        <v>3</v>
      </c>
      <c r="AE900" t="s">
        <v>74</v>
      </c>
      <c r="AF900" t="s">
        <v>9633</v>
      </c>
      <c r="AG900" t="s">
        <v>9634</v>
      </c>
      <c r="AH900" t="str">
        <f>HYPERLINK("http://compartments.jensenlab.org/Entity?figures=subcell_cell_%&amp;knowledge=10&amp;textmining=10&amp;experiments=10&amp;predictions=10&amp;type1=9606&amp;type2=-22&amp;id1=ENSP00000275169","link")</f>
        <v>link</v>
      </c>
      <c r="AI900" t="s">
        <v>65</v>
      </c>
      <c r="AJ900" t="s">
        <v>51</v>
      </c>
      <c r="AK900" t="str">
        <f>HYPERLINK("http://www.proteinatlas.org/P46095","no")</f>
        <v>no</v>
      </c>
      <c r="AM900">
        <v>2830</v>
      </c>
    </row>
    <row r="901" spans="1:39" x14ac:dyDescent="0.35">
      <c r="A901" t="s">
        <v>9635</v>
      </c>
      <c r="B901" t="str">
        <f>HYPERLINK("http://www.uniprot.org/uniprot/P46098","P46098")</f>
        <v>P46098</v>
      </c>
      <c r="C901" t="s">
        <v>9636</v>
      </c>
      <c r="D901" t="s">
        <v>9637</v>
      </c>
      <c r="E901" t="s">
        <v>39</v>
      </c>
      <c r="F901" t="s">
        <v>40</v>
      </c>
      <c r="H901">
        <v>478</v>
      </c>
      <c r="I901">
        <v>4</v>
      </c>
      <c r="J901">
        <v>1</v>
      </c>
      <c r="K901" t="s">
        <v>9638</v>
      </c>
      <c r="L901" t="s">
        <v>57</v>
      </c>
      <c r="N901">
        <v>0.87029999999999996</v>
      </c>
      <c r="O901" s="1">
        <v>1</v>
      </c>
      <c r="P901" t="s">
        <v>9639</v>
      </c>
      <c r="Q901" t="s">
        <v>9640</v>
      </c>
      <c r="S901" t="s">
        <v>45</v>
      </c>
      <c r="T901" t="s">
        <v>195</v>
      </c>
      <c r="U901" t="s">
        <v>9641</v>
      </c>
      <c r="V901">
        <v>4</v>
      </c>
      <c r="W901" t="s">
        <v>9642</v>
      </c>
      <c r="Y901">
        <v>472</v>
      </c>
      <c r="AE901" t="s">
        <v>619</v>
      </c>
      <c r="AF901" t="s">
        <v>9643</v>
      </c>
      <c r="AG901" t="s">
        <v>9644</v>
      </c>
      <c r="AH901" t="str">
        <f>HYPERLINK("http://compartments.jensenlab.org/Entity?figures=subcell_cell_%&amp;knowledge=10&amp;textmining=10&amp;experiments=10&amp;predictions=10&amp;type1=9606&amp;type2=-22&amp;id1=ENSP00000424189","link")</f>
        <v>link</v>
      </c>
      <c r="AK901" t="str">
        <f>HYPERLINK("http://www.proteinatlas.org/P46098","no")</f>
        <v>no</v>
      </c>
      <c r="AL901" t="s">
        <v>9645</v>
      </c>
      <c r="AM901">
        <v>3359</v>
      </c>
    </row>
    <row r="902" spans="1:39" x14ac:dyDescent="0.35">
      <c r="A902" t="s">
        <v>9646</v>
      </c>
      <c r="B902" t="str">
        <f>HYPERLINK("http://www.uniprot.org/uniprot/P46531","P46531")</f>
        <v>P46531</v>
      </c>
      <c r="C902" t="s">
        <v>9647</v>
      </c>
      <c r="D902" t="s">
        <v>9648</v>
      </c>
      <c r="E902" t="s">
        <v>39</v>
      </c>
      <c r="F902" t="s">
        <v>55</v>
      </c>
      <c r="H902">
        <v>2555</v>
      </c>
      <c r="I902">
        <v>1</v>
      </c>
      <c r="J902">
        <v>1</v>
      </c>
      <c r="K902" t="s">
        <v>9649</v>
      </c>
      <c r="L902" t="s">
        <v>101</v>
      </c>
      <c r="M902" t="s">
        <v>39</v>
      </c>
      <c r="N902">
        <v>0.84470000000000001</v>
      </c>
      <c r="O902" s="1">
        <v>1</v>
      </c>
      <c r="P902" t="s">
        <v>9650</v>
      </c>
      <c r="Q902" t="s">
        <v>9651</v>
      </c>
      <c r="S902" t="s">
        <v>166</v>
      </c>
      <c r="T902" t="s">
        <v>9652</v>
      </c>
      <c r="U902" t="s">
        <v>9653</v>
      </c>
      <c r="V902">
        <v>7</v>
      </c>
      <c r="W902" t="s">
        <v>9653</v>
      </c>
      <c r="X902" t="s">
        <v>9654</v>
      </c>
      <c r="Y902" t="s">
        <v>9655</v>
      </c>
      <c r="Z902" t="s">
        <v>107</v>
      </c>
      <c r="AA902">
        <v>1</v>
      </c>
      <c r="AB902" t="s">
        <v>9656</v>
      </c>
      <c r="AC902">
        <v>1587</v>
      </c>
      <c r="AD902" t="s">
        <v>9657</v>
      </c>
      <c r="AE902" t="s">
        <v>9658</v>
      </c>
      <c r="AF902" t="s">
        <v>9659</v>
      </c>
      <c r="AG902" t="s">
        <v>9660</v>
      </c>
      <c r="AH902" t="str">
        <f>HYPERLINK("http://compartments.jensenlab.org/Entity?figures=subcell_cell_%&amp;knowledge=10&amp;textmining=10&amp;experiments=10&amp;predictions=10&amp;type1=9606&amp;type2=-22&amp;id1=ENSP00000277541","link")</f>
        <v>link</v>
      </c>
      <c r="AI902" t="s">
        <v>65</v>
      </c>
      <c r="AJ902" t="s">
        <v>5349</v>
      </c>
      <c r="AK902" t="str">
        <f>HYPERLINK("http://www.proteinatlas.org/P46531","CAB008112;CAB022466")</f>
        <v>CAB008112;CAB022466</v>
      </c>
      <c r="AM902">
        <v>4851</v>
      </c>
    </row>
    <row r="903" spans="1:39" x14ac:dyDescent="0.35">
      <c r="A903" t="s">
        <v>9661</v>
      </c>
      <c r="B903" t="str">
        <f>HYPERLINK("http://www.uniprot.org/uniprot/P46663","P46663")</f>
        <v>P46663</v>
      </c>
      <c r="C903" t="s">
        <v>9662</v>
      </c>
      <c r="D903" t="s">
        <v>9663</v>
      </c>
      <c r="E903" t="s">
        <v>39</v>
      </c>
      <c r="F903" t="s">
        <v>40</v>
      </c>
      <c r="H903">
        <v>353</v>
      </c>
      <c r="I903">
        <v>7</v>
      </c>
      <c r="J903">
        <v>0</v>
      </c>
      <c r="K903" t="s">
        <v>9664</v>
      </c>
      <c r="L903" t="s">
        <v>57</v>
      </c>
      <c r="N903">
        <v>0.87229999999999996</v>
      </c>
      <c r="O903" s="1">
        <v>1</v>
      </c>
      <c r="P903" t="s">
        <v>9665</v>
      </c>
      <c r="Q903" t="s">
        <v>9666</v>
      </c>
      <c r="S903" t="s">
        <v>166</v>
      </c>
      <c r="T903" t="s">
        <v>838</v>
      </c>
      <c r="U903" t="s">
        <v>9667</v>
      </c>
      <c r="V903">
        <v>3</v>
      </c>
      <c r="W903" t="s">
        <v>9668</v>
      </c>
      <c r="Y903" t="s">
        <v>9669</v>
      </c>
      <c r="AE903" t="s">
        <v>74</v>
      </c>
      <c r="AF903" t="s">
        <v>2359</v>
      </c>
      <c r="AG903" t="s">
        <v>9670</v>
      </c>
      <c r="AH903" t="str">
        <f>HYPERLINK("http://compartments.jensenlab.org/Entity?figures=subcell_cell_%&amp;knowledge=10&amp;textmining=10&amp;experiments=10&amp;predictions=10&amp;type1=9606&amp;type2=-22&amp;id1=ENSP00000216629","link")</f>
        <v>link</v>
      </c>
      <c r="AI903" t="s">
        <v>65</v>
      </c>
      <c r="AJ903" t="s">
        <v>345</v>
      </c>
      <c r="AK903" t="str">
        <f>HYPERLINK("http://www.proteinatlas.org/P46663","HPA002935")</f>
        <v>HPA002935</v>
      </c>
      <c r="AM903">
        <v>623</v>
      </c>
    </row>
    <row r="904" spans="1:39" x14ac:dyDescent="0.35">
      <c r="A904" t="s">
        <v>9671</v>
      </c>
      <c r="B904" t="str">
        <f>HYPERLINK("http://www.uniprot.org/uniprot/P46721","P46721")</f>
        <v>P46721</v>
      </c>
      <c r="C904" t="s">
        <v>9672</v>
      </c>
      <c r="D904" t="s">
        <v>9673</v>
      </c>
      <c r="E904" t="s">
        <v>39</v>
      </c>
      <c r="F904" t="s">
        <v>55</v>
      </c>
      <c r="H904">
        <v>670</v>
      </c>
      <c r="I904">
        <v>12</v>
      </c>
      <c r="J904">
        <v>0</v>
      </c>
      <c r="K904" t="s">
        <v>9674</v>
      </c>
      <c r="L904" t="s">
        <v>57</v>
      </c>
      <c r="M904" t="s">
        <v>39</v>
      </c>
      <c r="N904">
        <v>0.92059999999999997</v>
      </c>
      <c r="O904" s="1">
        <v>1</v>
      </c>
      <c r="P904" t="s">
        <v>9675</v>
      </c>
      <c r="Q904" t="s">
        <v>9676</v>
      </c>
      <c r="S904" t="s">
        <v>45</v>
      </c>
      <c r="T904" t="s">
        <v>797</v>
      </c>
      <c r="U904" t="s">
        <v>9677</v>
      </c>
      <c r="V904">
        <v>6</v>
      </c>
      <c r="AE904" t="s">
        <v>74</v>
      </c>
      <c r="AF904" t="s">
        <v>9678</v>
      </c>
      <c r="AG904" t="s">
        <v>9679</v>
      </c>
      <c r="AH904" t="str">
        <f>HYPERLINK("http://compartments.jensenlab.org/Entity?figures=subcell_cell_%&amp;knowledge=10&amp;textmining=10&amp;experiments=10&amp;predictions=10&amp;type1=9606&amp;type2=-22&amp;id1=ENSP00000305974","link")</f>
        <v>link</v>
      </c>
      <c r="AI904" t="s">
        <v>65</v>
      </c>
      <c r="AJ904" t="s">
        <v>51</v>
      </c>
      <c r="AK904" t="str">
        <f>HYPERLINK("http://www.proteinatlas.org/P46721","HPA027537")</f>
        <v>HPA027537</v>
      </c>
      <c r="AM904">
        <v>6579</v>
      </c>
    </row>
    <row r="905" spans="1:39" x14ac:dyDescent="0.35">
      <c r="A905" t="s">
        <v>9680</v>
      </c>
      <c r="B905" t="str">
        <f>HYPERLINK("http://www.uniprot.org/uniprot/P47211","P47211")</f>
        <v>P47211</v>
      </c>
      <c r="C905" t="s">
        <v>9681</v>
      </c>
      <c r="D905" t="s">
        <v>9682</v>
      </c>
      <c r="E905" t="s">
        <v>39</v>
      </c>
      <c r="F905" t="s">
        <v>55</v>
      </c>
      <c r="H905">
        <v>349</v>
      </c>
      <c r="I905">
        <v>7</v>
      </c>
      <c r="J905">
        <v>0</v>
      </c>
      <c r="K905" t="s">
        <v>9683</v>
      </c>
      <c r="L905" t="s">
        <v>57</v>
      </c>
      <c r="M905" t="s">
        <v>39</v>
      </c>
      <c r="N905">
        <v>0.93679999999999997</v>
      </c>
      <c r="O905" s="1">
        <v>1</v>
      </c>
      <c r="P905" t="s">
        <v>9684</v>
      </c>
      <c r="Q905" t="s">
        <v>9685</v>
      </c>
      <c r="S905" t="s">
        <v>166</v>
      </c>
      <c r="T905" t="s">
        <v>838</v>
      </c>
      <c r="U905" t="s">
        <v>9686</v>
      </c>
      <c r="V905">
        <v>3</v>
      </c>
      <c r="Y905">
        <v>188</v>
      </c>
      <c r="AE905" t="s">
        <v>74</v>
      </c>
      <c r="AF905" t="s">
        <v>2359</v>
      </c>
      <c r="AG905" t="s">
        <v>9687</v>
      </c>
      <c r="AH905" t="str">
        <f>HYPERLINK("http://compartments.jensenlab.org/Entity?figures=subcell_cell_%&amp;knowledge=10&amp;textmining=10&amp;experiments=10&amp;predictions=10&amp;type1=9606&amp;type2=-22&amp;id1=ENSP00000299727","link")</f>
        <v>link</v>
      </c>
      <c r="AI905" t="s">
        <v>65</v>
      </c>
      <c r="AJ905" t="s">
        <v>51</v>
      </c>
      <c r="AK905" t="str">
        <f>HYPERLINK("http://www.proteinatlas.org/P47211","no")</f>
        <v>no</v>
      </c>
      <c r="AM905">
        <v>2587</v>
      </c>
    </row>
    <row r="906" spans="1:39" x14ac:dyDescent="0.35">
      <c r="A906" t="s">
        <v>9688</v>
      </c>
      <c r="B906" t="str">
        <f>HYPERLINK("http://www.uniprot.org/uniprot/P47775","P47775")</f>
        <v>P47775</v>
      </c>
      <c r="C906" t="s">
        <v>9689</v>
      </c>
      <c r="D906" t="s">
        <v>9690</v>
      </c>
      <c r="E906" t="s">
        <v>39</v>
      </c>
      <c r="F906" t="s">
        <v>40</v>
      </c>
      <c r="H906">
        <v>334</v>
      </c>
      <c r="I906">
        <v>7</v>
      </c>
      <c r="J906">
        <v>0</v>
      </c>
      <c r="K906" t="s">
        <v>9691</v>
      </c>
      <c r="L906" t="s">
        <v>57</v>
      </c>
      <c r="N906">
        <v>0.90820000000000001</v>
      </c>
      <c r="O906" s="1">
        <v>1</v>
      </c>
      <c r="P906" t="s">
        <v>9692</v>
      </c>
      <c r="Q906" t="s">
        <v>9693</v>
      </c>
      <c r="S906" t="s">
        <v>166</v>
      </c>
      <c r="T906" t="s">
        <v>838</v>
      </c>
      <c r="U906" t="s">
        <v>9694</v>
      </c>
      <c r="V906">
        <v>2</v>
      </c>
      <c r="AE906" t="s">
        <v>74</v>
      </c>
      <c r="AF906" t="s">
        <v>9695</v>
      </c>
      <c r="AG906" t="s">
        <v>9696</v>
      </c>
      <c r="AH906" t="str">
        <f>HYPERLINK("http://compartments.jensenlab.org/Entity?figures=subcell_cell_%&amp;knowledge=10&amp;textmining=10&amp;experiments=10&amp;predictions=10&amp;type1=9606&amp;type2=-22&amp;id1=ENSP00000370844","link")</f>
        <v>link</v>
      </c>
      <c r="AI906" t="s">
        <v>65</v>
      </c>
      <c r="AJ906" t="s">
        <v>51</v>
      </c>
      <c r="AK906" t="str">
        <f>HYPERLINK("http://www.proteinatlas.org/P47775","HPA050972")</f>
        <v>HPA050972</v>
      </c>
      <c r="AM906">
        <v>2835</v>
      </c>
    </row>
    <row r="907" spans="1:39" x14ac:dyDescent="0.35">
      <c r="A907" t="s">
        <v>9697</v>
      </c>
      <c r="B907" t="str">
        <f>HYPERLINK("http://www.uniprot.org/uniprot/P47804","P47804")</f>
        <v>P47804</v>
      </c>
      <c r="C907" t="s">
        <v>9698</v>
      </c>
      <c r="D907" t="s">
        <v>9699</v>
      </c>
      <c r="E907" t="s">
        <v>39</v>
      </c>
      <c r="F907" t="s">
        <v>40</v>
      </c>
      <c r="H907">
        <v>291</v>
      </c>
      <c r="I907">
        <v>7</v>
      </c>
      <c r="J907">
        <v>0</v>
      </c>
      <c r="K907" t="s">
        <v>9700</v>
      </c>
      <c r="L907" t="s">
        <v>57</v>
      </c>
      <c r="N907">
        <v>0.86029999999999995</v>
      </c>
      <c r="O907" s="1">
        <v>1</v>
      </c>
      <c r="P907" t="s">
        <v>9701</v>
      </c>
      <c r="S907" t="s">
        <v>166</v>
      </c>
      <c r="T907" t="s">
        <v>838</v>
      </c>
      <c r="U907" t="s">
        <v>9702</v>
      </c>
      <c r="V907">
        <v>1</v>
      </c>
      <c r="W907" t="s">
        <v>9702</v>
      </c>
      <c r="AE907" t="s">
        <v>48</v>
      </c>
      <c r="AF907" t="s">
        <v>9703</v>
      </c>
      <c r="AG907" t="s">
        <v>9704</v>
      </c>
      <c r="AK907" t="str">
        <f>HYPERLINK("http://www.proteinatlas.org/P47804","no")</f>
        <v>no</v>
      </c>
      <c r="AM907">
        <v>5995</v>
      </c>
    </row>
    <row r="908" spans="1:39" x14ac:dyDescent="0.35">
      <c r="A908" t="s">
        <v>9705</v>
      </c>
      <c r="B908" t="str">
        <f>HYPERLINK("http://www.uniprot.org/uniprot/P47869","P47869")</f>
        <v>P47869</v>
      </c>
      <c r="C908" t="s">
        <v>9706</v>
      </c>
      <c r="D908" t="s">
        <v>9707</v>
      </c>
      <c r="E908" t="s">
        <v>39</v>
      </c>
      <c r="F908" t="s">
        <v>55</v>
      </c>
      <c r="H908">
        <v>451</v>
      </c>
      <c r="I908">
        <v>4</v>
      </c>
      <c r="J908">
        <v>1</v>
      </c>
      <c r="K908" t="s">
        <v>9708</v>
      </c>
      <c r="L908" t="s">
        <v>101</v>
      </c>
      <c r="N908">
        <v>0.87429999999999997</v>
      </c>
      <c r="O908" s="1">
        <v>1</v>
      </c>
      <c r="P908" t="s">
        <v>9709</v>
      </c>
      <c r="Q908" t="s">
        <v>9710</v>
      </c>
      <c r="S908" t="s">
        <v>45</v>
      </c>
      <c r="T908" t="s">
        <v>195</v>
      </c>
      <c r="U908" t="s">
        <v>9711</v>
      </c>
      <c r="V908">
        <v>3</v>
      </c>
      <c r="Z908" t="s">
        <v>107</v>
      </c>
      <c r="AA908">
        <v>1</v>
      </c>
      <c r="AB908" t="s">
        <v>9712</v>
      </c>
      <c r="AC908">
        <v>38</v>
      </c>
      <c r="AD908" t="s">
        <v>9713</v>
      </c>
      <c r="AE908" t="s">
        <v>619</v>
      </c>
      <c r="AF908" t="s">
        <v>2633</v>
      </c>
      <c r="AG908" t="s">
        <v>9714</v>
      </c>
      <c r="AH908" t="str">
        <f>HYPERLINK("http://compartments.jensenlab.org/Entity?figures=subcell_cell_%&amp;knowledge=10&amp;textmining=10&amp;experiments=10&amp;predictions=10&amp;type1=9606&amp;type2=-22&amp;id1=ENSP00000348897","link")</f>
        <v>link</v>
      </c>
      <c r="AI908" t="s">
        <v>65</v>
      </c>
      <c r="AJ908" t="s">
        <v>51</v>
      </c>
      <c r="AK908" t="str">
        <f>HYPERLINK("http://www.proteinatlas.org/P47869","HPA014261")</f>
        <v>HPA014261</v>
      </c>
      <c r="AL908" t="s">
        <v>9715</v>
      </c>
      <c r="AM908">
        <v>2555</v>
      </c>
    </row>
    <row r="909" spans="1:39" x14ac:dyDescent="0.35">
      <c r="A909" t="s">
        <v>9716</v>
      </c>
      <c r="B909" t="str">
        <f>HYPERLINK("http://www.uniprot.org/uniprot/P47870","P47870")</f>
        <v>P47870</v>
      </c>
      <c r="C909" t="s">
        <v>9717</v>
      </c>
      <c r="D909" t="s">
        <v>9718</v>
      </c>
      <c r="E909" t="s">
        <v>39</v>
      </c>
      <c r="F909" t="s">
        <v>40</v>
      </c>
      <c r="H909">
        <v>512</v>
      </c>
      <c r="I909">
        <v>4</v>
      </c>
      <c r="J909">
        <v>1</v>
      </c>
      <c r="K909" t="s">
        <v>9719</v>
      </c>
      <c r="L909" t="s">
        <v>57</v>
      </c>
      <c r="N909">
        <v>0.91620000000000001</v>
      </c>
      <c r="O909" s="1">
        <v>1</v>
      </c>
      <c r="P909" t="s">
        <v>9720</v>
      </c>
      <c r="Q909" t="s">
        <v>9721</v>
      </c>
      <c r="S909" t="s">
        <v>45</v>
      </c>
      <c r="T909" t="s">
        <v>195</v>
      </c>
      <c r="U909" t="s">
        <v>9722</v>
      </c>
      <c r="V909">
        <v>3</v>
      </c>
      <c r="W909" t="s">
        <v>9723</v>
      </c>
      <c r="AE909" t="s">
        <v>619</v>
      </c>
      <c r="AF909" t="s">
        <v>9724</v>
      </c>
      <c r="AG909" t="s">
        <v>9725</v>
      </c>
      <c r="AH909" t="str">
        <f>HYPERLINK("http://compartments.jensenlab.org/Entity?figures=subcell_cell_%&amp;knowledge=10&amp;textmining=10&amp;experiments=10&amp;predictions=10&amp;type1=9606&amp;type2=-22&amp;id1=ENSP00000274546","link")</f>
        <v>link</v>
      </c>
      <c r="AK909" t="str">
        <f>HYPERLINK("http://www.proteinatlas.org/P47870","CAB001964")</f>
        <v>CAB001964</v>
      </c>
      <c r="AL909" t="s">
        <v>9726</v>
      </c>
      <c r="AM909">
        <v>2561</v>
      </c>
    </row>
    <row r="910" spans="1:39" x14ac:dyDescent="0.35">
      <c r="A910" t="s">
        <v>9727</v>
      </c>
      <c r="B910" t="str">
        <f>HYPERLINK("http://www.uniprot.org/uniprot/P47871","P47871")</f>
        <v>P47871</v>
      </c>
      <c r="C910" t="s">
        <v>9728</v>
      </c>
      <c r="D910" t="s">
        <v>9729</v>
      </c>
      <c r="E910" t="s">
        <v>39</v>
      </c>
      <c r="F910" t="s">
        <v>40</v>
      </c>
      <c r="H910">
        <v>477</v>
      </c>
      <c r="I910">
        <v>7</v>
      </c>
      <c r="J910">
        <v>1</v>
      </c>
      <c r="K910" t="s">
        <v>9730</v>
      </c>
      <c r="L910" t="s">
        <v>57</v>
      </c>
      <c r="N910">
        <v>0.94010000000000005</v>
      </c>
      <c r="O910" s="1">
        <v>1</v>
      </c>
      <c r="P910" t="s">
        <v>9731</v>
      </c>
      <c r="Q910" t="s">
        <v>9732</v>
      </c>
      <c r="S910" t="s">
        <v>60</v>
      </c>
      <c r="T910" t="s">
        <v>60</v>
      </c>
      <c r="U910" t="s">
        <v>9733</v>
      </c>
      <c r="V910">
        <v>4</v>
      </c>
      <c r="X910" t="s">
        <v>9734</v>
      </c>
      <c r="Y910">
        <v>415</v>
      </c>
      <c r="AE910" t="s">
        <v>74</v>
      </c>
      <c r="AF910" t="s">
        <v>9735</v>
      </c>
      <c r="AG910" t="s">
        <v>9736</v>
      </c>
      <c r="AH910" t="str">
        <f>HYPERLINK("http://compartments.jensenlab.org/Entity?figures=subcell_cell_%&amp;knowledge=10&amp;textmining=10&amp;experiments=10&amp;predictions=10&amp;type1=9606&amp;type2=-22&amp;id1=ENSP00000383558","link")</f>
        <v>link</v>
      </c>
      <c r="AI910" t="s">
        <v>65</v>
      </c>
      <c r="AJ910" t="s">
        <v>1791</v>
      </c>
      <c r="AK910" t="str">
        <f>HYPERLINK("http://www.proteinatlas.org/P47871","no")</f>
        <v>no</v>
      </c>
      <c r="AL910" t="s">
        <v>9737</v>
      </c>
      <c r="AM910">
        <v>2642</v>
      </c>
    </row>
    <row r="911" spans="1:39" x14ac:dyDescent="0.35">
      <c r="A911" t="s">
        <v>9738</v>
      </c>
      <c r="B911" t="str">
        <f>HYPERLINK("http://www.uniprot.org/uniprot/P47872","P47872")</f>
        <v>P47872</v>
      </c>
      <c r="C911" t="s">
        <v>9739</v>
      </c>
      <c r="D911" t="s">
        <v>9740</v>
      </c>
      <c r="E911" t="s">
        <v>39</v>
      </c>
      <c r="F911" t="s">
        <v>55</v>
      </c>
      <c r="H911">
        <v>440</v>
      </c>
      <c r="I911">
        <v>7</v>
      </c>
      <c r="J911">
        <v>1</v>
      </c>
      <c r="K911" t="s">
        <v>9741</v>
      </c>
      <c r="L911" t="s">
        <v>57</v>
      </c>
      <c r="M911" t="s">
        <v>39</v>
      </c>
      <c r="N911">
        <v>0.90910000000000002</v>
      </c>
      <c r="O911" s="1">
        <v>1</v>
      </c>
      <c r="P911" t="s">
        <v>9742</v>
      </c>
      <c r="Q911" t="s">
        <v>9743</v>
      </c>
      <c r="S911" t="s">
        <v>166</v>
      </c>
      <c r="T911" t="s">
        <v>3409</v>
      </c>
      <c r="U911" t="s">
        <v>9744</v>
      </c>
      <c r="V911">
        <v>5</v>
      </c>
      <c r="W911" t="s">
        <v>9745</v>
      </c>
      <c r="Y911">
        <v>403</v>
      </c>
      <c r="AE911" t="s">
        <v>74</v>
      </c>
      <c r="AF911" t="s">
        <v>9746</v>
      </c>
      <c r="AG911" t="s">
        <v>9747</v>
      </c>
      <c r="AH911" t="str">
        <f>HYPERLINK("http://compartments.jensenlab.org/Entity?figures=subcell_cell_%&amp;knowledge=10&amp;textmining=10&amp;experiments=10&amp;predictions=10&amp;type1=9606&amp;type2=-22&amp;id1=ENSP00000019103","link")</f>
        <v>link</v>
      </c>
      <c r="AI911" t="s">
        <v>65</v>
      </c>
      <c r="AJ911" t="s">
        <v>51</v>
      </c>
      <c r="AK911" t="str">
        <f>HYPERLINK("http://www.proteinatlas.org/P47872","HPA007269")</f>
        <v>HPA007269</v>
      </c>
      <c r="AL911" t="s">
        <v>9748</v>
      </c>
      <c r="AM911">
        <v>6344</v>
      </c>
    </row>
    <row r="912" spans="1:39" x14ac:dyDescent="0.35">
      <c r="A912" t="s">
        <v>9749</v>
      </c>
      <c r="B912" t="str">
        <f>HYPERLINK("http://www.uniprot.org/uniprot/P47881","P47881")</f>
        <v>P47881</v>
      </c>
      <c r="C912" t="s">
        <v>9750</v>
      </c>
      <c r="D912" t="s">
        <v>9751</v>
      </c>
      <c r="E912" t="s">
        <v>39</v>
      </c>
      <c r="F912" t="s">
        <v>55</v>
      </c>
      <c r="H912">
        <v>315</v>
      </c>
      <c r="I912">
        <v>7</v>
      </c>
      <c r="J912">
        <v>0</v>
      </c>
      <c r="K912" t="s">
        <v>9752</v>
      </c>
      <c r="L912" t="s">
        <v>57</v>
      </c>
      <c r="M912" t="s">
        <v>39</v>
      </c>
      <c r="N912">
        <v>0.98919999999999997</v>
      </c>
      <c r="O912" s="1">
        <v>1</v>
      </c>
      <c r="P912" t="s">
        <v>9753</v>
      </c>
      <c r="Q912" t="s">
        <v>9754</v>
      </c>
      <c r="S912" t="s">
        <v>166</v>
      </c>
      <c r="T912" t="s">
        <v>167</v>
      </c>
      <c r="U912" t="s">
        <v>9755</v>
      </c>
      <c r="V912">
        <v>1</v>
      </c>
      <c r="AE912" t="s">
        <v>74</v>
      </c>
      <c r="AF912" t="s">
        <v>169</v>
      </c>
      <c r="AG912" t="s">
        <v>9756</v>
      </c>
      <c r="AH912" t="str">
        <f>HYPERLINK("http://compartments.jensenlab.org/Entity?figures=subcell_cell_%&amp;knowledge=10&amp;textmining=10&amp;experiments=10&amp;predictions=10&amp;type1=9606&amp;type2=-22&amp;id1=ENSP00000313803","link")</f>
        <v>link</v>
      </c>
      <c r="AI912" t="s">
        <v>65</v>
      </c>
      <c r="AJ912" t="s">
        <v>51</v>
      </c>
      <c r="AK912" t="str">
        <f>HYPERLINK("http://www.proteinatlas.org/P47881","no")</f>
        <v>no</v>
      </c>
      <c r="AM912">
        <v>4994</v>
      </c>
    </row>
    <row r="913" spans="1:39" x14ac:dyDescent="0.35">
      <c r="A913" t="s">
        <v>9757</v>
      </c>
      <c r="B913" t="str">
        <f>HYPERLINK("http://www.uniprot.org/uniprot/P47883","P47883")</f>
        <v>P47883</v>
      </c>
      <c r="C913" t="s">
        <v>9758</v>
      </c>
      <c r="D913" t="s">
        <v>9759</v>
      </c>
      <c r="E913" t="s">
        <v>39</v>
      </c>
      <c r="F913" t="s">
        <v>40</v>
      </c>
      <c r="H913">
        <v>348</v>
      </c>
      <c r="I913">
        <v>7</v>
      </c>
      <c r="J913">
        <v>0</v>
      </c>
      <c r="K913" t="s">
        <v>9760</v>
      </c>
      <c r="L913" t="s">
        <v>57</v>
      </c>
      <c r="N913">
        <v>0.90820000000000001</v>
      </c>
      <c r="O913" s="1">
        <v>1</v>
      </c>
      <c r="S913" t="s">
        <v>166</v>
      </c>
      <c r="T913" t="s">
        <v>167</v>
      </c>
      <c r="U913" t="s">
        <v>2891</v>
      </c>
      <c r="V913">
        <v>1</v>
      </c>
      <c r="AE913" t="s">
        <v>74</v>
      </c>
      <c r="AF913" t="s">
        <v>169</v>
      </c>
      <c r="AG913" t="s">
        <v>9761</v>
      </c>
      <c r="AK913" t="str">
        <f>HYPERLINK("http://www.proteinatlas.org/P47883","no")</f>
        <v>no</v>
      </c>
    </row>
    <row r="914" spans="1:39" x14ac:dyDescent="0.35">
      <c r="A914" t="s">
        <v>9762</v>
      </c>
      <c r="B914" t="str">
        <f>HYPERLINK("http://www.uniprot.org/uniprot/P47884","P47884")</f>
        <v>P47884</v>
      </c>
      <c r="C914" t="s">
        <v>9763</v>
      </c>
      <c r="D914" t="s">
        <v>9764</v>
      </c>
      <c r="E914" t="s">
        <v>39</v>
      </c>
      <c r="F914" t="s">
        <v>40</v>
      </c>
      <c r="H914">
        <v>311</v>
      </c>
      <c r="I914">
        <v>7</v>
      </c>
      <c r="J914">
        <v>0</v>
      </c>
      <c r="K914" t="s">
        <v>9765</v>
      </c>
      <c r="L914" t="s">
        <v>57</v>
      </c>
      <c r="N914">
        <v>0.99399999999999999</v>
      </c>
      <c r="O914" s="1">
        <v>1</v>
      </c>
      <c r="S914" t="s">
        <v>166</v>
      </c>
      <c r="T914" t="s">
        <v>167</v>
      </c>
      <c r="U914" t="s">
        <v>1191</v>
      </c>
      <c r="V914">
        <v>1</v>
      </c>
      <c r="AE914" t="s">
        <v>74</v>
      </c>
      <c r="AF914" t="s">
        <v>549</v>
      </c>
      <c r="AG914" t="s">
        <v>9766</v>
      </c>
      <c r="AK914" t="str">
        <f>HYPERLINK("http://www.proteinatlas.org/P47884","no")</f>
        <v>no</v>
      </c>
    </row>
    <row r="915" spans="1:39" x14ac:dyDescent="0.35">
      <c r="A915" t="s">
        <v>9767</v>
      </c>
      <c r="B915" t="str">
        <f>HYPERLINK("http://www.uniprot.org/uniprot/P47887","P47887")</f>
        <v>P47887</v>
      </c>
      <c r="C915" t="s">
        <v>9768</v>
      </c>
      <c r="D915" t="s">
        <v>9769</v>
      </c>
      <c r="E915" t="s">
        <v>39</v>
      </c>
      <c r="F915" t="s">
        <v>55</v>
      </c>
      <c r="H915">
        <v>323</v>
      </c>
      <c r="I915">
        <v>7</v>
      </c>
      <c r="J915">
        <v>0</v>
      </c>
      <c r="K915" t="s">
        <v>9770</v>
      </c>
      <c r="L915" t="s">
        <v>57</v>
      </c>
      <c r="N915">
        <v>0.97409999999999997</v>
      </c>
      <c r="O915" s="1">
        <v>1</v>
      </c>
      <c r="P915" t="s">
        <v>9771</v>
      </c>
      <c r="Q915" t="s">
        <v>9772</v>
      </c>
      <c r="S915" t="s">
        <v>166</v>
      </c>
      <c r="T915" t="s">
        <v>167</v>
      </c>
      <c r="U915" t="s">
        <v>9773</v>
      </c>
      <c r="V915">
        <v>2</v>
      </c>
      <c r="W915">
        <v>5</v>
      </c>
      <c r="AE915" t="s">
        <v>74</v>
      </c>
      <c r="AF915" t="s">
        <v>169</v>
      </c>
      <c r="AG915" t="s">
        <v>9774</v>
      </c>
      <c r="AH915" t="str">
        <f>HYPERLINK("http://compartments.jensenlab.org/Entity?figures=subcell_cell_%&amp;knowledge=10&amp;textmining=10&amp;experiments=10&amp;predictions=10&amp;type1=9606&amp;type2=-22&amp;id1=ENSP00000248384","link")</f>
        <v>link</v>
      </c>
      <c r="AI915" t="s">
        <v>65</v>
      </c>
      <c r="AJ915" t="s">
        <v>51</v>
      </c>
      <c r="AK915" t="str">
        <f>HYPERLINK("http://www.proteinatlas.org/P47887","no")</f>
        <v>no</v>
      </c>
      <c r="AM915">
        <v>8388</v>
      </c>
    </row>
    <row r="916" spans="1:39" x14ac:dyDescent="0.35">
      <c r="A916" t="s">
        <v>9775</v>
      </c>
      <c r="B916" t="str">
        <f>HYPERLINK("http://www.uniprot.org/uniprot/P47888","P47888")</f>
        <v>P47888</v>
      </c>
      <c r="C916" t="s">
        <v>9776</v>
      </c>
      <c r="D916" t="s">
        <v>9777</v>
      </c>
      <c r="E916" t="s">
        <v>39</v>
      </c>
      <c r="F916" t="s">
        <v>55</v>
      </c>
      <c r="H916">
        <v>321</v>
      </c>
      <c r="I916">
        <v>7</v>
      </c>
      <c r="J916">
        <v>0</v>
      </c>
      <c r="K916" t="s">
        <v>9778</v>
      </c>
      <c r="L916" t="s">
        <v>57</v>
      </c>
      <c r="N916">
        <v>0.94210000000000005</v>
      </c>
      <c r="O916" s="1">
        <v>1</v>
      </c>
      <c r="P916" t="s">
        <v>9779</v>
      </c>
      <c r="Q916" t="s">
        <v>9780</v>
      </c>
      <c r="S916" t="s">
        <v>166</v>
      </c>
      <c r="T916" t="s">
        <v>167</v>
      </c>
      <c r="U916" t="s">
        <v>9781</v>
      </c>
      <c r="V916">
        <v>1</v>
      </c>
      <c r="AE916" t="s">
        <v>74</v>
      </c>
      <c r="AF916" t="s">
        <v>169</v>
      </c>
      <c r="AG916" t="s">
        <v>9782</v>
      </c>
      <c r="AH916" t="str">
        <f>HYPERLINK("http://compartments.jensenlab.org/Entity?figures=subcell_cell_%&amp;knowledge=10&amp;textmining=10&amp;experiments=10&amp;predictions=10&amp;type1=9606&amp;type2=-22&amp;id1=ENSP00000291231","link")</f>
        <v>link</v>
      </c>
      <c r="AI916" t="s">
        <v>65</v>
      </c>
      <c r="AJ916" t="s">
        <v>51</v>
      </c>
      <c r="AK916" t="str">
        <f>HYPERLINK("http://www.proteinatlas.org/P47888","no")</f>
        <v>no</v>
      </c>
      <c r="AM916">
        <v>8392</v>
      </c>
    </row>
    <row r="917" spans="1:39" x14ac:dyDescent="0.35">
      <c r="A917" t="s">
        <v>9783</v>
      </c>
      <c r="B917" t="str">
        <f>HYPERLINK("http://www.uniprot.org/uniprot/P47890","P47890")</f>
        <v>P47890</v>
      </c>
      <c r="C917" t="s">
        <v>9784</v>
      </c>
      <c r="D917" t="s">
        <v>9785</v>
      </c>
      <c r="E917" t="s">
        <v>39</v>
      </c>
      <c r="F917" t="s">
        <v>55</v>
      </c>
      <c r="H917">
        <v>313</v>
      </c>
      <c r="I917">
        <v>7</v>
      </c>
      <c r="J917">
        <v>0</v>
      </c>
      <c r="K917" t="s">
        <v>9786</v>
      </c>
      <c r="L917" t="s">
        <v>57</v>
      </c>
      <c r="N917">
        <v>0.95209999999999995</v>
      </c>
      <c r="O917" s="1">
        <v>1</v>
      </c>
      <c r="P917" t="s">
        <v>9787</v>
      </c>
      <c r="Q917" t="s">
        <v>9788</v>
      </c>
      <c r="S917" t="s">
        <v>166</v>
      </c>
      <c r="T917" t="s">
        <v>167</v>
      </c>
      <c r="U917" t="s">
        <v>1191</v>
      </c>
      <c r="V917">
        <v>1</v>
      </c>
      <c r="AE917" t="s">
        <v>74</v>
      </c>
      <c r="AF917" t="s">
        <v>169</v>
      </c>
      <c r="AG917" t="s">
        <v>9789</v>
      </c>
      <c r="AH917" t="str">
        <f>HYPERLINK("http://compartments.jensenlab.org/Entity?figures=subcell_cell_%&amp;knowledge=10&amp;textmining=10&amp;experiments=10&amp;predictions=10&amp;type1=9606&amp;type2=-22&amp;id1=ENSP00000331545","link")</f>
        <v>link</v>
      </c>
      <c r="AI917" t="s">
        <v>65</v>
      </c>
      <c r="AJ917" t="s">
        <v>51</v>
      </c>
      <c r="AK917" t="str">
        <f>HYPERLINK("http://www.proteinatlas.org/P47890","no")</f>
        <v>no</v>
      </c>
      <c r="AM917">
        <v>8390</v>
      </c>
    </row>
    <row r="918" spans="1:39" x14ac:dyDescent="0.35">
      <c r="A918" t="s">
        <v>9790</v>
      </c>
      <c r="B918" t="str">
        <f>HYPERLINK("http://www.uniprot.org/uniprot/P47893","P47893")</f>
        <v>P47893</v>
      </c>
      <c r="C918" t="s">
        <v>9791</v>
      </c>
      <c r="D918" t="s">
        <v>9792</v>
      </c>
      <c r="E918" t="s">
        <v>39</v>
      </c>
      <c r="F918" t="s">
        <v>55</v>
      </c>
      <c r="H918">
        <v>321</v>
      </c>
      <c r="I918">
        <v>7</v>
      </c>
      <c r="J918">
        <v>0</v>
      </c>
      <c r="K918" t="s">
        <v>9793</v>
      </c>
      <c r="L918" t="s">
        <v>57</v>
      </c>
      <c r="N918">
        <v>0.97799999999999998</v>
      </c>
      <c r="O918" s="1">
        <v>1</v>
      </c>
      <c r="P918" t="s">
        <v>9794</v>
      </c>
      <c r="Q918" t="s">
        <v>9795</v>
      </c>
      <c r="S918" t="s">
        <v>166</v>
      </c>
      <c r="T918" t="s">
        <v>167</v>
      </c>
      <c r="U918" t="s">
        <v>9781</v>
      </c>
      <c r="V918">
        <v>1</v>
      </c>
      <c r="W918">
        <v>14</v>
      </c>
      <c r="AE918" t="s">
        <v>74</v>
      </c>
      <c r="AF918" t="s">
        <v>169</v>
      </c>
      <c r="AG918" t="s">
        <v>9796</v>
      </c>
      <c r="AH918" t="str">
        <f>HYPERLINK("http://compartments.jensenlab.org/Entity?figures=subcell_cell_%&amp;knowledge=10&amp;textmining=10&amp;experiments=10&amp;predictions=10&amp;type1=9606&amp;type2=-22&amp;id1=ENSP00000386180","link")</f>
        <v>link</v>
      </c>
      <c r="AI918" t="s">
        <v>65</v>
      </c>
      <c r="AJ918" t="s">
        <v>51</v>
      </c>
      <c r="AK918" t="str">
        <f>HYPERLINK("http://www.proteinatlas.org/P47893","no")</f>
        <v>no</v>
      </c>
      <c r="AM918">
        <v>4995</v>
      </c>
    </row>
    <row r="919" spans="1:39" x14ac:dyDescent="0.35">
      <c r="A919" t="s">
        <v>9797</v>
      </c>
      <c r="B919" t="str">
        <f>HYPERLINK("http://www.uniprot.org/uniprot/P47898","P47898")</f>
        <v>P47898</v>
      </c>
      <c r="C919" t="s">
        <v>9798</v>
      </c>
      <c r="D919" t="s">
        <v>9799</v>
      </c>
      <c r="E919" t="s">
        <v>39</v>
      </c>
      <c r="F919" t="s">
        <v>40</v>
      </c>
      <c r="H919">
        <v>357</v>
      </c>
      <c r="I919">
        <v>7</v>
      </c>
      <c r="J919">
        <v>0</v>
      </c>
      <c r="K919" t="s">
        <v>9800</v>
      </c>
      <c r="L919" t="s">
        <v>57</v>
      </c>
      <c r="N919">
        <v>0.93410000000000004</v>
      </c>
      <c r="O919" s="1">
        <v>1</v>
      </c>
      <c r="P919" t="s">
        <v>9801</v>
      </c>
      <c r="Q919" t="s">
        <v>9802</v>
      </c>
      <c r="S919" t="s">
        <v>166</v>
      </c>
      <c r="T919" t="s">
        <v>838</v>
      </c>
      <c r="U919" t="s">
        <v>9803</v>
      </c>
      <c r="V919">
        <v>2</v>
      </c>
      <c r="W919" t="s">
        <v>9804</v>
      </c>
      <c r="AE919" t="s">
        <v>74</v>
      </c>
      <c r="AF919" t="s">
        <v>967</v>
      </c>
      <c r="AG919" t="s">
        <v>9805</v>
      </c>
      <c r="AH919" t="str">
        <f>HYPERLINK("http://compartments.jensenlab.org/Entity?figures=subcell_cell_%&amp;knowledge=10&amp;textmining=10&amp;experiments=10&amp;predictions=10&amp;type1=9606&amp;type2=-22&amp;id1=ENSP00000287907","link")</f>
        <v>link</v>
      </c>
      <c r="AI919" t="s">
        <v>65</v>
      </c>
      <c r="AJ919" t="s">
        <v>981</v>
      </c>
      <c r="AK919" t="str">
        <f>HYPERLINK("http://www.proteinatlas.org/P47898","CAB017467")</f>
        <v>CAB017467</v>
      </c>
      <c r="AL919" t="s">
        <v>9806</v>
      </c>
      <c r="AM919">
        <v>3361</v>
      </c>
    </row>
    <row r="920" spans="1:39" x14ac:dyDescent="0.35">
      <c r="A920" t="s">
        <v>9807</v>
      </c>
      <c r="B920" t="str">
        <f>HYPERLINK("http://www.uniprot.org/uniprot/P47900","P47900")</f>
        <v>P47900</v>
      </c>
      <c r="C920" t="s">
        <v>9808</v>
      </c>
      <c r="D920" t="s">
        <v>9809</v>
      </c>
      <c r="E920" t="s">
        <v>39</v>
      </c>
      <c r="F920" t="s">
        <v>40</v>
      </c>
      <c r="H920">
        <v>373</v>
      </c>
      <c r="I920">
        <v>7</v>
      </c>
      <c r="J920">
        <v>0</v>
      </c>
      <c r="K920" t="s">
        <v>9810</v>
      </c>
      <c r="L920" t="s">
        <v>57</v>
      </c>
      <c r="N920">
        <v>0.97799999999999998</v>
      </c>
      <c r="O920" s="1">
        <v>1</v>
      </c>
      <c r="P920" t="s">
        <v>9811</v>
      </c>
      <c r="Q920" t="s">
        <v>9812</v>
      </c>
      <c r="S920" t="s">
        <v>166</v>
      </c>
      <c r="T920" t="s">
        <v>838</v>
      </c>
      <c r="U920" t="s">
        <v>9813</v>
      </c>
      <c r="V920">
        <v>4</v>
      </c>
      <c r="W920" t="s">
        <v>9813</v>
      </c>
      <c r="X920" t="s">
        <v>9814</v>
      </c>
      <c r="AE920" t="s">
        <v>74</v>
      </c>
      <c r="AF920" t="s">
        <v>9815</v>
      </c>
      <c r="AG920" t="s">
        <v>9816</v>
      </c>
      <c r="AH920" t="str">
        <f>HYPERLINK("http://compartments.jensenlab.org/Entity?figures=subcell_cell_%&amp;knowledge=10&amp;textmining=10&amp;experiments=10&amp;predictions=10&amp;type1=9606&amp;type2=-22&amp;id1=ENSP00000304767","link")</f>
        <v>link</v>
      </c>
      <c r="AI920" t="s">
        <v>65</v>
      </c>
      <c r="AJ920" t="s">
        <v>9817</v>
      </c>
      <c r="AK920" t="str">
        <f>HYPERLINK("http://www.proteinatlas.org/P47900","HPA015577;HPA017674")</f>
        <v>HPA015577;HPA017674</v>
      </c>
      <c r="AM920">
        <v>5028</v>
      </c>
    </row>
    <row r="921" spans="1:39" x14ac:dyDescent="0.35">
      <c r="A921" t="s">
        <v>9818</v>
      </c>
      <c r="B921" t="str">
        <f>HYPERLINK("http://www.uniprot.org/uniprot/P47901","P47901")</f>
        <v>P47901</v>
      </c>
      <c r="C921" t="s">
        <v>9819</v>
      </c>
      <c r="D921" t="s">
        <v>9820</v>
      </c>
      <c r="E921" t="s">
        <v>39</v>
      </c>
      <c r="F921" t="s">
        <v>40</v>
      </c>
      <c r="H921">
        <v>424</v>
      </c>
      <c r="I921">
        <v>7</v>
      </c>
      <c r="J921">
        <v>0</v>
      </c>
      <c r="K921" t="s">
        <v>9821</v>
      </c>
      <c r="L921" t="s">
        <v>57</v>
      </c>
      <c r="N921">
        <v>0.94410000000000005</v>
      </c>
      <c r="O921" s="1">
        <v>1</v>
      </c>
      <c r="P921" t="s">
        <v>9822</v>
      </c>
      <c r="Q921" t="s">
        <v>9823</v>
      </c>
      <c r="S921" t="s">
        <v>166</v>
      </c>
      <c r="T921" t="s">
        <v>838</v>
      </c>
      <c r="U921">
        <v>21</v>
      </c>
      <c r="V921">
        <v>1</v>
      </c>
      <c r="W921" t="s">
        <v>9824</v>
      </c>
      <c r="Y921" t="s">
        <v>9825</v>
      </c>
      <c r="AE921" t="s">
        <v>74</v>
      </c>
      <c r="AF921" t="s">
        <v>967</v>
      </c>
      <c r="AG921" t="s">
        <v>9826</v>
      </c>
      <c r="AH921" t="str">
        <f>HYPERLINK("http://compartments.jensenlab.org/Entity?figures=subcell_cell_%&amp;knowledge=10&amp;textmining=10&amp;experiments=10&amp;predictions=10&amp;type1=9606&amp;type2=-22&amp;id1=ENSP00000356094","link")</f>
        <v>link</v>
      </c>
      <c r="AI921" t="s">
        <v>65</v>
      </c>
      <c r="AJ921" t="s">
        <v>1791</v>
      </c>
      <c r="AK921" t="str">
        <f>HYPERLINK("http://www.proteinatlas.org/P47901","HPA017337")</f>
        <v>HPA017337</v>
      </c>
      <c r="AL921" t="s">
        <v>9827</v>
      </c>
      <c r="AM921">
        <v>553</v>
      </c>
    </row>
    <row r="922" spans="1:39" x14ac:dyDescent="0.35">
      <c r="A922" t="s">
        <v>9828</v>
      </c>
      <c r="B922" t="str">
        <f>HYPERLINK("http://www.uniprot.org/uniprot/P48023","P48023")</f>
        <v>P48023</v>
      </c>
      <c r="C922" t="s">
        <v>9829</v>
      </c>
      <c r="D922" t="s">
        <v>9830</v>
      </c>
      <c r="E922" t="s">
        <v>39</v>
      </c>
      <c r="F922" t="s">
        <v>40</v>
      </c>
      <c r="H922">
        <v>281</v>
      </c>
      <c r="I922">
        <v>1</v>
      </c>
      <c r="J922">
        <v>0</v>
      </c>
      <c r="K922" t="s">
        <v>9831</v>
      </c>
      <c r="L922" t="s">
        <v>57</v>
      </c>
      <c r="N922">
        <v>0.67069999999999996</v>
      </c>
      <c r="O922" s="1">
        <v>2</v>
      </c>
      <c r="P922" t="s">
        <v>9832</v>
      </c>
      <c r="Q922" t="s">
        <v>9833</v>
      </c>
      <c r="R922" t="s">
        <v>9834</v>
      </c>
      <c r="S922" t="s">
        <v>60</v>
      </c>
      <c r="T922" t="s">
        <v>60</v>
      </c>
      <c r="U922" t="s">
        <v>9835</v>
      </c>
      <c r="V922">
        <v>3</v>
      </c>
      <c r="W922" t="s">
        <v>9835</v>
      </c>
      <c r="X922" t="s">
        <v>9836</v>
      </c>
      <c r="AE922" t="s">
        <v>9837</v>
      </c>
      <c r="AF922" t="s">
        <v>9838</v>
      </c>
      <c r="AG922" t="s">
        <v>9839</v>
      </c>
      <c r="AH922" t="str">
        <f>HYPERLINK("http://compartments.jensenlab.org/Entity?figures=subcell_cell_%&amp;knowledge=10&amp;textmining=10&amp;experiments=10&amp;predictions=10&amp;type1=9606&amp;type2=-22&amp;id1=ENSP00000356694","link")</f>
        <v>link</v>
      </c>
      <c r="AI922" t="s">
        <v>9840</v>
      </c>
      <c r="AJ922" t="s">
        <v>9841</v>
      </c>
      <c r="AK922" t="str">
        <f>HYPERLINK("http://www.proteinatlas.org/P48023","CAB011435")</f>
        <v>CAB011435</v>
      </c>
      <c r="AM922">
        <v>356</v>
      </c>
    </row>
    <row r="923" spans="1:39" x14ac:dyDescent="0.35">
      <c r="A923" t="s">
        <v>9842</v>
      </c>
      <c r="B923" t="str">
        <f>HYPERLINK("http://www.uniprot.org/uniprot/P48029","P48029")</f>
        <v>P48029</v>
      </c>
      <c r="C923" t="s">
        <v>9843</v>
      </c>
      <c r="D923" t="s">
        <v>9844</v>
      </c>
      <c r="E923" t="s">
        <v>39</v>
      </c>
      <c r="F923" t="s">
        <v>40</v>
      </c>
      <c r="H923">
        <v>635</v>
      </c>
      <c r="I923">
        <v>12</v>
      </c>
      <c r="J923">
        <v>0</v>
      </c>
      <c r="K923" t="s">
        <v>9845</v>
      </c>
      <c r="L923" t="s">
        <v>101</v>
      </c>
      <c r="N923">
        <v>0.91820000000000002</v>
      </c>
      <c r="O923" s="1">
        <v>1</v>
      </c>
      <c r="P923" t="s">
        <v>9846</v>
      </c>
      <c r="Q923" t="s">
        <v>9847</v>
      </c>
      <c r="S923" t="s">
        <v>45</v>
      </c>
      <c r="T923" t="s">
        <v>6998</v>
      </c>
      <c r="U923" t="s">
        <v>9848</v>
      </c>
      <c r="V923">
        <v>3</v>
      </c>
      <c r="W923" t="s">
        <v>9848</v>
      </c>
      <c r="Y923">
        <v>518</v>
      </c>
      <c r="Z923" t="s">
        <v>123</v>
      </c>
      <c r="AA923">
        <v>3</v>
      </c>
      <c r="AB923" t="s">
        <v>9849</v>
      </c>
      <c r="AC923" t="s">
        <v>9850</v>
      </c>
      <c r="AD923" t="s">
        <v>9851</v>
      </c>
      <c r="AE923" t="s">
        <v>48</v>
      </c>
      <c r="AF923" t="s">
        <v>9852</v>
      </c>
      <c r="AG923" t="s">
        <v>9853</v>
      </c>
      <c r="AH923" t="str">
        <f>HYPERLINK("http://compartments.jensenlab.org/Entity?figures=subcell_cell_%&amp;knowledge=10&amp;textmining=10&amp;experiments=10&amp;predictions=10&amp;type1=9606&amp;type2=-22&amp;id1=ENSP00000253122","link")</f>
        <v>link</v>
      </c>
      <c r="AJ923" t="s">
        <v>51</v>
      </c>
      <c r="AK923" t="str">
        <f>HYPERLINK("http://www.proteinatlas.org/P48029","HPA008802")</f>
        <v>HPA008802</v>
      </c>
      <c r="AL923" t="s">
        <v>9854</v>
      </c>
      <c r="AM923">
        <v>6535</v>
      </c>
    </row>
    <row r="924" spans="1:39" x14ac:dyDescent="0.35">
      <c r="A924" t="s">
        <v>9855</v>
      </c>
      <c r="B924" t="str">
        <f>HYPERLINK("http://www.uniprot.org/uniprot/P48039","P48039")</f>
        <v>P48039</v>
      </c>
      <c r="C924" t="s">
        <v>9856</v>
      </c>
      <c r="D924" t="s">
        <v>9857</v>
      </c>
      <c r="E924" t="s">
        <v>39</v>
      </c>
      <c r="F924" t="s">
        <v>55</v>
      </c>
      <c r="H924">
        <v>350</v>
      </c>
      <c r="I924">
        <v>7</v>
      </c>
      <c r="J924">
        <v>0</v>
      </c>
      <c r="K924" t="s">
        <v>9858</v>
      </c>
      <c r="L924" t="s">
        <v>57</v>
      </c>
      <c r="M924" t="s">
        <v>39</v>
      </c>
      <c r="N924">
        <v>0.90859999999999996</v>
      </c>
      <c r="O924" s="1">
        <v>1</v>
      </c>
      <c r="P924" t="s">
        <v>9859</v>
      </c>
      <c r="Q924" t="s">
        <v>9860</v>
      </c>
      <c r="S924" t="s">
        <v>166</v>
      </c>
      <c r="T924" t="s">
        <v>838</v>
      </c>
      <c r="U924" t="s">
        <v>9861</v>
      </c>
      <c r="V924">
        <v>2</v>
      </c>
      <c r="W924">
        <v>117</v>
      </c>
      <c r="AE924" t="s">
        <v>74</v>
      </c>
      <c r="AF924" t="s">
        <v>967</v>
      </c>
      <c r="AG924" t="s">
        <v>9862</v>
      </c>
      <c r="AH924" t="str">
        <f>HYPERLINK("http://compartments.jensenlab.org/Entity?figures=subcell_cell_%&amp;knowledge=10&amp;textmining=10&amp;experiments=10&amp;predictions=10&amp;type1=9606&amp;type2=-22&amp;id1=ENSP00000302811","link")</f>
        <v>link</v>
      </c>
      <c r="AI924" t="s">
        <v>65</v>
      </c>
      <c r="AJ924" t="s">
        <v>51</v>
      </c>
      <c r="AK924" t="str">
        <f>HYPERLINK("http://www.proteinatlas.org/P48039","no")</f>
        <v>no</v>
      </c>
      <c r="AL924" t="s">
        <v>9863</v>
      </c>
      <c r="AM924">
        <v>4543</v>
      </c>
    </row>
    <row r="925" spans="1:39" x14ac:dyDescent="0.35">
      <c r="A925" t="s">
        <v>9864</v>
      </c>
      <c r="B925" t="str">
        <f>HYPERLINK("http://www.uniprot.org/uniprot/P48050","P48050")</f>
        <v>P48050</v>
      </c>
      <c r="C925" t="s">
        <v>9865</v>
      </c>
      <c r="D925" t="s">
        <v>9866</v>
      </c>
      <c r="E925" t="s">
        <v>39</v>
      </c>
      <c r="F925" t="s">
        <v>55</v>
      </c>
      <c r="H925">
        <v>445</v>
      </c>
      <c r="I925">
        <v>2</v>
      </c>
      <c r="J925">
        <v>0</v>
      </c>
      <c r="K925" t="s">
        <v>9867</v>
      </c>
      <c r="L925" t="s">
        <v>57</v>
      </c>
      <c r="M925" t="s">
        <v>39</v>
      </c>
      <c r="N925">
        <v>0.4</v>
      </c>
      <c r="O925" s="1">
        <v>3</v>
      </c>
      <c r="P925" t="s">
        <v>9868</v>
      </c>
      <c r="Q925" t="s">
        <v>9869</v>
      </c>
      <c r="S925" t="s">
        <v>45</v>
      </c>
      <c r="T925" t="s">
        <v>9870</v>
      </c>
      <c r="U925" t="s">
        <v>9871</v>
      </c>
      <c r="V925">
        <v>0</v>
      </c>
      <c r="AE925" t="s">
        <v>9872</v>
      </c>
      <c r="AF925" t="s">
        <v>9873</v>
      </c>
      <c r="AG925" t="s">
        <v>9874</v>
      </c>
      <c r="AH925" t="str">
        <f>HYPERLINK("http://compartments.jensenlab.org/Entity?figures=subcell_cell_%&amp;knowledge=10&amp;textmining=10&amp;experiments=10&amp;predictions=10&amp;type1=9606&amp;type2=-22&amp;id1=ENSP00000306497","link")</f>
        <v>link</v>
      </c>
      <c r="AI925" t="s">
        <v>65</v>
      </c>
      <c r="AJ925" t="s">
        <v>51</v>
      </c>
      <c r="AK925" t="str">
        <f>HYPERLINK("http://www.proteinatlas.org/P48050","HPA003270")</f>
        <v>HPA003270</v>
      </c>
      <c r="AM925">
        <v>3761</v>
      </c>
    </row>
    <row r="926" spans="1:39" x14ac:dyDescent="0.35">
      <c r="A926" t="s">
        <v>9875</v>
      </c>
      <c r="B926" t="str">
        <f>HYPERLINK("http://www.uniprot.org/uniprot/P48058","P48058")</f>
        <v>P48058</v>
      </c>
      <c r="C926" t="s">
        <v>9876</v>
      </c>
      <c r="D926" t="s">
        <v>9877</v>
      </c>
      <c r="E926" t="s">
        <v>39</v>
      </c>
      <c r="F926" t="s">
        <v>55</v>
      </c>
      <c r="H926">
        <v>902</v>
      </c>
      <c r="I926">
        <v>3</v>
      </c>
      <c r="J926">
        <v>1</v>
      </c>
      <c r="K926" t="s">
        <v>9878</v>
      </c>
      <c r="L926" t="s">
        <v>57</v>
      </c>
      <c r="M926" t="s">
        <v>39</v>
      </c>
      <c r="N926">
        <v>0.88400000000000001</v>
      </c>
      <c r="O926" s="1">
        <v>1</v>
      </c>
      <c r="P926" t="s">
        <v>9879</v>
      </c>
      <c r="Q926" t="s">
        <v>9880</v>
      </c>
      <c r="S926" t="s">
        <v>45</v>
      </c>
      <c r="T926" t="s">
        <v>1554</v>
      </c>
      <c r="U926" t="s">
        <v>9881</v>
      </c>
      <c r="V926">
        <v>6</v>
      </c>
      <c r="AE926" t="s">
        <v>9882</v>
      </c>
      <c r="AF926" t="s">
        <v>9883</v>
      </c>
      <c r="AG926" t="s">
        <v>9884</v>
      </c>
      <c r="AH926" t="str">
        <f>HYPERLINK("http://compartments.jensenlab.org/Entity?figures=subcell_cell_%&amp;knowledge=10&amp;textmining=10&amp;experiments=10&amp;predictions=10&amp;type1=9606&amp;type2=-22&amp;id1=ENSP00000282499","link")</f>
        <v>link</v>
      </c>
      <c r="AI926" t="s">
        <v>65</v>
      </c>
      <c r="AJ926" t="s">
        <v>51</v>
      </c>
      <c r="AK926" t="str">
        <f>HYPERLINK("http://www.proteinatlas.org/P48058","no")</f>
        <v>no</v>
      </c>
      <c r="AM926">
        <v>2893</v>
      </c>
    </row>
    <row r="927" spans="1:39" x14ac:dyDescent="0.35">
      <c r="A927" t="s">
        <v>9885</v>
      </c>
      <c r="B927" t="str">
        <f>HYPERLINK("http://www.uniprot.org/uniprot/P48060","P48060")</f>
        <v>P48060</v>
      </c>
      <c r="C927" t="s">
        <v>9886</v>
      </c>
      <c r="D927" t="s">
        <v>9887</v>
      </c>
      <c r="E927" t="s">
        <v>39</v>
      </c>
      <c r="F927" t="s">
        <v>40</v>
      </c>
      <c r="H927">
        <v>266</v>
      </c>
      <c r="I927">
        <v>1</v>
      </c>
      <c r="J927">
        <v>1</v>
      </c>
      <c r="K927" t="s">
        <v>9888</v>
      </c>
      <c r="L927" t="s">
        <v>42</v>
      </c>
      <c r="N927">
        <v>0.61480000000000001</v>
      </c>
      <c r="O927" s="1">
        <v>2</v>
      </c>
      <c r="P927" t="s">
        <v>9889</v>
      </c>
      <c r="Q927" t="s">
        <v>9890</v>
      </c>
      <c r="S927" t="s">
        <v>60</v>
      </c>
      <c r="T927" t="s">
        <v>60</v>
      </c>
      <c r="U927" t="s">
        <v>9891</v>
      </c>
      <c r="V927">
        <v>1</v>
      </c>
      <c r="W927" t="s">
        <v>9891</v>
      </c>
      <c r="AE927" t="s">
        <v>94</v>
      </c>
      <c r="AF927" t="s">
        <v>9892</v>
      </c>
      <c r="AG927" t="s">
        <v>9893</v>
      </c>
      <c r="AH927" t="str">
        <f>HYPERLINK("http://compartments.jensenlab.org/Entity?figures=subcell_cell_%&amp;knowledge=10&amp;textmining=10&amp;experiments=10&amp;predictions=10&amp;type1=9606&amp;type2=-22&amp;id1=ENSP00000266659","link")</f>
        <v>link</v>
      </c>
      <c r="AJ927" t="s">
        <v>902</v>
      </c>
      <c r="AK927" t="str">
        <f>HYPERLINK("http://www.proteinatlas.org/P48060","HPA011014")</f>
        <v>HPA011014</v>
      </c>
      <c r="AM927">
        <v>11010</v>
      </c>
    </row>
    <row r="928" spans="1:39" x14ac:dyDescent="0.35">
      <c r="A928" t="s">
        <v>9894</v>
      </c>
      <c r="B928" t="str">
        <f>HYPERLINK("http://www.uniprot.org/uniprot/P48065","P48065")</f>
        <v>P48065</v>
      </c>
      <c r="C928" t="s">
        <v>9895</v>
      </c>
      <c r="D928" t="s">
        <v>9896</v>
      </c>
      <c r="E928" t="s">
        <v>39</v>
      </c>
      <c r="F928" t="s">
        <v>40</v>
      </c>
      <c r="H928">
        <v>614</v>
      </c>
      <c r="I928">
        <v>12</v>
      </c>
      <c r="J928">
        <v>0</v>
      </c>
      <c r="K928" t="s">
        <v>9897</v>
      </c>
      <c r="L928" t="s">
        <v>57</v>
      </c>
      <c r="N928">
        <v>0.87029999999999996</v>
      </c>
      <c r="O928" s="1">
        <v>1</v>
      </c>
      <c r="P928" t="s">
        <v>9898</v>
      </c>
      <c r="Q928" t="s">
        <v>9899</v>
      </c>
      <c r="S928" t="s">
        <v>45</v>
      </c>
      <c r="T928" t="s">
        <v>6998</v>
      </c>
      <c r="U928" t="s">
        <v>9900</v>
      </c>
      <c r="V928">
        <v>2</v>
      </c>
      <c r="W928" t="s">
        <v>9900</v>
      </c>
      <c r="AE928" t="s">
        <v>48</v>
      </c>
      <c r="AF928" t="s">
        <v>9901</v>
      </c>
      <c r="AG928" t="s">
        <v>9902</v>
      </c>
      <c r="AH928" t="str">
        <f>HYPERLINK("http://compartments.jensenlab.org/Entity?figures=subcell_cell_%&amp;knowledge=10&amp;textmining=10&amp;experiments=10&amp;predictions=10&amp;type1=9606&amp;type2=-22&amp;id1=ENSP00000352702","link")</f>
        <v>link</v>
      </c>
      <c r="AJ928" t="s">
        <v>51</v>
      </c>
      <c r="AK928" t="str">
        <f>HYPERLINK("http://www.proteinatlas.org/P48065","HPA034973")</f>
        <v>HPA034973</v>
      </c>
      <c r="AM928">
        <v>6539</v>
      </c>
    </row>
    <row r="929" spans="1:39" x14ac:dyDescent="0.35">
      <c r="A929" t="s">
        <v>9903</v>
      </c>
      <c r="B929" t="str">
        <f>HYPERLINK("http://www.uniprot.org/uniprot/P48066","P48066")</f>
        <v>P48066</v>
      </c>
      <c r="C929" t="s">
        <v>9904</v>
      </c>
      <c r="D929" t="s">
        <v>9905</v>
      </c>
      <c r="E929" t="s">
        <v>39</v>
      </c>
      <c r="F929" t="s">
        <v>40</v>
      </c>
      <c r="H929">
        <v>632</v>
      </c>
      <c r="I929">
        <v>12</v>
      </c>
      <c r="J929">
        <v>0</v>
      </c>
      <c r="K929" t="s">
        <v>9906</v>
      </c>
      <c r="L929" t="s">
        <v>101</v>
      </c>
      <c r="N929">
        <v>0.86429999999999996</v>
      </c>
      <c r="O929" s="1">
        <v>1</v>
      </c>
      <c r="P929" t="s">
        <v>9907</v>
      </c>
      <c r="Q929" t="s">
        <v>9908</v>
      </c>
      <c r="S929" t="s">
        <v>45</v>
      </c>
      <c r="T929" t="s">
        <v>6998</v>
      </c>
      <c r="U929" t="s">
        <v>9909</v>
      </c>
      <c r="V929">
        <v>3</v>
      </c>
      <c r="W929" t="s">
        <v>9909</v>
      </c>
      <c r="Z929" t="s">
        <v>123</v>
      </c>
      <c r="AA929">
        <v>1</v>
      </c>
      <c r="AB929" t="s">
        <v>9910</v>
      </c>
      <c r="AC929" t="s">
        <v>9911</v>
      </c>
      <c r="AD929" t="s">
        <v>9912</v>
      </c>
      <c r="AE929" t="s">
        <v>48</v>
      </c>
      <c r="AF929" t="s">
        <v>9913</v>
      </c>
      <c r="AG929" t="s">
        <v>9914</v>
      </c>
      <c r="AH929" t="str">
        <f>HYPERLINK("http://compartments.jensenlab.org/Entity?figures=subcell_cell_%&amp;knowledge=10&amp;textmining=10&amp;experiments=10&amp;predictions=10&amp;type1=9606&amp;type2=-22&amp;id1=ENSP00000254488","link")</f>
        <v>link</v>
      </c>
      <c r="AJ929" t="s">
        <v>2124</v>
      </c>
      <c r="AK929" t="str">
        <f>HYPERLINK("http://www.proteinatlas.org/P48066","HPA037981")</f>
        <v>HPA037981</v>
      </c>
      <c r="AM929">
        <v>6538</v>
      </c>
    </row>
    <row r="930" spans="1:39" x14ac:dyDescent="0.35">
      <c r="A930" t="s">
        <v>9915</v>
      </c>
      <c r="B930" t="str">
        <f>HYPERLINK("http://www.uniprot.org/uniprot/P48067","P48067")</f>
        <v>P48067</v>
      </c>
      <c r="C930" t="s">
        <v>9916</v>
      </c>
      <c r="D930" t="s">
        <v>9917</v>
      </c>
      <c r="E930" t="s">
        <v>39</v>
      </c>
      <c r="F930" t="s">
        <v>40</v>
      </c>
      <c r="H930">
        <v>706</v>
      </c>
      <c r="I930">
        <v>12</v>
      </c>
      <c r="J930">
        <v>0</v>
      </c>
      <c r="K930" t="s">
        <v>9918</v>
      </c>
      <c r="L930" t="s">
        <v>101</v>
      </c>
      <c r="N930">
        <v>0.88819999999999999</v>
      </c>
      <c r="O930" s="1">
        <v>1</v>
      </c>
      <c r="P930" t="s">
        <v>9919</v>
      </c>
      <c r="Q930" t="s">
        <v>9920</v>
      </c>
      <c r="S930" t="s">
        <v>45</v>
      </c>
      <c r="T930" t="s">
        <v>6998</v>
      </c>
      <c r="U930" t="s">
        <v>9921</v>
      </c>
      <c r="V930">
        <v>4</v>
      </c>
      <c r="W930" t="s">
        <v>9922</v>
      </c>
      <c r="Z930" t="s">
        <v>123</v>
      </c>
      <c r="AA930">
        <v>2</v>
      </c>
      <c r="AB930" t="s">
        <v>9923</v>
      </c>
      <c r="AC930" t="s">
        <v>9924</v>
      </c>
      <c r="AD930" t="s">
        <v>9925</v>
      </c>
      <c r="AE930" t="s">
        <v>48</v>
      </c>
      <c r="AF930" t="s">
        <v>9926</v>
      </c>
      <c r="AG930" t="s">
        <v>9927</v>
      </c>
      <c r="AH930" t="str">
        <f>HYPERLINK("http://compartments.jensenlab.org/Entity?figures=subcell_cell_%&amp;knowledge=10&amp;textmining=10&amp;experiments=10&amp;predictions=10&amp;type1=9606&amp;type2=-22&amp;id1=ENSP00000353791","link")</f>
        <v>link</v>
      </c>
      <c r="AK930" t="str">
        <f>HYPERLINK("http://www.proteinatlas.org/P48067","HPA013977")</f>
        <v>HPA013977</v>
      </c>
      <c r="AL930" t="s">
        <v>9928</v>
      </c>
      <c r="AM930">
        <v>6536</v>
      </c>
    </row>
    <row r="931" spans="1:39" x14ac:dyDescent="0.35">
      <c r="A931" t="s">
        <v>9929</v>
      </c>
      <c r="B931" t="str">
        <f>HYPERLINK("http://www.uniprot.org/uniprot/P48145","P48145")</f>
        <v>P48145</v>
      </c>
      <c r="C931" t="s">
        <v>9930</v>
      </c>
      <c r="D931" t="s">
        <v>9931</v>
      </c>
      <c r="E931" t="s">
        <v>39</v>
      </c>
      <c r="F931" t="s">
        <v>55</v>
      </c>
      <c r="H931">
        <v>328</v>
      </c>
      <c r="I931">
        <v>7</v>
      </c>
      <c r="J931">
        <v>0</v>
      </c>
      <c r="K931" t="s">
        <v>9932</v>
      </c>
      <c r="L931" t="s">
        <v>57</v>
      </c>
      <c r="M931" t="s">
        <v>39</v>
      </c>
      <c r="N931">
        <v>0.94379999999999997</v>
      </c>
      <c r="O931" s="1">
        <v>1</v>
      </c>
      <c r="P931" t="s">
        <v>9933</v>
      </c>
      <c r="Q931" t="s">
        <v>9934</v>
      </c>
      <c r="S931" t="s">
        <v>166</v>
      </c>
      <c r="T931" t="s">
        <v>838</v>
      </c>
      <c r="U931" t="s">
        <v>9935</v>
      </c>
      <c r="V931">
        <v>3</v>
      </c>
      <c r="AE931" t="s">
        <v>74</v>
      </c>
      <c r="AF931" t="s">
        <v>967</v>
      </c>
      <c r="AG931" t="s">
        <v>9936</v>
      </c>
      <c r="AH931" t="str">
        <f>HYPERLINK("http://compartments.jensenlab.org/Entity?figures=subcell_cell_%&amp;knowledge=10&amp;textmining=10&amp;experiments=10&amp;predictions=10&amp;type1=9606&amp;type2=-22&amp;id1=ENSP00000330284","link")</f>
        <v>link</v>
      </c>
      <c r="AI931" t="s">
        <v>65</v>
      </c>
      <c r="AJ931" t="s">
        <v>51</v>
      </c>
      <c r="AK931" t="str">
        <f>HYPERLINK("http://www.proteinatlas.org/P48145","no")</f>
        <v>no</v>
      </c>
      <c r="AM931">
        <v>2831</v>
      </c>
    </row>
    <row r="932" spans="1:39" x14ac:dyDescent="0.35">
      <c r="A932" t="s">
        <v>9937</v>
      </c>
      <c r="B932" t="str">
        <f>HYPERLINK("http://www.uniprot.org/uniprot/P48146","P48146")</f>
        <v>P48146</v>
      </c>
      <c r="C932" t="s">
        <v>9938</v>
      </c>
      <c r="D932" t="s">
        <v>9939</v>
      </c>
      <c r="E932" t="s">
        <v>39</v>
      </c>
      <c r="F932" t="s">
        <v>55</v>
      </c>
      <c r="H932">
        <v>333</v>
      </c>
      <c r="I932">
        <v>7</v>
      </c>
      <c r="J932">
        <v>0</v>
      </c>
      <c r="K932" t="s">
        <v>9940</v>
      </c>
      <c r="L932" t="s">
        <v>57</v>
      </c>
      <c r="N932">
        <v>0.88419999999999999</v>
      </c>
      <c r="O932" s="1">
        <v>1</v>
      </c>
      <c r="P932" t="s">
        <v>9941</v>
      </c>
      <c r="Q932" t="s">
        <v>9942</v>
      </c>
      <c r="S932" t="s">
        <v>166</v>
      </c>
      <c r="T932" t="s">
        <v>838</v>
      </c>
      <c r="U932" t="s">
        <v>8664</v>
      </c>
      <c r="V932">
        <v>3</v>
      </c>
      <c r="AE932" t="s">
        <v>74</v>
      </c>
      <c r="AF932" t="s">
        <v>2359</v>
      </c>
      <c r="AG932" t="s">
        <v>9943</v>
      </c>
      <c r="AH932" t="str">
        <f>HYPERLINK("http://compartments.jensenlab.org/Entity?figures=subcell_cell_%&amp;knowledge=10&amp;textmining=10&amp;experiments=10&amp;predictions=10&amp;type1=9606&amp;type2=-22&amp;id1=ENSP00000358783","link")</f>
        <v>link</v>
      </c>
      <c r="AI932" t="s">
        <v>65</v>
      </c>
      <c r="AJ932" t="s">
        <v>51</v>
      </c>
      <c r="AK932" t="str">
        <f>HYPERLINK("http://www.proteinatlas.org/P48146","no")</f>
        <v>no</v>
      </c>
      <c r="AM932">
        <v>2832</v>
      </c>
    </row>
    <row r="933" spans="1:39" x14ac:dyDescent="0.35">
      <c r="A933" t="s">
        <v>9944</v>
      </c>
      <c r="B933" t="str">
        <f>HYPERLINK("http://www.uniprot.org/uniprot/P48167","P48167")</f>
        <v>P48167</v>
      </c>
      <c r="C933" t="s">
        <v>9945</v>
      </c>
      <c r="D933" t="s">
        <v>9946</v>
      </c>
      <c r="E933" t="s">
        <v>39</v>
      </c>
      <c r="F933" t="s">
        <v>55</v>
      </c>
      <c r="H933">
        <v>497</v>
      </c>
      <c r="I933">
        <v>4</v>
      </c>
      <c r="J933">
        <v>1</v>
      </c>
      <c r="K933" t="s">
        <v>9947</v>
      </c>
      <c r="L933" t="s">
        <v>57</v>
      </c>
      <c r="M933" t="s">
        <v>39</v>
      </c>
      <c r="N933">
        <v>0.87639999999999996</v>
      </c>
      <c r="O933" s="1">
        <v>1</v>
      </c>
      <c r="P933" t="s">
        <v>9948</v>
      </c>
      <c r="Q933" t="s">
        <v>9949</v>
      </c>
      <c r="S933" t="s">
        <v>45</v>
      </c>
      <c r="T933" t="s">
        <v>195</v>
      </c>
      <c r="U933" t="s">
        <v>9950</v>
      </c>
      <c r="V933">
        <v>2</v>
      </c>
      <c r="W933" t="s">
        <v>9950</v>
      </c>
      <c r="AE933" t="s">
        <v>619</v>
      </c>
      <c r="AF933" t="s">
        <v>9951</v>
      </c>
      <c r="AG933" t="s">
        <v>9952</v>
      </c>
      <c r="AH933" t="str">
        <f>HYPERLINK("http://compartments.jensenlab.org/Entity?figures=subcell_cell_%&amp;knowledge=10&amp;textmining=10&amp;experiments=10&amp;predictions=10&amp;type1=9606&amp;type2=-22&amp;id1=ENSP00000264428","link")</f>
        <v>link</v>
      </c>
      <c r="AI933" t="s">
        <v>65</v>
      </c>
      <c r="AJ933" t="s">
        <v>51</v>
      </c>
      <c r="AK933" t="str">
        <f>HYPERLINK("http://www.proteinatlas.org/P48167","HPA052363")</f>
        <v>HPA052363</v>
      </c>
      <c r="AL933" t="s">
        <v>9953</v>
      </c>
      <c r="AM933">
        <v>2743</v>
      </c>
    </row>
    <row r="934" spans="1:39" x14ac:dyDescent="0.35">
      <c r="A934" t="s">
        <v>9954</v>
      </c>
      <c r="B934" t="str">
        <f>HYPERLINK("http://www.uniprot.org/uniprot/P48169","P48169")</f>
        <v>P48169</v>
      </c>
      <c r="C934" t="s">
        <v>9955</v>
      </c>
      <c r="D934" t="s">
        <v>9956</v>
      </c>
      <c r="E934" t="s">
        <v>39</v>
      </c>
      <c r="F934" t="s">
        <v>55</v>
      </c>
      <c r="H934">
        <v>554</v>
      </c>
      <c r="I934">
        <v>4</v>
      </c>
      <c r="J934">
        <v>1</v>
      </c>
      <c r="K934" t="s">
        <v>9957</v>
      </c>
      <c r="L934" t="s">
        <v>57</v>
      </c>
      <c r="M934" t="s">
        <v>39</v>
      </c>
      <c r="N934">
        <v>0.89710000000000001</v>
      </c>
      <c r="O934" s="1">
        <v>1</v>
      </c>
      <c r="P934" t="s">
        <v>9958</v>
      </c>
      <c r="Q934" t="s">
        <v>9959</v>
      </c>
      <c r="S934" t="s">
        <v>45</v>
      </c>
      <c r="T934" t="s">
        <v>195</v>
      </c>
      <c r="U934" t="s">
        <v>9960</v>
      </c>
      <c r="V934">
        <v>4</v>
      </c>
      <c r="W934" t="s">
        <v>9961</v>
      </c>
      <c r="AE934" t="s">
        <v>619</v>
      </c>
      <c r="AF934" t="s">
        <v>9962</v>
      </c>
      <c r="AG934" t="s">
        <v>9963</v>
      </c>
      <c r="AH934" t="str">
        <f>HYPERLINK("http://compartments.jensenlab.org/Entity?figures=subcell_cell_%&amp;knowledge=10&amp;textmining=10&amp;experiments=10&amp;predictions=10&amp;type1=9606&amp;type2=-22&amp;id1=ENSP00000264318","link")</f>
        <v>link</v>
      </c>
      <c r="AI934" t="s">
        <v>65</v>
      </c>
      <c r="AJ934" t="s">
        <v>51</v>
      </c>
      <c r="AK934" t="str">
        <f>HYPERLINK("http://www.proteinatlas.org/P48169","HPA057756")</f>
        <v>HPA057756</v>
      </c>
      <c r="AL934" t="s">
        <v>9964</v>
      </c>
      <c r="AM934">
        <v>2557</v>
      </c>
    </row>
    <row r="935" spans="1:39" x14ac:dyDescent="0.35">
      <c r="A935" t="s">
        <v>9965</v>
      </c>
      <c r="B935" t="str">
        <f>HYPERLINK("http://www.uniprot.org/uniprot/P48230","P48230")</f>
        <v>P48230</v>
      </c>
      <c r="C935" t="s">
        <v>9966</v>
      </c>
      <c r="D935" t="s">
        <v>9967</v>
      </c>
      <c r="E935" t="s">
        <v>39</v>
      </c>
      <c r="F935" t="s">
        <v>40</v>
      </c>
      <c r="H935">
        <v>202</v>
      </c>
      <c r="I935">
        <v>4</v>
      </c>
      <c r="J935">
        <v>0</v>
      </c>
      <c r="K935" t="s">
        <v>9968</v>
      </c>
      <c r="L935" t="s">
        <v>57</v>
      </c>
      <c r="N935">
        <v>0.60880000000000001</v>
      </c>
      <c r="O935" s="1">
        <v>2</v>
      </c>
      <c r="P935" t="s">
        <v>9969</v>
      </c>
      <c r="Q935" t="s">
        <v>9970</v>
      </c>
      <c r="S935" t="s">
        <v>91</v>
      </c>
      <c r="T935" t="s">
        <v>1334</v>
      </c>
      <c r="U935" t="s">
        <v>9971</v>
      </c>
      <c r="V935">
        <v>2</v>
      </c>
      <c r="AE935" t="s">
        <v>48</v>
      </c>
      <c r="AF935" t="s">
        <v>95</v>
      </c>
      <c r="AG935" t="s">
        <v>9972</v>
      </c>
      <c r="AH935" t="str">
        <f>HYPERLINK("http://compartments.jensenlab.org/Entity?figures=subcell_cell_%&amp;knowledge=10&amp;textmining=10&amp;experiments=10&amp;predictions=10&amp;type1=9606&amp;type2=-22&amp;id1=ENSP00000305852","link")</f>
        <v>link</v>
      </c>
      <c r="AJ935" t="s">
        <v>51</v>
      </c>
      <c r="AK935" t="str">
        <f>HYPERLINK("http://www.proteinatlas.org/P48230","HPA046430")</f>
        <v>HPA046430</v>
      </c>
      <c r="AM935">
        <v>7104</v>
      </c>
    </row>
    <row r="936" spans="1:39" x14ac:dyDescent="0.35">
      <c r="A936" t="s">
        <v>9973</v>
      </c>
      <c r="B936" t="str">
        <f>HYPERLINK("http://www.uniprot.org/uniprot/P48357","P48357")</f>
        <v>P48357</v>
      </c>
      <c r="C936" t="s">
        <v>9974</v>
      </c>
      <c r="D936" t="s">
        <v>9975</v>
      </c>
      <c r="E936" t="s">
        <v>39</v>
      </c>
      <c r="F936" t="s">
        <v>55</v>
      </c>
      <c r="H936">
        <v>1165</v>
      </c>
      <c r="I936">
        <v>1</v>
      </c>
      <c r="J936">
        <v>1</v>
      </c>
      <c r="K936" t="s">
        <v>9976</v>
      </c>
      <c r="L936" t="s">
        <v>101</v>
      </c>
      <c r="M936" t="s">
        <v>39</v>
      </c>
      <c r="N936">
        <v>0.96550000000000002</v>
      </c>
      <c r="O936" s="1">
        <v>1</v>
      </c>
      <c r="P936" t="s">
        <v>9977</v>
      </c>
      <c r="Q936" t="s">
        <v>9978</v>
      </c>
      <c r="R936" t="s">
        <v>9979</v>
      </c>
      <c r="S936" t="s">
        <v>166</v>
      </c>
      <c r="T936" t="s">
        <v>3171</v>
      </c>
      <c r="U936" t="s">
        <v>9980</v>
      </c>
      <c r="V936">
        <v>20</v>
      </c>
      <c r="W936" t="s">
        <v>9980</v>
      </c>
      <c r="X936" t="s">
        <v>9981</v>
      </c>
      <c r="Y936" t="s">
        <v>9982</v>
      </c>
      <c r="Z936" t="s">
        <v>107</v>
      </c>
      <c r="AA936">
        <v>2</v>
      </c>
      <c r="AB936" t="s">
        <v>9983</v>
      </c>
      <c r="AC936" t="s">
        <v>9984</v>
      </c>
      <c r="AD936" t="s">
        <v>9985</v>
      </c>
      <c r="AE936" t="s">
        <v>1250</v>
      </c>
      <c r="AF936" t="s">
        <v>9986</v>
      </c>
      <c r="AG936" t="s">
        <v>9987</v>
      </c>
      <c r="AH936" t="str">
        <f>HYPERLINK("http://compartments.jensenlab.org/Entity?figures=subcell_cell_%&amp;knowledge=10&amp;textmining=10&amp;experiments=10&amp;predictions=10&amp;type1=9606&amp;type2=-22&amp;id1=ENSP00000330393","link")</f>
        <v>link</v>
      </c>
      <c r="AI936" t="s">
        <v>65</v>
      </c>
      <c r="AJ936" t="s">
        <v>902</v>
      </c>
      <c r="AK936" t="str">
        <f>HYPERLINK("http://www.proteinatlas.org/P48357","HPA030899")</f>
        <v>HPA030899</v>
      </c>
      <c r="AM936">
        <v>3953</v>
      </c>
    </row>
    <row r="937" spans="1:39" x14ac:dyDescent="0.35">
      <c r="A937" t="s">
        <v>9988</v>
      </c>
      <c r="B937" t="str">
        <f>HYPERLINK("http://www.uniprot.org/uniprot/P48509","P48509")</f>
        <v>P48509</v>
      </c>
      <c r="C937" t="s">
        <v>9989</v>
      </c>
      <c r="D937" t="s">
        <v>9990</v>
      </c>
      <c r="E937" t="s">
        <v>39</v>
      </c>
      <c r="F937" t="s">
        <v>40</v>
      </c>
      <c r="H937">
        <v>253</v>
      </c>
      <c r="I937">
        <v>4</v>
      </c>
      <c r="J937">
        <v>0</v>
      </c>
      <c r="K937" t="s">
        <v>9991</v>
      </c>
      <c r="L937" t="s">
        <v>101</v>
      </c>
      <c r="N937">
        <v>0.74650000000000005</v>
      </c>
      <c r="O937" s="1">
        <v>2</v>
      </c>
      <c r="P937" t="s">
        <v>9992</v>
      </c>
      <c r="Q937" t="s">
        <v>9993</v>
      </c>
      <c r="R937" t="s">
        <v>9990</v>
      </c>
      <c r="S937" t="s">
        <v>91</v>
      </c>
      <c r="T937" t="s">
        <v>135</v>
      </c>
      <c r="U937">
        <v>159</v>
      </c>
      <c r="V937">
        <v>1</v>
      </c>
      <c r="W937">
        <v>159</v>
      </c>
      <c r="Z937" t="s">
        <v>123</v>
      </c>
      <c r="AA937">
        <v>9</v>
      </c>
      <c r="AB937" t="s">
        <v>9994</v>
      </c>
      <c r="AC937">
        <v>159</v>
      </c>
      <c r="AD937" t="s">
        <v>9995</v>
      </c>
      <c r="AE937" t="s">
        <v>48</v>
      </c>
      <c r="AF937" t="s">
        <v>9996</v>
      </c>
      <c r="AG937" t="s">
        <v>9997</v>
      </c>
      <c r="AH937" t="str">
        <f>HYPERLINK("http://compartments.jensenlab.org/Entity?figures=subcell_cell_%&amp;knowledge=10&amp;textmining=10&amp;experiments=10&amp;predictions=10&amp;type1=9606&amp;type2=-22&amp;id1=ENSP00000324101","link")</f>
        <v>link</v>
      </c>
      <c r="AJ937" t="s">
        <v>4758</v>
      </c>
      <c r="AK937" t="str">
        <f>HYPERLINK("http://www.proteinatlas.org/P48509","CAB002428;HPA011906")</f>
        <v>CAB002428;HPA011906</v>
      </c>
      <c r="AM937">
        <v>977</v>
      </c>
    </row>
    <row r="938" spans="1:39" x14ac:dyDescent="0.35">
      <c r="A938" t="s">
        <v>9998</v>
      </c>
      <c r="B938" t="str">
        <f>HYPERLINK("http://www.uniprot.org/uniprot/P48546","P48546")</f>
        <v>P48546</v>
      </c>
      <c r="C938" t="s">
        <v>9999</v>
      </c>
      <c r="D938" t="s">
        <v>10000</v>
      </c>
      <c r="E938" t="s">
        <v>39</v>
      </c>
      <c r="F938" t="s">
        <v>40</v>
      </c>
      <c r="H938">
        <v>466</v>
      </c>
      <c r="I938">
        <v>7</v>
      </c>
      <c r="J938">
        <v>1</v>
      </c>
      <c r="K938" t="s">
        <v>10001</v>
      </c>
      <c r="L938" t="s">
        <v>57</v>
      </c>
      <c r="N938">
        <v>0.75449999999999995</v>
      </c>
      <c r="O938" s="1">
        <v>1</v>
      </c>
      <c r="P938" t="s">
        <v>10002</v>
      </c>
      <c r="Q938" t="s">
        <v>10003</v>
      </c>
      <c r="S938" t="s">
        <v>166</v>
      </c>
      <c r="T938" t="s">
        <v>3409</v>
      </c>
      <c r="U938" t="s">
        <v>10004</v>
      </c>
      <c r="V938">
        <v>2</v>
      </c>
      <c r="Y938">
        <v>109</v>
      </c>
      <c r="AE938" t="s">
        <v>74</v>
      </c>
      <c r="AF938" t="s">
        <v>8254</v>
      </c>
      <c r="AG938" t="s">
        <v>10005</v>
      </c>
      <c r="AH938" t="str">
        <f>HYPERLINK("http://compartments.jensenlab.org/Entity?figures=subcell_cell_%&amp;knowledge=10&amp;textmining=10&amp;experiments=10&amp;predictions=10&amp;type1=9606&amp;type2=-22&amp;id1=ENSP00000467494","link")</f>
        <v>link</v>
      </c>
      <c r="AK938" t="str">
        <f>HYPERLINK("http://www.proteinatlas.org/P48546","CAB022710")</f>
        <v>CAB022710</v>
      </c>
      <c r="AM938">
        <v>2696</v>
      </c>
    </row>
    <row r="939" spans="1:39" x14ac:dyDescent="0.35">
      <c r="A939" t="s">
        <v>10006</v>
      </c>
      <c r="B939" t="str">
        <f>HYPERLINK("http://www.uniprot.org/uniprot/P48549","P48549")</f>
        <v>P48549</v>
      </c>
      <c r="C939" t="s">
        <v>10007</v>
      </c>
      <c r="D939" t="s">
        <v>10008</v>
      </c>
      <c r="E939" t="s">
        <v>39</v>
      </c>
      <c r="F939" t="s">
        <v>40</v>
      </c>
      <c r="H939">
        <v>501</v>
      </c>
      <c r="I939">
        <v>2</v>
      </c>
      <c r="J939">
        <v>0</v>
      </c>
      <c r="K939" t="s">
        <v>10009</v>
      </c>
      <c r="L939" t="s">
        <v>57</v>
      </c>
      <c r="N939">
        <v>0.61280000000000001</v>
      </c>
      <c r="O939" s="1">
        <v>2</v>
      </c>
      <c r="P939" t="s">
        <v>10010</v>
      </c>
      <c r="Q939" t="s">
        <v>10011</v>
      </c>
      <c r="S939" t="s">
        <v>45</v>
      </c>
      <c r="T939" t="s">
        <v>9870</v>
      </c>
      <c r="U939">
        <v>119</v>
      </c>
      <c r="V939">
        <v>1</v>
      </c>
      <c r="W939">
        <v>119</v>
      </c>
      <c r="AE939" t="s">
        <v>48</v>
      </c>
      <c r="AF939" t="s">
        <v>10012</v>
      </c>
      <c r="AG939" t="s">
        <v>10013</v>
      </c>
      <c r="AH939" t="str">
        <f>HYPERLINK("http://compartments.jensenlab.org/Entity?figures=subcell_cell_%&amp;knowledge=10&amp;textmining=10&amp;experiments=10&amp;predictions=10&amp;type1=9606&amp;type2=-22&amp;id1=ENSP00000295101","link")</f>
        <v>link</v>
      </c>
      <c r="AJ939" t="s">
        <v>51</v>
      </c>
      <c r="AK939" t="str">
        <f>HYPERLINK("http://www.proteinatlas.org/P48549","HPA024231")</f>
        <v>HPA024231</v>
      </c>
      <c r="AL939" t="s">
        <v>4371</v>
      </c>
      <c r="AM939">
        <v>3760</v>
      </c>
    </row>
    <row r="940" spans="1:39" x14ac:dyDescent="0.35">
      <c r="A940" t="s">
        <v>10014</v>
      </c>
      <c r="B940" t="str">
        <f>HYPERLINK("http://www.uniprot.org/uniprot/P48551","P48551")</f>
        <v>P48551</v>
      </c>
      <c r="C940" t="s">
        <v>10015</v>
      </c>
      <c r="D940" t="s">
        <v>10016</v>
      </c>
      <c r="E940" t="s">
        <v>39</v>
      </c>
      <c r="F940" t="s">
        <v>55</v>
      </c>
      <c r="H940">
        <v>515</v>
      </c>
      <c r="I940">
        <v>1</v>
      </c>
      <c r="J940">
        <v>1</v>
      </c>
      <c r="K940" t="s">
        <v>10017</v>
      </c>
      <c r="L940" t="s">
        <v>101</v>
      </c>
      <c r="M940" t="s">
        <v>39</v>
      </c>
      <c r="N940">
        <v>0.89419999999999999</v>
      </c>
      <c r="O940" s="1">
        <v>1</v>
      </c>
      <c r="P940" t="s">
        <v>10018</v>
      </c>
      <c r="Q940" t="s">
        <v>10019</v>
      </c>
      <c r="S940" t="s">
        <v>166</v>
      </c>
      <c r="T940" t="s">
        <v>5643</v>
      </c>
      <c r="U940" t="s">
        <v>10020</v>
      </c>
      <c r="V940">
        <v>5</v>
      </c>
      <c r="W940" t="s">
        <v>10020</v>
      </c>
      <c r="Z940" t="s">
        <v>107</v>
      </c>
      <c r="AA940">
        <v>4</v>
      </c>
      <c r="AB940" t="s">
        <v>10021</v>
      </c>
      <c r="AC940" t="s">
        <v>10022</v>
      </c>
      <c r="AD940" t="s">
        <v>10023</v>
      </c>
      <c r="AE940" t="s">
        <v>10024</v>
      </c>
      <c r="AF940" t="s">
        <v>10025</v>
      </c>
      <c r="AG940" t="s">
        <v>10026</v>
      </c>
      <c r="AH940" t="str">
        <f>HYPERLINK("http://compartments.jensenlab.org/Entity?figures=subcell_cell_%&amp;knowledge=10&amp;textmining=10&amp;experiments=10&amp;predictions=10&amp;type1=9606&amp;type2=-22&amp;id1=ENSP00000343957","link")</f>
        <v>link</v>
      </c>
      <c r="AI940" t="s">
        <v>1058</v>
      </c>
      <c r="AJ940" t="s">
        <v>902</v>
      </c>
      <c r="AK940" t="str">
        <f>HYPERLINK("http://www.proteinatlas.org/P48551","CAB025889;HPA029229")</f>
        <v>CAB025889;HPA029229</v>
      </c>
      <c r="AL940" t="s">
        <v>10027</v>
      </c>
      <c r="AM940">
        <v>3455</v>
      </c>
    </row>
    <row r="941" spans="1:39" x14ac:dyDescent="0.35">
      <c r="A941" t="s">
        <v>10028</v>
      </c>
      <c r="B941" t="str">
        <f>HYPERLINK("http://www.uniprot.org/uniprot/P48664","P48664")</f>
        <v>P48664</v>
      </c>
      <c r="C941" t="s">
        <v>10029</v>
      </c>
      <c r="D941" t="s">
        <v>10030</v>
      </c>
      <c r="E941" t="s">
        <v>39</v>
      </c>
      <c r="F941" t="s">
        <v>40</v>
      </c>
      <c r="H941">
        <v>564</v>
      </c>
      <c r="I941">
        <v>10</v>
      </c>
      <c r="J941">
        <v>0</v>
      </c>
      <c r="K941" t="s">
        <v>10031</v>
      </c>
      <c r="L941" t="s">
        <v>57</v>
      </c>
      <c r="N941">
        <v>0.81040000000000001</v>
      </c>
      <c r="O941" s="1">
        <v>1</v>
      </c>
      <c r="P941" t="s">
        <v>10032</v>
      </c>
      <c r="Q941" t="s">
        <v>10033</v>
      </c>
      <c r="S941" t="s">
        <v>45</v>
      </c>
      <c r="T941" t="s">
        <v>937</v>
      </c>
      <c r="U941" t="s">
        <v>10034</v>
      </c>
      <c r="V941">
        <v>3</v>
      </c>
      <c r="W941" t="s">
        <v>10035</v>
      </c>
      <c r="AE941" t="s">
        <v>48</v>
      </c>
      <c r="AF941" t="s">
        <v>10036</v>
      </c>
      <c r="AG941" t="s">
        <v>10037</v>
      </c>
      <c r="AH941" t="str">
        <f>HYPERLINK("http://compartments.jensenlab.org/Entity?figures=subcell_cell_%&amp;knowledge=10&amp;textmining=10&amp;experiments=10&amp;predictions=10&amp;type1=9606&amp;type2=-22&amp;id1=ENSP00000221742","link")</f>
        <v>link</v>
      </c>
      <c r="AJ941" t="s">
        <v>51</v>
      </c>
      <c r="AK941" t="str">
        <f>HYPERLINK("http://www.proteinatlas.org/P48664","HPA041505;HPA044066")</f>
        <v>HPA041505;HPA044066</v>
      </c>
      <c r="AM941">
        <v>6511</v>
      </c>
    </row>
    <row r="942" spans="1:39" x14ac:dyDescent="0.35">
      <c r="A942" t="s">
        <v>10038</v>
      </c>
      <c r="B942" t="str">
        <f>HYPERLINK("http://www.uniprot.org/uniprot/P48764","P48764")</f>
        <v>P48764</v>
      </c>
      <c r="C942" t="s">
        <v>10039</v>
      </c>
      <c r="D942" t="s">
        <v>10040</v>
      </c>
      <c r="E942" t="s">
        <v>39</v>
      </c>
      <c r="F942" t="s">
        <v>40</v>
      </c>
      <c r="H942">
        <v>834</v>
      </c>
      <c r="I942">
        <v>10</v>
      </c>
      <c r="J942">
        <v>0</v>
      </c>
      <c r="K942" t="s">
        <v>10041</v>
      </c>
      <c r="L942" t="s">
        <v>57</v>
      </c>
      <c r="N942">
        <v>0.79039999999999999</v>
      </c>
      <c r="O942" s="1">
        <v>1</v>
      </c>
      <c r="P942" t="s">
        <v>10042</v>
      </c>
      <c r="Q942" t="s">
        <v>10043</v>
      </c>
      <c r="S942" t="s">
        <v>45</v>
      </c>
      <c r="T942" t="s">
        <v>6330</v>
      </c>
      <c r="U942" t="s">
        <v>10044</v>
      </c>
      <c r="V942">
        <v>2</v>
      </c>
      <c r="W942" t="s">
        <v>10044</v>
      </c>
      <c r="AE942" t="s">
        <v>10045</v>
      </c>
      <c r="AF942" t="s">
        <v>10046</v>
      </c>
      <c r="AG942" t="s">
        <v>10047</v>
      </c>
      <c r="AH942" t="str">
        <f>HYPERLINK("http://compartments.jensenlab.org/Entity?figures=subcell_cell_%&amp;knowledge=10&amp;textmining=10&amp;experiments=10&amp;predictions=10&amp;type1=9606&amp;type2=-22&amp;id1=ENSP00000264938","link")</f>
        <v>link</v>
      </c>
      <c r="AI942" t="s">
        <v>65</v>
      </c>
      <c r="AJ942" t="s">
        <v>51</v>
      </c>
      <c r="AK942" t="str">
        <f>HYPERLINK("http://www.proteinatlas.org/P48764","HPA036493;HPA036669")</f>
        <v>HPA036493;HPA036669</v>
      </c>
      <c r="AM942">
        <v>6550</v>
      </c>
    </row>
    <row r="943" spans="1:39" x14ac:dyDescent="0.35">
      <c r="A943" t="s">
        <v>10048</v>
      </c>
      <c r="B943" t="str">
        <f>HYPERLINK("http://www.uniprot.org/uniprot/P48960","P48960")</f>
        <v>P48960</v>
      </c>
      <c r="C943" t="s">
        <v>10049</v>
      </c>
      <c r="D943" t="s">
        <v>10050</v>
      </c>
      <c r="E943" t="s">
        <v>39</v>
      </c>
      <c r="F943" t="s">
        <v>55</v>
      </c>
      <c r="H943">
        <v>835</v>
      </c>
      <c r="I943">
        <v>7</v>
      </c>
      <c r="J943">
        <v>1</v>
      </c>
      <c r="K943" t="s">
        <v>10051</v>
      </c>
      <c r="L943" t="s">
        <v>101</v>
      </c>
      <c r="M943" t="s">
        <v>39</v>
      </c>
      <c r="N943">
        <v>0.99470000000000003</v>
      </c>
      <c r="O943" s="1">
        <v>1</v>
      </c>
      <c r="P943" t="s">
        <v>10052</v>
      </c>
      <c r="Q943" t="s">
        <v>10053</v>
      </c>
      <c r="R943" t="s">
        <v>10050</v>
      </c>
      <c r="S943" t="s">
        <v>166</v>
      </c>
      <c r="T943" t="s">
        <v>1149</v>
      </c>
      <c r="U943" t="s">
        <v>10054</v>
      </c>
      <c r="V943">
        <v>9</v>
      </c>
      <c r="W943" t="s">
        <v>10054</v>
      </c>
      <c r="X943" t="s">
        <v>10055</v>
      </c>
      <c r="Z943" t="s">
        <v>107</v>
      </c>
      <c r="AA943">
        <v>36</v>
      </c>
      <c r="AB943" t="s">
        <v>10056</v>
      </c>
      <c r="AC943" t="s">
        <v>10057</v>
      </c>
      <c r="AD943" t="s">
        <v>10058</v>
      </c>
      <c r="AE943" t="s">
        <v>10059</v>
      </c>
      <c r="AF943" t="s">
        <v>10060</v>
      </c>
      <c r="AG943" t="s">
        <v>10061</v>
      </c>
      <c r="AH943" t="str">
        <f>HYPERLINK("http://compartments.jensenlab.org/Entity?figures=subcell_cell_%&amp;knowledge=10&amp;textmining=10&amp;experiments=10&amp;predictions=10&amp;type1=9606&amp;type2=-22&amp;id1=ENSP00000242786","link")</f>
        <v>link</v>
      </c>
      <c r="AI943" t="s">
        <v>1058</v>
      </c>
      <c r="AJ943" t="s">
        <v>902</v>
      </c>
      <c r="AK943" t="str">
        <f>HYPERLINK("http://www.proteinatlas.org/P48960","HPA013707")</f>
        <v>HPA013707</v>
      </c>
      <c r="AM943">
        <v>976</v>
      </c>
    </row>
    <row r="944" spans="1:39" x14ac:dyDescent="0.35">
      <c r="A944" t="s">
        <v>10062</v>
      </c>
      <c r="B944" t="str">
        <f>HYPERLINK("http://www.uniprot.org/uniprot/P49019","P49019")</f>
        <v>P49019</v>
      </c>
      <c r="C944" t="s">
        <v>10063</v>
      </c>
      <c r="D944" t="s">
        <v>10064</v>
      </c>
      <c r="E944" t="s">
        <v>39</v>
      </c>
      <c r="F944" t="s">
        <v>40</v>
      </c>
      <c r="H944">
        <v>387</v>
      </c>
      <c r="I944">
        <v>7</v>
      </c>
      <c r="J944">
        <v>0</v>
      </c>
      <c r="K944" t="s">
        <v>10065</v>
      </c>
      <c r="L944" t="s">
        <v>57</v>
      </c>
      <c r="N944">
        <v>0.83830000000000005</v>
      </c>
      <c r="O944" s="1">
        <v>1</v>
      </c>
      <c r="P944" t="s">
        <v>10066</v>
      </c>
      <c r="Q944" t="s">
        <v>10067</v>
      </c>
      <c r="S944" t="s">
        <v>166</v>
      </c>
      <c r="T944" t="s">
        <v>838</v>
      </c>
      <c r="U944" t="s">
        <v>10068</v>
      </c>
      <c r="V944">
        <v>1</v>
      </c>
      <c r="W944" t="s">
        <v>10069</v>
      </c>
      <c r="AE944" t="s">
        <v>74</v>
      </c>
      <c r="AF944" t="s">
        <v>10070</v>
      </c>
      <c r="AG944" t="s">
        <v>10071</v>
      </c>
      <c r="AH944" t="str">
        <f>HYPERLINK("http://compartments.jensenlab.org/Entity?figures=subcell_cell_%&amp;knowledge=10&amp;textmining=10&amp;experiments=10&amp;predictions=10&amp;type1=9606&amp;type2=-22&amp;id1=ENSP00000436714","link")</f>
        <v>link</v>
      </c>
      <c r="AK944" t="str">
        <f>HYPERLINK("http://www.proteinatlas.org/P49019","HPA028660")</f>
        <v>HPA028660</v>
      </c>
      <c r="AL944" t="s">
        <v>10072</v>
      </c>
      <c r="AM944">
        <v>8843</v>
      </c>
    </row>
    <row r="945" spans="1:39" x14ac:dyDescent="0.35">
      <c r="A945" t="s">
        <v>10073</v>
      </c>
      <c r="B945" t="str">
        <f>HYPERLINK("http://www.uniprot.org/uniprot/P49146","P49146")</f>
        <v>P49146</v>
      </c>
      <c r="C945" t="s">
        <v>10074</v>
      </c>
      <c r="D945" t="s">
        <v>10075</v>
      </c>
      <c r="E945" t="s">
        <v>39</v>
      </c>
      <c r="F945" t="s">
        <v>55</v>
      </c>
      <c r="H945">
        <v>381</v>
      </c>
      <c r="I945">
        <v>7</v>
      </c>
      <c r="J945">
        <v>0</v>
      </c>
      <c r="K945" t="s">
        <v>10076</v>
      </c>
      <c r="L945" t="s">
        <v>57</v>
      </c>
      <c r="M945" t="s">
        <v>39</v>
      </c>
      <c r="N945">
        <v>0.86409999999999998</v>
      </c>
      <c r="O945" s="1">
        <v>1</v>
      </c>
      <c r="P945" t="s">
        <v>10077</v>
      </c>
      <c r="Q945" t="s">
        <v>10078</v>
      </c>
      <c r="S945" t="s">
        <v>166</v>
      </c>
      <c r="T945" t="s">
        <v>838</v>
      </c>
      <c r="U945" t="s">
        <v>10079</v>
      </c>
      <c r="V945">
        <v>1</v>
      </c>
      <c r="W945">
        <v>11</v>
      </c>
      <c r="AE945" t="s">
        <v>74</v>
      </c>
      <c r="AF945" t="s">
        <v>8230</v>
      </c>
      <c r="AG945" t="s">
        <v>10080</v>
      </c>
      <c r="AH945" t="str">
        <f>HYPERLINK("http://compartments.jensenlab.org/Entity?figures=subcell_cell_%&amp;knowledge=10&amp;textmining=10&amp;experiments=10&amp;predictions=10&amp;type1=9606&amp;type2=-22&amp;id1=ENSP00000332591","link")</f>
        <v>link</v>
      </c>
      <c r="AI945" t="s">
        <v>65</v>
      </c>
      <c r="AJ945" t="s">
        <v>51</v>
      </c>
      <c r="AK945" t="str">
        <f>HYPERLINK("http://www.proteinatlas.org/P49146","HPA013965")</f>
        <v>HPA013965</v>
      </c>
      <c r="AL945" t="s">
        <v>10081</v>
      </c>
      <c r="AM945">
        <v>4887</v>
      </c>
    </row>
    <row r="946" spans="1:39" x14ac:dyDescent="0.35">
      <c r="A946" t="s">
        <v>10082</v>
      </c>
      <c r="B946" t="str">
        <f>HYPERLINK("http://www.uniprot.org/uniprot/P49190","P49190")</f>
        <v>P49190</v>
      </c>
      <c r="C946" t="s">
        <v>10083</v>
      </c>
      <c r="D946" t="s">
        <v>10084</v>
      </c>
      <c r="E946" t="s">
        <v>39</v>
      </c>
      <c r="F946" t="s">
        <v>55</v>
      </c>
      <c r="H946">
        <v>550</v>
      </c>
      <c r="I946">
        <v>7</v>
      </c>
      <c r="J946">
        <v>1</v>
      </c>
      <c r="K946" t="s">
        <v>10085</v>
      </c>
      <c r="L946" t="s">
        <v>57</v>
      </c>
      <c r="M946" t="s">
        <v>39</v>
      </c>
      <c r="N946">
        <v>0.93089999999999995</v>
      </c>
      <c r="O946" s="1">
        <v>1</v>
      </c>
      <c r="P946" t="s">
        <v>10086</v>
      </c>
      <c r="Q946" t="s">
        <v>10087</v>
      </c>
      <c r="S946" t="s">
        <v>166</v>
      </c>
      <c r="T946" t="s">
        <v>3409</v>
      </c>
      <c r="U946" t="s">
        <v>10088</v>
      </c>
      <c r="V946">
        <v>4</v>
      </c>
      <c r="W946" t="s">
        <v>10089</v>
      </c>
      <c r="Y946">
        <v>428</v>
      </c>
      <c r="AE946" t="s">
        <v>74</v>
      </c>
      <c r="AF946" t="s">
        <v>10090</v>
      </c>
      <c r="AG946" t="s">
        <v>10091</v>
      </c>
      <c r="AH946" t="str">
        <f>HYPERLINK("http://compartments.jensenlab.org/Entity?figures=subcell_cell_%&amp;knowledge=10&amp;textmining=10&amp;experiments=10&amp;predictions=10&amp;type1=9606&amp;type2=-22&amp;id1=ENSP00000272847","link")</f>
        <v>link</v>
      </c>
      <c r="AI946" t="s">
        <v>65</v>
      </c>
      <c r="AJ946" t="s">
        <v>51</v>
      </c>
      <c r="AK946" t="str">
        <f>HYPERLINK("http://www.proteinatlas.org/P49190","HPA010655")</f>
        <v>HPA010655</v>
      </c>
      <c r="AL946" t="s">
        <v>10092</v>
      </c>
      <c r="AM946">
        <v>5746</v>
      </c>
    </row>
    <row r="947" spans="1:39" x14ac:dyDescent="0.35">
      <c r="A947" t="s">
        <v>10093</v>
      </c>
      <c r="B947" t="str">
        <f>HYPERLINK("http://www.uniprot.org/uniprot/P49238","P49238")</f>
        <v>P49238</v>
      </c>
      <c r="C947" t="s">
        <v>10094</v>
      </c>
      <c r="D947" t="s">
        <v>10095</v>
      </c>
      <c r="E947" t="s">
        <v>39</v>
      </c>
      <c r="F947" t="s">
        <v>55</v>
      </c>
      <c r="H947">
        <v>355</v>
      </c>
      <c r="I947">
        <v>7</v>
      </c>
      <c r="J947">
        <v>0</v>
      </c>
      <c r="K947" t="s">
        <v>10096</v>
      </c>
      <c r="L947" t="s">
        <v>57</v>
      </c>
      <c r="M947" t="s">
        <v>39</v>
      </c>
      <c r="N947">
        <v>0.77249999999999996</v>
      </c>
      <c r="O947" s="1">
        <v>1</v>
      </c>
      <c r="P947" t="s">
        <v>10097</v>
      </c>
      <c r="Q947" t="s">
        <v>10098</v>
      </c>
      <c r="S947" t="s">
        <v>166</v>
      </c>
      <c r="T947" t="s">
        <v>838</v>
      </c>
      <c r="U947" t="s">
        <v>10099</v>
      </c>
      <c r="V947">
        <v>0</v>
      </c>
      <c r="W947" t="s">
        <v>10099</v>
      </c>
      <c r="X947" t="s">
        <v>10100</v>
      </c>
      <c r="AE947" t="s">
        <v>74</v>
      </c>
      <c r="AF947" t="s">
        <v>10101</v>
      </c>
      <c r="AG947" t="s">
        <v>10102</v>
      </c>
      <c r="AH947" t="str">
        <f>HYPERLINK("http://compartments.jensenlab.org/Entity?figures=subcell_cell_%&amp;knowledge=10&amp;textmining=10&amp;experiments=10&amp;predictions=10&amp;type1=9606&amp;type2=-22&amp;id1=ENSP00000382166","link")</f>
        <v>link</v>
      </c>
      <c r="AI947" t="s">
        <v>65</v>
      </c>
      <c r="AJ947" t="s">
        <v>51</v>
      </c>
      <c r="AK947" t="str">
        <f>HYPERLINK("http://www.proteinatlas.org/P49238","CAB032478;HPA046587")</f>
        <v>CAB032478;HPA046587</v>
      </c>
      <c r="AM947">
        <v>1524</v>
      </c>
    </row>
    <row r="948" spans="1:39" x14ac:dyDescent="0.35">
      <c r="A948" t="s">
        <v>10103</v>
      </c>
      <c r="B948" t="str">
        <f>HYPERLINK("http://www.uniprot.org/uniprot/P49279","P49279")</f>
        <v>P49279</v>
      </c>
      <c r="C948" t="s">
        <v>10104</v>
      </c>
      <c r="D948" t="s">
        <v>10105</v>
      </c>
      <c r="E948" t="s">
        <v>39</v>
      </c>
      <c r="F948" t="s">
        <v>40</v>
      </c>
      <c r="H948">
        <v>550</v>
      </c>
      <c r="I948">
        <v>12</v>
      </c>
      <c r="J948">
        <v>0</v>
      </c>
      <c r="K948" t="s">
        <v>10106</v>
      </c>
      <c r="L948" t="s">
        <v>57</v>
      </c>
      <c r="N948">
        <v>0.91820000000000002</v>
      </c>
      <c r="O948" s="1">
        <v>1</v>
      </c>
      <c r="P948" t="s">
        <v>10107</v>
      </c>
      <c r="Q948" t="s">
        <v>10108</v>
      </c>
      <c r="S948" t="s">
        <v>45</v>
      </c>
      <c r="T948" t="s">
        <v>10109</v>
      </c>
      <c r="U948" t="s">
        <v>10110</v>
      </c>
      <c r="V948">
        <v>2</v>
      </c>
      <c r="W948">
        <v>338</v>
      </c>
      <c r="X948" t="s">
        <v>10111</v>
      </c>
      <c r="AE948" t="s">
        <v>48</v>
      </c>
      <c r="AF948" t="s">
        <v>10112</v>
      </c>
      <c r="AG948" t="s">
        <v>10113</v>
      </c>
      <c r="AH948" t="str">
        <f>HYPERLINK("http://compartments.jensenlab.org/Entity?figures=subcell_cell_%&amp;knowledge=10&amp;textmining=10&amp;experiments=10&amp;predictions=10&amp;type1=9606&amp;type2=-22&amp;id1=ENSP00000233202","link")</f>
        <v>link</v>
      </c>
      <c r="AI948" t="s">
        <v>65</v>
      </c>
      <c r="AJ948" t="s">
        <v>4662</v>
      </c>
      <c r="AK948" t="str">
        <f>HYPERLINK("http://www.proteinatlas.org/P49279","HPA029590")</f>
        <v>HPA029590</v>
      </c>
      <c r="AM948">
        <v>6556</v>
      </c>
    </row>
    <row r="949" spans="1:39" x14ac:dyDescent="0.35">
      <c r="A949" t="s">
        <v>10114</v>
      </c>
      <c r="B949" t="str">
        <f>HYPERLINK("http://www.uniprot.org/uniprot/P49281","P49281")</f>
        <v>P49281</v>
      </c>
      <c r="C949" t="s">
        <v>10115</v>
      </c>
      <c r="D949" t="s">
        <v>10116</v>
      </c>
      <c r="E949" t="s">
        <v>39</v>
      </c>
      <c r="F949" t="s">
        <v>40</v>
      </c>
      <c r="H949">
        <v>568</v>
      </c>
      <c r="I949">
        <v>12</v>
      </c>
      <c r="J949">
        <v>0</v>
      </c>
      <c r="K949" t="s">
        <v>10117</v>
      </c>
      <c r="L949" t="s">
        <v>101</v>
      </c>
      <c r="N949">
        <v>0.86629999999999996</v>
      </c>
      <c r="O949" s="1">
        <v>1</v>
      </c>
      <c r="P949" t="s">
        <v>10118</v>
      </c>
      <c r="Q949" t="s">
        <v>10119</v>
      </c>
      <c r="S949" t="s">
        <v>45</v>
      </c>
      <c r="T949" t="s">
        <v>10109</v>
      </c>
      <c r="U949" t="s">
        <v>10120</v>
      </c>
      <c r="V949">
        <v>2</v>
      </c>
      <c r="W949" t="s">
        <v>10121</v>
      </c>
      <c r="Z949" t="s">
        <v>123</v>
      </c>
      <c r="AA949">
        <v>4</v>
      </c>
      <c r="AB949" t="s">
        <v>10122</v>
      </c>
      <c r="AC949" t="s">
        <v>10120</v>
      </c>
      <c r="AD949" t="s">
        <v>10123</v>
      </c>
      <c r="AE949" t="s">
        <v>10124</v>
      </c>
      <c r="AF949" t="s">
        <v>10125</v>
      </c>
      <c r="AG949" t="s">
        <v>10126</v>
      </c>
      <c r="AH949" t="str">
        <f>HYPERLINK("http://compartments.jensenlab.org/Entity?figures=subcell_cell_%&amp;knowledge=10&amp;textmining=10&amp;experiments=10&amp;predictions=10&amp;type1=9606&amp;type2=-22&amp;id1=ENSP00000262051","link")</f>
        <v>link</v>
      </c>
      <c r="AK949" t="str">
        <f>HYPERLINK("http://www.proteinatlas.org/P49281","HPA032139;HPA032140")</f>
        <v>HPA032139;HPA032140</v>
      </c>
      <c r="AM949">
        <v>4891</v>
      </c>
    </row>
    <row r="950" spans="1:39" x14ac:dyDescent="0.35">
      <c r="A950" t="s">
        <v>10127</v>
      </c>
      <c r="B950" t="str">
        <f>HYPERLINK("http://www.uniprot.org/uniprot/P49286","P49286")</f>
        <v>P49286</v>
      </c>
      <c r="C950" t="s">
        <v>10128</v>
      </c>
      <c r="D950" t="s">
        <v>10129</v>
      </c>
      <c r="E950" t="s">
        <v>39</v>
      </c>
      <c r="F950" t="s">
        <v>55</v>
      </c>
      <c r="H950">
        <v>362</v>
      </c>
      <c r="I950">
        <v>7</v>
      </c>
      <c r="J950">
        <v>0</v>
      </c>
      <c r="K950" t="s">
        <v>10130</v>
      </c>
      <c r="L950" t="s">
        <v>57</v>
      </c>
      <c r="M950" t="s">
        <v>39</v>
      </c>
      <c r="N950">
        <v>0.95050000000000001</v>
      </c>
      <c r="O950" s="1">
        <v>1</v>
      </c>
      <c r="P950" t="s">
        <v>10131</v>
      </c>
      <c r="Q950" t="s">
        <v>10132</v>
      </c>
      <c r="S950" t="s">
        <v>166</v>
      </c>
      <c r="T950" t="s">
        <v>838</v>
      </c>
      <c r="U950" t="s">
        <v>10133</v>
      </c>
      <c r="V950">
        <v>1</v>
      </c>
      <c r="W950">
        <v>130</v>
      </c>
      <c r="AE950" t="s">
        <v>74</v>
      </c>
      <c r="AF950" t="s">
        <v>967</v>
      </c>
      <c r="AG950" t="s">
        <v>10134</v>
      </c>
      <c r="AH950" t="str">
        <f>HYPERLINK("http://compartments.jensenlab.org/Entity?figures=subcell_cell_%&amp;knowledge=10&amp;textmining=10&amp;experiments=10&amp;predictions=10&amp;type1=9606&amp;type2=-22&amp;id1=ENSP00000257068","link")</f>
        <v>link</v>
      </c>
      <c r="AI950" t="s">
        <v>65</v>
      </c>
      <c r="AJ950" t="s">
        <v>51</v>
      </c>
      <c r="AK950" t="str">
        <f>HYPERLINK("http://www.proteinatlas.org/P49286","no")</f>
        <v>no</v>
      </c>
      <c r="AL950" t="s">
        <v>9863</v>
      </c>
      <c r="AM950">
        <v>4544</v>
      </c>
    </row>
    <row r="951" spans="1:39" x14ac:dyDescent="0.35">
      <c r="A951" t="s">
        <v>10135</v>
      </c>
      <c r="B951" t="str">
        <f>HYPERLINK("http://www.uniprot.org/uniprot/P49682","P49682")</f>
        <v>P49682</v>
      </c>
      <c r="C951" t="s">
        <v>10136</v>
      </c>
      <c r="D951" t="s">
        <v>10137</v>
      </c>
      <c r="E951" t="s">
        <v>39</v>
      </c>
      <c r="F951" t="s">
        <v>55</v>
      </c>
      <c r="H951">
        <v>368</v>
      </c>
      <c r="I951">
        <v>7</v>
      </c>
      <c r="J951">
        <v>0</v>
      </c>
      <c r="K951" t="s">
        <v>10138</v>
      </c>
      <c r="L951" t="s">
        <v>101</v>
      </c>
      <c r="M951" t="s">
        <v>39</v>
      </c>
      <c r="N951">
        <v>0.82350000000000001</v>
      </c>
      <c r="O951" s="1">
        <v>1</v>
      </c>
      <c r="P951" t="s">
        <v>10139</v>
      </c>
      <c r="Q951" t="s">
        <v>10140</v>
      </c>
      <c r="R951" t="s">
        <v>10141</v>
      </c>
      <c r="S951" t="s">
        <v>166</v>
      </c>
      <c r="T951" t="s">
        <v>838</v>
      </c>
      <c r="U951" t="s">
        <v>10142</v>
      </c>
      <c r="V951">
        <v>3</v>
      </c>
      <c r="W951" t="s">
        <v>10142</v>
      </c>
      <c r="Z951" t="s">
        <v>107</v>
      </c>
      <c r="AA951">
        <v>2</v>
      </c>
      <c r="AB951" t="s">
        <v>10143</v>
      </c>
      <c r="AC951">
        <v>199</v>
      </c>
      <c r="AD951" t="s">
        <v>10144</v>
      </c>
      <c r="AE951" t="s">
        <v>10145</v>
      </c>
      <c r="AF951" t="s">
        <v>10146</v>
      </c>
      <c r="AG951" t="s">
        <v>10147</v>
      </c>
      <c r="AH951" t="str">
        <f>HYPERLINK("http://compartments.jensenlab.org/Entity?figures=subcell_cell_%&amp;knowledge=10&amp;textmining=10&amp;experiments=10&amp;predictions=10&amp;type1=9606&amp;type2=-22&amp;id1=ENSP00000362797","link")</f>
        <v>link</v>
      </c>
      <c r="AK951" t="str">
        <f>HYPERLINK("http://www.proteinatlas.org/P49682","HPA045942")</f>
        <v>HPA045942</v>
      </c>
      <c r="AM951">
        <v>2833</v>
      </c>
    </row>
    <row r="952" spans="1:39" x14ac:dyDescent="0.35">
      <c r="A952" t="s">
        <v>10148</v>
      </c>
      <c r="B952" t="str">
        <f>HYPERLINK("http://www.uniprot.org/uniprot/P49683","P49683")</f>
        <v>P49683</v>
      </c>
      <c r="C952" t="s">
        <v>10149</v>
      </c>
      <c r="D952" t="s">
        <v>10150</v>
      </c>
      <c r="E952" t="s">
        <v>39</v>
      </c>
      <c r="F952" t="s">
        <v>55</v>
      </c>
      <c r="H952">
        <v>370</v>
      </c>
      <c r="I952">
        <v>7</v>
      </c>
      <c r="J952">
        <v>0</v>
      </c>
      <c r="K952" t="s">
        <v>10151</v>
      </c>
      <c r="L952" t="s">
        <v>57</v>
      </c>
      <c r="M952" t="s">
        <v>39</v>
      </c>
      <c r="N952">
        <v>0.86099999999999999</v>
      </c>
      <c r="O952" s="1">
        <v>1</v>
      </c>
      <c r="P952" t="s">
        <v>10152</v>
      </c>
      <c r="Q952" t="s">
        <v>10153</v>
      </c>
      <c r="S952" t="s">
        <v>166</v>
      </c>
      <c r="T952" t="s">
        <v>838</v>
      </c>
      <c r="U952" t="s">
        <v>10154</v>
      </c>
      <c r="V952">
        <v>2</v>
      </c>
      <c r="W952" t="s">
        <v>10155</v>
      </c>
      <c r="AE952" t="s">
        <v>74</v>
      </c>
      <c r="AF952" t="s">
        <v>967</v>
      </c>
      <c r="AG952" t="s">
        <v>10156</v>
      </c>
      <c r="AH952" t="str">
        <f>HYPERLINK("http://compartments.jensenlab.org/Entity?figures=subcell_cell_%&amp;knowledge=10&amp;textmining=10&amp;experiments=10&amp;predictions=10&amp;type1=9606&amp;type2=-22&amp;id1=ENSP00000239032","link")</f>
        <v>link</v>
      </c>
      <c r="AI952" t="s">
        <v>65</v>
      </c>
      <c r="AJ952" t="s">
        <v>51</v>
      </c>
      <c r="AK952" t="str">
        <f>HYPERLINK("http://www.proteinatlas.org/P49683","HPA039361")</f>
        <v>HPA039361</v>
      </c>
      <c r="AM952">
        <v>2834</v>
      </c>
    </row>
    <row r="953" spans="1:39" x14ac:dyDescent="0.35">
      <c r="A953" t="s">
        <v>10157</v>
      </c>
      <c r="B953" t="str">
        <f>HYPERLINK("http://www.uniprot.org/uniprot/P49685","P49685")</f>
        <v>P49685</v>
      </c>
      <c r="C953" t="s">
        <v>10158</v>
      </c>
      <c r="D953" t="s">
        <v>10159</v>
      </c>
      <c r="E953" t="s">
        <v>39</v>
      </c>
      <c r="F953" t="s">
        <v>55</v>
      </c>
      <c r="H953">
        <v>360</v>
      </c>
      <c r="I953">
        <v>7</v>
      </c>
      <c r="J953">
        <v>0</v>
      </c>
      <c r="K953" t="s">
        <v>10160</v>
      </c>
      <c r="L953" t="s">
        <v>57</v>
      </c>
      <c r="M953" t="s">
        <v>39</v>
      </c>
      <c r="N953">
        <v>0.77200000000000002</v>
      </c>
      <c r="O953" s="1">
        <v>1</v>
      </c>
      <c r="P953" t="s">
        <v>10161</v>
      </c>
      <c r="Q953" t="s">
        <v>10162</v>
      </c>
      <c r="S953" t="s">
        <v>166</v>
      </c>
      <c r="T953" t="s">
        <v>838</v>
      </c>
      <c r="V953">
        <v>0</v>
      </c>
      <c r="AE953" t="s">
        <v>74</v>
      </c>
      <c r="AF953" t="s">
        <v>10163</v>
      </c>
      <c r="AG953" t="s">
        <v>10164</v>
      </c>
      <c r="AH953" t="str">
        <f>HYPERLINK("http://compartments.jensenlab.org/Entity?figures=subcell_cell_%&amp;knowledge=10&amp;textmining=10&amp;experiments=10&amp;predictions=10&amp;type1=9606&amp;type2=-22&amp;id1=ENSP00000284311","link")</f>
        <v>link</v>
      </c>
      <c r="AI953" t="s">
        <v>65</v>
      </c>
      <c r="AJ953" t="s">
        <v>51</v>
      </c>
      <c r="AK953" t="str">
        <f>HYPERLINK("http://www.proteinatlas.org/P49685","HPA013775")</f>
        <v>HPA013775</v>
      </c>
      <c r="AM953">
        <v>2838</v>
      </c>
    </row>
    <row r="954" spans="1:39" x14ac:dyDescent="0.35">
      <c r="A954" t="s">
        <v>10165</v>
      </c>
      <c r="B954" t="str">
        <f>HYPERLINK("http://www.uniprot.org/uniprot/P49768","P49768")</f>
        <v>P49768</v>
      </c>
      <c r="C954" t="s">
        <v>10166</v>
      </c>
      <c r="D954" t="s">
        <v>10167</v>
      </c>
      <c r="E954" t="s">
        <v>39</v>
      </c>
      <c r="F954" t="s">
        <v>40</v>
      </c>
      <c r="H954">
        <v>467</v>
      </c>
      <c r="I954">
        <v>8</v>
      </c>
      <c r="J954">
        <v>0</v>
      </c>
      <c r="K954" t="s">
        <v>10168</v>
      </c>
      <c r="L954" t="s">
        <v>57</v>
      </c>
      <c r="N954">
        <v>0.64470000000000005</v>
      </c>
      <c r="O954" s="1">
        <v>2</v>
      </c>
      <c r="P954" t="s">
        <v>10169</v>
      </c>
      <c r="Q954" t="s">
        <v>10170</v>
      </c>
      <c r="S954" t="s">
        <v>60</v>
      </c>
      <c r="T954" t="s">
        <v>60</v>
      </c>
      <c r="U954" t="s">
        <v>10171</v>
      </c>
      <c r="V954">
        <v>1</v>
      </c>
      <c r="W954" t="s">
        <v>10171</v>
      </c>
      <c r="X954">
        <v>43</v>
      </c>
      <c r="Y954">
        <v>244</v>
      </c>
      <c r="AE954" t="s">
        <v>10172</v>
      </c>
      <c r="AF954" t="s">
        <v>10173</v>
      </c>
      <c r="AG954" t="s">
        <v>10174</v>
      </c>
      <c r="AH954" t="str">
        <f>HYPERLINK("http://compartments.jensenlab.org/Entity?figures=subcell_cell_%&amp;knowledge=10&amp;textmining=10&amp;experiments=10&amp;predictions=10&amp;type1=9606&amp;type2=-22&amp;id1=ENSP00000326366","link")</f>
        <v>link</v>
      </c>
      <c r="AI954" t="s">
        <v>10175</v>
      </c>
      <c r="AJ954" t="s">
        <v>10176</v>
      </c>
      <c r="AK954" t="str">
        <f>HYPERLINK("http://www.proteinatlas.org/P49768","CAB006844;HPA030760")</f>
        <v>CAB006844;HPA030760</v>
      </c>
      <c r="AM954">
        <v>5663</v>
      </c>
    </row>
    <row r="955" spans="1:39" x14ac:dyDescent="0.35">
      <c r="A955" t="s">
        <v>10177</v>
      </c>
      <c r="B955" t="str">
        <f>HYPERLINK("http://www.uniprot.org/uniprot/P49771","P49771")</f>
        <v>P49771</v>
      </c>
      <c r="C955" t="s">
        <v>10178</v>
      </c>
      <c r="D955" t="s">
        <v>10179</v>
      </c>
      <c r="E955" t="s">
        <v>39</v>
      </c>
      <c r="F955" t="s">
        <v>40</v>
      </c>
      <c r="H955">
        <v>235</v>
      </c>
      <c r="I955">
        <v>1</v>
      </c>
      <c r="J955">
        <v>1</v>
      </c>
      <c r="K955" t="s">
        <v>10180</v>
      </c>
      <c r="L955" t="s">
        <v>57</v>
      </c>
      <c r="N955">
        <v>0.88219999999999998</v>
      </c>
      <c r="O955" s="1">
        <v>1</v>
      </c>
      <c r="P955" t="s">
        <v>10181</v>
      </c>
      <c r="Q955" t="s">
        <v>10182</v>
      </c>
      <c r="S955" t="s">
        <v>60</v>
      </c>
      <c r="T955" t="s">
        <v>60</v>
      </c>
      <c r="U955" t="s">
        <v>10183</v>
      </c>
      <c r="V955">
        <v>2</v>
      </c>
      <c r="W955" t="s">
        <v>10183</v>
      </c>
      <c r="AE955" t="s">
        <v>1250</v>
      </c>
      <c r="AF955" t="s">
        <v>10184</v>
      </c>
      <c r="AG955" t="s">
        <v>10185</v>
      </c>
      <c r="AH955" t="str">
        <f>HYPERLINK("http://compartments.jensenlab.org/Entity?figures=subcell_cell_%&amp;knowledge=10&amp;textmining=10&amp;experiments=10&amp;predictions=10&amp;type1=9606&amp;type2=-22&amp;id1=ENSP00000469613","link")</f>
        <v>link</v>
      </c>
      <c r="AK955" t="str">
        <f>HYPERLINK("http://www.proteinatlas.org/P49771","HPA017313")</f>
        <v>HPA017313</v>
      </c>
      <c r="AM955">
        <v>2323</v>
      </c>
    </row>
    <row r="956" spans="1:39" x14ac:dyDescent="0.35">
      <c r="A956" t="s">
        <v>10186</v>
      </c>
      <c r="B956" t="str">
        <f>HYPERLINK("http://www.uniprot.org/uniprot/P49810","P49810")</f>
        <v>P49810</v>
      </c>
      <c r="C956" t="s">
        <v>10187</v>
      </c>
      <c r="D956" t="s">
        <v>10188</v>
      </c>
      <c r="E956" t="s">
        <v>39</v>
      </c>
      <c r="F956" t="s">
        <v>40</v>
      </c>
      <c r="H956">
        <v>448</v>
      </c>
      <c r="I956">
        <v>8</v>
      </c>
      <c r="J956">
        <v>0</v>
      </c>
      <c r="K956" t="s">
        <v>10189</v>
      </c>
      <c r="L956" t="s">
        <v>57</v>
      </c>
      <c r="N956">
        <v>0.74650000000000005</v>
      </c>
      <c r="O956" s="1">
        <v>2</v>
      </c>
      <c r="P956" t="s">
        <v>10190</v>
      </c>
      <c r="Q956" t="s">
        <v>10191</v>
      </c>
      <c r="S956" t="s">
        <v>60</v>
      </c>
      <c r="T956" t="s">
        <v>60</v>
      </c>
      <c r="U956">
        <v>386</v>
      </c>
      <c r="V956">
        <v>1</v>
      </c>
      <c r="W956">
        <v>386</v>
      </c>
      <c r="Y956">
        <v>250</v>
      </c>
      <c r="AE956" t="s">
        <v>10192</v>
      </c>
      <c r="AF956" t="s">
        <v>10193</v>
      </c>
      <c r="AG956" t="s">
        <v>10194</v>
      </c>
      <c r="AH956" t="str">
        <f>HYPERLINK("http://compartments.jensenlab.org/Entity?figures=subcell_cell_%&amp;knowledge=10&amp;textmining=10&amp;experiments=10&amp;predictions=10&amp;type1=9606&amp;type2=-22&amp;id1=ENSP00000355747","link")</f>
        <v>link</v>
      </c>
      <c r="AI956" t="s">
        <v>10195</v>
      </c>
      <c r="AJ956" t="s">
        <v>10196</v>
      </c>
      <c r="AK956" t="str">
        <f>HYPERLINK("http://www.proteinatlas.org/P49810","CAB013634;HPA038005")</f>
        <v>CAB013634;HPA038005</v>
      </c>
      <c r="AM956">
        <v>5664</v>
      </c>
    </row>
    <row r="957" spans="1:39" x14ac:dyDescent="0.35">
      <c r="A957" t="s">
        <v>10197</v>
      </c>
      <c r="B957" t="str">
        <f>HYPERLINK("http://www.uniprot.org/uniprot/P49961","P49961")</f>
        <v>P49961</v>
      </c>
      <c r="C957" t="s">
        <v>10198</v>
      </c>
      <c r="D957" t="s">
        <v>10199</v>
      </c>
      <c r="E957" t="s">
        <v>39</v>
      </c>
      <c r="F957" t="s">
        <v>40</v>
      </c>
      <c r="H957">
        <v>510</v>
      </c>
      <c r="I957">
        <v>2</v>
      </c>
      <c r="J957">
        <v>0</v>
      </c>
      <c r="K957" t="s">
        <v>10200</v>
      </c>
      <c r="L957" t="s">
        <v>101</v>
      </c>
      <c r="N957">
        <v>0.79039999999999999</v>
      </c>
      <c r="O957" s="1">
        <v>1</v>
      </c>
      <c r="P957" t="s">
        <v>10201</v>
      </c>
      <c r="Q957" t="s">
        <v>10202</v>
      </c>
      <c r="R957" t="s">
        <v>10203</v>
      </c>
      <c r="S957" t="s">
        <v>947</v>
      </c>
      <c r="T957" t="s">
        <v>2666</v>
      </c>
      <c r="U957" t="s">
        <v>10204</v>
      </c>
      <c r="V957">
        <v>6</v>
      </c>
      <c r="W957" t="s">
        <v>10205</v>
      </c>
      <c r="Z957" t="s">
        <v>123</v>
      </c>
      <c r="AA957">
        <v>8</v>
      </c>
      <c r="AB957" t="s">
        <v>10206</v>
      </c>
      <c r="AC957" t="s">
        <v>10207</v>
      </c>
      <c r="AD957" t="s">
        <v>10208</v>
      </c>
      <c r="AE957" t="s">
        <v>48</v>
      </c>
      <c r="AF957" t="s">
        <v>10209</v>
      </c>
      <c r="AG957" t="s">
        <v>10210</v>
      </c>
      <c r="AH957" t="str">
        <f>HYPERLINK("http://compartments.jensenlab.org/Entity?figures=subcell_cell_%&amp;knowledge=10&amp;textmining=10&amp;experiments=10&amp;predictions=10&amp;type1=9606&amp;type2=-22&amp;id1=ENSP00000360248","link")</f>
        <v>link</v>
      </c>
      <c r="AJ957" t="s">
        <v>902</v>
      </c>
      <c r="AK957" t="str">
        <f>HYPERLINK("http://www.proteinatlas.org/P49961","CAB002494;HPA014067")</f>
        <v>CAB002494;HPA014067</v>
      </c>
      <c r="AM957">
        <v>953</v>
      </c>
    </row>
    <row r="958" spans="1:39" x14ac:dyDescent="0.35">
      <c r="A958" t="s">
        <v>10211</v>
      </c>
      <c r="B958" t="str">
        <f>HYPERLINK("http://www.uniprot.org/uniprot/P50052","P50052")</f>
        <v>P50052</v>
      </c>
      <c r="C958" t="s">
        <v>10212</v>
      </c>
      <c r="D958" t="s">
        <v>10213</v>
      </c>
      <c r="E958" t="s">
        <v>39</v>
      </c>
      <c r="F958" t="s">
        <v>55</v>
      </c>
      <c r="H958">
        <v>363</v>
      </c>
      <c r="I958">
        <v>7</v>
      </c>
      <c r="J958">
        <v>0</v>
      </c>
      <c r="K958" t="s">
        <v>10214</v>
      </c>
      <c r="L958" t="s">
        <v>101</v>
      </c>
      <c r="M958" t="s">
        <v>39</v>
      </c>
      <c r="N958">
        <v>0.97709999999999997</v>
      </c>
      <c r="O958" s="1">
        <v>1</v>
      </c>
      <c r="P958" t="s">
        <v>10215</v>
      </c>
      <c r="Q958" t="s">
        <v>10216</v>
      </c>
      <c r="S958" t="s">
        <v>166</v>
      </c>
      <c r="T958" t="s">
        <v>838</v>
      </c>
      <c r="U958" t="s">
        <v>10217</v>
      </c>
      <c r="V958">
        <v>5</v>
      </c>
      <c r="W958" t="s">
        <v>10217</v>
      </c>
      <c r="X958" t="s">
        <v>10218</v>
      </c>
      <c r="Z958" t="s">
        <v>107</v>
      </c>
      <c r="AA958">
        <v>1</v>
      </c>
      <c r="AB958" t="s">
        <v>10219</v>
      </c>
      <c r="AC958">
        <v>4</v>
      </c>
      <c r="AD958" t="s">
        <v>10220</v>
      </c>
      <c r="AE958" t="s">
        <v>74</v>
      </c>
      <c r="AF958" t="s">
        <v>967</v>
      </c>
      <c r="AG958" t="s">
        <v>10221</v>
      </c>
      <c r="AH958" t="str">
        <f>HYPERLINK("http://compartments.jensenlab.org/Entity?figures=subcell_cell_%&amp;knowledge=10&amp;textmining=10&amp;experiments=10&amp;predictions=10&amp;type1=9606&amp;type2=-22&amp;id1=ENSP00000360973","link")</f>
        <v>link</v>
      </c>
      <c r="AI958" t="s">
        <v>65</v>
      </c>
      <c r="AJ958" t="s">
        <v>902</v>
      </c>
      <c r="AK958" t="str">
        <f>HYPERLINK("http://www.proteinatlas.org/P50052","HPA029592")</f>
        <v>HPA029592</v>
      </c>
      <c r="AL958" t="s">
        <v>10222</v>
      </c>
      <c r="AM958">
        <v>186</v>
      </c>
    </row>
    <row r="959" spans="1:39" x14ac:dyDescent="0.35">
      <c r="A959" t="s">
        <v>10223</v>
      </c>
      <c r="B959" t="str">
        <f>HYPERLINK("http://www.uniprot.org/uniprot/P50281","P50281")</f>
        <v>P50281</v>
      </c>
      <c r="C959" t="s">
        <v>10224</v>
      </c>
      <c r="D959" t="s">
        <v>10225</v>
      </c>
      <c r="E959" t="s">
        <v>39</v>
      </c>
      <c r="F959" t="s">
        <v>40</v>
      </c>
      <c r="H959">
        <v>582</v>
      </c>
      <c r="I959">
        <v>1</v>
      </c>
      <c r="J959">
        <v>1</v>
      </c>
      <c r="K959" t="s">
        <v>10226</v>
      </c>
      <c r="L959" t="s">
        <v>57</v>
      </c>
      <c r="N959">
        <v>0.5948</v>
      </c>
      <c r="O959" s="1">
        <v>2</v>
      </c>
      <c r="P959" t="s">
        <v>10227</v>
      </c>
      <c r="Q959" t="s">
        <v>10228</v>
      </c>
      <c r="S959" t="s">
        <v>947</v>
      </c>
      <c r="T959" t="s">
        <v>1208</v>
      </c>
      <c r="U959">
        <v>130</v>
      </c>
      <c r="V959">
        <v>1</v>
      </c>
      <c r="W959" t="s">
        <v>10229</v>
      </c>
      <c r="X959" t="s">
        <v>10230</v>
      </c>
      <c r="AE959" t="s">
        <v>10231</v>
      </c>
      <c r="AF959" t="s">
        <v>10232</v>
      </c>
      <c r="AG959" t="s">
        <v>10233</v>
      </c>
      <c r="AH959" t="str">
        <f>HYPERLINK("http://compartments.jensenlab.org/Entity?figures=subcell_cell_%&amp;knowledge=10&amp;textmining=10&amp;experiments=10&amp;predictions=10&amp;type1=9606&amp;type2=-22&amp;id1=ENSP00000308208","link")</f>
        <v>link</v>
      </c>
      <c r="AJ959" t="s">
        <v>3228</v>
      </c>
      <c r="AK959" t="str">
        <f>HYPERLINK("http://www.proteinatlas.org/P50281","CAB009918;HPA051432")</f>
        <v>CAB009918;HPA051432</v>
      </c>
      <c r="AL959" t="s">
        <v>10234</v>
      </c>
      <c r="AM959">
        <v>4323</v>
      </c>
    </row>
    <row r="960" spans="1:39" x14ac:dyDescent="0.35">
      <c r="A960" t="s">
        <v>10235</v>
      </c>
      <c r="B960" t="str">
        <f>HYPERLINK("http://www.uniprot.org/uniprot/P50391","P50391")</f>
        <v>P50391</v>
      </c>
      <c r="C960" t="s">
        <v>10236</v>
      </c>
      <c r="D960" t="s">
        <v>10237</v>
      </c>
      <c r="E960" t="s">
        <v>39</v>
      </c>
      <c r="F960" t="s">
        <v>55</v>
      </c>
      <c r="H960">
        <v>375</v>
      </c>
      <c r="I960">
        <v>7</v>
      </c>
      <c r="J960">
        <v>0</v>
      </c>
      <c r="K960" t="s">
        <v>10238</v>
      </c>
      <c r="L960" t="s">
        <v>57</v>
      </c>
      <c r="M960" t="s">
        <v>39</v>
      </c>
      <c r="N960">
        <v>0.96430000000000005</v>
      </c>
      <c r="O960" s="1">
        <v>1</v>
      </c>
      <c r="P960" t="s">
        <v>10239</v>
      </c>
      <c r="Q960" t="s">
        <v>10240</v>
      </c>
      <c r="S960" t="s">
        <v>166</v>
      </c>
      <c r="T960" t="s">
        <v>838</v>
      </c>
      <c r="U960" t="s">
        <v>10241</v>
      </c>
      <c r="V960">
        <v>4</v>
      </c>
      <c r="W960" t="s">
        <v>10242</v>
      </c>
      <c r="AE960" t="s">
        <v>74</v>
      </c>
      <c r="AF960" t="s">
        <v>7241</v>
      </c>
      <c r="AG960" t="s">
        <v>10243</v>
      </c>
      <c r="AH960" t="str">
        <f>HYPERLINK("http://compartments.jensenlab.org/Entity?figures=subcell_cell_%&amp;knowledge=10&amp;textmining=10&amp;experiments=10&amp;predictions=10&amp;type1=9606&amp;type2=-22&amp;id1=ENSP00000363431","link")</f>
        <v>link</v>
      </c>
      <c r="AI960" t="s">
        <v>65</v>
      </c>
      <c r="AJ960" t="s">
        <v>51</v>
      </c>
      <c r="AK960" t="str">
        <f>HYPERLINK("http://www.proteinatlas.org/P50391","HPA027863")</f>
        <v>HPA027863</v>
      </c>
      <c r="AM960" t="s">
        <v>10244</v>
      </c>
    </row>
    <row r="961" spans="1:39" x14ac:dyDescent="0.35">
      <c r="A961" t="s">
        <v>10245</v>
      </c>
      <c r="B961" t="str">
        <f>HYPERLINK("http://www.uniprot.org/uniprot/P50406","P50406")</f>
        <v>P50406</v>
      </c>
      <c r="C961" t="s">
        <v>10246</v>
      </c>
      <c r="D961" t="s">
        <v>10247</v>
      </c>
      <c r="E961" t="s">
        <v>39</v>
      </c>
      <c r="F961" t="s">
        <v>55</v>
      </c>
      <c r="H961">
        <v>440</v>
      </c>
      <c r="I961">
        <v>7</v>
      </c>
      <c r="J961">
        <v>0</v>
      </c>
      <c r="K961" t="s">
        <v>10248</v>
      </c>
      <c r="L961" t="s">
        <v>57</v>
      </c>
      <c r="M961" t="s">
        <v>39</v>
      </c>
      <c r="N961">
        <v>0.93049999999999999</v>
      </c>
      <c r="O961" s="1">
        <v>1</v>
      </c>
      <c r="P961" t="s">
        <v>10249</v>
      </c>
      <c r="Q961" t="s">
        <v>10250</v>
      </c>
      <c r="S961" t="s">
        <v>166</v>
      </c>
      <c r="T961" t="s">
        <v>838</v>
      </c>
      <c r="U961" t="s">
        <v>10251</v>
      </c>
      <c r="V961">
        <v>1</v>
      </c>
      <c r="W961" t="s">
        <v>10252</v>
      </c>
      <c r="AE961" t="s">
        <v>74</v>
      </c>
      <c r="AF961" t="s">
        <v>9608</v>
      </c>
      <c r="AG961" t="s">
        <v>10253</v>
      </c>
      <c r="AH961" t="str">
        <f>HYPERLINK("http://compartments.jensenlab.org/Entity?figures=subcell_cell_%&amp;knowledge=10&amp;textmining=10&amp;experiments=10&amp;predictions=10&amp;type1=9606&amp;type2=-22&amp;id1=ENSP00000289753","link")</f>
        <v>link</v>
      </c>
      <c r="AI961" t="s">
        <v>65</v>
      </c>
      <c r="AJ961" t="s">
        <v>51</v>
      </c>
      <c r="AK961" t="str">
        <f>HYPERLINK("http://www.proteinatlas.org/P50406","no")</f>
        <v>no</v>
      </c>
      <c r="AL961" t="s">
        <v>10254</v>
      </c>
      <c r="AM961">
        <v>3362</v>
      </c>
    </row>
    <row r="962" spans="1:39" x14ac:dyDescent="0.35">
      <c r="A962" t="s">
        <v>10255</v>
      </c>
      <c r="B962" t="str">
        <f>HYPERLINK("http://www.uniprot.org/uniprot/P50443","P50443")</f>
        <v>P50443</v>
      </c>
      <c r="C962" t="s">
        <v>10256</v>
      </c>
      <c r="D962" t="s">
        <v>10257</v>
      </c>
      <c r="E962" t="s">
        <v>39</v>
      </c>
      <c r="F962" t="s">
        <v>40</v>
      </c>
      <c r="H962">
        <v>739</v>
      </c>
      <c r="I962">
        <v>12</v>
      </c>
      <c r="J962">
        <v>0</v>
      </c>
      <c r="K962" t="s">
        <v>10258</v>
      </c>
      <c r="L962" t="s">
        <v>101</v>
      </c>
      <c r="N962">
        <v>0.74650000000000005</v>
      </c>
      <c r="O962" s="1">
        <v>2</v>
      </c>
      <c r="P962" t="s">
        <v>10259</v>
      </c>
      <c r="Q962" t="s">
        <v>10260</v>
      </c>
      <c r="S962" t="s">
        <v>45</v>
      </c>
      <c r="T962" t="s">
        <v>1861</v>
      </c>
      <c r="U962" t="s">
        <v>10261</v>
      </c>
      <c r="V962">
        <v>3</v>
      </c>
      <c r="W962" t="s">
        <v>10262</v>
      </c>
      <c r="Z962" t="s">
        <v>123</v>
      </c>
      <c r="AA962">
        <v>10</v>
      </c>
      <c r="AB962" t="s">
        <v>10263</v>
      </c>
      <c r="AC962" t="s">
        <v>10264</v>
      </c>
      <c r="AD962" t="s">
        <v>10265</v>
      </c>
      <c r="AE962" t="s">
        <v>48</v>
      </c>
      <c r="AF962" t="s">
        <v>10266</v>
      </c>
      <c r="AG962" t="s">
        <v>10267</v>
      </c>
      <c r="AH962" t="str">
        <f>HYPERLINK("http://compartments.jensenlab.org/Entity?figures=subcell_cell_%&amp;knowledge=10&amp;textmining=10&amp;experiments=10&amp;predictions=10&amp;type1=9606&amp;type2=-22&amp;id1=ENSP00000286298","link")</f>
        <v>link</v>
      </c>
      <c r="AJ962" t="s">
        <v>51</v>
      </c>
      <c r="AK962" t="str">
        <f>HYPERLINK("http://www.proteinatlas.org/P50443","HPA041957")</f>
        <v>HPA041957</v>
      </c>
      <c r="AM962">
        <v>1836</v>
      </c>
    </row>
    <row r="963" spans="1:39" x14ac:dyDescent="0.35">
      <c r="A963" t="s">
        <v>10268</v>
      </c>
      <c r="B963" t="str">
        <f>HYPERLINK("http://www.uniprot.org/uniprot/P50895","P50895")</f>
        <v>P50895</v>
      </c>
      <c r="C963" t="s">
        <v>10269</v>
      </c>
      <c r="D963" t="s">
        <v>10270</v>
      </c>
      <c r="E963" t="s">
        <v>39</v>
      </c>
      <c r="F963" t="s">
        <v>40</v>
      </c>
      <c r="H963">
        <v>628</v>
      </c>
      <c r="I963">
        <v>1</v>
      </c>
      <c r="J963">
        <v>1</v>
      </c>
      <c r="K963" t="s">
        <v>10271</v>
      </c>
      <c r="L963" t="s">
        <v>101</v>
      </c>
      <c r="N963">
        <v>0.91820000000000002</v>
      </c>
      <c r="O963" s="1">
        <v>1</v>
      </c>
      <c r="P963" t="s">
        <v>10272</v>
      </c>
      <c r="Q963" t="s">
        <v>10273</v>
      </c>
      <c r="R963" t="s">
        <v>10274</v>
      </c>
      <c r="S963" t="s">
        <v>91</v>
      </c>
      <c r="T963" t="s">
        <v>555</v>
      </c>
      <c r="U963" t="s">
        <v>10275</v>
      </c>
      <c r="V963">
        <v>5</v>
      </c>
      <c r="W963" t="s">
        <v>10275</v>
      </c>
      <c r="Z963" t="s">
        <v>107</v>
      </c>
      <c r="AA963">
        <v>4</v>
      </c>
      <c r="AB963" t="s">
        <v>10276</v>
      </c>
      <c r="AC963" t="s">
        <v>10277</v>
      </c>
      <c r="AD963" t="s">
        <v>10278</v>
      </c>
      <c r="AE963" t="s">
        <v>144</v>
      </c>
      <c r="AF963" t="s">
        <v>10279</v>
      </c>
      <c r="AG963" t="s">
        <v>10280</v>
      </c>
      <c r="AH963" t="str">
        <f>HYPERLINK("http://compartments.jensenlab.org/Entity?figures=subcell_cell_%&amp;knowledge=10&amp;textmining=10&amp;experiments=10&amp;predictions=10&amp;type1=9606&amp;type2=-22&amp;id1=ENSP00000270233","link")</f>
        <v>link</v>
      </c>
      <c r="AJ963" t="s">
        <v>51</v>
      </c>
      <c r="AK963" t="str">
        <f>HYPERLINK("http://www.proteinatlas.org/P50895","HPA005654")</f>
        <v>HPA005654</v>
      </c>
      <c r="AM963">
        <v>4059</v>
      </c>
    </row>
    <row r="964" spans="1:39" x14ac:dyDescent="0.35">
      <c r="A964" t="s">
        <v>10281</v>
      </c>
      <c r="B964" t="str">
        <f>HYPERLINK("http://www.uniprot.org/uniprot/P50993","P50993")</f>
        <v>P50993</v>
      </c>
      <c r="C964" t="s">
        <v>10282</v>
      </c>
      <c r="D964" t="s">
        <v>10283</v>
      </c>
      <c r="E964" t="s">
        <v>39</v>
      </c>
      <c r="F964" t="s">
        <v>40</v>
      </c>
      <c r="H964">
        <v>1020</v>
      </c>
      <c r="I964">
        <v>10</v>
      </c>
      <c r="J964">
        <v>0</v>
      </c>
      <c r="K964" t="s">
        <v>10284</v>
      </c>
      <c r="L964" t="s">
        <v>57</v>
      </c>
      <c r="N964">
        <v>0.65069999999999995</v>
      </c>
      <c r="O964" s="1">
        <v>2</v>
      </c>
      <c r="P964" t="s">
        <v>10285</v>
      </c>
      <c r="Q964" t="s">
        <v>10286</v>
      </c>
      <c r="S964" t="s">
        <v>45</v>
      </c>
      <c r="T964" t="s">
        <v>3982</v>
      </c>
      <c r="U964" t="s">
        <v>10287</v>
      </c>
      <c r="V964">
        <v>0</v>
      </c>
      <c r="AE964" t="s">
        <v>1863</v>
      </c>
      <c r="AF964" t="s">
        <v>10288</v>
      </c>
      <c r="AG964" t="s">
        <v>10289</v>
      </c>
      <c r="AH964" t="str">
        <f>HYPERLINK("http://compartments.jensenlab.org/Entity?figures=subcell_cell_%&amp;knowledge=10&amp;textmining=10&amp;experiments=10&amp;predictions=10&amp;type1=9606&amp;type2=-22&amp;id1=ENSP00000354490","link")</f>
        <v>link</v>
      </c>
      <c r="AI964" t="s">
        <v>65</v>
      </c>
      <c r="AJ964" t="s">
        <v>2124</v>
      </c>
      <c r="AK964" t="str">
        <f>HYPERLINK("http://www.proteinatlas.org/P50993","CAB022230")</f>
        <v>CAB022230</v>
      </c>
      <c r="AM964">
        <v>477</v>
      </c>
    </row>
    <row r="965" spans="1:39" x14ac:dyDescent="0.35">
      <c r="A965" t="s">
        <v>10290</v>
      </c>
      <c r="B965" t="str">
        <f>HYPERLINK("http://www.uniprot.org/uniprot/P51164","P51164")</f>
        <v>P51164</v>
      </c>
      <c r="C965" t="s">
        <v>10291</v>
      </c>
      <c r="D965" t="s">
        <v>10292</v>
      </c>
      <c r="E965" t="s">
        <v>39</v>
      </c>
      <c r="F965" t="s">
        <v>40</v>
      </c>
      <c r="H965">
        <v>291</v>
      </c>
      <c r="I965">
        <v>1</v>
      </c>
      <c r="J965">
        <v>0</v>
      </c>
      <c r="K965" t="s">
        <v>10293</v>
      </c>
      <c r="L965" t="s">
        <v>57</v>
      </c>
      <c r="N965">
        <v>0.61280000000000001</v>
      </c>
      <c r="O965" s="1">
        <v>2</v>
      </c>
      <c r="P965" t="s">
        <v>10294</v>
      </c>
      <c r="Q965" t="s">
        <v>10295</v>
      </c>
      <c r="S965" t="s">
        <v>45</v>
      </c>
      <c r="T965" t="s">
        <v>3995</v>
      </c>
      <c r="U965" t="s">
        <v>10296</v>
      </c>
      <c r="V965">
        <v>7</v>
      </c>
      <c r="AE965" t="s">
        <v>764</v>
      </c>
      <c r="AF965" t="s">
        <v>10297</v>
      </c>
      <c r="AG965" t="s">
        <v>10298</v>
      </c>
      <c r="AH965" t="str">
        <f>HYPERLINK("http://compartments.jensenlab.org/Entity?figures=subcell_cell_%&amp;knowledge=10&amp;textmining=10&amp;experiments=10&amp;predictions=10&amp;type1=9606&amp;type2=-22&amp;id1=ENSP00000334216","link")</f>
        <v>link</v>
      </c>
      <c r="AJ965" t="s">
        <v>51</v>
      </c>
      <c r="AK965" t="str">
        <f>HYPERLINK("http://www.proteinatlas.org/P51164","CAB005598;HPA045400;HPA052649")</f>
        <v>CAB005598;HPA045400;HPA052649</v>
      </c>
      <c r="AM965">
        <v>496</v>
      </c>
    </row>
    <row r="966" spans="1:39" x14ac:dyDescent="0.35">
      <c r="A966" t="s">
        <v>10299</v>
      </c>
      <c r="B966" t="str">
        <f>HYPERLINK("http://www.uniprot.org/uniprot/P51168","P51168")</f>
        <v>P51168</v>
      </c>
      <c r="C966" t="s">
        <v>10300</v>
      </c>
      <c r="D966" t="s">
        <v>10301</v>
      </c>
      <c r="E966" t="s">
        <v>39</v>
      </c>
      <c r="F966" t="s">
        <v>55</v>
      </c>
      <c r="H966">
        <v>640</v>
      </c>
      <c r="I966">
        <v>2</v>
      </c>
      <c r="J966">
        <v>0</v>
      </c>
      <c r="K966" t="s">
        <v>10302</v>
      </c>
      <c r="L966" t="s">
        <v>57</v>
      </c>
      <c r="M966" t="s">
        <v>39</v>
      </c>
      <c r="N966">
        <v>0.8105</v>
      </c>
      <c r="O966" s="1">
        <v>1</v>
      </c>
      <c r="P966" t="s">
        <v>10303</v>
      </c>
      <c r="Q966" t="s">
        <v>10304</v>
      </c>
      <c r="S966" t="s">
        <v>60</v>
      </c>
      <c r="T966" t="s">
        <v>60</v>
      </c>
      <c r="U966" t="s">
        <v>10305</v>
      </c>
      <c r="V966">
        <v>11</v>
      </c>
      <c r="W966" t="s">
        <v>10306</v>
      </c>
      <c r="AE966" t="s">
        <v>10045</v>
      </c>
      <c r="AF966" t="s">
        <v>10307</v>
      </c>
      <c r="AG966" t="s">
        <v>10308</v>
      </c>
      <c r="AH966" t="str">
        <f>HYPERLINK("http://compartments.jensenlab.org/Entity?figures=subcell_cell_%&amp;knowledge=10&amp;textmining=10&amp;experiments=10&amp;predictions=10&amp;type1=9606&amp;type2=-22&amp;id1=ENSP00000345751","link")</f>
        <v>link</v>
      </c>
      <c r="AI966" t="s">
        <v>65</v>
      </c>
      <c r="AJ966" t="s">
        <v>51</v>
      </c>
      <c r="AK966" t="str">
        <f>HYPERLINK("http://www.proteinatlas.org/P51168","HPA015612")</f>
        <v>HPA015612</v>
      </c>
      <c r="AL966" t="s">
        <v>8891</v>
      </c>
      <c r="AM966">
        <v>6338</v>
      </c>
    </row>
    <row r="967" spans="1:39" x14ac:dyDescent="0.35">
      <c r="A967" t="s">
        <v>10309</v>
      </c>
      <c r="B967" t="str">
        <f>HYPERLINK("http://www.uniprot.org/uniprot/P51170","P51170")</f>
        <v>P51170</v>
      </c>
      <c r="C967" t="s">
        <v>10310</v>
      </c>
      <c r="D967" t="s">
        <v>10311</v>
      </c>
      <c r="E967" t="s">
        <v>39</v>
      </c>
      <c r="F967" t="s">
        <v>55</v>
      </c>
      <c r="H967">
        <v>649</v>
      </c>
      <c r="I967">
        <v>2</v>
      </c>
      <c r="J967">
        <v>0</v>
      </c>
      <c r="K967" t="s">
        <v>10312</v>
      </c>
      <c r="L967" t="s">
        <v>57</v>
      </c>
      <c r="M967" t="s">
        <v>39</v>
      </c>
      <c r="N967">
        <v>0.79569999999999996</v>
      </c>
      <c r="O967" s="1">
        <v>1</v>
      </c>
      <c r="P967" t="s">
        <v>10313</v>
      </c>
      <c r="Q967" t="s">
        <v>10314</v>
      </c>
      <c r="S967" t="s">
        <v>60</v>
      </c>
      <c r="T967" t="s">
        <v>60</v>
      </c>
      <c r="U967" t="s">
        <v>10315</v>
      </c>
      <c r="V967">
        <v>5</v>
      </c>
      <c r="W967" t="s">
        <v>10315</v>
      </c>
      <c r="Y967">
        <v>572</v>
      </c>
      <c r="AE967" t="s">
        <v>10045</v>
      </c>
      <c r="AF967" t="s">
        <v>10316</v>
      </c>
      <c r="AG967" t="s">
        <v>10317</v>
      </c>
      <c r="AH967" t="str">
        <f>HYPERLINK("http://compartments.jensenlab.org/Entity?figures=subcell_cell_%&amp;knowledge=10&amp;textmining=10&amp;experiments=10&amp;predictions=10&amp;type1=9606&amp;type2=-22&amp;id1=ENSP00000300061","link")</f>
        <v>link</v>
      </c>
      <c r="AI967" t="s">
        <v>65</v>
      </c>
      <c r="AJ967" t="s">
        <v>51</v>
      </c>
      <c r="AK967" t="str">
        <f>HYPERLINK("http://www.proteinatlas.org/P51170","no")</f>
        <v>no</v>
      </c>
      <c r="AL967" t="s">
        <v>8891</v>
      </c>
      <c r="AM967">
        <v>6340</v>
      </c>
    </row>
    <row r="968" spans="1:39" x14ac:dyDescent="0.35">
      <c r="A968" t="s">
        <v>10318</v>
      </c>
      <c r="B968" t="str">
        <f>HYPERLINK("http://www.uniprot.org/uniprot/P51172","P51172")</f>
        <v>P51172</v>
      </c>
      <c r="C968" t="s">
        <v>10319</v>
      </c>
      <c r="D968" t="s">
        <v>10320</v>
      </c>
      <c r="E968" t="s">
        <v>39</v>
      </c>
      <c r="F968" t="s">
        <v>55</v>
      </c>
      <c r="H968">
        <v>638</v>
      </c>
      <c r="I968">
        <v>2</v>
      </c>
      <c r="J968">
        <v>0</v>
      </c>
      <c r="K968" t="s">
        <v>10321</v>
      </c>
      <c r="L968" t="s">
        <v>101</v>
      </c>
      <c r="M968" t="s">
        <v>39</v>
      </c>
      <c r="N968">
        <v>0.47899999999999998</v>
      </c>
      <c r="O968" s="1">
        <v>3</v>
      </c>
      <c r="P968" t="s">
        <v>10322</v>
      </c>
      <c r="Q968" t="s">
        <v>10323</v>
      </c>
      <c r="S968" t="s">
        <v>60</v>
      </c>
      <c r="T968" t="s">
        <v>60</v>
      </c>
      <c r="U968" t="s">
        <v>10324</v>
      </c>
      <c r="V968">
        <v>4</v>
      </c>
      <c r="Y968">
        <v>569</v>
      </c>
      <c r="Z968" t="s">
        <v>107</v>
      </c>
      <c r="AA968">
        <v>1</v>
      </c>
      <c r="AB968" t="s">
        <v>10325</v>
      </c>
      <c r="AC968">
        <v>166</v>
      </c>
      <c r="AD968" t="s">
        <v>10326</v>
      </c>
      <c r="AE968" t="s">
        <v>74</v>
      </c>
      <c r="AF968" t="s">
        <v>10327</v>
      </c>
      <c r="AG968" t="s">
        <v>10328</v>
      </c>
      <c r="AH968" t="str">
        <f>HYPERLINK("http://compartments.jensenlab.org/Entity?figures=subcell_cell_%&amp;knowledge=10&amp;textmining=10&amp;experiments=10&amp;predictions=10&amp;type1=9606&amp;type2=-22&amp;id1=ENSP00000339504","link")</f>
        <v>link</v>
      </c>
      <c r="AK968" t="str">
        <f>HYPERLINK("http://www.proteinatlas.org/P51172","CAB009540;HPA026884")</f>
        <v>CAB009540;HPA026884</v>
      </c>
      <c r="AL968" t="s">
        <v>8891</v>
      </c>
      <c r="AM968">
        <v>6339</v>
      </c>
    </row>
    <row r="969" spans="1:39" x14ac:dyDescent="0.35">
      <c r="A969" t="s">
        <v>10329</v>
      </c>
      <c r="B969" t="str">
        <f>HYPERLINK("http://www.uniprot.org/uniprot/P51512","P51512")</f>
        <v>P51512</v>
      </c>
      <c r="C969" t="s">
        <v>10330</v>
      </c>
      <c r="D969" t="s">
        <v>10331</v>
      </c>
      <c r="E969" t="s">
        <v>39</v>
      </c>
      <c r="F969" t="s">
        <v>40</v>
      </c>
      <c r="H969">
        <v>607</v>
      </c>
      <c r="I969">
        <v>1</v>
      </c>
      <c r="J969">
        <v>1</v>
      </c>
      <c r="K969" t="s">
        <v>10332</v>
      </c>
      <c r="L969" t="s">
        <v>57</v>
      </c>
      <c r="N969">
        <v>0.78039999999999998</v>
      </c>
      <c r="O969" s="1">
        <v>1</v>
      </c>
      <c r="P969" t="s">
        <v>10333</v>
      </c>
      <c r="Q969" t="s">
        <v>10334</v>
      </c>
      <c r="S969" t="s">
        <v>947</v>
      </c>
      <c r="T969" t="s">
        <v>1208</v>
      </c>
      <c r="U969" t="s">
        <v>10335</v>
      </c>
      <c r="V969">
        <v>3</v>
      </c>
      <c r="W969" t="s">
        <v>10335</v>
      </c>
      <c r="AE969" t="s">
        <v>10336</v>
      </c>
      <c r="AF969" t="s">
        <v>10337</v>
      </c>
      <c r="AG969" t="s">
        <v>10338</v>
      </c>
      <c r="AH969" t="str">
        <f>HYPERLINK("http://compartments.jensenlab.org/Entity?figures=subcell_cell_%&amp;knowledge=10&amp;textmining=10&amp;experiments=10&amp;predictions=10&amp;type1=9606&amp;type2=-22&amp;id1=ENSP00000286614","link")</f>
        <v>link</v>
      </c>
      <c r="AI969" t="s">
        <v>1058</v>
      </c>
      <c r="AJ969" t="s">
        <v>7201</v>
      </c>
      <c r="AK969" t="str">
        <f>HYPERLINK("http://www.proteinatlas.org/P51512","HPA023693")</f>
        <v>HPA023693</v>
      </c>
      <c r="AL969" t="s">
        <v>10234</v>
      </c>
      <c r="AM969">
        <v>4325</v>
      </c>
    </row>
    <row r="970" spans="1:39" x14ac:dyDescent="0.35">
      <c r="A970" t="s">
        <v>10339</v>
      </c>
      <c r="B970" t="str">
        <f>HYPERLINK("http://www.uniprot.org/uniprot/P51575","P51575")</f>
        <v>P51575</v>
      </c>
      <c r="C970" t="s">
        <v>10340</v>
      </c>
      <c r="D970" t="s">
        <v>10341</v>
      </c>
      <c r="E970" t="s">
        <v>39</v>
      </c>
      <c r="F970" t="s">
        <v>40</v>
      </c>
      <c r="H970">
        <v>399</v>
      </c>
      <c r="I970">
        <v>2</v>
      </c>
      <c r="J970">
        <v>0</v>
      </c>
      <c r="K970" t="s">
        <v>10342</v>
      </c>
      <c r="L970" t="s">
        <v>101</v>
      </c>
      <c r="N970">
        <v>0.75849999999999995</v>
      </c>
      <c r="O970" s="1">
        <v>1</v>
      </c>
      <c r="P970" t="s">
        <v>10343</v>
      </c>
      <c r="Q970" t="s">
        <v>10344</v>
      </c>
      <c r="S970" t="s">
        <v>45</v>
      </c>
      <c r="T970" t="s">
        <v>1644</v>
      </c>
      <c r="U970" t="s">
        <v>10345</v>
      </c>
      <c r="V970">
        <v>5</v>
      </c>
      <c r="W970" t="s">
        <v>10345</v>
      </c>
      <c r="Z970" t="s">
        <v>123</v>
      </c>
      <c r="AA970">
        <v>1</v>
      </c>
      <c r="AB970" t="s">
        <v>10346</v>
      </c>
      <c r="AC970">
        <v>300</v>
      </c>
      <c r="AD970" t="s">
        <v>10347</v>
      </c>
      <c r="AE970" t="s">
        <v>48</v>
      </c>
      <c r="AF970" t="s">
        <v>10348</v>
      </c>
      <c r="AG970" t="s">
        <v>10349</v>
      </c>
      <c r="AH970" t="str">
        <f>HYPERLINK("http://compartments.jensenlab.org/Entity?figures=subcell_cell_%&amp;knowledge=10&amp;textmining=10&amp;experiments=10&amp;predictions=10&amp;type1=9606&amp;type2=-22&amp;id1=ENSP00000225538","link")</f>
        <v>link</v>
      </c>
      <c r="AJ970" t="s">
        <v>51</v>
      </c>
      <c r="AK970" t="str">
        <f>HYPERLINK("http://www.proteinatlas.org/P51575","CAB006813")</f>
        <v>CAB006813</v>
      </c>
      <c r="AM970">
        <v>5023</v>
      </c>
    </row>
    <row r="971" spans="1:39" x14ac:dyDescent="0.35">
      <c r="A971" t="s">
        <v>10350</v>
      </c>
      <c r="B971" t="str">
        <f>HYPERLINK("http://www.uniprot.org/uniprot/P51582","P51582")</f>
        <v>P51582</v>
      </c>
      <c r="C971" t="s">
        <v>10351</v>
      </c>
      <c r="D971" t="s">
        <v>10352</v>
      </c>
      <c r="E971" t="s">
        <v>39</v>
      </c>
      <c r="F971" t="s">
        <v>55</v>
      </c>
      <c r="H971">
        <v>365</v>
      </c>
      <c r="I971">
        <v>7</v>
      </c>
      <c r="J971">
        <v>0</v>
      </c>
      <c r="K971" t="s">
        <v>10353</v>
      </c>
      <c r="L971" t="s">
        <v>57</v>
      </c>
      <c r="M971" t="s">
        <v>39</v>
      </c>
      <c r="N971">
        <v>0.73939999999999995</v>
      </c>
      <c r="O971" s="1">
        <v>2</v>
      </c>
      <c r="P971" t="s">
        <v>10354</v>
      </c>
      <c r="Q971" t="s">
        <v>10355</v>
      </c>
      <c r="S971" t="s">
        <v>166</v>
      </c>
      <c r="T971" t="s">
        <v>838</v>
      </c>
      <c r="V971">
        <v>0</v>
      </c>
      <c r="AE971" t="s">
        <v>74</v>
      </c>
      <c r="AF971" t="s">
        <v>10356</v>
      </c>
      <c r="AG971" t="s">
        <v>10357</v>
      </c>
      <c r="AH971" t="str">
        <f>HYPERLINK("http://compartments.jensenlab.org/Entity?figures=subcell_cell_%&amp;knowledge=10&amp;textmining=10&amp;experiments=10&amp;predictions=10&amp;type1=9606&amp;type2=-22&amp;id1=ENSP00000363643","link")</f>
        <v>link</v>
      </c>
      <c r="AI971" t="s">
        <v>65</v>
      </c>
      <c r="AJ971" t="s">
        <v>51</v>
      </c>
      <c r="AK971" t="str">
        <f>HYPERLINK("http://www.proteinatlas.org/P51582","CAB022644")</f>
        <v>CAB022644</v>
      </c>
      <c r="AM971">
        <v>5030</v>
      </c>
    </row>
    <row r="972" spans="1:39" x14ac:dyDescent="0.35">
      <c r="A972" t="s">
        <v>10358</v>
      </c>
      <c r="B972" t="str">
        <f>HYPERLINK("http://www.uniprot.org/uniprot/P51654","P51654")</f>
        <v>P51654</v>
      </c>
      <c r="C972" t="s">
        <v>10359</v>
      </c>
      <c r="D972" t="s">
        <v>10360</v>
      </c>
      <c r="E972" t="s">
        <v>39</v>
      </c>
      <c r="F972" t="s">
        <v>239</v>
      </c>
      <c r="H972">
        <v>580</v>
      </c>
      <c r="I972">
        <v>0</v>
      </c>
      <c r="J972">
        <v>1</v>
      </c>
      <c r="K972" t="s">
        <v>10361</v>
      </c>
      <c r="L972" t="s">
        <v>57</v>
      </c>
      <c r="N972">
        <v>0.67069999999999996</v>
      </c>
      <c r="O972" s="1" t="s">
        <v>241</v>
      </c>
      <c r="P972" t="s">
        <v>10362</v>
      </c>
      <c r="Q972" t="s">
        <v>10363</v>
      </c>
      <c r="U972" t="s">
        <v>10364</v>
      </c>
      <c r="V972">
        <v>3</v>
      </c>
      <c r="W972" t="s">
        <v>10364</v>
      </c>
      <c r="AE972" t="s">
        <v>2731</v>
      </c>
      <c r="AF972" t="s">
        <v>10365</v>
      </c>
      <c r="AG972" t="s">
        <v>10366</v>
      </c>
      <c r="AH972" t="str">
        <f>HYPERLINK("http://compartments.jensenlab.org/Entity?figures=subcell_cell_%&amp;knowledge=10&amp;textmining=10&amp;experiments=10&amp;predictions=10&amp;type1=9606&amp;type2=-22&amp;id1=ENSP00000359854","link")</f>
        <v>link</v>
      </c>
      <c r="AI972" t="s">
        <v>65</v>
      </c>
      <c r="AJ972" t="s">
        <v>7545</v>
      </c>
      <c r="AK972" t="str">
        <f>HYPERLINK("http://www.proteinatlas.org/P51654","HPA006316;CAB017784")</f>
        <v>HPA006316;CAB017784</v>
      </c>
      <c r="AM972">
        <v>2719</v>
      </c>
    </row>
    <row r="973" spans="1:39" x14ac:dyDescent="0.35">
      <c r="A973" t="s">
        <v>10367</v>
      </c>
      <c r="B973" t="str">
        <f>HYPERLINK("http://www.uniprot.org/uniprot/P51674","P51674")</f>
        <v>P51674</v>
      </c>
      <c r="C973" t="s">
        <v>10368</v>
      </c>
      <c r="D973" t="s">
        <v>10369</v>
      </c>
      <c r="E973" t="s">
        <v>39</v>
      </c>
      <c r="F973" t="s">
        <v>40</v>
      </c>
      <c r="H973">
        <v>278</v>
      </c>
      <c r="I973">
        <v>4</v>
      </c>
      <c r="J973">
        <v>0</v>
      </c>
      <c r="K973" t="s">
        <v>10370</v>
      </c>
      <c r="L973" t="s">
        <v>57</v>
      </c>
      <c r="N973">
        <v>0.84430000000000005</v>
      </c>
      <c r="O973" s="1">
        <v>1</v>
      </c>
      <c r="P973" t="s">
        <v>10371</v>
      </c>
      <c r="Q973" t="s">
        <v>10372</v>
      </c>
      <c r="S973" t="s">
        <v>60</v>
      </c>
      <c r="T973" t="s">
        <v>60</v>
      </c>
      <c r="U973" t="s">
        <v>10373</v>
      </c>
      <c r="V973">
        <v>2</v>
      </c>
      <c r="W973" t="s">
        <v>10373</v>
      </c>
      <c r="AE973" t="s">
        <v>10374</v>
      </c>
      <c r="AF973" t="s">
        <v>10375</v>
      </c>
      <c r="AG973" t="s">
        <v>10376</v>
      </c>
      <c r="AH973" t="str">
        <f>HYPERLINK("http://compartments.jensenlab.org/Entity?figures=subcell_cell_%&amp;knowledge=10&amp;textmining=10&amp;experiments=10&amp;predictions=10&amp;type1=9606&amp;type2=-22&amp;id1=ENSP00000280187","link")</f>
        <v>link</v>
      </c>
      <c r="AI973" t="s">
        <v>65</v>
      </c>
      <c r="AJ973" t="s">
        <v>51</v>
      </c>
      <c r="AK973" t="str">
        <f>HYPERLINK("http://www.proteinatlas.org/P51674","HPA017338")</f>
        <v>HPA017338</v>
      </c>
      <c r="AM973">
        <v>2823</v>
      </c>
    </row>
    <row r="974" spans="1:39" x14ac:dyDescent="0.35">
      <c r="A974" t="s">
        <v>10377</v>
      </c>
      <c r="B974" t="str">
        <f>HYPERLINK("http://www.uniprot.org/uniprot/P51677","P51677")</f>
        <v>P51677</v>
      </c>
      <c r="C974" t="s">
        <v>10378</v>
      </c>
      <c r="D974" t="s">
        <v>10379</v>
      </c>
      <c r="E974" t="s">
        <v>39</v>
      </c>
      <c r="F974" t="s">
        <v>40</v>
      </c>
      <c r="H974">
        <v>355</v>
      </c>
      <c r="I974">
        <v>7</v>
      </c>
      <c r="J974">
        <v>0</v>
      </c>
      <c r="K974" t="s">
        <v>10380</v>
      </c>
      <c r="L974" t="s">
        <v>57</v>
      </c>
      <c r="N974">
        <v>0.73850000000000005</v>
      </c>
      <c r="O974" s="1">
        <v>2</v>
      </c>
      <c r="P974" t="s">
        <v>10381</v>
      </c>
      <c r="Q974" t="s">
        <v>10382</v>
      </c>
      <c r="R974" t="s">
        <v>10383</v>
      </c>
      <c r="S974" t="s">
        <v>166</v>
      </c>
      <c r="T974" t="s">
        <v>838</v>
      </c>
      <c r="V974">
        <v>0</v>
      </c>
      <c r="X974" t="s">
        <v>10384</v>
      </c>
      <c r="AE974" t="s">
        <v>74</v>
      </c>
      <c r="AF974" t="s">
        <v>10385</v>
      </c>
      <c r="AG974" t="s">
        <v>10386</v>
      </c>
      <c r="AH974" t="str">
        <f>HYPERLINK("http://compartments.jensenlab.org/Entity?figures=subcell_cell_%&amp;knowledge=10&amp;textmining=10&amp;experiments=10&amp;predictions=10&amp;type1=9606&amp;type2=-22&amp;id1=ENSP00000350003","link")</f>
        <v>link</v>
      </c>
      <c r="AI974" t="s">
        <v>65</v>
      </c>
      <c r="AJ974" t="s">
        <v>3634</v>
      </c>
      <c r="AK974" t="str">
        <f>HYPERLINK("http://www.proteinatlas.org/P51677","CAB003795")</f>
        <v>CAB003795</v>
      </c>
      <c r="AM974">
        <v>1232</v>
      </c>
    </row>
    <row r="975" spans="1:39" x14ac:dyDescent="0.35">
      <c r="A975" t="s">
        <v>10387</v>
      </c>
      <c r="B975" t="str">
        <f>HYPERLINK("http://www.uniprot.org/uniprot/P51679","P51679")</f>
        <v>P51679</v>
      </c>
      <c r="C975" t="s">
        <v>10388</v>
      </c>
      <c r="D975" t="s">
        <v>10389</v>
      </c>
      <c r="E975" t="s">
        <v>39</v>
      </c>
      <c r="F975" t="s">
        <v>55</v>
      </c>
      <c r="H975">
        <v>360</v>
      </c>
      <c r="I975">
        <v>7</v>
      </c>
      <c r="J975">
        <v>0</v>
      </c>
      <c r="K975" t="s">
        <v>10390</v>
      </c>
      <c r="L975" t="s">
        <v>101</v>
      </c>
      <c r="M975" t="s">
        <v>39</v>
      </c>
      <c r="N975">
        <v>0.9798</v>
      </c>
      <c r="O975" s="1">
        <v>1</v>
      </c>
      <c r="P975" t="s">
        <v>10391</v>
      </c>
      <c r="Q975" t="s">
        <v>10392</v>
      </c>
      <c r="R975" t="s">
        <v>10393</v>
      </c>
      <c r="S975" t="s">
        <v>166</v>
      </c>
      <c r="T975" t="s">
        <v>838</v>
      </c>
      <c r="U975" t="s">
        <v>10394</v>
      </c>
      <c r="V975">
        <v>2</v>
      </c>
      <c r="W975" t="s">
        <v>10395</v>
      </c>
      <c r="X975" t="s">
        <v>10396</v>
      </c>
      <c r="Z975" t="s">
        <v>107</v>
      </c>
      <c r="AA975">
        <v>1</v>
      </c>
      <c r="AB975" t="s">
        <v>10397</v>
      </c>
      <c r="AC975">
        <v>194</v>
      </c>
      <c r="AD975" t="s">
        <v>10398</v>
      </c>
      <c r="AE975" t="s">
        <v>74</v>
      </c>
      <c r="AF975" t="s">
        <v>8350</v>
      </c>
      <c r="AG975" t="s">
        <v>10399</v>
      </c>
      <c r="AH975" t="str">
        <f>HYPERLINK("http://compartments.jensenlab.org/Entity?figures=subcell_cell_%&amp;knowledge=10&amp;textmining=10&amp;experiments=10&amp;predictions=10&amp;type1=9606&amp;type2=-22&amp;id1=ENSP00000332659","link")</f>
        <v>link</v>
      </c>
      <c r="AI975" t="s">
        <v>65</v>
      </c>
      <c r="AJ975" t="s">
        <v>51</v>
      </c>
      <c r="AK975" t="str">
        <f>HYPERLINK("http://www.proteinatlas.org/P51679","HPA031613")</f>
        <v>HPA031613</v>
      </c>
      <c r="AM975">
        <v>1233</v>
      </c>
    </row>
    <row r="976" spans="1:39" x14ac:dyDescent="0.35">
      <c r="A976" t="s">
        <v>10400</v>
      </c>
      <c r="B976" t="str">
        <f>HYPERLINK("http://www.uniprot.org/uniprot/P51681","P51681")</f>
        <v>P51681</v>
      </c>
      <c r="C976" t="s">
        <v>10401</v>
      </c>
      <c r="D976" t="s">
        <v>10402</v>
      </c>
      <c r="E976" t="s">
        <v>39</v>
      </c>
      <c r="F976" t="s">
        <v>40</v>
      </c>
      <c r="H976">
        <v>352</v>
      </c>
      <c r="I976">
        <v>7</v>
      </c>
      <c r="J976">
        <v>0</v>
      </c>
      <c r="K976" t="s">
        <v>10403</v>
      </c>
      <c r="L976" t="s">
        <v>57</v>
      </c>
      <c r="N976">
        <v>0.97409999999999997</v>
      </c>
      <c r="O976" s="1">
        <v>1</v>
      </c>
      <c r="P976" t="s">
        <v>10404</v>
      </c>
      <c r="Q976" t="s">
        <v>10405</v>
      </c>
      <c r="R976" t="s">
        <v>10406</v>
      </c>
      <c r="S976" t="s">
        <v>60</v>
      </c>
      <c r="T976" t="s">
        <v>60</v>
      </c>
      <c r="U976">
        <v>268</v>
      </c>
      <c r="V976">
        <v>1</v>
      </c>
      <c r="W976">
        <v>268</v>
      </c>
      <c r="X976" t="s">
        <v>10407</v>
      </c>
      <c r="AE976" t="s">
        <v>74</v>
      </c>
      <c r="AF976" t="s">
        <v>10408</v>
      </c>
      <c r="AG976" t="s">
        <v>10409</v>
      </c>
      <c r="AH976" t="str">
        <f>HYPERLINK("http://compartments.jensenlab.org/Entity?figures=subcell_cell_%&amp;knowledge=10&amp;textmining=10&amp;experiments=10&amp;predictions=10&amp;type1=9606&amp;type2=-22&amp;id1=ENSP00000292303","link")</f>
        <v>link</v>
      </c>
      <c r="AI976" t="s">
        <v>4125</v>
      </c>
      <c r="AJ976" t="s">
        <v>1791</v>
      </c>
      <c r="AK976" t="str">
        <f>HYPERLINK("http://www.proteinatlas.org/P51681","no")</f>
        <v>no</v>
      </c>
      <c r="AL976" t="s">
        <v>10410</v>
      </c>
      <c r="AM976">
        <v>1234</v>
      </c>
    </row>
    <row r="977" spans="1:39" x14ac:dyDescent="0.35">
      <c r="A977" t="s">
        <v>10411</v>
      </c>
      <c r="B977" t="str">
        <f>HYPERLINK("http://www.uniprot.org/uniprot/P51684","P51684")</f>
        <v>P51684</v>
      </c>
      <c r="C977" t="s">
        <v>10412</v>
      </c>
      <c r="D977" t="s">
        <v>10413</v>
      </c>
      <c r="E977" t="s">
        <v>39</v>
      </c>
      <c r="F977" t="s">
        <v>55</v>
      </c>
      <c r="H977">
        <v>374</v>
      </c>
      <c r="I977">
        <v>7</v>
      </c>
      <c r="J977">
        <v>0</v>
      </c>
      <c r="K977" t="s">
        <v>10414</v>
      </c>
      <c r="L977" t="s">
        <v>57</v>
      </c>
      <c r="M977" t="s">
        <v>39</v>
      </c>
      <c r="N977">
        <v>0.98899999999999999</v>
      </c>
      <c r="O977" s="1">
        <v>1</v>
      </c>
      <c r="P977" t="s">
        <v>10415</v>
      </c>
      <c r="Q977" t="s">
        <v>10416</v>
      </c>
      <c r="R977" t="s">
        <v>10417</v>
      </c>
      <c r="S977" t="s">
        <v>166</v>
      </c>
      <c r="T977" t="s">
        <v>838</v>
      </c>
      <c r="U977" t="s">
        <v>10418</v>
      </c>
      <c r="V977">
        <v>4</v>
      </c>
      <c r="W977">
        <v>115</v>
      </c>
      <c r="AE977" t="s">
        <v>74</v>
      </c>
      <c r="AF977" t="s">
        <v>1913</v>
      </c>
      <c r="AG977" t="s">
        <v>10419</v>
      </c>
      <c r="AH977" t="str">
        <f>HYPERLINK("http://compartments.jensenlab.org/Entity?figures=subcell_cell_%&amp;knowledge=10&amp;textmining=10&amp;experiments=10&amp;predictions=10&amp;type1=9606&amp;type2=-22&amp;id1=ENSP00000343952","link")</f>
        <v>link</v>
      </c>
      <c r="AI977" t="s">
        <v>65</v>
      </c>
      <c r="AJ977" t="s">
        <v>51</v>
      </c>
      <c r="AK977" t="str">
        <f>HYPERLINK("http://www.proteinatlas.org/P51684","CAB006820;HPA014488")</f>
        <v>CAB006820;HPA014488</v>
      </c>
      <c r="AM977">
        <v>1235</v>
      </c>
    </row>
    <row r="978" spans="1:39" x14ac:dyDescent="0.35">
      <c r="A978" t="s">
        <v>10420</v>
      </c>
      <c r="B978" t="str">
        <f>HYPERLINK("http://www.uniprot.org/uniprot/P51685","P51685")</f>
        <v>P51685</v>
      </c>
      <c r="C978" t="s">
        <v>10421</v>
      </c>
      <c r="D978" t="s">
        <v>10422</v>
      </c>
      <c r="E978" t="s">
        <v>39</v>
      </c>
      <c r="F978" t="s">
        <v>55</v>
      </c>
      <c r="H978">
        <v>355</v>
      </c>
      <c r="I978">
        <v>7</v>
      </c>
      <c r="J978">
        <v>0</v>
      </c>
      <c r="K978" t="s">
        <v>10423</v>
      </c>
      <c r="L978" t="s">
        <v>57</v>
      </c>
      <c r="M978" t="s">
        <v>39</v>
      </c>
      <c r="N978">
        <v>0.78610000000000002</v>
      </c>
      <c r="O978" s="1">
        <v>1</v>
      </c>
      <c r="P978" t="s">
        <v>10424</v>
      </c>
      <c r="Q978" t="s">
        <v>10425</v>
      </c>
      <c r="R978" t="s">
        <v>10426</v>
      </c>
      <c r="S978" t="s">
        <v>166</v>
      </c>
      <c r="T978" t="s">
        <v>838</v>
      </c>
      <c r="U978">
        <v>232</v>
      </c>
      <c r="V978">
        <v>0</v>
      </c>
      <c r="W978">
        <v>232</v>
      </c>
      <c r="AE978" t="s">
        <v>74</v>
      </c>
      <c r="AF978" t="s">
        <v>10427</v>
      </c>
      <c r="AG978" t="s">
        <v>10428</v>
      </c>
      <c r="AH978" t="str">
        <f>HYPERLINK("http://compartments.jensenlab.org/Entity?figures=subcell_cell_%&amp;knowledge=10&amp;textmining=10&amp;experiments=10&amp;predictions=10&amp;type1=9606&amp;type2=-22&amp;id1=ENSP00000326432","link")</f>
        <v>link</v>
      </c>
      <c r="AI978" t="s">
        <v>65</v>
      </c>
      <c r="AJ978" t="s">
        <v>51</v>
      </c>
      <c r="AK978" t="str">
        <f>HYPERLINK("http://www.proteinatlas.org/P51685","no")</f>
        <v>no</v>
      </c>
      <c r="AM978">
        <v>1237</v>
      </c>
    </row>
    <row r="979" spans="1:39" x14ac:dyDescent="0.35">
      <c r="A979" t="s">
        <v>10429</v>
      </c>
      <c r="B979" t="str">
        <f>HYPERLINK("http://www.uniprot.org/uniprot/P51686","P51686")</f>
        <v>P51686</v>
      </c>
      <c r="C979" t="s">
        <v>10430</v>
      </c>
      <c r="D979" t="s">
        <v>10431</v>
      </c>
      <c r="E979" t="s">
        <v>39</v>
      </c>
      <c r="F979" t="s">
        <v>55</v>
      </c>
      <c r="H979">
        <v>369</v>
      </c>
      <c r="I979">
        <v>7</v>
      </c>
      <c r="J979">
        <v>0</v>
      </c>
      <c r="K979" t="s">
        <v>10432</v>
      </c>
      <c r="L979" t="s">
        <v>57</v>
      </c>
      <c r="M979" t="s">
        <v>39</v>
      </c>
      <c r="N979">
        <v>0.94850000000000001</v>
      </c>
      <c r="O979" s="1">
        <v>1</v>
      </c>
      <c r="P979" t="s">
        <v>10433</v>
      </c>
      <c r="Q979" t="s">
        <v>10434</v>
      </c>
      <c r="R979" t="s">
        <v>10435</v>
      </c>
      <c r="S979" t="s">
        <v>166</v>
      </c>
      <c r="T979" t="s">
        <v>838</v>
      </c>
      <c r="U979">
        <v>32</v>
      </c>
      <c r="V979">
        <v>1</v>
      </c>
      <c r="W979">
        <v>32</v>
      </c>
      <c r="AE979" t="s">
        <v>74</v>
      </c>
      <c r="AF979" t="s">
        <v>990</v>
      </c>
      <c r="AG979" t="s">
        <v>10436</v>
      </c>
      <c r="AH979" t="str">
        <f>HYPERLINK("http://compartments.jensenlab.org/Entity?figures=subcell_cell_%&amp;knowledge=10&amp;textmining=10&amp;experiments=10&amp;predictions=10&amp;type1=9606&amp;type2=-22&amp;id1=ENSP00000350256","link")</f>
        <v>link</v>
      </c>
      <c r="AI979" t="s">
        <v>65</v>
      </c>
      <c r="AJ979" t="s">
        <v>51</v>
      </c>
      <c r="AK979" t="str">
        <f>HYPERLINK("http://www.proteinatlas.org/P51686","CAB006839")</f>
        <v>CAB006839</v>
      </c>
      <c r="AM979">
        <v>10803</v>
      </c>
    </row>
    <row r="980" spans="1:39" x14ac:dyDescent="0.35">
      <c r="A980" t="s">
        <v>10437</v>
      </c>
      <c r="B980" t="str">
        <f>HYPERLINK("http://www.uniprot.org/uniprot/P51693","P51693")</f>
        <v>P51693</v>
      </c>
      <c r="C980" t="s">
        <v>10438</v>
      </c>
      <c r="D980" t="s">
        <v>10439</v>
      </c>
      <c r="E980" t="s">
        <v>39</v>
      </c>
      <c r="F980" t="s">
        <v>55</v>
      </c>
      <c r="H980">
        <v>650</v>
      </c>
      <c r="I980">
        <v>1</v>
      </c>
      <c r="J980">
        <v>1</v>
      </c>
      <c r="K980" t="s">
        <v>10440</v>
      </c>
      <c r="L980" t="s">
        <v>101</v>
      </c>
      <c r="M980" t="s">
        <v>39</v>
      </c>
      <c r="N980">
        <v>0.69789999999999996</v>
      </c>
      <c r="O980" s="1">
        <v>2</v>
      </c>
      <c r="P980" t="s">
        <v>10441</v>
      </c>
      <c r="S980" t="s">
        <v>60</v>
      </c>
      <c r="T980" t="s">
        <v>60</v>
      </c>
      <c r="U980" t="s">
        <v>10442</v>
      </c>
      <c r="V980">
        <v>3</v>
      </c>
      <c r="Z980" t="s">
        <v>107</v>
      </c>
      <c r="AA980">
        <v>2</v>
      </c>
      <c r="AB980" t="s">
        <v>10443</v>
      </c>
      <c r="AC980" t="s">
        <v>10444</v>
      </c>
      <c r="AD980" t="s">
        <v>10445</v>
      </c>
      <c r="AE980" t="s">
        <v>2994</v>
      </c>
      <c r="AF980" t="s">
        <v>10446</v>
      </c>
      <c r="AG980" t="s">
        <v>10447</v>
      </c>
      <c r="AK980" t="str">
        <f>HYPERLINK("http://www.proteinatlas.org/P51693","HPA028970;HPA028971")</f>
        <v>HPA028970;HPA028971</v>
      </c>
      <c r="AM980">
        <v>333</v>
      </c>
    </row>
    <row r="981" spans="1:39" x14ac:dyDescent="0.35">
      <c r="A981" t="s">
        <v>10448</v>
      </c>
      <c r="B981" t="str">
        <f>HYPERLINK("http://www.uniprot.org/uniprot/P51801","P51801")</f>
        <v>P51801</v>
      </c>
      <c r="C981" t="s">
        <v>10449</v>
      </c>
      <c r="D981" t="s">
        <v>10450</v>
      </c>
      <c r="E981" t="s">
        <v>39</v>
      </c>
      <c r="F981" t="s">
        <v>55</v>
      </c>
      <c r="H981">
        <v>687</v>
      </c>
      <c r="I981">
        <v>11</v>
      </c>
      <c r="J981">
        <v>0</v>
      </c>
      <c r="K981" t="s">
        <v>10451</v>
      </c>
      <c r="L981" t="s">
        <v>57</v>
      </c>
      <c r="M981" t="s">
        <v>39</v>
      </c>
      <c r="N981">
        <v>0.62790000000000001</v>
      </c>
      <c r="O981" s="1">
        <v>2</v>
      </c>
      <c r="P981" t="s">
        <v>10452</v>
      </c>
      <c r="Q981" t="s">
        <v>10453</v>
      </c>
      <c r="S981" t="s">
        <v>45</v>
      </c>
      <c r="T981" t="s">
        <v>10454</v>
      </c>
      <c r="U981" t="s">
        <v>10455</v>
      </c>
      <c r="V981">
        <v>5</v>
      </c>
      <c r="W981">
        <v>679</v>
      </c>
      <c r="Y981" t="s">
        <v>10456</v>
      </c>
      <c r="AE981" t="s">
        <v>74</v>
      </c>
      <c r="AF981" t="s">
        <v>10457</v>
      </c>
      <c r="AG981" t="s">
        <v>10458</v>
      </c>
      <c r="AH981" t="str">
        <f>HYPERLINK("http://compartments.jensenlab.org/Entity?figures=subcell_cell_%&amp;knowledge=10&amp;textmining=10&amp;experiments=10&amp;predictions=10&amp;type1=9606&amp;type2=-22&amp;id1=ENSP00000364831","link")</f>
        <v>link</v>
      </c>
      <c r="AI981" t="s">
        <v>65</v>
      </c>
      <c r="AJ981" t="s">
        <v>51</v>
      </c>
      <c r="AK981" t="str">
        <f>HYPERLINK("http://www.proteinatlas.org/P51801","HPA057717")</f>
        <v>HPA057717</v>
      </c>
      <c r="AM981">
        <v>1188</v>
      </c>
    </row>
    <row r="982" spans="1:39" x14ac:dyDescent="0.35">
      <c r="A982" t="s">
        <v>10459</v>
      </c>
      <c r="B982" t="str">
        <f>HYPERLINK("http://www.uniprot.org/uniprot/P51805","P51805")</f>
        <v>P51805</v>
      </c>
      <c r="C982" t="s">
        <v>10460</v>
      </c>
      <c r="D982" t="s">
        <v>10461</v>
      </c>
      <c r="E982" t="s">
        <v>39</v>
      </c>
      <c r="F982" t="s">
        <v>55</v>
      </c>
      <c r="H982">
        <v>1871</v>
      </c>
      <c r="I982">
        <v>1</v>
      </c>
      <c r="J982">
        <v>1</v>
      </c>
      <c r="K982" t="s">
        <v>10462</v>
      </c>
      <c r="L982" t="s">
        <v>101</v>
      </c>
      <c r="N982">
        <v>0.94810000000000005</v>
      </c>
      <c r="O982" s="1">
        <v>1</v>
      </c>
      <c r="P982" t="s">
        <v>10463</v>
      </c>
      <c r="Q982" t="s">
        <v>10464</v>
      </c>
      <c r="S982" t="s">
        <v>166</v>
      </c>
      <c r="T982" t="s">
        <v>1382</v>
      </c>
      <c r="U982" t="s">
        <v>10465</v>
      </c>
      <c r="V982">
        <v>10</v>
      </c>
      <c r="Z982" t="s">
        <v>107</v>
      </c>
      <c r="AA982">
        <v>1</v>
      </c>
      <c r="AB982" t="s">
        <v>10466</v>
      </c>
      <c r="AC982">
        <v>1009</v>
      </c>
      <c r="AD982" t="s">
        <v>10467</v>
      </c>
      <c r="AE982" t="s">
        <v>332</v>
      </c>
      <c r="AF982" t="s">
        <v>10468</v>
      </c>
      <c r="AG982" t="s">
        <v>10469</v>
      </c>
      <c r="AH982" t="str">
        <f>HYPERLINK("http://compartments.jensenlab.org/Entity?figures=subcell_cell_%&amp;knowledge=10&amp;textmining=10&amp;experiments=10&amp;predictions=10&amp;type1=9606&amp;type2=-22&amp;id1=ENSP00000358696","link")</f>
        <v>link</v>
      </c>
      <c r="AI982" t="s">
        <v>65</v>
      </c>
      <c r="AJ982" t="s">
        <v>113</v>
      </c>
      <c r="AK982" t="str">
        <f>HYPERLINK("http://www.proteinatlas.org/P51805","no")</f>
        <v>no</v>
      </c>
      <c r="AM982">
        <v>55558</v>
      </c>
    </row>
    <row r="983" spans="1:39" x14ac:dyDescent="0.35">
      <c r="A983" t="s">
        <v>10470</v>
      </c>
      <c r="B983" t="str">
        <f>HYPERLINK("http://www.uniprot.org/uniprot/P51810","P51810")</f>
        <v>P51810</v>
      </c>
      <c r="C983" t="s">
        <v>10471</v>
      </c>
      <c r="D983" t="s">
        <v>10472</v>
      </c>
      <c r="E983" t="s">
        <v>39</v>
      </c>
      <c r="F983" t="s">
        <v>40</v>
      </c>
      <c r="H983">
        <v>404</v>
      </c>
      <c r="I983">
        <v>7</v>
      </c>
      <c r="J983">
        <v>0</v>
      </c>
      <c r="K983" t="s">
        <v>10473</v>
      </c>
      <c r="L983" t="s">
        <v>57</v>
      </c>
      <c r="N983">
        <v>0.78439999999999999</v>
      </c>
      <c r="O983" s="1">
        <v>1</v>
      </c>
      <c r="P983" t="s">
        <v>10474</v>
      </c>
      <c r="Q983" t="s">
        <v>10475</v>
      </c>
      <c r="S983" t="s">
        <v>166</v>
      </c>
      <c r="T983" t="s">
        <v>10476</v>
      </c>
      <c r="U983" t="s">
        <v>10477</v>
      </c>
      <c r="V983">
        <v>1</v>
      </c>
      <c r="AE983" t="s">
        <v>10478</v>
      </c>
      <c r="AF983" t="s">
        <v>10479</v>
      </c>
      <c r="AG983" t="s">
        <v>10480</v>
      </c>
      <c r="AH983" t="str">
        <f>HYPERLINK("http://compartments.jensenlab.org/Entity?figures=subcell_cell_%&amp;knowledge=10&amp;textmining=10&amp;experiments=10&amp;predictions=10&amp;type1=9606&amp;type2=-22&amp;id1=ENSP00000417161","link")</f>
        <v>link</v>
      </c>
      <c r="AK983" t="str">
        <f>HYPERLINK("http://www.proteinatlas.org/P51810","HPA003648")</f>
        <v>HPA003648</v>
      </c>
      <c r="AM983">
        <v>4935</v>
      </c>
    </row>
    <row r="984" spans="1:39" x14ac:dyDescent="0.35">
      <c r="A984" t="s">
        <v>10481</v>
      </c>
      <c r="B984" t="str">
        <f>HYPERLINK("http://www.uniprot.org/uniprot/P51828","P51828")</f>
        <v>P51828</v>
      </c>
      <c r="C984" t="s">
        <v>10482</v>
      </c>
      <c r="D984" t="s">
        <v>10483</v>
      </c>
      <c r="E984" t="s">
        <v>39</v>
      </c>
      <c r="F984" t="s">
        <v>40</v>
      </c>
      <c r="H984">
        <v>1080</v>
      </c>
      <c r="I984">
        <v>12</v>
      </c>
      <c r="J984">
        <v>0</v>
      </c>
      <c r="K984" t="s">
        <v>10484</v>
      </c>
      <c r="L984" t="s">
        <v>101</v>
      </c>
      <c r="N984">
        <v>0.70660000000000001</v>
      </c>
      <c r="O984" s="1">
        <v>2</v>
      </c>
      <c r="P984" t="s">
        <v>10485</v>
      </c>
      <c r="Q984" t="s">
        <v>10486</v>
      </c>
      <c r="S984" t="s">
        <v>947</v>
      </c>
      <c r="T984" t="s">
        <v>1784</v>
      </c>
      <c r="U984" t="s">
        <v>10487</v>
      </c>
      <c r="V984">
        <v>3</v>
      </c>
      <c r="Z984" t="s">
        <v>123</v>
      </c>
      <c r="AA984">
        <v>1</v>
      </c>
      <c r="AB984" t="s">
        <v>10488</v>
      </c>
      <c r="AC984">
        <v>701</v>
      </c>
      <c r="AD984" t="s">
        <v>10489</v>
      </c>
      <c r="AE984" t="s">
        <v>48</v>
      </c>
      <c r="AF984" t="s">
        <v>10490</v>
      </c>
      <c r="AG984" t="s">
        <v>10491</v>
      </c>
      <c r="AH984" t="str">
        <f>HYPERLINK("http://compartments.jensenlab.org/Entity?figures=subcell_cell_%&amp;knowledge=10&amp;textmining=10&amp;experiments=10&amp;predictions=10&amp;type1=9606&amp;type2=-22&amp;id1=ENSP00000254235","link")</f>
        <v>link</v>
      </c>
      <c r="AJ984" t="s">
        <v>113</v>
      </c>
      <c r="AK984" t="str">
        <f>HYPERLINK("http://www.proteinatlas.org/P51828","HPA048241")</f>
        <v>HPA048241</v>
      </c>
      <c r="AM984">
        <v>113</v>
      </c>
    </row>
    <row r="985" spans="1:39" x14ac:dyDescent="0.35">
      <c r="A985" t="s">
        <v>10492</v>
      </c>
      <c r="B985" t="str">
        <f>HYPERLINK("http://www.uniprot.org/uniprot/P52569","P52569")</f>
        <v>P52569</v>
      </c>
      <c r="C985" t="s">
        <v>10493</v>
      </c>
      <c r="D985" t="s">
        <v>10494</v>
      </c>
      <c r="E985" t="s">
        <v>39</v>
      </c>
      <c r="F985" t="s">
        <v>40</v>
      </c>
      <c r="H985">
        <v>658</v>
      </c>
      <c r="I985">
        <v>14</v>
      </c>
      <c r="J985">
        <v>0</v>
      </c>
      <c r="K985" t="s">
        <v>10495</v>
      </c>
      <c r="L985" t="s">
        <v>101</v>
      </c>
      <c r="N985">
        <v>0.87029999999999996</v>
      </c>
      <c r="O985" s="1">
        <v>1</v>
      </c>
      <c r="P985" t="s">
        <v>10496</v>
      </c>
      <c r="Q985" t="s">
        <v>10497</v>
      </c>
      <c r="S985" t="s">
        <v>45</v>
      </c>
      <c r="T985" t="s">
        <v>1743</v>
      </c>
      <c r="U985" t="s">
        <v>10498</v>
      </c>
      <c r="V985">
        <v>3</v>
      </c>
      <c r="W985" t="s">
        <v>10499</v>
      </c>
      <c r="Z985" t="s">
        <v>123</v>
      </c>
      <c r="AA985">
        <v>2</v>
      </c>
      <c r="AB985" t="s">
        <v>10500</v>
      </c>
      <c r="AC985" t="s">
        <v>10501</v>
      </c>
      <c r="AD985" t="s">
        <v>10502</v>
      </c>
      <c r="AE985" t="s">
        <v>74</v>
      </c>
      <c r="AF985" t="s">
        <v>10503</v>
      </c>
      <c r="AG985" t="s">
        <v>10504</v>
      </c>
      <c r="AH985" t="str">
        <f>HYPERLINK("http://compartments.jensenlab.org/Entity?figures=subcell_cell_%&amp;knowledge=10&amp;textmining=10&amp;experiments=10&amp;predictions=10&amp;type1=9606&amp;type2=-22&amp;id1=ENSP00000419140","link")</f>
        <v>link</v>
      </c>
      <c r="AK985" t="str">
        <f>HYPERLINK("http://www.proteinatlas.org/P52569","HPA009169")</f>
        <v>HPA009169</v>
      </c>
      <c r="AL985" t="s">
        <v>10505</v>
      </c>
      <c r="AM985">
        <v>6542</v>
      </c>
    </row>
    <row r="986" spans="1:39" x14ac:dyDescent="0.35">
      <c r="A986" t="s">
        <v>10506</v>
      </c>
      <c r="B986" t="str">
        <f>HYPERLINK("http://www.uniprot.org/uniprot/P52797","P52797")</f>
        <v>P52797</v>
      </c>
      <c r="C986" t="s">
        <v>10507</v>
      </c>
      <c r="D986" t="s">
        <v>10508</v>
      </c>
      <c r="E986" t="s">
        <v>39</v>
      </c>
      <c r="F986" t="s">
        <v>239</v>
      </c>
      <c r="H986">
        <v>238</v>
      </c>
      <c r="I986">
        <v>0</v>
      </c>
      <c r="J986">
        <v>1</v>
      </c>
      <c r="K986" t="s">
        <v>10509</v>
      </c>
      <c r="L986" t="s">
        <v>57</v>
      </c>
      <c r="N986">
        <v>0.68259999999999998</v>
      </c>
      <c r="O986" s="1" t="s">
        <v>241</v>
      </c>
      <c r="P986" t="s">
        <v>10510</v>
      </c>
      <c r="Q986" t="s">
        <v>10511</v>
      </c>
      <c r="S986" t="s">
        <v>60</v>
      </c>
      <c r="T986" t="s">
        <v>60</v>
      </c>
      <c r="U986" t="s">
        <v>10512</v>
      </c>
      <c r="V986">
        <v>3</v>
      </c>
      <c r="W986" t="s">
        <v>10512</v>
      </c>
      <c r="AE986" t="s">
        <v>243</v>
      </c>
      <c r="AF986" t="s">
        <v>10513</v>
      </c>
      <c r="AG986" t="s">
        <v>10514</v>
      </c>
      <c r="AH986" t="str">
        <f>HYPERLINK("http://compartments.jensenlab.org/Entity?figures=subcell_cell_%&amp;knowledge=10&amp;textmining=10&amp;experiments=10&amp;predictions=10&amp;type1=9606&amp;type2=-22&amp;id1=ENSP00000357393","link")</f>
        <v>link</v>
      </c>
      <c r="AI986" t="s">
        <v>65</v>
      </c>
      <c r="AJ986" t="s">
        <v>51</v>
      </c>
      <c r="AK986" t="str">
        <f>HYPERLINK("http://www.proteinatlas.org/P52797","CAB010494")</f>
        <v>CAB010494</v>
      </c>
      <c r="AM986">
        <v>1944</v>
      </c>
    </row>
    <row r="987" spans="1:39" x14ac:dyDescent="0.35">
      <c r="A987" t="s">
        <v>10515</v>
      </c>
      <c r="B987" t="str">
        <f>HYPERLINK("http://www.uniprot.org/uniprot/P52798","P52798")</f>
        <v>P52798</v>
      </c>
      <c r="C987" t="s">
        <v>10516</v>
      </c>
      <c r="D987" t="s">
        <v>10517</v>
      </c>
      <c r="E987" t="s">
        <v>39</v>
      </c>
      <c r="F987" t="s">
        <v>239</v>
      </c>
      <c r="H987">
        <v>201</v>
      </c>
      <c r="I987">
        <v>0</v>
      </c>
      <c r="J987">
        <v>1</v>
      </c>
      <c r="K987" t="s">
        <v>10518</v>
      </c>
      <c r="L987" t="s">
        <v>996</v>
      </c>
      <c r="N987">
        <v>0.6986</v>
      </c>
      <c r="O987" s="1" t="s">
        <v>241</v>
      </c>
      <c r="P987" t="s">
        <v>10519</v>
      </c>
      <c r="Q987" t="s">
        <v>10520</v>
      </c>
      <c r="S987" t="s">
        <v>60</v>
      </c>
      <c r="T987" t="s">
        <v>60</v>
      </c>
      <c r="U987">
        <v>33</v>
      </c>
      <c r="V987">
        <v>1</v>
      </c>
      <c r="W987">
        <v>33</v>
      </c>
      <c r="Z987" t="s">
        <v>107</v>
      </c>
      <c r="AA987">
        <v>1</v>
      </c>
      <c r="AB987" t="s">
        <v>10521</v>
      </c>
      <c r="AC987">
        <v>33</v>
      </c>
      <c r="AD987" t="s">
        <v>10522</v>
      </c>
      <c r="AE987" t="s">
        <v>10523</v>
      </c>
      <c r="AF987" t="s">
        <v>10524</v>
      </c>
      <c r="AG987" t="s">
        <v>10525</v>
      </c>
      <c r="AH987" t="str">
        <f>HYPERLINK("http://compartments.jensenlab.org/Entity?figures=subcell_cell_%&amp;knowledge=10&amp;textmining=10&amp;experiments=10&amp;predictions=10&amp;type1=9606&amp;type2=-22&amp;id1=ENSP00000357394","link")</f>
        <v>link</v>
      </c>
      <c r="AK987" t="str">
        <f>HYPERLINK("http://www.proteinatlas.org/P52798","CAB021350")</f>
        <v>CAB021350</v>
      </c>
      <c r="AM987">
        <v>1945</v>
      </c>
    </row>
    <row r="988" spans="1:39" x14ac:dyDescent="0.35">
      <c r="A988" t="s">
        <v>10526</v>
      </c>
      <c r="B988" t="str">
        <f>HYPERLINK("http://www.uniprot.org/uniprot/P52799","P52799")</f>
        <v>P52799</v>
      </c>
      <c r="C988" t="s">
        <v>10527</v>
      </c>
      <c r="D988" t="s">
        <v>10528</v>
      </c>
      <c r="E988" t="s">
        <v>39</v>
      </c>
      <c r="F988" t="s">
        <v>40</v>
      </c>
      <c r="H988">
        <v>333</v>
      </c>
      <c r="I988">
        <v>1</v>
      </c>
      <c r="J988">
        <v>1</v>
      </c>
      <c r="K988" t="s">
        <v>10529</v>
      </c>
      <c r="L988" t="s">
        <v>101</v>
      </c>
      <c r="N988">
        <v>0.98399999999999999</v>
      </c>
      <c r="O988" s="1">
        <v>1</v>
      </c>
      <c r="P988" t="s">
        <v>10530</v>
      </c>
      <c r="Q988" t="s">
        <v>10531</v>
      </c>
      <c r="S988" t="s">
        <v>91</v>
      </c>
      <c r="T988" t="s">
        <v>10532</v>
      </c>
      <c r="U988" t="s">
        <v>10533</v>
      </c>
      <c r="V988">
        <v>2</v>
      </c>
      <c r="X988" t="s">
        <v>10534</v>
      </c>
      <c r="Z988" t="s">
        <v>107</v>
      </c>
      <c r="AA988">
        <v>4</v>
      </c>
      <c r="AB988" t="s">
        <v>10535</v>
      </c>
      <c r="AC988" t="s">
        <v>10536</v>
      </c>
      <c r="AD988" t="s">
        <v>10537</v>
      </c>
      <c r="AE988" t="s">
        <v>144</v>
      </c>
      <c r="AF988" t="s">
        <v>10538</v>
      </c>
      <c r="AG988" t="s">
        <v>10539</v>
      </c>
      <c r="AH988" t="str">
        <f>HYPERLINK("http://compartments.jensenlab.org/Entity?figures=subcell_cell_%&amp;knowledge=10&amp;textmining=10&amp;experiments=10&amp;predictions=10&amp;type1=9606&amp;type2=-22&amp;id1=ENSP00000245323","link")</f>
        <v>link</v>
      </c>
      <c r="AJ988" t="s">
        <v>51</v>
      </c>
      <c r="AK988" t="str">
        <f>HYPERLINK("http://www.proteinatlas.org/P52799","HPA008999;CAB009368")</f>
        <v>HPA008999;CAB009368</v>
      </c>
      <c r="AM988">
        <v>1948</v>
      </c>
    </row>
    <row r="989" spans="1:39" x14ac:dyDescent="0.35">
      <c r="A989" t="s">
        <v>10540</v>
      </c>
      <c r="B989" t="str">
        <f>HYPERLINK("http://www.uniprot.org/uniprot/P52803","P52803")</f>
        <v>P52803</v>
      </c>
      <c r="C989" t="s">
        <v>10541</v>
      </c>
      <c r="D989" t="s">
        <v>10542</v>
      </c>
      <c r="E989" t="s">
        <v>39</v>
      </c>
      <c r="F989" t="s">
        <v>239</v>
      </c>
      <c r="H989">
        <v>228</v>
      </c>
      <c r="I989">
        <v>0</v>
      </c>
      <c r="J989">
        <v>1</v>
      </c>
      <c r="K989" t="s">
        <v>10543</v>
      </c>
      <c r="L989" t="s">
        <v>996</v>
      </c>
      <c r="N989">
        <v>0.4551</v>
      </c>
      <c r="O989" s="1" t="s">
        <v>1752</v>
      </c>
      <c r="P989" t="s">
        <v>10544</v>
      </c>
      <c r="Q989" t="s">
        <v>10545</v>
      </c>
      <c r="S989" t="s">
        <v>60</v>
      </c>
      <c r="T989" t="s">
        <v>60</v>
      </c>
      <c r="U989">
        <v>37</v>
      </c>
      <c r="V989">
        <v>1</v>
      </c>
      <c r="X989" t="s">
        <v>10546</v>
      </c>
      <c r="Z989" t="s">
        <v>107</v>
      </c>
      <c r="AA989">
        <v>1</v>
      </c>
      <c r="AB989" t="s">
        <v>10547</v>
      </c>
      <c r="AC989">
        <v>37</v>
      </c>
      <c r="AD989" t="s">
        <v>10548</v>
      </c>
      <c r="AE989" t="s">
        <v>10549</v>
      </c>
      <c r="AF989" t="s">
        <v>10550</v>
      </c>
      <c r="AG989" t="s">
        <v>10551</v>
      </c>
      <c r="AH989" t="str">
        <f>HYPERLINK("http://compartments.jensenlab.org/Entity?figures=subcell_cell_%&amp;knowledge=10&amp;textmining=10&amp;experiments=10&amp;predictions=10&amp;type1=9606&amp;type2=-22&amp;id1=ENSP00000328777","link")</f>
        <v>link</v>
      </c>
      <c r="AI989" t="s">
        <v>65</v>
      </c>
      <c r="AJ989" t="s">
        <v>51</v>
      </c>
      <c r="AK989" t="str">
        <f>HYPERLINK("http://www.proteinatlas.org/P52803","CAB013282")</f>
        <v>CAB013282</v>
      </c>
      <c r="AM989">
        <v>1946</v>
      </c>
    </row>
    <row r="990" spans="1:39" x14ac:dyDescent="0.35">
      <c r="A990" t="s">
        <v>10552</v>
      </c>
      <c r="B990" t="str">
        <f>HYPERLINK("http://www.uniprot.org/uniprot/P52961","P52961")</f>
        <v>P52961</v>
      </c>
      <c r="C990" t="s">
        <v>10553</v>
      </c>
      <c r="D990" t="s">
        <v>10554</v>
      </c>
      <c r="E990" t="s">
        <v>39</v>
      </c>
      <c r="F990" t="s">
        <v>239</v>
      </c>
      <c r="H990">
        <v>327</v>
      </c>
      <c r="I990">
        <v>0</v>
      </c>
      <c r="J990">
        <v>1</v>
      </c>
      <c r="K990" t="s">
        <v>10555</v>
      </c>
      <c r="L990" t="s">
        <v>57</v>
      </c>
      <c r="N990">
        <v>0.66669999999999996</v>
      </c>
      <c r="O990" s="1" t="s">
        <v>241</v>
      </c>
      <c r="P990" t="s">
        <v>10556</v>
      </c>
      <c r="Q990" t="s">
        <v>10557</v>
      </c>
      <c r="R990" t="s">
        <v>10558</v>
      </c>
      <c r="S990" t="s">
        <v>947</v>
      </c>
      <c r="T990" t="s">
        <v>10559</v>
      </c>
      <c r="U990" t="s">
        <v>10560</v>
      </c>
      <c r="V990">
        <v>2</v>
      </c>
      <c r="W990" t="s">
        <v>10560</v>
      </c>
      <c r="Y990">
        <v>93</v>
      </c>
      <c r="AE990" t="s">
        <v>10561</v>
      </c>
      <c r="AF990" t="s">
        <v>10562</v>
      </c>
      <c r="AG990" t="s">
        <v>10563</v>
      </c>
      <c r="AH990" t="str">
        <f>HYPERLINK("http://compartments.jensenlab.org/Entity?figures=subcell_cell_%&amp;knowledge=10&amp;textmining=10&amp;experiments=10&amp;predictions=10&amp;type1=9606&amp;type2=-22&amp;id1=ENSP00000250693","link")</f>
        <v>link</v>
      </c>
      <c r="AI990" t="s">
        <v>980</v>
      </c>
      <c r="AJ990" t="s">
        <v>345</v>
      </c>
      <c r="AK990" t="str">
        <f>HYPERLINK("http://www.proteinatlas.org/P52961","HPA051148")</f>
        <v>HPA051148</v>
      </c>
      <c r="AM990">
        <v>417</v>
      </c>
    </row>
    <row r="991" spans="1:39" x14ac:dyDescent="0.35">
      <c r="A991" t="s">
        <v>10564</v>
      </c>
      <c r="B991" t="str">
        <f>HYPERLINK("http://www.uniprot.org/uniprot/P53708","P53708")</f>
        <v>P53708</v>
      </c>
      <c r="C991" t="s">
        <v>10565</v>
      </c>
      <c r="D991" t="s">
        <v>10566</v>
      </c>
      <c r="E991" t="s">
        <v>39</v>
      </c>
      <c r="F991" t="s">
        <v>55</v>
      </c>
      <c r="H991">
        <v>1063</v>
      </c>
      <c r="I991">
        <v>1</v>
      </c>
      <c r="J991">
        <v>1</v>
      </c>
      <c r="K991" t="s">
        <v>10567</v>
      </c>
      <c r="L991" t="s">
        <v>101</v>
      </c>
      <c r="M991" t="s">
        <v>39</v>
      </c>
      <c r="N991">
        <v>0.85189999999999999</v>
      </c>
      <c r="O991" s="1">
        <v>1</v>
      </c>
      <c r="P991" t="s">
        <v>10568</v>
      </c>
      <c r="Q991" t="s">
        <v>10569</v>
      </c>
      <c r="S991" t="s">
        <v>166</v>
      </c>
      <c r="T991" t="s">
        <v>2763</v>
      </c>
      <c r="U991" t="s">
        <v>10570</v>
      </c>
      <c r="V991">
        <v>16</v>
      </c>
      <c r="Z991" t="s">
        <v>107</v>
      </c>
      <c r="AA991">
        <v>3</v>
      </c>
      <c r="AB991" t="s">
        <v>10571</v>
      </c>
      <c r="AC991" t="s">
        <v>10572</v>
      </c>
      <c r="AD991" t="s">
        <v>10573</v>
      </c>
      <c r="AE991" t="s">
        <v>10574</v>
      </c>
      <c r="AF991" t="s">
        <v>10575</v>
      </c>
      <c r="AG991" t="s">
        <v>10576</v>
      </c>
      <c r="AH991" t="str">
        <f>HYPERLINK("http://compartments.jensenlab.org/Entity?figures=subcell_cell_%&amp;knowledge=10&amp;textmining=10&amp;experiments=10&amp;predictions=10&amp;type1=9606&amp;type2=-22&amp;id1=ENSP00000367316","link")</f>
        <v>link</v>
      </c>
      <c r="AJ991" t="s">
        <v>51</v>
      </c>
      <c r="AK991" t="str">
        <f>HYPERLINK("http://www.proteinatlas.org/P53708","HPA003432")</f>
        <v>HPA003432</v>
      </c>
      <c r="AM991">
        <v>8516</v>
      </c>
    </row>
    <row r="992" spans="1:39" x14ac:dyDescent="0.35">
      <c r="A992" t="s">
        <v>10577</v>
      </c>
      <c r="B992" t="str">
        <f>HYPERLINK("http://www.uniprot.org/uniprot/P53794","P53794")</f>
        <v>P53794</v>
      </c>
      <c r="C992" t="s">
        <v>10578</v>
      </c>
      <c r="D992" t="s">
        <v>10579</v>
      </c>
      <c r="E992" t="s">
        <v>39</v>
      </c>
      <c r="F992" t="s">
        <v>40</v>
      </c>
      <c r="H992">
        <v>718</v>
      </c>
      <c r="I992">
        <v>12</v>
      </c>
      <c r="J992">
        <v>0</v>
      </c>
      <c r="K992" t="s">
        <v>10580</v>
      </c>
      <c r="L992" t="s">
        <v>101</v>
      </c>
      <c r="N992">
        <v>0.85029999999999994</v>
      </c>
      <c r="O992" s="1">
        <v>1</v>
      </c>
      <c r="P992" t="s">
        <v>10581</v>
      </c>
      <c r="Q992" t="s">
        <v>10582</v>
      </c>
      <c r="S992" t="s">
        <v>45</v>
      </c>
      <c r="T992" t="s">
        <v>72</v>
      </c>
      <c r="U992" t="s">
        <v>10583</v>
      </c>
      <c r="V992">
        <v>2</v>
      </c>
      <c r="W992" t="s">
        <v>10584</v>
      </c>
      <c r="Z992" t="s">
        <v>123</v>
      </c>
      <c r="AA992">
        <v>12</v>
      </c>
      <c r="AB992" t="s">
        <v>10585</v>
      </c>
      <c r="AC992" t="s">
        <v>10586</v>
      </c>
      <c r="AD992" t="s">
        <v>10587</v>
      </c>
      <c r="AE992" t="s">
        <v>48</v>
      </c>
      <c r="AF992" t="s">
        <v>10588</v>
      </c>
      <c r="AG992" t="s">
        <v>10589</v>
      </c>
      <c r="AH992" t="str">
        <f>HYPERLINK("http://compartments.jensenlab.org/Entity?figures=subcell_cell_%&amp;knowledge=10&amp;textmining=10&amp;experiments=10&amp;predictions=10&amp;type1=9606&amp;type2=-22&amp;id1=ENSP00000370543","link")</f>
        <v>link</v>
      </c>
      <c r="AJ992" t="s">
        <v>51</v>
      </c>
      <c r="AK992" t="str">
        <f>HYPERLINK("http://www.proteinatlas.org/P53794","HPA029790;HPA029791")</f>
        <v>HPA029790;HPA029791</v>
      </c>
    </row>
    <row r="993" spans="1:39" x14ac:dyDescent="0.35">
      <c r="A993" t="s">
        <v>10590</v>
      </c>
      <c r="B993" t="str">
        <f>HYPERLINK("http://www.uniprot.org/uniprot/P53801","P53801")</f>
        <v>P53801</v>
      </c>
      <c r="C993" t="s">
        <v>10591</v>
      </c>
      <c r="D993" t="s">
        <v>10592</v>
      </c>
      <c r="E993" t="s">
        <v>39</v>
      </c>
      <c r="F993" t="s">
        <v>40</v>
      </c>
      <c r="H993">
        <v>180</v>
      </c>
      <c r="I993">
        <v>1</v>
      </c>
      <c r="J993">
        <v>1</v>
      </c>
      <c r="K993" t="s">
        <v>10593</v>
      </c>
      <c r="L993" t="s">
        <v>101</v>
      </c>
      <c r="N993">
        <v>0.77049999999999996</v>
      </c>
      <c r="O993" s="1">
        <v>1</v>
      </c>
      <c r="P993" t="s">
        <v>10594</v>
      </c>
      <c r="Q993" t="s">
        <v>10595</v>
      </c>
      <c r="S993" t="s">
        <v>60</v>
      </c>
      <c r="T993" t="s">
        <v>60</v>
      </c>
      <c r="U993" t="s">
        <v>10596</v>
      </c>
      <c r="V993">
        <v>2</v>
      </c>
      <c r="Z993" t="s">
        <v>107</v>
      </c>
      <c r="AA993">
        <v>2</v>
      </c>
      <c r="AB993" t="s">
        <v>10597</v>
      </c>
      <c r="AC993" t="s">
        <v>10596</v>
      </c>
      <c r="AD993" t="s">
        <v>10598</v>
      </c>
      <c r="AE993" t="s">
        <v>8532</v>
      </c>
      <c r="AF993" t="s">
        <v>10599</v>
      </c>
      <c r="AG993" t="s">
        <v>10600</v>
      </c>
      <c r="AH993" t="str">
        <f>HYPERLINK("http://compartments.jensenlab.org/Entity?figures=subcell_cell_%&amp;knowledge=10&amp;textmining=10&amp;experiments=10&amp;predictions=10&amp;type1=9606&amp;type2=-22&amp;id1=ENSP00000328325","link")</f>
        <v>link</v>
      </c>
      <c r="AI993" t="s">
        <v>6563</v>
      </c>
      <c r="AJ993" t="s">
        <v>299</v>
      </c>
      <c r="AK993" t="str">
        <f>HYPERLINK("http://www.proteinatlas.org/P53801","CAB034146")</f>
        <v>CAB034146</v>
      </c>
      <c r="AM993">
        <v>754</v>
      </c>
    </row>
    <row r="994" spans="1:39" x14ac:dyDescent="0.35">
      <c r="A994" t="s">
        <v>10601</v>
      </c>
      <c r="B994" t="str">
        <f>HYPERLINK("http://www.uniprot.org/uniprot/P53985","P53985")</f>
        <v>P53985</v>
      </c>
      <c r="C994" t="s">
        <v>10602</v>
      </c>
      <c r="D994" t="s">
        <v>10603</v>
      </c>
      <c r="E994" t="s">
        <v>39</v>
      </c>
      <c r="F994" t="s">
        <v>40</v>
      </c>
      <c r="H994">
        <v>500</v>
      </c>
      <c r="I994">
        <v>12</v>
      </c>
      <c r="J994">
        <v>0</v>
      </c>
      <c r="K994" t="s">
        <v>10604</v>
      </c>
      <c r="L994" t="s">
        <v>57</v>
      </c>
      <c r="N994">
        <v>0.64470000000000005</v>
      </c>
      <c r="O994" s="1">
        <v>2</v>
      </c>
      <c r="P994" t="s">
        <v>10605</v>
      </c>
      <c r="Q994" t="s">
        <v>10606</v>
      </c>
      <c r="S994" t="s">
        <v>45</v>
      </c>
      <c r="T994" t="s">
        <v>1507</v>
      </c>
      <c r="V994">
        <v>0</v>
      </c>
      <c r="AE994" t="s">
        <v>6534</v>
      </c>
      <c r="AF994" t="s">
        <v>10607</v>
      </c>
      <c r="AG994" t="s">
        <v>10608</v>
      </c>
      <c r="AH994" t="str">
        <f>HYPERLINK("http://compartments.jensenlab.org/Entity?figures=subcell_cell_%&amp;knowledge=10&amp;textmining=10&amp;experiments=10&amp;predictions=10&amp;type1=9606&amp;type2=-22&amp;id1=ENSP00000358640","link")</f>
        <v>link</v>
      </c>
      <c r="AI994" t="s">
        <v>65</v>
      </c>
      <c r="AJ994" t="s">
        <v>2256</v>
      </c>
      <c r="AK994" t="str">
        <f>HYPERLINK("http://www.proteinatlas.org/P53985","HPA003324;CAB017489")</f>
        <v>HPA003324;CAB017489</v>
      </c>
      <c r="AL994" t="s">
        <v>1512</v>
      </c>
      <c r="AM994">
        <v>6566</v>
      </c>
    </row>
    <row r="995" spans="1:39" x14ac:dyDescent="0.35">
      <c r="A995" t="s">
        <v>10609</v>
      </c>
      <c r="B995" t="str">
        <f>HYPERLINK("http://www.uniprot.org/uniprot/P54219","P54219")</f>
        <v>P54219</v>
      </c>
      <c r="C995" t="s">
        <v>10610</v>
      </c>
      <c r="D995" t="s">
        <v>10611</v>
      </c>
      <c r="E995" t="s">
        <v>39</v>
      </c>
      <c r="F995" t="s">
        <v>40</v>
      </c>
      <c r="H995">
        <v>525</v>
      </c>
      <c r="I995">
        <v>12</v>
      </c>
      <c r="J995">
        <v>0</v>
      </c>
      <c r="K995" t="s">
        <v>10612</v>
      </c>
      <c r="L995" t="s">
        <v>57</v>
      </c>
      <c r="N995">
        <v>0.8962</v>
      </c>
      <c r="O995" s="1">
        <v>1</v>
      </c>
      <c r="P995" t="s">
        <v>10613</v>
      </c>
      <c r="Q995" t="s">
        <v>10614</v>
      </c>
      <c r="S995" t="s">
        <v>45</v>
      </c>
      <c r="T995" t="s">
        <v>10615</v>
      </c>
      <c r="U995" t="s">
        <v>10616</v>
      </c>
      <c r="V995">
        <v>3</v>
      </c>
      <c r="AE995" t="s">
        <v>10617</v>
      </c>
      <c r="AF995" t="s">
        <v>10618</v>
      </c>
      <c r="AG995" t="s">
        <v>10619</v>
      </c>
      <c r="AH995" t="str">
        <f>HYPERLINK("http://compartments.jensenlab.org/Entity?figures=subcell_cell_%&amp;knowledge=10&amp;textmining=10&amp;experiments=10&amp;predictions=10&amp;type1=9606&amp;type2=-22&amp;id1=ENSP00000276373","link")</f>
        <v>link</v>
      </c>
      <c r="AJ995" t="s">
        <v>4458</v>
      </c>
      <c r="AK995" t="str">
        <f>HYPERLINK("http://www.proteinatlas.org/P54219","no")</f>
        <v>no</v>
      </c>
      <c r="AL995" t="s">
        <v>10620</v>
      </c>
      <c r="AM995">
        <v>6570</v>
      </c>
    </row>
    <row r="996" spans="1:39" x14ac:dyDescent="0.35">
      <c r="A996" t="s">
        <v>10621</v>
      </c>
      <c r="B996" t="str">
        <f>HYPERLINK("http://www.uniprot.org/uniprot/P54709","P54709")</f>
        <v>P54709</v>
      </c>
      <c r="C996" t="s">
        <v>10622</v>
      </c>
      <c r="D996" t="s">
        <v>10623</v>
      </c>
      <c r="E996" t="s">
        <v>39</v>
      </c>
      <c r="F996" t="s">
        <v>55</v>
      </c>
      <c r="H996">
        <v>279</v>
      </c>
      <c r="I996">
        <v>1</v>
      </c>
      <c r="J996">
        <v>0</v>
      </c>
      <c r="K996" t="s">
        <v>10624</v>
      </c>
      <c r="L996" t="s">
        <v>101</v>
      </c>
      <c r="M996" t="s">
        <v>39</v>
      </c>
      <c r="N996">
        <v>0.67969999999999997</v>
      </c>
      <c r="O996" s="1">
        <v>2</v>
      </c>
      <c r="P996" t="s">
        <v>10625</v>
      </c>
      <c r="Q996" t="s">
        <v>10626</v>
      </c>
      <c r="R996" t="s">
        <v>10627</v>
      </c>
      <c r="S996" t="s">
        <v>45</v>
      </c>
      <c r="T996" t="s">
        <v>3995</v>
      </c>
      <c r="U996" t="s">
        <v>10628</v>
      </c>
      <c r="V996">
        <v>2</v>
      </c>
      <c r="W996" t="s">
        <v>10629</v>
      </c>
      <c r="Z996" t="s">
        <v>107</v>
      </c>
      <c r="AA996">
        <v>25</v>
      </c>
      <c r="AB996" t="s">
        <v>10630</v>
      </c>
      <c r="AC996" t="s">
        <v>10631</v>
      </c>
      <c r="AD996" t="s">
        <v>10632</v>
      </c>
      <c r="AE996" t="s">
        <v>10633</v>
      </c>
      <c r="AF996" t="s">
        <v>10634</v>
      </c>
      <c r="AG996" t="s">
        <v>10635</v>
      </c>
      <c r="AH996" t="str">
        <f>HYPERLINK("http://compartments.jensenlab.org/Entity?figures=subcell_cell_%&amp;knowledge=10&amp;textmining=10&amp;experiments=10&amp;predictions=10&amp;type1=9606&amp;type2=-22&amp;id1=ENSP00000286371","link")</f>
        <v>link</v>
      </c>
      <c r="AJ996" t="s">
        <v>51</v>
      </c>
      <c r="AK996" t="str">
        <f>HYPERLINK("http://www.proteinatlas.org/P54709","CAB020697;HPA048963")</f>
        <v>CAB020697;HPA048963</v>
      </c>
      <c r="AM996">
        <v>483</v>
      </c>
    </row>
    <row r="997" spans="1:39" x14ac:dyDescent="0.35">
      <c r="A997" t="s">
        <v>10636</v>
      </c>
      <c r="B997" t="str">
        <f>HYPERLINK("http://www.uniprot.org/uniprot/P54753","P54753")</f>
        <v>P54753</v>
      </c>
      <c r="C997" t="s">
        <v>10637</v>
      </c>
      <c r="D997" t="s">
        <v>10638</v>
      </c>
      <c r="E997" t="s">
        <v>39</v>
      </c>
      <c r="F997" t="s">
        <v>55</v>
      </c>
      <c r="H997">
        <v>998</v>
      </c>
      <c r="I997">
        <v>1</v>
      </c>
      <c r="J997">
        <v>1</v>
      </c>
      <c r="K997" t="s">
        <v>10639</v>
      </c>
      <c r="L997" t="s">
        <v>101</v>
      </c>
      <c r="M997" t="s">
        <v>39</v>
      </c>
      <c r="N997">
        <v>0.90500000000000003</v>
      </c>
      <c r="O997" s="1">
        <v>1</v>
      </c>
      <c r="P997" t="s">
        <v>10640</v>
      </c>
      <c r="Q997" t="s">
        <v>10641</v>
      </c>
      <c r="S997" t="s">
        <v>166</v>
      </c>
      <c r="T997" t="s">
        <v>1432</v>
      </c>
      <c r="U997" t="s">
        <v>10642</v>
      </c>
      <c r="V997">
        <v>2</v>
      </c>
      <c r="W997" t="s">
        <v>10642</v>
      </c>
      <c r="Z997" t="s">
        <v>107</v>
      </c>
      <c r="AA997">
        <v>1</v>
      </c>
      <c r="AB997" t="s">
        <v>10643</v>
      </c>
      <c r="AC997">
        <v>445</v>
      </c>
      <c r="AD997" t="s">
        <v>10644</v>
      </c>
      <c r="AE997" t="s">
        <v>10645</v>
      </c>
      <c r="AF997" t="s">
        <v>10646</v>
      </c>
      <c r="AG997" t="s">
        <v>10647</v>
      </c>
      <c r="AH997" t="str">
        <f>HYPERLINK("http://compartments.jensenlab.org/Entity?figures=subcell_cell_%&amp;knowledge=10&amp;textmining=10&amp;experiments=10&amp;predictions=10&amp;type1=9606&amp;type2=-22&amp;id1=ENSP00000332118","link")</f>
        <v>link</v>
      </c>
      <c r="AI997" t="s">
        <v>65</v>
      </c>
      <c r="AJ997" t="s">
        <v>51</v>
      </c>
      <c r="AK997" t="str">
        <f>HYPERLINK("http://www.proteinatlas.org/P54753","HPA007698;HPA008184")</f>
        <v>HPA007698;HPA008184</v>
      </c>
      <c r="AM997">
        <v>2049</v>
      </c>
    </row>
    <row r="998" spans="1:39" x14ac:dyDescent="0.35">
      <c r="A998" t="s">
        <v>10648</v>
      </c>
      <c r="B998" t="str">
        <f>HYPERLINK("http://www.uniprot.org/uniprot/P54756","P54756")</f>
        <v>P54756</v>
      </c>
      <c r="C998" t="s">
        <v>10649</v>
      </c>
      <c r="D998" t="s">
        <v>10650</v>
      </c>
      <c r="E998" t="s">
        <v>39</v>
      </c>
      <c r="F998" t="s">
        <v>55</v>
      </c>
      <c r="H998">
        <v>1037</v>
      </c>
      <c r="I998">
        <v>1</v>
      </c>
      <c r="J998">
        <v>1</v>
      </c>
      <c r="K998" t="s">
        <v>10651</v>
      </c>
      <c r="L998" t="s">
        <v>101</v>
      </c>
      <c r="M998" t="s">
        <v>39</v>
      </c>
      <c r="N998">
        <v>0.94269999999999998</v>
      </c>
      <c r="O998" s="1">
        <v>1</v>
      </c>
      <c r="P998" t="s">
        <v>10652</v>
      </c>
      <c r="Q998" t="s">
        <v>10653</v>
      </c>
      <c r="S998" t="s">
        <v>166</v>
      </c>
      <c r="T998" t="s">
        <v>1432</v>
      </c>
      <c r="U998" t="s">
        <v>10654</v>
      </c>
      <c r="V998">
        <v>6</v>
      </c>
      <c r="W998" t="s">
        <v>10655</v>
      </c>
      <c r="Z998" t="s">
        <v>107</v>
      </c>
      <c r="AA998">
        <v>2</v>
      </c>
      <c r="AB998" t="s">
        <v>10656</v>
      </c>
      <c r="AC998" t="s">
        <v>10657</v>
      </c>
      <c r="AD998" t="s">
        <v>10658</v>
      </c>
      <c r="AE998" t="s">
        <v>7674</v>
      </c>
      <c r="AF998" t="s">
        <v>10659</v>
      </c>
      <c r="AG998" t="s">
        <v>10660</v>
      </c>
      <c r="AH998" t="str">
        <f>HYPERLINK("http://compartments.jensenlab.org/Entity?figures=subcell_cell_%&amp;knowledge=10&amp;textmining=10&amp;experiments=10&amp;predictions=10&amp;type1=9606&amp;type2=-22&amp;id1=ENSP00000273854","link")</f>
        <v>link</v>
      </c>
      <c r="AI998" t="s">
        <v>1500</v>
      </c>
      <c r="AJ998" t="s">
        <v>345</v>
      </c>
      <c r="AK998" t="str">
        <f>HYPERLINK("http://www.proteinatlas.org/P54756","no")</f>
        <v>no</v>
      </c>
      <c r="AM998">
        <v>2044</v>
      </c>
    </row>
    <row r="999" spans="1:39" x14ac:dyDescent="0.35">
      <c r="A999" t="s">
        <v>10661</v>
      </c>
      <c r="B999" t="str">
        <f>HYPERLINK("http://www.uniprot.org/uniprot/P54760","P54760")</f>
        <v>P54760</v>
      </c>
      <c r="C999" t="s">
        <v>10662</v>
      </c>
      <c r="D999" t="s">
        <v>10663</v>
      </c>
      <c r="E999" t="s">
        <v>39</v>
      </c>
      <c r="F999" t="s">
        <v>55</v>
      </c>
      <c r="H999">
        <v>987</v>
      </c>
      <c r="I999">
        <v>1</v>
      </c>
      <c r="J999">
        <v>1</v>
      </c>
      <c r="K999" t="s">
        <v>10664</v>
      </c>
      <c r="L999" t="s">
        <v>101</v>
      </c>
      <c r="N999">
        <v>0.92420000000000002</v>
      </c>
      <c r="O999" s="1">
        <v>1</v>
      </c>
      <c r="P999" t="s">
        <v>10665</v>
      </c>
      <c r="Q999" t="s">
        <v>10666</v>
      </c>
      <c r="S999" t="s">
        <v>166</v>
      </c>
      <c r="T999" t="s">
        <v>1432</v>
      </c>
      <c r="U999" t="s">
        <v>10667</v>
      </c>
      <c r="V999">
        <v>3</v>
      </c>
      <c r="W999" t="s">
        <v>10667</v>
      </c>
      <c r="Z999" t="s">
        <v>107</v>
      </c>
      <c r="AA999">
        <v>7</v>
      </c>
      <c r="AB999" t="s">
        <v>10668</v>
      </c>
      <c r="AC999" t="s">
        <v>10669</v>
      </c>
      <c r="AD999" t="s">
        <v>10670</v>
      </c>
      <c r="AE999" t="s">
        <v>332</v>
      </c>
      <c r="AF999" t="s">
        <v>10671</v>
      </c>
      <c r="AG999" t="s">
        <v>10672</v>
      </c>
      <c r="AH999" t="str">
        <f>HYPERLINK("http://compartments.jensenlab.org/Entity?figures=subcell_cell_%&amp;knowledge=10&amp;textmining=10&amp;experiments=10&amp;predictions=10&amp;type1=9606&amp;type2=-22&amp;id1=ENSP00000350896","link")</f>
        <v>link</v>
      </c>
      <c r="AI999" t="s">
        <v>65</v>
      </c>
      <c r="AJ999" t="s">
        <v>51</v>
      </c>
      <c r="AK999" t="str">
        <f>HYPERLINK("http://www.proteinatlas.org/P54760","CAB013537")</f>
        <v>CAB013537</v>
      </c>
      <c r="AM999">
        <v>2050</v>
      </c>
    </row>
    <row r="1000" spans="1:39" x14ac:dyDescent="0.35">
      <c r="A1000" t="s">
        <v>10673</v>
      </c>
      <c r="B1000" t="str">
        <f>HYPERLINK("http://www.uniprot.org/uniprot/P54762","P54762")</f>
        <v>P54762</v>
      </c>
      <c r="C1000" t="s">
        <v>10674</v>
      </c>
      <c r="D1000" t="s">
        <v>10675</v>
      </c>
      <c r="E1000" t="s">
        <v>39</v>
      </c>
      <c r="F1000" t="s">
        <v>55</v>
      </c>
      <c r="H1000">
        <v>984</v>
      </c>
      <c r="I1000">
        <v>1</v>
      </c>
      <c r="J1000">
        <v>1</v>
      </c>
      <c r="K1000" t="s">
        <v>10676</v>
      </c>
      <c r="L1000" t="s">
        <v>101</v>
      </c>
      <c r="N1000">
        <v>0.93410000000000004</v>
      </c>
      <c r="O1000" s="1">
        <v>1</v>
      </c>
      <c r="P1000" t="s">
        <v>10677</v>
      </c>
      <c r="Q1000" t="s">
        <v>10678</v>
      </c>
      <c r="S1000" t="s">
        <v>166</v>
      </c>
      <c r="T1000" t="s">
        <v>1432</v>
      </c>
      <c r="U1000" t="s">
        <v>10679</v>
      </c>
      <c r="V1000">
        <v>3</v>
      </c>
      <c r="W1000" t="s">
        <v>10679</v>
      </c>
      <c r="Z1000" t="s">
        <v>107</v>
      </c>
      <c r="AA1000">
        <v>2</v>
      </c>
      <c r="AB1000" t="s">
        <v>10680</v>
      </c>
      <c r="AC1000">
        <v>480</v>
      </c>
      <c r="AD1000" t="s">
        <v>10681</v>
      </c>
      <c r="AE1000" t="s">
        <v>10682</v>
      </c>
      <c r="AF1000" t="s">
        <v>10683</v>
      </c>
      <c r="AG1000" t="s">
        <v>10684</v>
      </c>
      <c r="AH1000" t="str">
        <f>HYPERLINK("http://compartments.jensenlab.org/Entity?figures=subcell_cell_%&amp;knowledge=10&amp;textmining=10&amp;experiments=10&amp;predictions=10&amp;type1=9606&amp;type2=-22&amp;id1=ENSP00000381097","link")</f>
        <v>link</v>
      </c>
      <c r="AI1000" t="s">
        <v>4125</v>
      </c>
      <c r="AJ1000" t="s">
        <v>1791</v>
      </c>
      <c r="AK1000" t="str">
        <f>HYPERLINK("http://www.proteinatlas.org/P54762","no")</f>
        <v>no</v>
      </c>
      <c r="AM1000">
        <v>2047</v>
      </c>
    </row>
    <row r="1001" spans="1:39" x14ac:dyDescent="0.35">
      <c r="A1001" t="s">
        <v>10685</v>
      </c>
      <c r="B1001" t="str">
        <f>HYPERLINK("http://www.uniprot.org/uniprot/P54764","P54764")</f>
        <v>P54764</v>
      </c>
      <c r="C1001" t="s">
        <v>10686</v>
      </c>
      <c r="D1001" t="s">
        <v>10687</v>
      </c>
      <c r="E1001" t="s">
        <v>39</v>
      </c>
      <c r="F1001" t="s">
        <v>55</v>
      </c>
      <c r="H1001">
        <v>986</v>
      </c>
      <c r="I1001">
        <v>1</v>
      </c>
      <c r="J1001">
        <v>1</v>
      </c>
      <c r="K1001" t="s">
        <v>10688</v>
      </c>
      <c r="L1001" t="s">
        <v>101</v>
      </c>
      <c r="N1001">
        <v>0.99199999999999999</v>
      </c>
      <c r="O1001" s="1">
        <v>1</v>
      </c>
      <c r="P1001" t="s">
        <v>10689</v>
      </c>
      <c r="Q1001" t="s">
        <v>10690</v>
      </c>
      <c r="S1001" t="s">
        <v>166</v>
      </c>
      <c r="T1001" t="s">
        <v>1432</v>
      </c>
      <c r="U1001" t="s">
        <v>10691</v>
      </c>
      <c r="V1001">
        <v>4</v>
      </c>
      <c r="W1001" t="s">
        <v>10691</v>
      </c>
      <c r="Z1001" t="s">
        <v>107</v>
      </c>
      <c r="AA1001">
        <v>1</v>
      </c>
      <c r="AB1001" t="s">
        <v>10692</v>
      </c>
      <c r="AC1001">
        <v>235</v>
      </c>
      <c r="AD1001" t="s">
        <v>10693</v>
      </c>
      <c r="AE1001" t="s">
        <v>10694</v>
      </c>
      <c r="AF1001" t="s">
        <v>10695</v>
      </c>
      <c r="AG1001" t="s">
        <v>10696</v>
      </c>
      <c r="AH1001" t="str">
        <f>HYPERLINK("http://compartments.jensenlab.org/Entity?figures=subcell_cell_%&amp;knowledge=10&amp;textmining=10&amp;experiments=10&amp;predictions=10&amp;type1=9606&amp;type2=-22&amp;id1=ENSP00000281821","link")</f>
        <v>link</v>
      </c>
      <c r="AI1001" t="s">
        <v>65</v>
      </c>
      <c r="AJ1001" t="s">
        <v>10697</v>
      </c>
      <c r="AK1001" t="str">
        <f>HYPERLINK("http://www.proteinatlas.org/P54764","CAB028368")</f>
        <v>CAB028368</v>
      </c>
      <c r="AM1001">
        <v>2043</v>
      </c>
    </row>
    <row r="1002" spans="1:39" x14ac:dyDescent="0.35">
      <c r="A1002" t="s">
        <v>10698</v>
      </c>
      <c r="B1002" t="str">
        <f>HYPERLINK("http://www.uniprot.org/uniprot/P54826","P54826")</f>
        <v>P54826</v>
      </c>
      <c r="C1002" t="s">
        <v>10699</v>
      </c>
      <c r="D1002" t="s">
        <v>10700</v>
      </c>
      <c r="E1002" t="s">
        <v>39</v>
      </c>
      <c r="F1002" t="s">
        <v>239</v>
      </c>
      <c r="H1002">
        <v>345</v>
      </c>
      <c r="I1002">
        <v>0</v>
      </c>
      <c r="J1002">
        <v>1</v>
      </c>
      <c r="K1002" t="s">
        <v>10701</v>
      </c>
      <c r="L1002" t="s">
        <v>57</v>
      </c>
      <c r="N1002">
        <v>0.37719999999999998</v>
      </c>
      <c r="O1002" s="1"/>
      <c r="P1002" t="s">
        <v>10702</v>
      </c>
      <c r="Q1002" t="s">
        <v>10703</v>
      </c>
      <c r="U1002">
        <v>117</v>
      </c>
      <c r="V1002">
        <v>1</v>
      </c>
      <c r="X1002" t="s">
        <v>10704</v>
      </c>
      <c r="AE1002" t="s">
        <v>243</v>
      </c>
      <c r="AF1002" t="s">
        <v>10705</v>
      </c>
      <c r="AG1002" t="s">
        <v>10706</v>
      </c>
      <c r="AH1002" t="str">
        <f>HYPERLINK("http://compartments.jensenlab.org/Entity?figures=subcell_cell_%&amp;knowledge=10&amp;textmining=10&amp;experiments=10&amp;predictions=10&amp;type1=9606&amp;type2=-22&amp;id1=ENSP00000298743","link")</f>
        <v>link</v>
      </c>
      <c r="AI1002" t="s">
        <v>65</v>
      </c>
      <c r="AJ1002" t="s">
        <v>51</v>
      </c>
      <c r="AK1002" t="str">
        <f>HYPERLINK("http://www.proteinatlas.org/P54826","CAB024164;HPA036085")</f>
        <v>CAB024164;HPA036085</v>
      </c>
      <c r="AM1002">
        <v>2619</v>
      </c>
    </row>
    <row r="1003" spans="1:39" x14ac:dyDescent="0.35">
      <c r="A1003" t="s">
        <v>10707</v>
      </c>
      <c r="B1003" t="str">
        <f>HYPERLINK("http://www.uniprot.org/uniprot/P54849","P54849")</f>
        <v>P54849</v>
      </c>
      <c r="C1003" t="s">
        <v>10708</v>
      </c>
      <c r="D1003" t="s">
        <v>10709</v>
      </c>
      <c r="E1003" t="s">
        <v>39</v>
      </c>
      <c r="F1003" t="s">
        <v>40</v>
      </c>
      <c r="H1003">
        <v>157</v>
      </c>
      <c r="I1003">
        <v>4</v>
      </c>
      <c r="J1003">
        <v>0</v>
      </c>
      <c r="K1003" t="s">
        <v>10710</v>
      </c>
      <c r="L1003" t="s">
        <v>118</v>
      </c>
      <c r="N1003">
        <v>0.58479999999999999</v>
      </c>
      <c r="O1003" s="1">
        <v>2</v>
      </c>
      <c r="P1003" t="s">
        <v>10711</v>
      </c>
      <c r="Q1003" t="s">
        <v>10712</v>
      </c>
      <c r="S1003" t="s">
        <v>91</v>
      </c>
      <c r="T1003" t="s">
        <v>10713</v>
      </c>
      <c r="U1003" t="s">
        <v>10714</v>
      </c>
      <c r="V1003">
        <v>2</v>
      </c>
      <c r="Y1003" t="s">
        <v>10715</v>
      </c>
      <c r="Z1003" t="s">
        <v>123</v>
      </c>
      <c r="AA1003">
        <v>3</v>
      </c>
      <c r="AB1003" t="s">
        <v>10716</v>
      </c>
      <c r="AC1003" t="s">
        <v>10714</v>
      </c>
      <c r="AD1003" t="s">
        <v>10717</v>
      </c>
      <c r="AE1003" t="s">
        <v>48</v>
      </c>
      <c r="AF1003" t="s">
        <v>472</v>
      </c>
      <c r="AG1003" t="s">
        <v>10718</v>
      </c>
      <c r="AH1003" t="str">
        <f>HYPERLINK("http://compartments.jensenlab.org/Entity?figures=subcell_cell_%&amp;knowledge=10&amp;textmining=10&amp;experiments=10&amp;predictions=10&amp;type1=9606&amp;type2=-22&amp;id1=ENSP00000256951","link")</f>
        <v>link</v>
      </c>
      <c r="AJ1003" t="s">
        <v>51</v>
      </c>
      <c r="AK1003" t="str">
        <f>HYPERLINK("http://www.proteinatlas.org/P54849","HPA056250")</f>
        <v>HPA056250</v>
      </c>
      <c r="AM1003">
        <v>2012</v>
      </c>
    </row>
    <row r="1004" spans="1:39" x14ac:dyDescent="0.35">
      <c r="A1004" t="s">
        <v>10719</v>
      </c>
      <c r="B1004" t="str">
        <f>HYPERLINK("http://www.uniprot.org/uniprot/P54851","P54851")</f>
        <v>P54851</v>
      </c>
      <c r="C1004" t="s">
        <v>10720</v>
      </c>
      <c r="D1004" t="s">
        <v>10721</v>
      </c>
      <c r="E1004" t="s">
        <v>39</v>
      </c>
      <c r="F1004" t="s">
        <v>40</v>
      </c>
      <c r="H1004">
        <v>167</v>
      </c>
      <c r="I1004">
        <v>3</v>
      </c>
      <c r="J1004">
        <v>1</v>
      </c>
      <c r="K1004" t="s">
        <v>10722</v>
      </c>
      <c r="L1004" t="s">
        <v>1592</v>
      </c>
      <c r="N1004">
        <v>0.5968</v>
      </c>
      <c r="O1004" s="1">
        <v>2</v>
      </c>
      <c r="P1004" t="s">
        <v>10723</v>
      </c>
      <c r="Q1004" t="s">
        <v>10724</v>
      </c>
      <c r="S1004" t="s">
        <v>91</v>
      </c>
      <c r="T1004" t="s">
        <v>10713</v>
      </c>
      <c r="U1004" t="s">
        <v>10725</v>
      </c>
      <c r="V1004">
        <v>3</v>
      </c>
      <c r="Y1004" t="s">
        <v>10726</v>
      </c>
      <c r="Z1004" t="s">
        <v>123</v>
      </c>
      <c r="AA1004">
        <v>4</v>
      </c>
      <c r="AB1004" t="s">
        <v>10727</v>
      </c>
      <c r="AC1004" t="s">
        <v>10725</v>
      </c>
      <c r="AD1004" t="s">
        <v>10728</v>
      </c>
      <c r="AE1004" t="s">
        <v>10729</v>
      </c>
      <c r="AF1004" t="s">
        <v>10730</v>
      </c>
      <c r="AG1004" t="s">
        <v>10731</v>
      </c>
      <c r="AH1004" t="str">
        <f>HYPERLINK("http://compartments.jensenlab.org/Entity?figures=subcell_cell_%&amp;knowledge=10&amp;textmining=10&amp;experiments=10&amp;predictions=10&amp;type1=9606&amp;type2=-22&amp;id1=ENSP00000352540","link")</f>
        <v>link</v>
      </c>
      <c r="AJ1004" t="s">
        <v>51</v>
      </c>
      <c r="AK1004" t="str">
        <f>HYPERLINK("http://www.proteinatlas.org/P54851","HPA014711")</f>
        <v>HPA014711</v>
      </c>
      <c r="AM1004">
        <v>2013</v>
      </c>
    </row>
    <row r="1005" spans="1:39" x14ac:dyDescent="0.35">
      <c r="A1005" t="s">
        <v>10732</v>
      </c>
      <c r="B1005" t="str">
        <f>HYPERLINK("http://www.uniprot.org/uniprot/P54852","P54852")</f>
        <v>P54852</v>
      </c>
      <c r="C1005" t="s">
        <v>10733</v>
      </c>
      <c r="D1005" t="s">
        <v>10734</v>
      </c>
      <c r="E1005" t="s">
        <v>39</v>
      </c>
      <c r="F1005" t="s">
        <v>40</v>
      </c>
      <c r="H1005">
        <v>163</v>
      </c>
      <c r="I1005">
        <v>3</v>
      </c>
      <c r="J1005">
        <v>1</v>
      </c>
      <c r="K1005" t="s">
        <v>10735</v>
      </c>
      <c r="L1005" t="s">
        <v>1592</v>
      </c>
      <c r="N1005">
        <v>0.61480000000000001</v>
      </c>
      <c r="O1005" s="1">
        <v>2</v>
      </c>
      <c r="P1005" t="s">
        <v>10736</v>
      </c>
      <c r="Q1005" t="s">
        <v>10737</v>
      </c>
      <c r="S1005" t="s">
        <v>91</v>
      </c>
      <c r="T1005" t="s">
        <v>10713</v>
      </c>
      <c r="U1005" t="s">
        <v>10738</v>
      </c>
      <c r="V1005">
        <v>2</v>
      </c>
      <c r="Y1005" t="s">
        <v>10739</v>
      </c>
      <c r="Z1005" t="s">
        <v>123</v>
      </c>
      <c r="AA1005">
        <v>14</v>
      </c>
      <c r="AB1005" t="s">
        <v>10740</v>
      </c>
      <c r="AC1005">
        <v>47</v>
      </c>
      <c r="AD1005" t="s">
        <v>10741</v>
      </c>
      <c r="AE1005" t="s">
        <v>48</v>
      </c>
      <c r="AF1005" t="s">
        <v>83</v>
      </c>
      <c r="AG1005" t="s">
        <v>10742</v>
      </c>
      <c r="AH1005" t="str">
        <f>HYPERLINK("http://compartments.jensenlab.org/Entity?figures=subcell_cell_%&amp;knowledge=10&amp;textmining=10&amp;experiments=10&amp;predictions=10&amp;type1=9606&amp;type2=-22&amp;id1=ENSP00000270221","link")</f>
        <v>link</v>
      </c>
      <c r="AJ1005" t="s">
        <v>51</v>
      </c>
      <c r="AK1005" t="str">
        <f>HYPERLINK("http://www.proteinatlas.org/P54852","HPA051163")</f>
        <v>HPA051163</v>
      </c>
      <c r="AM1005">
        <v>2014</v>
      </c>
    </row>
    <row r="1006" spans="1:39" x14ac:dyDescent="0.35">
      <c r="A1006" t="s">
        <v>10743</v>
      </c>
      <c r="B1006" t="str">
        <f>HYPERLINK("http://www.uniprot.org/uniprot/P55011","P55011")</f>
        <v>P55011</v>
      </c>
      <c r="C1006" t="s">
        <v>10744</v>
      </c>
      <c r="D1006" t="s">
        <v>10745</v>
      </c>
      <c r="E1006" t="s">
        <v>39</v>
      </c>
      <c r="F1006" t="s">
        <v>40</v>
      </c>
      <c r="H1006">
        <v>1212</v>
      </c>
      <c r="I1006">
        <v>12</v>
      </c>
      <c r="J1006">
        <v>0</v>
      </c>
      <c r="K1006" t="s">
        <v>10746</v>
      </c>
      <c r="L1006" t="s">
        <v>101</v>
      </c>
      <c r="N1006">
        <v>0.83430000000000004</v>
      </c>
      <c r="O1006" s="1">
        <v>1</v>
      </c>
      <c r="P1006" t="s">
        <v>10747</v>
      </c>
      <c r="Q1006" t="s">
        <v>10748</v>
      </c>
      <c r="S1006" t="s">
        <v>45</v>
      </c>
      <c r="T1006" t="s">
        <v>46</v>
      </c>
      <c r="U1006" t="s">
        <v>10749</v>
      </c>
      <c r="V1006">
        <v>2</v>
      </c>
      <c r="W1006" t="s">
        <v>10750</v>
      </c>
      <c r="Z1006" t="s">
        <v>123</v>
      </c>
      <c r="AA1006">
        <v>4</v>
      </c>
      <c r="AB1006" t="s">
        <v>10751</v>
      </c>
      <c r="AC1006" t="s">
        <v>10750</v>
      </c>
      <c r="AD1006" t="s">
        <v>10752</v>
      </c>
      <c r="AE1006" t="s">
        <v>48</v>
      </c>
      <c r="AF1006" t="s">
        <v>10753</v>
      </c>
      <c r="AG1006" t="s">
        <v>10754</v>
      </c>
      <c r="AH1006" t="str">
        <f>HYPERLINK("http://compartments.jensenlab.org/Entity?figures=subcell_cell_%&amp;knowledge=10&amp;textmining=10&amp;experiments=10&amp;predictions=10&amp;type1=9606&amp;type2=-22&amp;id1=ENSP00000262461","link")</f>
        <v>link</v>
      </c>
      <c r="AJ1006" t="s">
        <v>51</v>
      </c>
      <c r="AK1006" t="str">
        <f>HYPERLINK("http://www.proteinatlas.org/P55011","HPA020130")</f>
        <v>HPA020130</v>
      </c>
      <c r="AL1006" t="s">
        <v>10755</v>
      </c>
      <c r="AM1006">
        <v>6558</v>
      </c>
    </row>
    <row r="1007" spans="1:39" x14ac:dyDescent="0.35">
      <c r="A1007" t="s">
        <v>10756</v>
      </c>
      <c r="B1007" t="str">
        <f>HYPERLINK("http://www.uniprot.org/uniprot/P55017","P55017")</f>
        <v>P55017</v>
      </c>
      <c r="C1007" t="s">
        <v>10757</v>
      </c>
      <c r="D1007" t="s">
        <v>10758</v>
      </c>
      <c r="E1007" t="s">
        <v>39</v>
      </c>
      <c r="F1007" t="s">
        <v>40</v>
      </c>
      <c r="H1007">
        <v>1021</v>
      </c>
      <c r="I1007">
        <v>12</v>
      </c>
      <c r="J1007">
        <v>0</v>
      </c>
      <c r="K1007" t="s">
        <v>10759</v>
      </c>
      <c r="L1007" t="s">
        <v>57</v>
      </c>
      <c r="N1007">
        <v>0.9002</v>
      </c>
      <c r="O1007" s="1">
        <v>1</v>
      </c>
      <c r="P1007" t="s">
        <v>10760</v>
      </c>
      <c r="Q1007" t="s">
        <v>10761</v>
      </c>
      <c r="S1007" t="s">
        <v>45</v>
      </c>
      <c r="T1007" t="s">
        <v>46</v>
      </c>
      <c r="U1007" t="s">
        <v>10762</v>
      </c>
      <c r="V1007">
        <v>2</v>
      </c>
      <c r="W1007" t="s">
        <v>10763</v>
      </c>
      <c r="AE1007" t="s">
        <v>74</v>
      </c>
      <c r="AF1007" t="s">
        <v>10764</v>
      </c>
      <c r="AG1007" t="s">
        <v>10765</v>
      </c>
      <c r="AH1007" t="str">
        <f>HYPERLINK("http://compartments.jensenlab.org/Entity?figures=subcell_cell_%&amp;knowledge=10&amp;textmining=10&amp;experiments=10&amp;predictions=10&amp;type1=9606&amp;type2=-22&amp;id1=ENSP00000456149","link")</f>
        <v>link</v>
      </c>
      <c r="AK1007" t="str">
        <f>HYPERLINK("http://www.proteinatlas.org/P55017","CAB022505;HPA028748")</f>
        <v>CAB022505;HPA028748</v>
      </c>
      <c r="AL1007" t="s">
        <v>10766</v>
      </c>
      <c r="AM1007">
        <v>6559</v>
      </c>
    </row>
    <row r="1008" spans="1:39" x14ac:dyDescent="0.35">
      <c r="A1008" t="s">
        <v>10767</v>
      </c>
      <c r="B1008" t="str">
        <f>HYPERLINK("http://www.uniprot.org/uniprot/P55064","P55064")</f>
        <v>P55064</v>
      </c>
      <c r="C1008" t="s">
        <v>10768</v>
      </c>
      <c r="D1008" t="s">
        <v>10769</v>
      </c>
      <c r="E1008" t="s">
        <v>39</v>
      </c>
      <c r="F1008" t="s">
        <v>40</v>
      </c>
      <c r="H1008">
        <v>265</v>
      </c>
      <c r="I1008">
        <v>6</v>
      </c>
      <c r="J1008">
        <v>0</v>
      </c>
      <c r="K1008" t="s">
        <v>10770</v>
      </c>
      <c r="L1008" t="s">
        <v>57</v>
      </c>
      <c r="N1008">
        <v>0.73650000000000004</v>
      </c>
      <c r="O1008" s="1">
        <v>2</v>
      </c>
      <c r="P1008" t="s">
        <v>10771</v>
      </c>
      <c r="Q1008" t="s">
        <v>10772</v>
      </c>
      <c r="S1008" t="s">
        <v>45</v>
      </c>
      <c r="T1008" t="s">
        <v>1798</v>
      </c>
      <c r="U1008" t="s">
        <v>10773</v>
      </c>
      <c r="V1008">
        <v>2</v>
      </c>
      <c r="W1008" t="s">
        <v>10773</v>
      </c>
      <c r="Y1008">
        <v>204</v>
      </c>
      <c r="AE1008" t="s">
        <v>48</v>
      </c>
      <c r="AF1008" t="s">
        <v>10774</v>
      </c>
      <c r="AG1008" t="s">
        <v>10775</v>
      </c>
      <c r="AH1008" t="str">
        <f>HYPERLINK("http://compartments.jensenlab.org/Entity?figures=subcell_cell_%&amp;knowledge=10&amp;textmining=10&amp;experiments=10&amp;predictions=10&amp;type1=9606&amp;type2=-22&amp;id1=ENSP00000293599","link")</f>
        <v>link</v>
      </c>
      <c r="AI1008" t="s">
        <v>65</v>
      </c>
      <c r="AJ1008" t="s">
        <v>345</v>
      </c>
      <c r="AK1008" t="str">
        <f>HYPERLINK("http://www.proteinatlas.org/P55064","HPA065008")</f>
        <v>HPA065008</v>
      </c>
      <c r="AM1008">
        <v>362</v>
      </c>
    </row>
    <row r="1009" spans="1:39" x14ac:dyDescent="0.35">
      <c r="A1009" t="s">
        <v>10776</v>
      </c>
      <c r="B1009" t="str">
        <f>HYPERLINK("http://www.uniprot.org/uniprot/P55082","P55082")</f>
        <v>P55082</v>
      </c>
      <c r="C1009" t="s">
        <v>10777</v>
      </c>
      <c r="D1009" t="s">
        <v>10778</v>
      </c>
      <c r="E1009" t="s">
        <v>39</v>
      </c>
      <c r="F1009" t="s">
        <v>55</v>
      </c>
      <c r="H1009">
        <v>362</v>
      </c>
      <c r="I1009">
        <v>1</v>
      </c>
      <c r="J1009">
        <v>1</v>
      </c>
      <c r="K1009" t="s">
        <v>10779</v>
      </c>
      <c r="L1009" t="s">
        <v>101</v>
      </c>
      <c r="M1009" t="s">
        <v>39</v>
      </c>
      <c r="N1009">
        <v>0.76739999999999997</v>
      </c>
      <c r="O1009" s="1">
        <v>1</v>
      </c>
      <c r="P1009" t="s">
        <v>10780</v>
      </c>
      <c r="Q1009" t="s">
        <v>10781</v>
      </c>
      <c r="S1009" t="s">
        <v>60</v>
      </c>
      <c r="T1009" t="s">
        <v>60</v>
      </c>
      <c r="U1009" t="s">
        <v>10782</v>
      </c>
      <c r="V1009">
        <v>3</v>
      </c>
      <c r="Z1009" t="s">
        <v>107</v>
      </c>
      <c r="AA1009">
        <v>3</v>
      </c>
      <c r="AB1009" t="s">
        <v>10783</v>
      </c>
      <c r="AC1009" t="s">
        <v>10784</v>
      </c>
      <c r="AD1009" t="s">
        <v>10785</v>
      </c>
      <c r="AE1009" t="s">
        <v>332</v>
      </c>
      <c r="AF1009" t="s">
        <v>9143</v>
      </c>
      <c r="AG1009" t="s">
        <v>10786</v>
      </c>
      <c r="AH1009" t="str">
        <f>HYPERLINK("http://compartments.jensenlab.org/Entity?figures=subcell_cell_%&amp;knowledge=10&amp;textmining=10&amp;experiments=10&amp;predictions=10&amp;type1=9606&amp;type2=-22&amp;id1=ENSP00000322956","link")</f>
        <v>link</v>
      </c>
      <c r="AI1009" t="s">
        <v>65</v>
      </c>
      <c r="AJ1009" t="s">
        <v>51</v>
      </c>
      <c r="AK1009" t="str">
        <f>HYPERLINK("http://www.proteinatlas.org/P55082","HPA015883;HPA049198")</f>
        <v>HPA015883;HPA049198</v>
      </c>
      <c r="AM1009">
        <v>4238</v>
      </c>
    </row>
    <row r="1010" spans="1:39" x14ac:dyDescent="0.35">
      <c r="A1010" t="s">
        <v>10787</v>
      </c>
      <c r="B1010" t="str">
        <f>HYPERLINK("http://www.uniprot.org/uniprot/P55085","P55085")</f>
        <v>P55085</v>
      </c>
      <c r="C1010" t="s">
        <v>10788</v>
      </c>
      <c r="D1010" t="s">
        <v>10789</v>
      </c>
      <c r="E1010" t="s">
        <v>39</v>
      </c>
      <c r="F1010" t="s">
        <v>40</v>
      </c>
      <c r="H1010">
        <v>397</v>
      </c>
      <c r="I1010">
        <v>7</v>
      </c>
      <c r="J1010">
        <v>1</v>
      </c>
      <c r="K1010" t="s">
        <v>10790</v>
      </c>
      <c r="L1010" t="s">
        <v>57</v>
      </c>
      <c r="N1010">
        <v>0.93410000000000004</v>
      </c>
      <c r="O1010" s="1">
        <v>1</v>
      </c>
      <c r="P1010" t="s">
        <v>10791</v>
      </c>
      <c r="Q1010" t="s">
        <v>10792</v>
      </c>
      <c r="S1010" t="s">
        <v>166</v>
      </c>
      <c r="T1010" t="s">
        <v>838</v>
      </c>
      <c r="U1010" t="s">
        <v>10793</v>
      </c>
      <c r="V1010">
        <v>2</v>
      </c>
      <c r="W1010">
        <v>222</v>
      </c>
      <c r="X1010" t="s">
        <v>10794</v>
      </c>
      <c r="AE1010" t="s">
        <v>74</v>
      </c>
      <c r="AF1010" t="s">
        <v>10795</v>
      </c>
      <c r="AG1010" t="s">
        <v>10796</v>
      </c>
      <c r="AH1010" t="str">
        <f>HYPERLINK("http://compartments.jensenlab.org/Entity?figures=subcell_cell_%&amp;knowledge=10&amp;textmining=10&amp;experiments=10&amp;predictions=10&amp;type1=9606&amp;type2=-22&amp;id1=ENSP00000296677","link")</f>
        <v>link</v>
      </c>
      <c r="AI1010" t="s">
        <v>65</v>
      </c>
      <c r="AJ1010" t="s">
        <v>3228</v>
      </c>
      <c r="AK1010" t="str">
        <f>HYPERLINK("http://www.proteinatlas.org/P55085","CAB012989")</f>
        <v>CAB012989</v>
      </c>
      <c r="AM1010">
        <v>2150</v>
      </c>
    </row>
    <row r="1011" spans="1:39" x14ac:dyDescent="0.35">
      <c r="A1011" t="s">
        <v>10797</v>
      </c>
      <c r="B1011" t="str">
        <f>HYPERLINK("http://www.uniprot.org/uniprot/P55087","P55087")</f>
        <v>P55087</v>
      </c>
      <c r="C1011" t="s">
        <v>10798</v>
      </c>
      <c r="D1011" t="s">
        <v>10799</v>
      </c>
      <c r="E1011" t="s">
        <v>39</v>
      </c>
      <c r="F1011" t="s">
        <v>40</v>
      </c>
      <c r="H1011">
        <v>323</v>
      </c>
      <c r="I1011">
        <v>6</v>
      </c>
      <c r="J1011">
        <v>0</v>
      </c>
      <c r="K1011" t="s">
        <v>10800</v>
      </c>
      <c r="L1011" t="s">
        <v>57</v>
      </c>
      <c r="N1011">
        <v>0.74450000000000005</v>
      </c>
      <c r="O1011" s="1">
        <v>2</v>
      </c>
      <c r="P1011" t="s">
        <v>10801</v>
      </c>
      <c r="Q1011" t="s">
        <v>10802</v>
      </c>
      <c r="S1011" t="s">
        <v>45</v>
      </c>
      <c r="T1011" t="s">
        <v>1798</v>
      </c>
      <c r="U1011" t="s">
        <v>10803</v>
      </c>
      <c r="V1011">
        <v>1</v>
      </c>
      <c r="W1011" t="s">
        <v>10803</v>
      </c>
      <c r="Y1011">
        <v>231</v>
      </c>
      <c r="AE1011" t="s">
        <v>48</v>
      </c>
      <c r="AF1011" t="s">
        <v>10804</v>
      </c>
      <c r="AG1011" t="s">
        <v>10805</v>
      </c>
      <c r="AH1011" t="str">
        <f>HYPERLINK("http://compartments.jensenlab.org/Entity?figures=subcell_cell_%&amp;knowledge=10&amp;textmining=10&amp;experiments=10&amp;predictions=10&amp;type1=9606&amp;type2=-22&amp;id1=ENSP00000372654","link")</f>
        <v>link</v>
      </c>
      <c r="AI1011" t="s">
        <v>65</v>
      </c>
      <c r="AJ1011" t="s">
        <v>2124</v>
      </c>
      <c r="AK1011" t="str">
        <f>HYPERLINK("http://www.proteinatlas.org/P55087","CAB005079;HPA014784;CAB058689")</f>
        <v>CAB005079;HPA014784;CAB058689</v>
      </c>
      <c r="AM1011">
        <v>361</v>
      </c>
    </row>
    <row r="1012" spans="1:39" x14ac:dyDescent="0.35">
      <c r="A1012" t="s">
        <v>10806</v>
      </c>
      <c r="B1012" t="str">
        <f>HYPERLINK("http://www.uniprot.org/uniprot/P55259","P55259")</f>
        <v>P55259</v>
      </c>
      <c r="C1012" t="s">
        <v>10807</v>
      </c>
      <c r="D1012" t="s">
        <v>10808</v>
      </c>
      <c r="E1012" t="s">
        <v>39</v>
      </c>
      <c r="F1012" t="s">
        <v>239</v>
      </c>
      <c r="H1012">
        <v>537</v>
      </c>
      <c r="I1012">
        <v>0</v>
      </c>
      <c r="J1012">
        <v>1</v>
      </c>
      <c r="K1012" t="s">
        <v>10809</v>
      </c>
      <c r="L1012" t="s">
        <v>57</v>
      </c>
      <c r="N1012">
        <v>0.79239999999999999</v>
      </c>
      <c r="O1012" s="1" t="s">
        <v>997</v>
      </c>
      <c r="P1012" t="s">
        <v>10810</v>
      </c>
      <c r="Q1012" t="s">
        <v>10811</v>
      </c>
      <c r="S1012" t="s">
        <v>60</v>
      </c>
      <c r="T1012" t="s">
        <v>60</v>
      </c>
      <c r="U1012" t="s">
        <v>10812</v>
      </c>
      <c r="V1012">
        <v>11</v>
      </c>
      <c r="W1012" t="s">
        <v>10812</v>
      </c>
      <c r="AE1012" t="s">
        <v>2453</v>
      </c>
      <c r="AF1012" t="s">
        <v>10813</v>
      </c>
      <c r="AG1012" t="s">
        <v>10814</v>
      </c>
      <c r="AH1012" t="str">
        <f>HYPERLINK("http://compartments.jensenlab.org/Entity?figures=subcell_cell_%&amp;knowledge=10&amp;textmining=10&amp;experiments=10&amp;predictions=10&amp;type1=9606&amp;type2=-22&amp;id1=ENSP00000370767","link")</f>
        <v>link</v>
      </c>
      <c r="AI1012" t="s">
        <v>65</v>
      </c>
      <c r="AJ1012" t="s">
        <v>902</v>
      </c>
      <c r="AK1012" t="str">
        <f>HYPERLINK("http://www.proteinatlas.org/P55259","HPA015739;HPA016668")</f>
        <v>HPA015739;HPA016668</v>
      </c>
      <c r="AM1012">
        <v>2813</v>
      </c>
    </row>
    <row r="1013" spans="1:39" x14ac:dyDescent="0.35">
      <c r="A1013" t="s">
        <v>10815</v>
      </c>
      <c r="B1013" t="str">
        <f>HYPERLINK("http://www.uniprot.org/uniprot/P55283","P55283")</f>
        <v>P55283</v>
      </c>
      <c r="C1013" t="s">
        <v>10816</v>
      </c>
      <c r="D1013" t="s">
        <v>10817</v>
      </c>
      <c r="E1013" t="s">
        <v>39</v>
      </c>
      <c r="F1013" t="s">
        <v>55</v>
      </c>
      <c r="H1013">
        <v>916</v>
      </c>
      <c r="I1013">
        <v>1</v>
      </c>
      <c r="J1013">
        <v>1</v>
      </c>
      <c r="K1013" t="s">
        <v>10818</v>
      </c>
      <c r="L1013" t="s">
        <v>101</v>
      </c>
      <c r="N1013">
        <v>0.98599999999999999</v>
      </c>
      <c r="O1013" s="1">
        <v>1</v>
      </c>
      <c r="P1013" t="s">
        <v>10819</v>
      </c>
      <c r="Q1013" t="s">
        <v>10820</v>
      </c>
      <c r="S1013" t="s">
        <v>91</v>
      </c>
      <c r="T1013" t="s">
        <v>2622</v>
      </c>
      <c r="U1013" t="s">
        <v>10821</v>
      </c>
      <c r="V1013">
        <v>6</v>
      </c>
      <c r="W1013" t="s">
        <v>10821</v>
      </c>
      <c r="Z1013" t="s">
        <v>107</v>
      </c>
      <c r="AA1013">
        <v>2</v>
      </c>
      <c r="AB1013" t="s">
        <v>10822</v>
      </c>
      <c r="AC1013" t="s">
        <v>10823</v>
      </c>
      <c r="AD1013" t="s">
        <v>10824</v>
      </c>
      <c r="AE1013" t="s">
        <v>332</v>
      </c>
      <c r="AF1013" t="s">
        <v>6234</v>
      </c>
      <c r="AG1013" t="s">
        <v>10825</v>
      </c>
      <c r="AH1013" t="str">
        <f>HYPERLINK("http://compartments.jensenlab.org/Entity?figures=subcell_cell_%&amp;knowledge=10&amp;textmining=10&amp;experiments=10&amp;predictions=10&amp;type1=9606&amp;type2=-22&amp;id1=ENSP00000484928","link")</f>
        <v>link</v>
      </c>
      <c r="AK1013" t="str">
        <f>HYPERLINK("http://www.proteinatlas.org/P55283","HPA015613")</f>
        <v>HPA015613</v>
      </c>
      <c r="AM1013">
        <v>1002</v>
      </c>
    </row>
    <row r="1014" spans="1:39" x14ac:dyDescent="0.35">
      <c r="A1014" t="s">
        <v>10826</v>
      </c>
      <c r="B1014" t="str">
        <f>HYPERLINK("http://www.uniprot.org/uniprot/P55285","P55285")</f>
        <v>P55285</v>
      </c>
      <c r="C1014" t="s">
        <v>10827</v>
      </c>
      <c r="D1014" t="s">
        <v>10828</v>
      </c>
      <c r="E1014" t="s">
        <v>39</v>
      </c>
      <c r="F1014" t="s">
        <v>55</v>
      </c>
      <c r="H1014">
        <v>790</v>
      </c>
      <c r="I1014">
        <v>1</v>
      </c>
      <c r="J1014">
        <v>1</v>
      </c>
      <c r="K1014" t="s">
        <v>10829</v>
      </c>
      <c r="L1014" t="s">
        <v>101</v>
      </c>
      <c r="M1014" t="s">
        <v>39</v>
      </c>
      <c r="N1014">
        <v>0.96</v>
      </c>
      <c r="O1014" s="1">
        <v>1</v>
      </c>
      <c r="P1014" t="s">
        <v>10830</v>
      </c>
      <c r="Q1014" t="s">
        <v>10831</v>
      </c>
      <c r="S1014" t="s">
        <v>91</v>
      </c>
      <c r="T1014" t="s">
        <v>2622</v>
      </c>
      <c r="U1014" t="s">
        <v>10832</v>
      </c>
      <c r="V1014">
        <v>6</v>
      </c>
      <c r="Z1014" t="s">
        <v>107</v>
      </c>
      <c r="AA1014">
        <v>7</v>
      </c>
      <c r="AB1014" t="s">
        <v>10833</v>
      </c>
      <c r="AC1014" t="s">
        <v>10834</v>
      </c>
      <c r="AD1014" t="s">
        <v>10835</v>
      </c>
      <c r="AE1014" t="s">
        <v>332</v>
      </c>
      <c r="AF1014" t="s">
        <v>10836</v>
      </c>
      <c r="AG1014" t="s">
        <v>10837</v>
      </c>
      <c r="AH1014" t="str">
        <f>HYPERLINK("http://compartments.jensenlab.org/Entity?figures=subcell_cell_%&amp;knowledge=10&amp;textmining=10&amp;experiments=10&amp;predictions=10&amp;type1=9606&amp;type2=-22&amp;id1=ENSP00000265071","link")</f>
        <v>link</v>
      </c>
      <c r="AI1014" t="s">
        <v>65</v>
      </c>
      <c r="AJ1014" t="s">
        <v>299</v>
      </c>
      <c r="AK1014" t="str">
        <f>HYPERLINK("http://www.proteinatlas.org/P55285","HPA007047;HPA007456;CAB025274")</f>
        <v>HPA007047;HPA007456;CAB025274</v>
      </c>
      <c r="AM1014">
        <v>1004</v>
      </c>
    </row>
    <row r="1015" spans="1:39" x14ac:dyDescent="0.35">
      <c r="A1015" t="s">
        <v>10838</v>
      </c>
      <c r="B1015" t="str">
        <f>HYPERLINK("http://www.uniprot.org/uniprot/P55286","P55286")</f>
        <v>P55286</v>
      </c>
      <c r="C1015" t="s">
        <v>10839</v>
      </c>
      <c r="D1015" t="s">
        <v>10840</v>
      </c>
      <c r="E1015" t="s">
        <v>39</v>
      </c>
      <c r="F1015" t="s">
        <v>55</v>
      </c>
      <c r="H1015">
        <v>799</v>
      </c>
      <c r="I1015">
        <v>1</v>
      </c>
      <c r="J1015">
        <v>1</v>
      </c>
      <c r="K1015" t="s">
        <v>10841</v>
      </c>
      <c r="L1015" t="s">
        <v>101</v>
      </c>
      <c r="M1015" t="s">
        <v>39</v>
      </c>
      <c r="N1015">
        <v>0.96650000000000003</v>
      </c>
      <c r="O1015" s="1">
        <v>1</v>
      </c>
      <c r="P1015" t="s">
        <v>10842</v>
      </c>
      <c r="Q1015" t="s">
        <v>10843</v>
      </c>
      <c r="S1015" t="s">
        <v>91</v>
      </c>
      <c r="T1015" t="s">
        <v>2622</v>
      </c>
      <c r="U1015" t="s">
        <v>10844</v>
      </c>
      <c r="V1015">
        <v>6</v>
      </c>
      <c r="Z1015" t="s">
        <v>107</v>
      </c>
      <c r="AA1015">
        <v>1</v>
      </c>
      <c r="AB1015" t="s">
        <v>10845</v>
      </c>
      <c r="AC1015">
        <v>463</v>
      </c>
      <c r="AD1015" t="s">
        <v>10846</v>
      </c>
      <c r="AE1015" t="s">
        <v>332</v>
      </c>
      <c r="AF1015" t="s">
        <v>10847</v>
      </c>
      <c r="AG1015" t="s">
        <v>10848</v>
      </c>
      <c r="AH1015" t="str">
        <f>HYPERLINK("http://compartments.jensenlab.org/Entity?figures=subcell_cell_%&amp;knowledge=10&amp;textmining=10&amp;experiments=10&amp;predictions=10&amp;type1=9606&amp;type2=-22&amp;id1=ENSP00000462701","link")</f>
        <v>link</v>
      </c>
      <c r="AK1015" t="str">
        <f>HYPERLINK("http://www.proteinatlas.org/P55286","HPA014908")</f>
        <v>HPA014908</v>
      </c>
      <c r="AM1015">
        <v>1006</v>
      </c>
    </row>
    <row r="1016" spans="1:39" x14ac:dyDescent="0.35">
      <c r="A1016" t="s">
        <v>10849</v>
      </c>
      <c r="B1016" t="str">
        <f>HYPERLINK("http://www.uniprot.org/uniprot/P55287","P55287")</f>
        <v>P55287</v>
      </c>
      <c r="C1016" t="s">
        <v>10850</v>
      </c>
      <c r="D1016" t="s">
        <v>10851</v>
      </c>
      <c r="E1016" t="s">
        <v>39</v>
      </c>
      <c r="F1016" t="s">
        <v>55</v>
      </c>
      <c r="H1016">
        <v>796</v>
      </c>
      <c r="I1016">
        <v>1</v>
      </c>
      <c r="J1016">
        <v>1</v>
      </c>
      <c r="K1016" t="s">
        <v>10852</v>
      </c>
      <c r="L1016" t="s">
        <v>101</v>
      </c>
      <c r="M1016" t="s">
        <v>39</v>
      </c>
      <c r="N1016">
        <v>0.91490000000000005</v>
      </c>
      <c r="O1016" s="1">
        <v>1</v>
      </c>
      <c r="P1016" t="s">
        <v>10853</v>
      </c>
      <c r="Q1016" t="s">
        <v>10854</v>
      </c>
      <c r="S1016" t="s">
        <v>91</v>
      </c>
      <c r="T1016" t="s">
        <v>2622</v>
      </c>
      <c r="U1016" t="s">
        <v>10855</v>
      </c>
      <c r="V1016">
        <v>2</v>
      </c>
      <c r="Z1016" t="s">
        <v>107</v>
      </c>
      <c r="AA1016">
        <v>1</v>
      </c>
      <c r="AB1016" t="s">
        <v>10856</v>
      </c>
      <c r="AC1016">
        <v>540</v>
      </c>
      <c r="AD1016" t="s">
        <v>10857</v>
      </c>
      <c r="AE1016" t="s">
        <v>332</v>
      </c>
      <c r="AF1016" t="s">
        <v>10858</v>
      </c>
      <c r="AG1016" t="s">
        <v>10859</v>
      </c>
      <c r="AH1016" t="str">
        <f>HYPERLINK("http://compartments.jensenlab.org/Entity?figures=subcell_cell_%&amp;knowledge=10&amp;textmining=10&amp;experiments=10&amp;predictions=10&amp;type1=9606&amp;type2=-22&amp;id1=ENSP00000268603","link")</f>
        <v>link</v>
      </c>
      <c r="AI1016" t="s">
        <v>65</v>
      </c>
      <c r="AJ1016" t="s">
        <v>2124</v>
      </c>
      <c r="AK1016" t="str">
        <f>HYPERLINK("http://www.proteinatlas.org/P55287","CAB013072")</f>
        <v>CAB013072</v>
      </c>
      <c r="AM1016">
        <v>1009</v>
      </c>
    </row>
    <row r="1017" spans="1:39" x14ac:dyDescent="0.35">
      <c r="A1017" t="s">
        <v>10860</v>
      </c>
      <c r="B1017" t="str">
        <f>HYPERLINK("http://www.uniprot.org/uniprot/P55289","P55289")</f>
        <v>P55289</v>
      </c>
      <c r="C1017" t="s">
        <v>10861</v>
      </c>
      <c r="D1017" t="s">
        <v>10862</v>
      </c>
      <c r="E1017" t="s">
        <v>39</v>
      </c>
      <c r="F1017" t="s">
        <v>40</v>
      </c>
      <c r="H1017">
        <v>794</v>
      </c>
      <c r="I1017">
        <v>1</v>
      </c>
      <c r="J1017">
        <v>1</v>
      </c>
      <c r="K1017" t="s">
        <v>10863</v>
      </c>
      <c r="L1017" t="s">
        <v>57</v>
      </c>
      <c r="N1017">
        <v>0.96609999999999996</v>
      </c>
      <c r="O1017" s="1">
        <v>1</v>
      </c>
      <c r="P1017" t="s">
        <v>10864</v>
      </c>
      <c r="Q1017" t="s">
        <v>10865</v>
      </c>
      <c r="S1017" t="s">
        <v>91</v>
      </c>
      <c r="T1017" t="s">
        <v>2622</v>
      </c>
      <c r="U1017" t="s">
        <v>10866</v>
      </c>
      <c r="V1017">
        <v>4</v>
      </c>
      <c r="AE1017" t="s">
        <v>332</v>
      </c>
      <c r="AF1017" t="s">
        <v>6234</v>
      </c>
      <c r="AG1017" t="s">
        <v>10867</v>
      </c>
      <c r="AH1017" t="str">
        <f>HYPERLINK("http://compartments.jensenlab.org/Entity?figures=subcell_cell_%&amp;knowledge=10&amp;textmining=10&amp;experiments=10&amp;predictions=10&amp;type1=9606&amp;type2=-22&amp;id1=ENSP00000371689","link")</f>
        <v>link</v>
      </c>
      <c r="AK1017" t="str">
        <f>HYPERLINK("http://www.proteinatlas.org/P55289","HPA029325")</f>
        <v>HPA029325</v>
      </c>
      <c r="AM1017">
        <v>1010</v>
      </c>
    </row>
    <row r="1018" spans="1:39" x14ac:dyDescent="0.35">
      <c r="A1018" t="s">
        <v>10868</v>
      </c>
      <c r="B1018" t="str">
        <f>HYPERLINK("http://www.uniprot.org/uniprot/P55290","P55290")</f>
        <v>P55290</v>
      </c>
      <c r="C1018" t="s">
        <v>10869</v>
      </c>
      <c r="D1018" t="s">
        <v>10870</v>
      </c>
      <c r="E1018" t="s">
        <v>39</v>
      </c>
      <c r="F1018" t="s">
        <v>239</v>
      </c>
      <c r="H1018">
        <v>713</v>
      </c>
      <c r="I1018">
        <v>0</v>
      </c>
      <c r="J1018">
        <v>1</v>
      </c>
      <c r="K1018" t="s">
        <v>10871</v>
      </c>
      <c r="L1018" t="s">
        <v>996</v>
      </c>
      <c r="N1018">
        <v>0.73250000000000004</v>
      </c>
      <c r="O1018" s="1" t="s">
        <v>241</v>
      </c>
      <c r="P1018" t="s">
        <v>10872</v>
      </c>
      <c r="Q1018" t="s">
        <v>10873</v>
      </c>
      <c r="S1018" t="s">
        <v>91</v>
      </c>
      <c r="T1018" t="s">
        <v>2622</v>
      </c>
      <c r="U1018" t="s">
        <v>10874</v>
      </c>
      <c r="V1018">
        <v>8</v>
      </c>
      <c r="W1018" t="s">
        <v>10874</v>
      </c>
      <c r="Z1018" t="s">
        <v>107</v>
      </c>
      <c r="AA1018">
        <v>30</v>
      </c>
      <c r="AB1018" t="s">
        <v>10875</v>
      </c>
      <c r="AC1018" t="s">
        <v>10876</v>
      </c>
      <c r="AD1018" t="s">
        <v>10877</v>
      </c>
      <c r="AE1018" t="s">
        <v>243</v>
      </c>
      <c r="AF1018" t="s">
        <v>10878</v>
      </c>
      <c r="AG1018" t="s">
        <v>10879</v>
      </c>
      <c r="AH1018" t="str">
        <f>HYPERLINK("http://compartments.jensenlab.org/Entity?figures=subcell_cell_%&amp;knowledge=10&amp;textmining=10&amp;experiments=10&amp;predictions=10&amp;type1=9606&amp;type2=-22&amp;id1=ENSP00000479395","link")</f>
        <v>link</v>
      </c>
      <c r="AK1018" t="str">
        <f>HYPERLINK("http://www.proteinatlas.org/P55290","HPA001380;CAB025863")</f>
        <v>HPA001380;CAB025863</v>
      </c>
      <c r="AM1018">
        <v>1012</v>
      </c>
    </row>
    <row r="1019" spans="1:39" x14ac:dyDescent="0.35">
      <c r="A1019" t="s">
        <v>10880</v>
      </c>
      <c r="B1019" t="str">
        <f>HYPERLINK("http://www.uniprot.org/uniprot/P55291","P55291")</f>
        <v>P55291</v>
      </c>
      <c r="C1019" t="s">
        <v>10881</v>
      </c>
      <c r="D1019" t="s">
        <v>10882</v>
      </c>
      <c r="E1019" t="s">
        <v>39</v>
      </c>
      <c r="F1019" t="s">
        <v>55</v>
      </c>
      <c r="H1019">
        <v>814</v>
      </c>
      <c r="I1019">
        <v>1</v>
      </c>
      <c r="J1019">
        <v>1</v>
      </c>
      <c r="K1019" t="s">
        <v>10883</v>
      </c>
      <c r="L1019" t="s">
        <v>101</v>
      </c>
      <c r="M1019" t="s">
        <v>39</v>
      </c>
      <c r="N1019">
        <v>0.92549999999999999</v>
      </c>
      <c r="O1019" s="1">
        <v>1</v>
      </c>
      <c r="P1019" t="s">
        <v>10884</v>
      </c>
      <c r="Q1019" t="s">
        <v>10885</v>
      </c>
      <c r="S1019" t="s">
        <v>91</v>
      </c>
      <c r="T1019" t="s">
        <v>2622</v>
      </c>
      <c r="U1019" t="s">
        <v>10886</v>
      </c>
      <c r="V1019">
        <v>4</v>
      </c>
      <c r="Z1019" t="s">
        <v>107</v>
      </c>
      <c r="AA1019">
        <v>1</v>
      </c>
      <c r="AB1019" t="s">
        <v>10887</v>
      </c>
      <c r="AC1019">
        <v>576</v>
      </c>
      <c r="AD1019" t="s">
        <v>10888</v>
      </c>
      <c r="AE1019" t="s">
        <v>332</v>
      </c>
      <c r="AF1019" t="s">
        <v>10889</v>
      </c>
      <c r="AG1019" t="s">
        <v>10890</v>
      </c>
      <c r="AH1019" t="str">
        <f>HYPERLINK("http://compartments.jensenlab.org/Entity?figures=subcell_cell_%&amp;knowledge=10&amp;textmining=10&amp;experiments=10&amp;predictions=10&amp;type1=9606&amp;type2=-22&amp;id1=ENSP00000289746","link")</f>
        <v>link</v>
      </c>
      <c r="AI1019" t="s">
        <v>65</v>
      </c>
      <c r="AJ1019" t="s">
        <v>51</v>
      </c>
      <c r="AK1019" t="str">
        <f>HYPERLINK("http://www.proteinatlas.org/P55291","HPA009139")</f>
        <v>HPA009139</v>
      </c>
      <c r="AM1019">
        <v>1013</v>
      </c>
    </row>
    <row r="1020" spans="1:39" x14ac:dyDescent="0.35">
      <c r="A1020" t="s">
        <v>10891</v>
      </c>
      <c r="B1020" t="str">
        <f>HYPERLINK("http://www.uniprot.org/uniprot/P55344","P55344")</f>
        <v>P55344</v>
      </c>
      <c r="C1020" t="s">
        <v>10892</v>
      </c>
      <c r="D1020" t="s">
        <v>10893</v>
      </c>
      <c r="E1020" t="s">
        <v>39</v>
      </c>
      <c r="F1020" t="s">
        <v>40</v>
      </c>
      <c r="H1020">
        <v>173</v>
      </c>
      <c r="I1020">
        <v>4</v>
      </c>
      <c r="J1020">
        <v>0</v>
      </c>
      <c r="K1020" t="s">
        <v>10894</v>
      </c>
      <c r="L1020" t="s">
        <v>57</v>
      </c>
      <c r="N1020">
        <v>0.58879999999999999</v>
      </c>
      <c r="O1020" s="1">
        <v>2</v>
      </c>
      <c r="P1020" t="s">
        <v>10895</v>
      </c>
      <c r="Q1020" t="s">
        <v>10896</v>
      </c>
      <c r="S1020" t="s">
        <v>91</v>
      </c>
      <c r="T1020" t="s">
        <v>10713</v>
      </c>
      <c r="U1020">
        <v>62</v>
      </c>
      <c r="V1020">
        <v>1</v>
      </c>
      <c r="Y1020" t="s">
        <v>10897</v>
      </c>
      <c r="AE1020" t="s">
        <v>48</v>
      </c>
      <c r="AF1020" t="s">
        <v>10898</v>
      </c>
      <c r="AG1020" t="s">
        <v>10899</v>
      </c>
      <c r="AH1020" t="str">
        <f>HYPERLINK("http://compartments.jensenlab.org/Entity?figures=subcell_cell_%&amp;knowledge=10&amp;textmining=10&amp;experiments=10&amp;predictions=10&amp;type1=9606&amp;type2=-22&amp;id1=ENSP00000472090","link")</f>
        <v>link</v>
      </c>
      <c r="AK1020" t="str">
        <f>HYPERLINK("http://www.proteinatlas.org/P55344","no")</f>
        <v>no</v>
      </c>
      <c r="AM1020">
        <v>3982</v>
      </c>
    </row>
    <row r="1021" spans="1:39" x14ac:dyDescent="0.35">
      <c r="A1021" t="s">
        <v>10900</v>
      </c>
      <c r="B1021" t="str">
        <f>HYPERLINK("http://www.uniprot.org/uniprot/P55899","P55899")</f>
        <v>P55899</v>
      </c>
      <c r="C1021" t="s">
        <v>10901</v>
      </c>
      <c r="D1021" t="s">
        <v>10902</v>
      </c>
      <c r="E1021" t="s">
        <v>39</v>
      </c>
      <c r="F1021" t="s">
        <v>55</v>
      </c>
      <c r="H1021">
        <v>365</v>
      </c>
      <c r="I1021">
        <v>1</v>
      </c>
      <c r="J1021">
        <v>1</v>
      </c>
      <c r="K1021" t="s">
        <v>10903</v>
      </c>
      <c r="L1021" t="s">
        <v>101</v>
      </c>
      <c r="M1021" t="s">
        <v>39</v>
      </c>
      <c r="N1021">
        <v>0.80979999999999996</v>
      </c>
      <c r="O1021" s="1">
        <v>1</v>
      </c>
      <c r="P1021" t="s">
        <v>10904</v>
      </c>
      <c r="Q1021" t="s">
        <v>10905</v>
      </c>
      <c r="S1021" t="s">
        <v>166</v>
      </c>
      <c r="T1021" t="s">
        <v>478</v>
      </c>
      <c r="U1021">
        <v>125</v>
      </c>
      <c r="V1021">
        <v>1</v>
      </c>
      <c r="Z1021" t="s">
        <v>107</v>
      </c>
      <c r="AA1021">
        <v>2</v>
      </c>
      <c r="AB1021" t="s">
        <v>10906</v>
      </c>
      <c r="AC1021">
        <v>125</v>
      </c>
      <c r="AD1021" t="s">
        <v>10907</v>
      </c>
      <c r="AE1021" t="s">
        <v>332</v>
      </c>
      <c r="AF1021" t="s">
        <v>10908</v>
      </c>
      <c r="AG1021" t="s">
        <v>10909</v>
      </c>
      <c r="AH1021" t="str">
        <f>HYPERLINK("http://compartments.jensenlab.org/Entity?figures=subcell_cell_%&amp;knowledge=10&amp;textmining=10&amp;experiments=10&amp;predictions=10&amp;type1=9606&amp;type2=-22&amp;id1=ENSP00000221466","link")</f>
        <v>link</v>
      </c>
      <c r="AI1021" t="s">
        <v>65</v>
      </c>
      <c r="AJ1021" t="s">
        <v>51</v>
      </c>
      <c r="AK1021" t="str">
        <f>HYPERLINK("http://www.proteinatlas.org/P55899","HPA012122;HPA015130")</f>
        <v>HPA012122;HPA015130</v>
      </c>
      <c r="AM1021">
        <v>2217</v>
      </c>
    </row>
    <row r="1022" spans="1:39" x14ac:dyDescent="0.35">
      <c r="A1022" t="s">
        <v>10910</v>
      </c>
      <c r="B1022" t="str">
        <f>HYPERLINK("http://www.uniprot.org/uniprot/P56159","P56159")</f>
        <v>P56159</v>
      </c>
      <c r="C1022" t="s">
        <v>10911</v>
      </c>
      <c r="D1022" t="s">
        <v>10912</v>
      </c>
      <c r="E1022" t="s">
        <v>39</v>
      </c>
      <c r="F1022" t="s">
        <v>239</v>
      </c>
      <c r="H1022">
        <v>465</v>
      </c>
      <c r="I1022">
        <v>0</v>
      </c>
      <c r="J1022">
        <v>1</v>
      </c>
      <c r="K1022" t="s">
        <v>10913</v>
      </c>
      <c r="L1022" t="s">
        <v>996</v>
      </c>
      <c r="N1022">
        <v>0.76049999999999995</v>
      </c>
      <c r="O1022" s="1" t="s">
        <v>997</v>
      </c>
      <c r="P1022" t="s">
        <v>10914</v>
      </c>
      <c r="Q1022" t="s">
        <v>10915</v>
      </c>
      <c r="U1022" t="s">
        <v>10916</v>
      </c>
      <c r="V1022">
        <v>3</v>
      </c>
      <c r="W1022" t="s">
        <v>10916</v>
      </c>
      <c r="Z1022" t="s">
        <v>107</v>
      </c>
      <c r="AA1022">
        <v>4</v>
      </c>
      <c r="AB1022" t="s">
        <v>10917</v>
      </c>
      <c r="AC1022" t="s">
        <v>10918</v>
      </c>
      <c r="AD1022" t="s">
        <v>10919</v>
      </c>
      <c r="AE1022" t="s">
        <v>243</v>
      </c>
      <c r="AF1022" t="s">
        <v>10920</v>
      </c>
      <c r="AG1022" t="s">
        <v>10921</v>
      </c>
      <c r="AH1022" t="str">
        <f>HYPERLINK("http://compartments.jensenlab.org/Entity?figures=subcell_cell_%&amp;knowledge=10&amp;textmining=10&amp;experiments=10&amp;predictions=10&amp;type1=9606&amp;type2=-22&amp;id1=ENSP00000347591","link")</f>
        <v>link</v>
      </c>
      <c r="AK1022" t="str">
        <f>HYPERLINK("http://www.proteinatlas.org/P56159","HPA043829")</f>
        <v>HPA043829</v>
      </c>
      <c r="AM1022">
        <v>2674</v>
      </c>
    </row>
    <row r="1023" spans="1:39" x14ac:dyDescent="0.35">
      <c r="A1023" t="s">
        <v>10922</v>
      </c>
      <c r="B1023" t="str">
        <f>HYPERLINK("http://www.uniprot.org/uniprot/P56199","P56199")</f>
        <v>P56199</v>
      </c>
      <c r="C1023" t="s">
        <v>10923</v>
      </c>
      <c r="D1023" t="s">
        <v>10924</v>
      </c>
      <c r="E1023" t="s">
        <v>39</v>
      </c>
      <c r="F1023" t="s">
        <v>55</v>
      </c>
      <c r="H1023">
        <v>1179</v>
      </c>
      <c r="I1023">
        <v>1</v>
      </c>
      <c r="J1023">
        <v>1</v>
      </c>
      <c r="K1023" t="s">
        <v>10925</v>
      </c>
      <c r="L1023" t="s">
        <v>101</v>
      </c>
      <c r="M1023" t="s">
        <v>39</v>
      </c>
      <c r="N1023">
        <v>0.70740000000000003</v>
      </c>
      <c r="O1023" s="1">
        <v>2</v>
      </c>
      <c r="P1023" t="s">
        <v>10926</v>
      </c>
      <c r="Q1023" t="s">
        <v>10927</v>
      </c>
      <c r="R1023" t="s">
        <v>10928</v>
      </c>
      <c r="S1023" t="s">
        <v>166</v>
      </c>
      <c r="T1023" t="s">
        <v>2763</v>
      </c>
      <c r="U1023" t="s">
        <v>10929</v>
      </c>
      <c r="V1023">
        <v>26</v>
      </c>
      <c r="W1023" t="s">
        <v>10929</v>
      </c>
      <c r="X1023" t="s">
        <v>10930</v>
      </c>
      <c r="Z1023" t="s">
        <v>107</v>
      </c>
      <c r="AA1023">
        <v>23</v>
      </c>
      <c r="AB1023" t="s">
        <v>10931</v>
      </c>
      <c r="AC1023" t="s">
        <v>10932</v>
      </c>
      <c r="AD1023" t="s">
        <v>10933</v>
      </c>
      <c r="AE1023" t="s">
        <v>144</v>
      </c>
      <c r="AF1023" t="s">
        <v>10934</v>
      </c>
      <c r="AG1023" t="s">
        <v>10935</v>
      </c>
      <c r="AH1023" t="str">
        <f>HYPERLINK("http://compartments.jensenlab.org/Entity?figures=subcell_cell_%&amp;knowledge=10&amp;textmining=10&amp;experiments=10&amp;predictions=10&amp;type1=9606&amp;type2=-22&amp;id1=ENSP00000282588","link")</f>
        <v>link</v>
      </c>
      <c r="AI1023" t="s">
        <v>65</v>
      </c>
      <c r="AJ1023" t="s">
        <v>51</v>
      </c>
      <c r="AK1023" t="str">
        <f>HYPERLINK("http://www.proteinatlas.org/P56199","HPA042555")</f>
        <v>HPA042555</v>
      </c>
      <c r="AM1023">
        <v>3672</v>
      </c>
    </row>
    <row r="1024" spans="1:39" x14ac:dyDescent="0.35">
      <c r="A1024" t="s">
        <v>10936</v>
      </c>
      <c r="B1024" t="str">
        <f>HYPERLINK("http://www.uniprot.org/uniprot/P56373","P56373")</f>
        <v>P56373</v>
      </c>
      <c r="C1024" t="s">
        <v>10937</v>
      </c>
      <c r="D1024" t="s">
        <v>10938</v>
      </c>
      <c r="E1024" t="s">
        <v>39</v>
      </c>
      <c r="F1024" t="s">
        <v>40</v>
      </c>
      <c r="H1024">
        <v>397</v>
      </c>
      <c r="I1024">
        <v>2</v>
      </c>
      <c r="J1024">
        <v>0</v>
      </c>
      <c r="K1024" t="s">
        <v>10939</v>
      </c>
      <c r="L1024" t="s">
        <v>57</v>
      </c>
      <c r="N1024">
        <v>0.85229999999999995</v>
      </c>
      <c r="O1024" s="1">
        <v>1</v>
      </c>
      <c r="P1024" t="s">
        <v>10940</v>
      </c>
      <c r="Q1024" t="s">
        <v>10941</v>
      </c>
      <c r="S1024" t="s">
        <v>45</v>
      </c>
      <c r="T1024" t="s">
        <v>1644</v>
      </c>
      <c r="U1024" t="s">
        <v>10942</v>
      </c>
      <c r="V1024">
        <v>4</v>
      </c>
      <c r="W1024" t="s">
        <v>10942</v>
      </c>
      <c r="AE1024" t="s">
        <v>48</v>
      </c>
      <c r="AF1024" t="s">
        <v>10943</v>
      </c>
      <c r="AG1024" t="s">
        <v>10944</v>
      </c>
      <c r="AH1024" t="str">
        <f>HYPERLINK("http://compartments.jensenlab.org/Entity?figures=subcell_cell_%&amp;knowledge=10&amp;textmining=10&amp;experiments=10&amp;predictions=10&amp;type1=9606&amp;type2=-22&amp;id1=ENSP00000263314","link")</f>
        <v>link</v>
      </c>
      <c r="AJ1024" t="s">
        <v>981</v>
      </c>
      <c r="AK1024" t="str">
        <f>HYPERLINK("http://www.proteinatlas.org/P56373","HPA057776")</f>
        <v>HPA057776</v>
      </c>
      <c r="AM1024">
        <v>5024</v>
      </c>
    </row>
    <row r="1025" spans="1:39" x14ac:dyDescent="0.35">
      <c r="A1025" t="s">
        <v>10945</v>
      </c>
      <c r="B1025" t="str">
        <f>HYPERLINK("http://www.uniprot.org/uniprot/P56746","P56746")</f>
        <v>P56746</v>
      </c>
      <c r="C1025" t="s">
        <v>10946</v>
      </c>
      <c r="D1025" t="s">
        <v>10947</v>
      </c>
      <c r="E1025" t="s">
        <v>39</v>
      </c>
      <c r="F1025" t="s">
        <v>55</v>
      </c>
      <c r="H1025">
        <v>228</v>
      </c>
      <c r="I1025">
        <v>4</v>
      </c>
      <c r="J1025">
        <v>0</v>
      </c>
      <c r="K1025" t="s">
        <v>10948</v>
      </c>
      <c r="L1025" t="s">
        <v>57</v>
      </c>
      <c r="M1025" t="s">
        <v>39</v>
      </c>
      <c r="N1025">
        <v>0.78920000000000001</v>
      </c>
      <c r="O1025" s="1">
        <v>1</v>
      </c>
      <c r="P1025" t="s">
        <v>10949</v>
      </c>
      <c r="Q1025" t="s">
        <v>10950</v>
      </c>
      <c r="S1025" t="s">
        <v>91</v>
      </c>
      <c r="T1025" t="s">
        <v>537</v>
      </c>
      <c r="U1025">
        <v>141</v>
      </c>
      <c r="V1025">
        <v>1</v>
      </c>
      <c r="Y1025" t="s">
        <v>10951</v>
      </c>
      <c r="AE1025" t="s">
        <v>539</v>
      </c>
      <c r="AF1025" t="s">
        <v>10952</v>
      </c>
      <c r="AG1025" t="s">
        <v>10953</v>
      </c>
      <c r="AH1025" t="str">
        <f>HYPERLINK("http://compartments.jensenlab.org/Entity?figures=subcell_cell_%&amp;knowledge=10&amp;textmining=10&amp;experiments=10&amp;predictions=10&amp;type1=9606&amp;type2=-22&amp;id1=ENSP00000308870","link")</f>
        <v>link</v>
      </c>
      <c r="AI1025" t="s">
        <v>65</v>
      </c>
      <c r="AJ1025" t="s">
        <v>51</v>
      </c>
      <c r="AK1025" t="str">
        <f>HYPERLINK("http://www.proteinatlas.org/P56746","HPA053199")</f>
        <v>HPA053199</v>
      </c>
      <c r="AM1025">
        <v>24146</v>
      </c>
    </row>
    <row r="1026" spans="1:39" x14ac:dyDescent="0.35">
      <c r="A1026" t="s">
        <v>10954</v>
      </c>
      <c r="B1026" t="str">
        <f>HYPERLINK("http://www.uniprot.org/uniprot/P56747","P56747")</f>
        <v>P56747</v>
      </c>
      <c r="C1026" t="s">
        <v>10955</v>
      </c>
      <c r="D1026" t="s">
        <v>10956</v>
      </c>
      <c r="E1026" t="s">
        <v>39</v>
      </c>
      <c r="F1026" t="s">
        <v>40</v>
      </c>
      <c r="H1026">
        <v>220</v>
      </c>
      <c r="I1026">
        <v>4</v>
      </c>
      <c r="J1026">
        <v>0</v>
      </c>
      <c r="K1026" t="s">
        <v>10957</v>
      </c>
      <c r="L1026" t="s">
        <v>57</v>
      </c>
      <c r="N1026">
        <v>0.67269999999999996</v>
      </c>
      <c r="O1026" s="1">
        <v>2</v>
      </c>
      <c r="P1026" t="s">
        <v>10958</v>
      </c>
      <c r="Q1026" t="s">
        <v>10959</v>
      </c>
      <c r="S1026" t="s">
        <v>91</v>
      </c>
      <c r="T1026" t="s">
        <v>537</v>
      </c>
      <c r="V1026">
        <v>0</v>
      </c>
      <c r="Y1026" t="s">
        <v>1108</v>
      </c>
      <c r="AE1026" t="s">
        <v>539</v>
      </c>
      <c r="AF1026" t="s">
        <v>10960</v>
      </c>
      <c r="AG1026" t="s">
        <v>10961</v>
      </c>
      <c r="AH1026" t="str">
        <f>HYPERLINK("http://compartments.jensenlab.org/Entity?figures=subcell_cell_%&amp;knowledge=10&amp;textmining=10&amp;experiments=10&amp;predictions=10&amp;type1=9606&amp;type2=-22&amp;id1=ENSP00000328674","link")</f>
        <v>link</v>
      </c>
      <c r="AI1026" t="s">
        <v>65</v>
      </c>
      <c r="AJ1026" t="s">
        <v>51</v>
      </c>
      <c r="AK1026" t="str">
        <f>HYPERLINK("http://www.proteinatlas.org/P56747","HPA007322")</f>
        <v>HPA007322</v>
      </c>
      <c r="AM1026">
        <v>9074</v>
      </c>
    </row>
    <row r="1027" spans="1:39" x14ac:dyDescent="0.35">
      <c r="A1027" t="s">
        <v>10962</v>
      </c>
      <c r="B1027" t="str">
        <f>HYPERLINK("http://www.uniprot.org/uniprot/P56748","P56748")</f>
        <v>P56748</v>
      </c>
      <c r="C1027" t="s">
        <v>10963</v>
      </c>
      <c r="D1027" t="s">
        <v>10964</v>
      </c>
      <c r="E1027" t="s">
        <v>39</v>
      </c>
      <c r="F1027" t="s">
        <v>40</v>
      </c>
      <c r="H1027">
        <v>225</v>
      </c>
      <c r="I1027">
        <v>4</v>
      </c>
      <c r="J1027">
        <v>0</v>
      </c>
      <c r="K1027" t="s">
        <v>10965</v>
      </c>
      <c r="L1027" t="s">
        <v>57</v>
      </c>
      <c r="N1027">
        <v>0.58479999999999999</v>
      </c>
      <c r="O1027" s="1">
        <v>2</v>
      </c>
      <c r="P1027" t="s">
        <v>10966</v>
      </c>
      <c r="Q1027" t="s">
        <v>10967</v>
      </c>
      <c r="S1027" t="s">
        <v>91</v>
      </c>
      <c r="T1027" t="s">
        <v>537</v>
      </c>
      <c r="V1027">
        <v>0</v>
      </c>
      <c r="Y1027" t="s">
        <v>10968</v>
      </c>
      <c r="AE1027" t="s">
        <v>539</v>
      </c>
      <c r="AF1027" t="s">
        <v>540</v>
      </c>
      <c r="AG1027" t="s">
        <v>10969</v>
      </c>
      <c r="AH1027" t="str">
        <f>HYPERLINK("http://compartments.jensenlab.org/Entity?figures=subcell_cell_%&amp;knowledge=10&amp;textmining=10&amp;experiments=10&amp;predictions=10&amp;type1=9606&amp;type2=-22&amp;id1=ENSP00000382783","link")</f>
        <v>link</v>
      </c>
      <c r="AK1027" t="str">
        <f>HYPERLINK("http://www.proteinatlas.org/P56748","HPA060605")</f>
        <v>HPA060605</v>
      </c>
      <c r="AM1027">
        <v>9073</v>
      </c>
    </row>
    <row r="1028" spans="1:39" x14ac:dyDescent="0.35">
      <c r="A1028" t="s">
        <v>10970</v>
      </c>
      <c r="B1028" t="str">
        <f>HYPERLINK("http://www.uniprot.org/uniprot/P56749","P56749")</f>
        <v>P56749</v>
      </c>
      <c r="C1028" t="s">
        <v>10971</v>
      </c>
      <c r="D1028" t="s">
        <v>10972</v>
      </c>
      <c r="E1028" t="s">
        <v>39</v>
      </c>
      <c r="F1028" t="s">
        <v>55</v>
      </c>
      <c r="H1028">
        <v>244</v>
      </c>
      <c r="I1028">
        <v>4</v>
      </c>
      <c r="J1028">
        <v>0</v>
      </c>
      <c r="K1028" t="s">
        <v>10973</v>
      </c>
      <c r="L1028" t="s">
        <v>101</v>
      </c>
      <c r="M1028" t="s">
        <v>39</v>
      </c>
      <c r="N1028">
        <v>0.66669999999999996</v>
      </c>
      <c r="O1028" s="1">
        <v>2</v>
      </c>
      <c r="P1028" t="s">
        <v>10974</v>
      </c>
      <c r="Q1028" t="s">
        <v>10975</v>
      </c>
      <c r="S1028" t="s">
        <v>91</v>
      </c>
      <c r="T1028" t="s">
        <v>537</v>
      </c>
      <c r="U1028">
        <v>47</v>
      </c>
      <c r="V1028">
        <v>1</v>
      </c>
      <c r="Z1028" t="s">
        <v>107</v>
      </c>
      <c r="AA1028">
        <v>1</v>
      </c>
      <c r="AB1028" t="s">
        <v>10976</v>
      </c>
      <c r="AC1028">
        <v>47</v>
      </c>
      <c r="AD1028" t="s">
        <v>10977</v>
      </c>
      <c r="AE1028" t="s">
        <v>539</v>
      </c>
      <c r="AF1028" t="s">
        <v>10978</v>
      </c>
      <c r="AG1028" t="s">
        <v>10979</v>
      </c>
      <c r="AH1028" t="str">
        <f>HYPERLINK("http://compartments.jensenlab.org/Entity?figures=subcell_cell_%&amp;knowledge=10&amp;textmining=10&amp;experiments=10&amp;predictions=10&amp;type1=9606&amp;type2=-22&amp;id1=ENSP00000287916","link")</f>
        <v>link</v>
      </c>
      <c r="AI1028" t="s">
        <v>65</v>
      </c>
      <c r="AJ1028" t="s">
        <v>51</v>
      </c>
      <c r="AK1028" t="str">
        <f>HYPERLINK("http://www.proteinatlas.org/P56749","HPA026945")</f>
        <v>HPA026945</v>
      </c>
      <c r="AM1028">
        <v>9069</v>
      </c>
    </row>
    <row r="1029" spans="1:39" x14ac:dyDescent="0.35">
      <c r="A1029" t="s">
        <v>10980</v>
      </c>
      <c r="B1029" t="str">
        <f>HYPERLINK("http://www.uniprot.org/uniprot/P56817","P56817")</f>
        <v>P56817</v>
      </c>
      <c r="C1029" t="s">
        <v>10981</v>
      </c>
      <c r="D1029" t="s">
        <v>10982</v>
      </c>
      <c r="E1029" t="s">
        <v>39</v>
      </c>
      <c r="F1029" t="s">
        <v>40</v>
      </c>
      <c r="H1029">
        <v>501</v>
      </c>
      <c r="I1029">
        <v>1</v>
      </c>
      <c r="J1029">
        <v>1</v>
      </c>
      <c r="K1029" t="s">
        <v>10983</v>
      </c>
      <c r="L1029" t="s">
        <v>101</v>
      </c>
      <c r="N1029">
        <v>0.76249999999999996</v>
      </c>
      <c r="O1029" s="1">
        <v>1</v>
      </c>
      <c r="P1029" t="s">
        <v>10984</v>
      </c>
      <c r="Q1029" t="s">
        <v>10985</v>
      </c>
      <c r="S1029" t="s">
        <v>947</v>
      </c>
      <c r="T1029" t="s">
        <v>10986</v>
      </c>
      <c r="U1029" t="s">
        <v>10987</v>
      </c>
      <c r="V1029">
        <v>4</v>
      </c>
      <c r="W1029" t="s">
        <v>10987</v>
      </c>
      <c r="Z1029" t="s">
        <v>107</v>
      </c>
      <c r="AA1029">
        <v>1</v>
      </c>
      <c r="AB1029" t="s">
        <v>10988</v>
      </c>
      <c r="AC1029">
        <v>153</v>
      </c>
      <c r="AD1029" t="s">
        <v>10989</v>
      </c>
      <c r="AE1029" t="s">
        <v>10990</v>
      </c>
      <c r="AF1029" t="s">
        <v>10991</v>
      </c>
      <c r="AG1029" t="s">
        <v>10992</v>
      </c>
      <c r="AH1029" t="str">
        <f>HYPERLINK("http://compartments.jensenlab.org/Entity?figures=subcell_cell_%&amp;knowledge=10&amp;textmining=10&amp;experiments=10&amp;predictions=10&amp;type1=9606&amp;type2=-22&amp;id1=ENSP00000318585","link")</f>
        <v>link</v>
      </c>
      <c r="AI1029" t="s">
        <v>10993</v>
      </c>
      <c r="AJ1029" t="s">
        <v>3644</v>
      </c>
      <c r="AK1029" t="str">
        <f>HYPERLINK("http://www.proteinatlas.org/P56817","CAB016358")</f>
        <v>CAB016358</v>
      </c>
      <c r="AM1029">
        <v>23621</v>
      </c>
    </row>
    <row r="1030" spans="1:39" x14ac:dyDescent="0.35">
      <c r="A1030" t="s">
        <v>10994</v>
      </c>
      <c r="B1030" t="str">
        <f>HYPERLINK("http://www.uniprot.org/uniprot/P56856","P56856")</f>
        <v>P56856</v>
      </c>
      <c r="C1030" t="s">
        <v>10995</v>
      </c>
      <c r="D1030" t="s">
        <v>10996</v>
      </c>
      <c r="E1030" t="s">
        <v>39</v>
      </c>
      <c r="F1030" t="s">
        <v>55</v>
      </c>
      <c r="H1030">
        <v>261</v>
      </c>
      <c r="I1030">
        <v>4</v>
      </c>
      <c r="J1030">
        <v>0</v>
      </c>
      <c r="K1030" t="s">
        <v>10997</v>
      </c>
      <c r="L1030" t="s">
        <v>57</v>
      </c>
      <c r="M1030" t="s">
        <v>39</v>
      </c>
      <c r="N1030">
        <v>0.60129999999999995</v>
      </c>
      <c r="O1030" s="1">
        <v>2</v>
      </c>
      <c r="P1030" t="s">
        <v>10998</v>
      </c>
      <c r="Q1030" t="s">
        <v>10999</v>
      </c>
      <c r="S1030" t="s">
        <v>91</v>
      </c>
      <c r="T1030" t="s">
        <v>537</v>
      </c>
      <c r="U1030">
        <v>116</v>
      </c>
      <c r="V1030">
        <v>0</v>
      </c>
      <c r="Y1030" t="s">
        <v>11000</v>
      </c>
      <c r="AE1030" t="s">
        <v>539</v>
      </c>
      <c r="AF1030" t="s">
        <v>11001</v>
      </c>
      <c r="AG1030" t="s">
        <v>11002</v>
      </c>
      <c r="AH1030" t="str">
        <f>HYPERLINK("http://compartments.jensenlab.org/Entity?figures=subcell_cell_%&amp;knowledge=10&amp;textmining=10&amp;experiments=10&amp;predictions=10&amp;type1=9606&amp;type2=-22&amp;id1=ENSP00000183605","link")</f>
        <v>link</v>
      </c>
      <c r="AI1030" t="s">
        <v>65</v>
      </c>
      <c r="AJ1030" t="s">
        <v>51</v>
      </c>
      <c r="AK1030" t="str">
        <f>HYPERLINK("http://www.proteinatlas.org/P56856","CAB013010;CAB013243;HPA018446")</f>
        <v>CAB013010;CAB013243;HPA018446</v>
      </c>
      <c r="AM1030">
        <v>51208</v>
      </c>
    </row>
    <row r="1031" spans="1:39" x14ac:dyDescent="0.35">
      <c r="A1031" t="s">
        <v>11003</v>
      </c>
      <c r="B1031" t="str">
        <f>HYPERLINK("http://www.uniprot.org/uniprot/P56880","P56880")</f>
        <v>P56880</v>
      </c>
      <c r="C1031" t="s">
        <v>11004</v>
      </c>
      <c r="D1031" t="s">
        <v>11005</v>
      </c>
      <c r="E1031" t="s">
        <v>39</v>
      </c>
      <c r="F1031" t="s">
        <v>55</v>
      </c>
      <c r="H1031">
        <v>219</v>
      </c>
      <c r="I1031">
        <v>4</v>
      </c>
      <c r="J1031">
        <v>0</v>
      </c>
      <c r="K1031" t="s">
        <v>11006</v>
      </c>
      <c r="L1031" t="s">
        <v>57</v>
      </c>
      <c r="M1031" t="s">
        <v>39</v>
      </c>
      <c r="N1031">
        <v>0.6573</v>
      </c>
      <c r="O1031" s="1">
        <v>2</v>
      </c>
      <c r="P1031" t="s">
        <v>11007</v>
      </c>
      <c r="Q1031" t="s">
        <v>11008</v>
      </c>
      <c r="S1031" t="s">
        <v>91</v>
      </c>
      <c r="T1031" t="s">
        <v>537</v>
      </c>
      <c r="U1031" t="s">
        <v>11009</v>
      </c>
      <c r="V1031">
        <v>0</v>
      </c>
      <c r="Y1031" t="s">
        <v>11010</v>
      </c>
      <c r="AE1031" t="s">
        <v>539</v>
      </c>
      <c r="AF1031" t="s">
        <v>2741</v>
      </c>
      <c r="AG1031" t="s">
        <v>11011</v>
      </c>
      <c r="AH1031" t="str">
        <f>HYPERLINK("http://compartments.jensenlab.org/Entity?figures=subcell_cell_%&amp;knowledge=10&amp;textmining=10&amp;experiments=10&amp;predictions=10&amp;type1=9606&amp;type2=-22&amp;id1=ENSP00000356133","link")</f>
        <v>link</v>
      </c>
      <c r="AI1031" t="s">
        <v>65</v>
      </c>
      <c r="AJ1031" t="s">
        <v>51</v>
      </c>
      <c r="AK1031" t="str">
        <f>HYPERLINK("http://www.proteinatlas.org/P56880","no")</f>
        <v>no</v>
      </c>
      <c r="AM1031">
        <v>49861</v>
      </c>
    </row>
    <row r="1032" spans="1:39" x14ac:dyDescent="0.35">
      <c r="A1032" t="s">
        <v>11012</v>
      </c>
      <c r="B1032" t="str">
        <f>HYPERLINK("http://www.uniprot.org/uniprot/P57057","P57057")</f>
        <v>P57057</v>
      </c>
      <c r="C1032" t="s">
        <v>11013</v>
      </c>
      <c r="D1032" t="s">
        <v>11014</v>
      </c>
      <c r="E1032" t="s">
        <v>39</v>
      </c>
      <c r="F1032" t="s">
        <v>40</v>
      </c>
      <c r="H1032">
        <v>533</v>
      </c>
      <c r="I1032">
        <v>12</v>
      </c>
      <c r="J1032">
        <v>0</v>
      </c>
      <c r="K1032" t="s">
        <v>11015</v>
      </c>
      <c r="L1032" t="s">
        <v>42</v>
      </c>
      <c r="N1032">
        <v>0.80840000000000001</v>
      </c>
      <c r="O1032" s="1">
        <v>1</v>
      </c>
      <c r="P1032" t="s">
        <v>11016</v>
      </c>
      <c r="Q1032" t="s">
        <v>11017</v>
      </c>
      <c r="S1032" t="s">
        <v>45</v>
      </c>
      <c r="T1032" t="s">
        <v>1983</v>
      </c>
      <c r="U1032" t="s">
        <v>11018</v>
      </c>
      <c r="V1032">
        <v>1</v>
      </c>
      <c r="AE1032" t="s">
        <v>48</v>
      </c>
      <c r="AF1032" t="s">
        <v>11019</v>
      </c>
      <c r="AG1032" t="s">
        <v>11020</v>
      </c>
      <c r="AH1032" t="str">
        <f>HYPERLINK("http://compartments.jensenlab.org/Entity?figures=subcell_cell_%&amp;knowledge=10&amp;textmining=10&amp;experiments=10&amp;predictions=10&amp;type1=9606&amp;type2=-22&amp;id1=ENSP00000344648","link")</f>
        <v>link</v>
      </c>
      <c r="AJ1032" t="s">
        <v>51</v>
      </c>
      <c r="AK1032" t="str">
        <f>HYPERLINK("http://www.proteinatlas.org/P57057","HPA030418;CAB034154")</f>
        <v>HPA030418;CAB034154</v>
      </c>
      <c r="AM1032">
        <v>54020</v>
      </c>
    </row>
    <row r="1033" spans="1:39" x14ac:dyDescent="0.35">
      <c r="A1033" t="s">
        <v>11021</v>
      </c>
      <c r="B1033" t="str">
        <f>HYPERLINK("http://www.uniprot.org/uniprot/P57087","P57087")</f>
        <v>P57087</v>
      </c>
      <c r="C1033" t="s">
        <v>11022</v>
      </c>
      <c r="D1033" t="s">
        <v>11023</v>
      </c>
      <c r="E1033" t="s">
        <v>39</v>
      </c>
      <c r="F1033" t="s">
        <v>55</v>
      </c>
      <c r="H1033">
        <v>298</v>
      </c>
      <c r="I1033">
        <v>1</v>
      </c>
      <c r="J1033">
        <v>1</v>
      </c>
      <c r="K1033" t="s">
        <v>11024</v>
      </c>
      <c r="L1033" t="s">
        <v>101</v>
      </c>
      <c r="M1033" t="s">
        <v>39</v>
      </c>
      <c r="N1033">
        <v>0.92310000000000003</v>
      </c>
      <c r="O1033" s="1">
        <v>1</v>
      </c>
      <c r="P1033" t="s">
        <v>11025</v>
      </c>
      <c r="Q1033" t="s">
        <v>11026</v>
      </c>
      <c r="R1033" t="s">
        <v>11027</v>
      </c>
      <c r="S1033" t="s">
        <v>91</v>
      </c>
      <c r="T1033" t="s">
        <v>555</v>
      </c>
      <c r="U1033" t="s">
        <v>11028</v>
      </c>
      <c r="V1033">
        <v>3</v>
      </c>
      <c r="W1033">
        <v>98</v>
      </c>
      <c r="X1033" t="s">
        <v>11029</v>
      </c>
      <c r="Z1033" t="s">
        <v>107</v>
      </c>
      <c r="AA1033">
        <v>2</v>
      </c>
      <c r="AB1033" t="s">
        <v>11030</v>
      </c>
      <c r="AC1033">
        <v>187</v>
      </c>
      <c r="AD1033" t="s">
        <v>11031</v>
      </c>
      <c r="AE1033" t="s">
        <v>8853</v>
      </c>
      <c r="AF1033" t="s">
        <v>11032</v>
      </c>
      <c r="AG1033" t="s">
        <v>11033</v>
      </c>
      <c r="AH1033" t="str">
        <f>HYPERLINK("http://compartments.jensenlab.org/Entity?figures=subcell_cell_%&amp;knowledge=10&amp;textmining=10&amp;experiments=10&amp;predictions=10&amp;type1=9606&amp;type2=-22&amp;id1=ENSP00000420419","link")</f>
        <v>link</v>
      </c>
      <c r="AI1033" t="s">
        <v>65</v>
      </c>
      <c r="AJ1033" t="s">
        <v>51</v>
      </c>
      <c r="AK1033" t="str">
        <f>HYPERLINK("http://www.proteinatlas.org/P57087","no")</f>
        <v>no</v>
      </c>
      <c r="AM1033">
        <v>58494</v>
      </c>
    </row>
    <row r="1034" spans="1:39" x14ac:dyDescent="0.35">
      <c r="A1034" t="s">
        <v>11034</v>
      </c>
      <c r="B1034" t="str">
        <f>HYPERLINK("http://www.uniprot.org/uniprot/P57103","P57103")</f>
        <v>P57103</v>
      </c>
      <c r="C1034" t="s">
        <v>11035</v>
      </c>
      <c r="D1034" t="s">
        <v>11036</v>
      </c>
      <c r="E1034" t="s">
        <v>39</v>
      </c>
      <c r="F1034" t="s">
        <v>40</v>
      </c>
      <c r="H1034">
        <v>927</v>
      </c>
      <c r="I1034">
        <v>11</v>
      </c>
      <c r="J1034">
        <v>1</v>
      </c>
      <c r="K1034" t="s">
        <v>11037</v>
      </c>
      <c r="L1034" t="s">
        <v>57</v>
      </c>
      <c r="N1034">
        <v>0.79039999999999999</v>
      </c>
      <c r="O1034" s="1">
        <v>1</v>
      </c>
      <c r="P1034" t="s">
        <v>11038</v>
      </c>
      <c r="Q1034" t="s">
        <v>11039</v>
      </c>
      <c r="S1034" t="s">
        <v>45</v>
      </c>
      <c r="T1034" t="s">
        <v>8336</v>
      </c>
      <c r="U1034" t="s">
        <v>11040</v>
      </c>
      <c r="V1034">
        <v>2</v>
      </c>
      <c r="X1034" t="s">
        <v>11041</v>
      </c>
      <c r="AE1034" t="s">
        <v>48</v>
      </c>
      <c r="AF1034" t="s">
        <v>11042</v>
      </c>
      <c r="AG1034" t="s">
        <v>11043</v>
      </c>
      <c r="AH1034" t="str">
        <f>HYPERLINK("http://compartments.jensenlab.org/Entity?figures=subcell_cell_%&amp;knowledge=10&amp;textmining=10&amp;experiments=10&amp;predictions=10&amp;type1=9606&amp;type2=-22&amp;id1=ENSP00000370669","link")</f>
        <v>link</v>
      </c>
      <c r="AJ1034" t="s">
        <v>9817</v>
      </c>
      <c r="AK1034" t="str">
        <f>HYPERLINK("http://www.proteinatlas.org/P57103","HPA001669")</f>
        <v>HPA001669</v>
      </c>
      <c r="AM1034">
        <v>6547</v>
      </c>
    </row>
    <row r="1035" spans="1:39" x14ac:dyDescent="0.35">
      <c r="A1035" t="s">
        <v>11044</v>
      </c>
      <c r="B1035" t="str">
        <f>HYPERLINK("http://www.uniprot.org/uniprot/P57739","P57739")</f>
        <v>P57739</v>
      </c>
      <c r="C1035" t="s">
        <v>11045</v>
      </c>
      <c r="D1035" t="s">
        <v>11046</v>
      </c>
      <c r="E1035" t="s">
        <v>39</v>
      </c>
      <c r="F1035" t="s">
        <v>40</v>
      </c>
      <c r="H1035">
        <v>230</v>
      </c>
      <c r="I1035">
        <v>4</v>
      </c>
      <c r="J1035">
        <v>0</v>
      </c>
      <c r="K1035" t="s">
        <v>11047</v>
      </c>
      <c r="L1035" t="s">
        <v>57</v>
      </c>
      <c r="N1035">
        <v>0.60680000000000001</v>
      </c>
      <c r="O1035" s="1">
        <v>2</v>
      </c>
      <c r="P1035" t="s">
        <v>11048</v>
      </c>
      <c r="Q1035" t="s">
        <v>11049</v>
      </c>
      <c r="S1035" t="s">
        <v>91</v>
      </c>
      <c r="T1035" t="s">
        <v>537</v>
      </c>
      <c r="U1035">
        <v>190</v>
      </c>
      <c r="V1035">
        <v>0</v>
      </c>
      <c r="Y1035" t="s">
        <v>11050</v>
      </c>
      <c r="AE1035" t="s">
        <v>539</v>
      </c>
      <c r="AF1035" t="s">
        <v>11051</v>
      </c>
      <c r="AG1035" t="s">
        <v>11052</v>
      </c>
      <c r="AH1035" t="str">
        <f>HYPERLINK("http://compartments.jensenlab.org/Entity?figures=subcell_cell_%&amp;knowledge=10&amp;textmining=10&amp;experiments=10&amp;predictions=10&amp;type1=9606&amp;type2=-22&amp;id1=ENSP00000336571","link")</f>
        <v>link</v>
      </c>
      <c r="AI1035" t="s">
        <v>65</v>
      </c>
      <c r="AJ1035" t="s">
        <v>51</v>
      </c>
      <c r="AK1035" t="str">
        <f>HYPERLINK("http://www.proteinatlas.org/P57739","CAB002609;HPA030737;HPA051548")</f>
        <v>CAB002609;HPA030737;HPA051548</v>
      </c>
      <c r="AM1035">
        <v>9075</v>
      </c>
    </row>
    <row r="1036" spans="1:39" x14ac:dyDescent="0.35">
      <c r="A1036" t="s">
        <v>11053</v>
      </c>
      <c r="B1036" t="str">
        <f>HYPERLINK("http://www.uniprot.org/uniprot/P58170","P58170")</f>
        <v>P58170</v>
      </c>
      <c r="C1036" t="s">
        <v>11054</v>
      </c>
      <c r="D1036" t="s">
        <v>11055</v>
      </c>
      <c r="E1036" t="s">
        <v>39</v>
      </c>
      <c r="F1036" t="s">
        <v>40</v>
      </c>
      <c r="H1036">
        <v>312</v>
      </c>
      <c r="I1036">
        <v>7</v>
      </c>
      <c r="J1036">
        <v>0</v>
      </c>
      <c r="K1036" t="s">
        <v>11056</v>
      </c>
      <c r="L1036" t="s">
        <v>57</v>
      </c>
      <c r="N1036">
        <v>0.99399999999999999</v>
      </c>
      <c r="O1036" s="1">
        <v>1</v>
      </c>
      <c r="P1036" t="s">
        <v>11057</v>
      </c>
      <c r="Q1036" t="s">
        <v>11058</v>
      </c>
      <c r="S1036" t="s">
        <v>166</v>
      </c>
      <c r="T1036" t="s">
        <v>167</v>
      </c>
      <c r="U1036" t="s">
        <v>1191</v>
      </c>
      <c r="V1036">
        <v>1</v>
      </c>
      <c r="AE1036" t="s">
        <v>74</v>
      </c>
      <c r="AF1036" t="s">
        <v>549</v>
      </c>
      <c r="AG1036" t="s">
        <v>11059</v>
      </c>
      <c r="AH1036" t="str">
        <f>HYPERLINK("http://compartments.jensenlab.org/Entity?figures=subcell_cell_%&amp;knowledge=10&amp;textmining=10&amp;experiments=10&amp;predictions=10&amp;type1=9606&amp;type2=-22&amp;id1=ENSP00000459028","link")</f>
        <v>link</v>
      </c>
      <c r="AK1036" t="str">
        <f>HYPERLINK("http://www.proteinatlas.org/P58170","no")</f>
        <v>no</v>
      </c>
      <c r="AM1036">
        <v>8386</v>
      </c>
    </row>
    <row r="1037" spans="1:39" x14ac:dyDescent="0.35">
      <c r="A1037" t="s">
        <v>11060</v>
      </c>
      <c r="B1037" t="str">
        <f>HYPERLINK("http://www.uniprot.org/uniprot/P58173","P58173")</f>
        <v>P58173</v>
      </c>
      <c r="C1037" t="s">
        <v>11061</v>
      </c>
      <c r="D1037" t="s">
        <v>11062</v>
      </c>
      <c r="E1037" t="s">
        <v>39</v>
      </c>
      <c r="F1037" t="s">
        <v>55</v>
      </c>
      <c r="H1037">
        <v>313</v>
      </c>
      <c r="I1037">
        <v>7</v>
      </c>
      <c r="J1037">
        <v>0</v>
      </c>
      <c r="K1037" t="s">
        <v>11063</v>
      </c>
      <c r="L1037" t="s">
        <v>57</v>
      </c>
      <c r="M1037" t="s">
        <v>39</v>
      </c>
      <c r="N1037">
        <v>0.96950000000000003</v>
      </c>
      <c r="O1037" s="1">
        <v>1</v>
      </c>
      <c r="P1037" t="s">
        <v>11064</v>
      </c>
      <c r="Q1037" t="s">
        <v>11065</v>
      </c>
      <c r="S1037" t="s">
        <v>166</v>
      </c>
      <c r="T1037" t="s">
        <v>167</v>
      </c>
      <c r="U1037" t="s">
        <v>2881</v>
      </c>
      <c r="V1037">
        <v>1</v>
      </c>
      <c r="AE1037" t="s">
        <v>74</v>
      </c>
      <c r="AF1037" t="s">
        <v>169</v>
      </c>
      <c r="AG1037" t="s">
        <v>11066</v>
      </c>
      <c r="AH1037" t="str">
        <f>HYPERLINK("http://compartments.jensenlab.org/Entity?figures=subcell_cell_%&amp;knowledge=10&amp;textmining=10&amp;experiments=10&amp;predictions=10&amp;type1=9606&amp;type2=-22&amp;id1=ENSP00000244623","link")</f>
        <v>link</v>
      </c>
      <c r="AI1037" t="s">
        <v>65</v>
      </c>
      <c r="AJ1037" t="s">
        <v>51</v>
      </c>
      <c r="AK1037" t="str">
        <f>HYPERLINK("http://www.proteinatlas.org/P58173","no")</f>
        <v>no</v>
      </c>
      <c r="AM1037">
        <v>26212</v>
      </c>
    </row>
    <row r="1038" spans="1:39" x14ac:dyDescent="0.35">
      <c r="A1038" t="s">
        <v>11067</v>
      </c>
      <c r="B1038" t="str">
        <f>HYPERLINK("http://www.uniprot.org/uniprot/P58180","P58180")</f>
        <v>P58180</v>
      </c>
      <c r="C1038" t="s">
        <v>11068</v>
      </c>
      <c r="D1038" t="s">
        <v>11069</v>
      </c>
      <c r="E1038" t="s">
        <v>39</v>
      </c>
      <c r="F1038" t="s">
        <v>40</v>
      </c>
      <c r="H1038">
        <v>307</v>
      </c>
      <c r="I1038">
        <v>7</v>
      </c>
      <c r="J1038">
        <v>0</v>
      </c>
      <c r="K1038" t="s">
        <v>11070</v>
      </c>
      <c r="L1038" t="s">
        <v>57</v>
      </c>
      <c r="N1038">
        <v>0.94810000000000005</v>
      </c>
      <c r="O1038" s="1">
        <v>1</v>
      </c>
      <c r="P1038" t="s">
        <v>11071</v>
      </c>
      <c r="Q1038" t="s">
        <v>11072</v>
      </c>
      <c r="S1038" t="s">
        <v>166</v>
      </c>
      <c r="T1038" t="s">
        <v>167</v>
      </c>
      <c r="U1038">
        <v>5</v>
      </c>
      <c r="V1038">
        <v>1</v>
      </c>
      <c r="AE1038" t="s">
        <v>74</v>
      </c>
      <c r="AF1038" t="s">
        <v>169</v>
      </c>
      <c r="AG1038" t="s">
        <v>11073</v>
      </c>
      <c r="AH1038" t="str">
        <f>HYPERLINK("http://compartments.jensenlab.org/Entity?figures=subcell_cell_%&amp;knowledge=10&amp;textmining=10&amp;experiments=10&amp;predictions=10&amp;type1=9606&amp;type2=-22&amp;id1=ENSP00000441354","link")</f>
        <v>link</v>
      </c>
      <c r="AK1038" t="str">
        <f>HYPERLINK("http://www.proteinatlas.org/P58180","no")</f>
        <v>no</v>
      </c>
      <c r="AM1038">
        <v>124538</v>
      </c>
    </row>
    <row r="1039" spans="1:39" x14ac:dyDescent="0.35">
      <c r="A1039" t="s">
        <v>11074</v>
      </c>
      <c r="B1039" t="str">
        <f>HYPERLINK("http://www.uniprot.org/uniprot/P58181","P58181")</f>
        <v>P58181</v>
      </c>
      <c r="C1039" t="s">
        <v>11075</v>
      </c>
      <c r="D1039" t="s">
        <v>11076</v>
      </c>
      <c r="E1039" t="s">
        <v>39</v>
      </c>
      <c r="F1039" t="s">
        <v>55</v>
      </c>
      <c r="H1039">
        <v>314</v>
      </c>
      <c r="I1039">
        <v>7</v>
      </c>
      <c r="J1039">
        <v>0</v>
      </c>
      <c r="K1039" t="s">
        <v>11077</v>
      </c>
      <c r="L1039" t="s">
        <v>57</v>
      </c>
      <c r="M1039" t="s">
        <v>39</v>
      </c>
      <c r="N1039">
        <v>0.93889999999999996</v>
      </c>
      <c r="O1039" s="1">
        <v>1</v>
      </c>
      <c r="P1039" t="s">
        <v>11078</v>
      </c>
      <c r="Q1039" t="s">
        <v>11079</v>
      </c>
      <c r="S1039" t="s">
        <v>166</v>
      </c>
      <c r="T1039" t="s">
        <v>167</v>
      </c>
      <c r="U1039" t="s">
        <v>11080</v>
      </c>
      <c r="V1039">
        <v>2</v>
      </c>
      <c r="AE1039" t="s">
        <v>74</v>
      </c>
      <c r="AF1039" t="s">
        <v>169</v>
      </c>
      <c r="AG1039" t="s">
        <v>11081</v>
      </c>
      <c r="AH1039" t="str">
        <f>HYPERLINK("http://compartments.jensenlab.org/Entity?figures=subcell_cell_%&amp;knowledge=10&amp;textmining=10&amp;experiments=10&amp;predictions=10&amp;type1=9606&amp;type2=-22&amp;id1=ENSP00000353988","link")</f>
        <v>link</v>
      </c>
      <c r="AI1039" t="s">
        <v>65</v>
      </c>
      <c r="AJ1039" t="s">
        <v>51</v>
      </c>
      <c r="AK1039" t="str">
        <f>HYPERLINK("http://www.proteinatlas.org/P58181","no")</f>
        <v>no</v>
      </c>
      <c r="AM1039">
        <v>26496</v>
      </c>
    </row>
    <row r="1040" spans="1:39" x14ac:dyDescent="0.35">
      <c r="A1040" t="s">
        <v>11082</v>
      </c>
      <c r="B1040" t="str">
        <f>HYPERLINK("http://www.uniprot.org/uniprot/P58182","P58182")</f>
        <v>P58182</v>
      </c>
      <c r="C1040" t="s">
        <v>11083</v>
      </c>
      <c r="D1040" t="s">
        <v>11084</v>
      </c>
      <c r="E1040" t="s">
        <v>39</v>
      </c>
      <c r="F1040" t="s">
        <v>55</v>
      </c>
      <c r="H1040">
        <v>307</v>
      </c>
      <c r="I1040">
        <v>7</v>
      </c>
      <c r="J1040">
        <v>0</v>
      </c>
      <c r="K1040" t="s">
        <v>11085</v>
      </c>
      <c r="L1040" t="s">
        <v>57</v>
      </c>
      <c r="M1040" t="s">
        <v>39</v>
      </c>
      <c r="N1040">
        <v>1</v>
      </c>
      <c r="O1040" s="1">
        <v>1</v>
      </c>
      <c r="P1040" t="s">
        <v>11086</v>
      </c>
      <c r="Q1040" t="s">
        <v>11087</v>
      </c>
      <c r="S1040" t="s">
        <v>166</v>
      </c>
      <c r="T1040" t="s">
        <v>167</v>
      </c>
      <c r="U1040" t="s">
        <v>252</v>
      </c>
      <c r="V1040">
        <v>1</v>
      </c>
      <c r="AE1040" t="s">
        <v>74</v>
      </c>
      <c r="AF1040" t="s">
        <v>169</v>
      </c>
      <c r="AG1040" t="s">
        <v>11088</v>
      </c>
      <c r="AH1040" t="str">
        <f>HYPERLINK("http://compartments.jensenlab.org/Entity?figures=subcell_cell_%&amp;knowledge=10&amp;textmining=10&amp;experiments=10&amp;predictions=10&amp;type1=9606&amp;type2=-22&amp;id1=ENSP00000366345","link")</f>
        <v>link</v>
      </c>
      <c r="AI1040" t="s">
        <v>11089</v>
      </c>
      <c r="AJ1040" t="s">
        <v>11090</v>
      </c>
      <c r="AK1040" t="str">
        <f>HYPERLINK("http://www.proteinatlas.org/P58182","no")</f>
        <v>no</v>
      </c>
      <c r="AM1040">
        <v>26529</v>
      </c>
    </row>
    <row r="1041" spans="1:39" x14ac:dyDescent="0.35">
      <c r="A1041" t="s">
        <v>11091</v>
      </c>
      <c r="B1041" t="str">
        <f>HYPERLINK("http://www.uniprot.org/uniprot/P58335","P58335")</f>
        <v>P58335</v>
      </c>
      <c r="C1041" t="s">
        <v>11092</v>
      </c>
      <c r="D1041" t="s">
        <v>11093</v>
      </c>
      <c r="E1041" t="s">
        <v>39</v>
      </c>
      <c r="F1041" t="s">
        <v>40</v>
      </c>
      <c r="H1041">
        <v>489</v>
      </c>
      <c r="I1041">
        <v>1</v>
      </c>
      <c r="J1041">
        <v>1</v>
      </c>
      <c r="K1041" t="s">
        <v>11094</v>
      </c>
      <c r="L1041" t="s">
        <v>57</v>
      </c>
      <c r="N1041">
        <v>0.9042</v>
      </c>
      <c r="O1041" s="1">
        <v>1</v>
      </c>
      <c r="P1041" t="s">
        <v>11095</v>
      </c>
      <c r="Q1041" t="s">
        <v>11096</v>
      </c>
      <c r="S1041" t="s">
        <v>60</v>
      </c>
      <c r="T1041" t="s">
        <v>60</v>
      </c>
      <c r="U1041" t="s">
        <v>11097</v>
      </c>
      <c r="V1041">
        <v>2</v>
      </c>
      <c r="W1041" t="s">
        <v>11097</v>
      </c>
      <c r="Y1041">
        <v>338</v>
      </c>
      <c r="AE1041" t="s">
        <v>11098</v>
      </c>
      <c r="AF1041" t="s">
        <v>11099</v>
      </c>
      <c r="AG1041" t="s">
        <v>11100</v>
      </c>
      <c r="AH1041" t="str">
        <f>HYPERLINK("http://compartments.jensenlab.org/Entity?figures=subcell_cell_%&amp;knowledge=10&amp;textmining=10&amp;experiments=10&amp;predictions=10&amp;type1=9606&amp;type2=-22&amp;id1=ENSP00000306185","link")</f>
        <v>link</v>
      </c>
      <c r="AI1041" t="s">
        <v>11101</v>
      </c>
      <c r="AJ1041" t="s">
        <v>11102</v>
      </c>
      <c r="AK1041" t="str">
        <f>HYPERLINK("http://www.proteinatlas.org/P58335","no")</f>
        <v>no</v>
      </c>
      <c r="AM1041">
        <v>118429</v>
      </c>
    </row>
    <row r="1042" spans="1:39" x14ac:dyDescent="0.35">
      <c r="A1042" t="s">
        <v>11103</v>
      </c>
      <c r="B1042" t="str">
        <f>HYPERLINK("http://www.uniprot.org/uniprot/P58400","P58400")</f>
        <v>P58400</v>
      </c>
      <c r="C1042" t="s">
        <v>11104</v>
      </c>
      <c r="D1042" t="s">
        <v>11105</v>
      </c>
      <c r="E1042" t="s">
        <v>39</v>
      </c>
      <c r="F1042" t="s">
        <v>40</v>
      </c>
      <c r="H1042">
        <v>442</v>
      </c>
      <c r="I1042">
        <v>1</v>
      </c>
      <c r="J1042">
        <v>1</v>
      </c>
      <c r="K1042" t="s">
        <v>11106</v>
      </c>
      <c r="L1042" t="s">
        <v>57</v>
      </c>
      <c r="N1042">
        <v>0.7984</v>
      </c>
      <c r="O1042" s="1">
        <v>1</v>
      </c>
      <c r="P1042" t="s">
        <v>11107</v>
      </c>
      <c r="Q1042" t="s">
        <v>11108</v>
      </c>
      <c r="S1042" t="s">
        <v>166</v>
      </c>
      <c r="T1042" t="s">
        <v>11109</v>
      </c>
      <c r="U1042">
        <v>188</v>
      </c>
      <c r="V1042">
        <v>1</v>
      </c>
      <c r="W1042" t="s">
        <v>11110</v>
      </c>
      <c r="AE1042" t="s">
        <v>11111</v>
      </c>
      <c r="AF1042" t="s">
        <v>11112</v>
      </c>
      <c r="AG1042" t="s">
        <v>11113</v>
      </c>
      <c r="AH1042" t="str">
        <f>HYPERLINK("http://compartments.jensenlab.org/Entity?figures=subcell_cell_%&amp;knowledge=10&amp;textmining=10&amp;experiments=10&amp;predictions=10&amp;type1=9606&amp;type2=-22&amp;id1=ENSP00000341184","link")</f>
        <v>link</v>
      </c>
      <c r="AK1042" t="str">
        <f>HYPERLINK("http://www.proteinatlas.org/P58400","no")</f>
        <v>no</v>
      </c>
      <c r="AM1042">
        <v>9378</v>
      </c>
    </row>
    <row r="1043" spans="1:39" x14ac:dyDescent="0.35">
      <c r="A1043" t="s">
        <v>11114</v>
      </c>
      <c r="B1043" t="str">
        <f>HYPERLINK("http://www.uniprot.org/uniprot/P58401","P58401")</f>
        <v>P58401</v>
      </c>
      <c r="C1043" t="s">
        <v>11115</v>
      </c>
      <c r="D1043" t="s">
        <v>11116</v>
      </c>
      <c r="E1043" t="s">
        <v>39</v>
      </c>
      <c r="F1043" t="s">
        <v>40</v>
      </c>
      <c r="H1043">
        <v>666</v>
      </c>
      <c r="I1043">
        <v>1</v>
      </c>
      <c r="J1043">
        <v>1</v>
      </c>
      <c r="K1043" t="s">
        <v>11117</v>
      </c>
      <c r="L1043" t="s">
        <v>57</v>
      </c>
      <c r="N1043">
        <v>0.5948</v>
      </c>
      <c r="O1043" s="1">
        <v>2</v>
      </c>
      <c r="P1043" t="s">
        <v>11118</v>
      </c>
      <c r="Q1043" t="s">
        <v>11119</v>
      </c>
      <c r="S1043" t="s">
        <v>166</v>
      </c>
      <c r="T1043" t="s">
        <v>11109</v>
      </c>
      <c r="U1043">
        <v>190</v>
      </c>
      <c r="V1043">
        <v>1</v>
      </c>
      <c r="AE1043" t="s">
        <v>144</v>
      </c>
      <c r="AF1043" t="s">
        <v>11120</v>
      </c>
      <c r="AG1043" t="s">
        <v>11121</v>
      </c>
      <c r="AH1043" t="str">
        <f>HYPERLINK("http://compartments.jensenlab.org/Entity?figures=subcell_cell_%&amp;knowledge=10&amp;textmining=10&amp;experiments=10&amp;predictions=10&amp;type1=9606&amp;type2=-22&amp;id1=ENSP00000301894","link")</f>
        <v>link</v>
      </c>
      <c r="AK1043" t="str">
        <f>HYPERLINK("http://www.proteinatlas.org/P58401","no")</f>
        <v>no</v>
      </c>
      <c r="AM1043">
        <v>9379</v>
      </c>
    </row>
    <row r="1044" spans="1:39" x14ac:dyDescent="0.35">
      <c r="A1044" t="s">
        <v>11122</v>
      </c>
      <c r="B1044" t="str">
        <f>HYPERLINK("http://www.uniprot.org/uniprot/P58418","P58418")</f>
        <v>P58418</v>
      </c>
      <c r="C1044" t="s">
        <v>11123</v>
      </c>
      <c r="D1044" t="s">
        <v>11124</v>
      </c>
      <c r="E1044" t="s">
        <v>39</v>
      </c>
      <c r="F1044" t="s">
        <v>40</v>
      </c>
      <c r="H1044">
        <v>232</v>
      </c>
      <c r="I1044">
        <v>4</v>
      </c>
      <c r="J1044">
        <v>0</v>
      </c>
      <c r="K1044" t="s">
        <v>11125</v>
      </c>
      <c r="L1044" t="s">
        <v>42</v>
      </c>
      <c r="N1044">
        <v>0.59279999999999999</v>
      </c>
      <c r="O1044" s="1">
        <v>2</v>
      </c>
      <c r="P1044" t="s">
        <v>11126</v>
      </c>
      <c r="Q1044" t="s">
        <v>11127</v>
      </c>
      <c r="S1044" t="s">
        <v>60</v>
      </c>
      <c r="T1044" t="s">
        <v>60</v>
      </c>
      <c r="U1044">
        <v>48</v>
      </c>
      <c r="V1044">
        <v>1</v>
      </c>
      <c r="AE1044" t="s">
        <v>48</v>
      </c>
      <c r="AF1044" t="s">
        <v>11128</v>
      </c>
      <c r="AG1044" t="s">
        <v>11129</v>
      </c>
      <c r="AH1044" t="str">
        <f>HYPERLINK("http://compartments.jensenlab.org/Entity?figures=subcell_cell_%&amp;knowledge=10&amp;textmining=10&amp;experiments=10&amp;predictions=10&amp;type1=9606&amp;type2=-22&amp;id1=ENSP00000295911","link")</f>
        <v>link</v>
      </c>
      <c r="AK1044" t="str">
        <f>HYPERLINK("http://www.proteinatlas.org/P58418","HPA054636")</f>
        <v>HPA054636</v>
      </c>
      <c r="AM1044">
        <v>7401</v>
      </c>
    </row>
    <row r="1045" spans="1:39" x14ac:dyDescent="0.35">
      <c r="A1045" t="s">
        <v>11130</v>
      </c>
      <c r="B1045" t="str">
        <f>HYPERLINK("http://www.uniprot.org/uniprot/P58658","P58658")</f>
        <v>P58658</v>
      </c>
      <c r="C1045" t="s">
        <v>11131</v>
      </c>
      <c r="D1045" t="s">
        <v>11132</v>
      </c>
      <c r="E1045" t="s">
        <v>39</v>
      </c>
      <c r="F1045" t="s">
        <v>40</v>
      </c>
      <c r="H1045">
        <v>441</v>
      </c>
      <c r="I1045">
        <v>1</v>
      </c>
      <c r="J1045">
        <v>1</v>
      </c>
      <c r="K1045" t="s">
        <v>11133</v>
      </c>
      <c r="L1045" t="s">
        <v>57</v>
      </c>
      <c r="N1045">
        <v>0.87229999999999996</v>
      </c>
      <c r="O1045" s="1">
        <v>1</v>
      </c>
      <c r="P1045" t="s">
        <v>11134</v>
      </c>
      <c r="Q1045" t="s">
        <v>11135</v>
      </c>
      <c r="S1045" t="s">
        <v>60</v>
      </c>
      <c r="T1045" t="s">
        <v>60</v>
      </c>
      <c r="U1045" t="s">
        <v>11136</v>
      </c>
      <c r="V1045">
        <v>2</v>
      </c>
      <c r="AE1045" t="s">
        <v>144</v>
      </c>
      <c r="AF1045" t="s">
        <v>11137</v>
      </c>
      <c r="AG1045" t="s">
        <v>11138</v>
      </c>
      <c r="AH1045" t="str">
        <f>HYPERLINK("http://compartments.jensenlab.org/Entity?figures=subcell_cell_%&amp;knowledge=10&amp;textmining=10&amp;experiments=10&amp;predictions=10&amp;type1=9606&amp;type2=-22&amp;id1=ENSP00000300255","link")</f>
        <v>link</v>
      </c>
      <c r="AJ1045" t="s">
        <v>51</v>
      </c>
      <c r="AK1045" t="str">
        <f>HYPERLINK("http://www.proteinatlas.org/P58658","HPA015720;HPA029944;CAB034174")</f>
        <v>HPA015720;HPA029944;CAB034174</v>
      </c>
      <c r="AM1045">
        <v>59271</v>
      </c>
    </row>
    <row r="1046" spans="1:39" x14ac:dyDescent="0.35">
      <c r="A1046" t="s">
        <v>11139</v>
      </c>
      <c r="B1046" t="str">
        <f>HYPERLINK("http://www.uniprot.org/uniprot/P58743","P58743")</f>
        <v>P58743</v>
      </c>
      <c r="C1046" t="s">
        <v>11140</v>
      </c>
      <c r="D1046" t="s">
        <v>11141</v>
      </c>
      <c r="E1046" t="s">
        <v>39</v>
      </c>
      <c r="F1046" t="s">
        <v>55</v>
      </c>
      <c r="H1046">
        <v>744</v>
      </c>
      <c r="I1046">
        <v>10</v>
      </c>
      <c r="J1046">
        <v>0</v>
      </c>
      <c r="K1046" t="s">
        <v>11142</v>
      </c>
      <c r="L1046" t="s">
        <v>3024</v>
      </c>
      <c r="M1046" t="s">
        <v>39</v>
      </c>
      <c r="N1046">
        <v>0.77370000000000005</v>
      </c>
      <c r="O1046" s="1">
        <v>1</v>
      </c>
      <c r="P1046" t="s">
        <v>11143</v>
      </c>
      <c r="Q1046" t="s">
        <v>11144</v>
      </c>
      <c r="S1046" t="s">
        <v>45</v>
      </c>
      <c r="T1046" t="s">
        <v>1861</v>
      </c>
      <c r="U1046" t="s">
        <v>11145</v>
      </c>
      <c r="V1046">
        <v>4</v>
      </c>
      <c r="Z1046" t="s">
        <v>107</v>
      </c>
      <c r="AA1046">
        <v>1</v>
      </c>
      <c r="AB1046" t="s">
        <v>11146</v>
      </c>
      <c r="AC1046">
        <v>589</v>
      </c>
      <c r="AD1046" t="s">
        <v>11147</v>
      </c>
      <c r="AE1046" t="s">
        <v>74</v>
      </c>
      <c r="AF1046" t="s">
        <v>11148</v>
      </c>
      <c r="AG1046" t="s">
        <v>11149</v>
      </c>
      <c r="AH1046" t="str">
        <f>HYPERLINK("http://compartments.jensenlab.org/Entity?figures=subcell_cell_%&amp;knowledge=10&amp;textmining=10&amp;experiments=10&amp;predictions=10&amp;type1=9606&amp;type2=-22&amp;id1=ENSP00000304783","link")</f>
        <v>link</v>
      </c>
      <c r="AI1046" t="s">
        <v>65</v>
      </c>
      <c r="AJ1046" t="s">
        <v>51</v>
      </c>
      <c r="AK1046" t="str">
        <f>HYPERLINK("http://www.proteinatlas.org/P58743","no")</f>
        <v>no</v>
      </c>
      <c r="AM1046">
        <v>375611</v>
      </c>
    </row>
    <row r="1047" spans="1:39" x14ac:dyDescent="0.35">
      <c r="A1047" t="s">
        <v>11150</v>
      </c>
      <c r="B1047" t="str">
        <f>HYPERLINK("http://www.uniprot.org/uniprot/P59533","P59533")</f>
        <v>P59533</v>
      </c>
      <c r="C1047" t="s">
        <v>11151</v>
      </c>
      <c r="D1047" t="s">
        <v>11152</v>
      </c>
      <c r="E1047" t="s">
        <v>39</v>
      </c>
      <c r="F1047" t="s">
        <v>40</v>
      </c>
      <c r="H1047">
        <v>333</v>
      </c>
      <c r="I1047">
        <v>7</v>
      </c>
      <c r="J1047">
        <v>0</v>
      </c>
      <c r="K1047" t="s">
        <v>11153</v>
      </c>
      <c r="L1047" t="s">
        <v>57</v>
      </c>
      <c r="N1047">
        <v>0.60880000000000001</v>
      </c>
      <c r="O1047" s="1">
        <v>2</v>
      </c>
      <c r="P1047" t="s">
        <v>11154</v>
      </c>
      <c r="Q1047" t="s">
        <v>11155</v>
      </c>
      <c r="S1047" t="s">
        <v>166</v>
      </c>
      <c r="T1047" t="s">
        <v>11156</v>
      </c>
      <c r="U1047" t="s">
        <v>11157</v>
      </c>
      <c r="V1047">
        <v>2</v>
      </c>
      <c r="AE1047" t="s">
        <v>48</v>
      </c>
      <c r="AF1047" t="s">
        <v>11158</v>
      </c>
      <c r="AG1047" t="s">
        <v>11159</v>
      </c>
      <c r="AH1047" t="str">
        <f>HYPERLINK("http://compartments.jensenlab.org/Entity?figures=subcell_cell_%&amp;knowledge=10&amp;textmining=10&amp;experiments=10&amp;predictions=10&amp;type1=9606&amp;type2=-22&amp;id1=ENSP00000448219","link")</f>
        <v>link</v>
      </c>
      <c r="AK1047" t="str">
        <f>HYPERLINK("http://www.proteinatlas.org/P59533","HPA043862;HPA054366")</f>
        <v>HPA043862;HPA054366</v>
      </c>
      <c r="AM1047">
        <v>5726</v>
      </c>
    </row>
    <row r="1048" spans="1:39" x14ac:dyDescent="0.35">
      <c r="A1048" t="s">
        <v>11160</v>
      </c>
      <c r="B1048" t="str">
        <f>HYPERLINK("http://www.uniprot.org/uniprot/P59534","P59534")</f>
        <v>P59534</v>
      </c>
      <c r="C1048" t="s">
        <v>11161</v>
      </c>
      <c r="D1048" t="s">
        <v>11162</v>
      </c>
      <c r="E1048" t="s">
        <v>39</v>
      </c>
      <c r="F1048" t="s">
        <v>40</v>
      </c>
      <c r="H1048">
        <v>338</v>
      </c>
      <c r="I1048">
        <v>7</v>
      </c>
      <c r="J1048">
        <v>0</v>
      </c>
      <c r="K1048" t="s">
        <v>11163</v>
      </c>
      <c r="L1048" t="s">
        <v>57</v>
      </c>
      <c r="N1048">
        <v>0.87029999999999996</v>
      </c>
      <c r="O1048" s="1">
        <v>1</v>
      </c>
      <c r="P1048" t="s">
        <v>11164</v>
      </c>
      <c r="Q1048" t="s">
        <v>11165</v>
      </c>
      <c r="S1048" t="s">
        <v>166</v>
      </c>
      <c r="T1048" t="s">
        <v>11156</v>
      </c>
      <c r="U1048" t="s">
        <v>11166</v>
      </c>
      <c r="V1048">
        <v>2</v>
      </c>
      <c r="Y1048">
        <v>160</v>
      </c>
      <c r="AE1048" t="s">
        <v>48</v>
      </c>
      <c r="AF1048" t="s">
        <v>11167</v>
      </c>
      <c r="AG1048" t="s">
        <v>11168</v>
      </c>
      <c r="AH1048" t="str">
        <f>HYPERLINK("http://compartments.jensenlab.org/Entity?figures=subcell_cell_%&amp;knowledge=10&amp;textmining=10&amp;experiments=10&amp;predictions=10&amp;type1=9606&amp;type2=-22&amp;id1=ENSP00000405095","link")</f>
        <v>link</v>
      </c>
      <c r="AJ1048" t="s">
        <v>51</v>
      </c>
      <c r="AK1048" t="str">
        <f>HYPERLINK("http://www.proteinatlas.org/P59534","HPA053456;HPA060680")</f>
        <v>HPA053456;HPA060680</v>
      </c>
      <c r="AM1048">
        <v>259285</v>
      </c>
    </row>
    <row r="1049" spans="1:39" x14ac:dyDescent="0.35">
      <c r="A1049" t="s">
        <v>11169</v>
      </c>
      <c r="B1049" t="str">
        <f>HYPERLINK("http://www.uniprot.org/uniprot/P59540","P59540")</f>
        <v>P59540</v>
      </c>
      <c r="C1049" t="s">
        <v>11170</v>
      </c>
      <c r="D1049" t="s">
        <v>11171</v>
      </c>
      <c r="E1049" t="s">
        <v>39</v>
      </c>
      <c r="F1049" t="s">
        <v>40</v>
      </c>
      <c r="H1049">
        <v>309</v>
      </c>
      <c r="I1049">
        <v>7</v>
      </c>
      <c r="J1049">
        <v>0</v>
      </c>
      <c r="K1049" t="s">
        <v>11172</v>
      </c>
      <c r="L1049" t="s">
        <v>57</v>
      </c>
      <c r="N1049">
        <v>0.65069999999999995</v>
      </c>
      <c r="O1049" s="1">
        <v>2</v>
      </c>
      <c r="P1049" t="s">
        <v>11173</v>
      </c>
      <c r="Q1049" t="s">
        <v>11174</v>
      </c>
      <c r="S1049" t="s">
        <v>166</v>
      </c>
      <c r="T1049" t="s">
        <v>11156</v>
      </c>
      <c r="U1049" t="s">
        <v>11175</v>
      </c>
      <c r="V1049">
        <v>2</v>
      </c>
      <c r="AE1049" t="s">
        <v>11176</v>
      </c>
      <c r="AF1049" t="s">
        <v>11177</v>
      </c>
      <c r="AG1049" t="s">
        <v>11178</v>
      </c>
      <c r="AH1049" t="str">
        <f>HYPERLINK("http://compartments.jensenlab.org/Entity?figures=subcell_cell_%&amp;knowledge=10&amp;textmining=10&amp;experiments=10&amp;predictions=10&amp;type1=9606&amp;type2=-22&amp;id1=ENSP00000436450","link")</f>
        <v>link</v>
      </c>
      <c r="AK1049" t="str">
        <f>HYPERLINK("http://www.proteinatlas.org/P59540","no")</f>
        <v>no</v>
      </c>
      <c r="AM1049">
        <v>259292</v>
      </c>
    </row>
    <row r="1050" spans="1:39" x14ac:dyDescent="0.35">
      <c r="A1050" t="s">
        <v>11179</v>
      </c>
      <c r="B1050" t="str">
        <f>HYPERLINK("http://www.uniprot.org/uniprot/P59541","P59541")</f>
        <v>P59541</v>
      </c>
      <c r="C1050" t="s">
        <v>11180</v>
      </c>
      <c r="D1050" t="s">
        <v>11181</v>
      </c>
      <c r="E1050" t="s">
        <v>39</v>
      </c>
      <c r="F1050" t="s">
        <v>40</v>
      </c>
      <c r="H1050">
        <v>319</v>
      </c>
      <c r="I1050">
        <v>7</v>
      </c>
      <c r="J1050">
        <v>0</v>
      </c>
      <c r="K1050" t="s">
        <v>11182</v>
      </c>
      <c r="L1050" t="s">
        <v>57</v>
      </c>
      <c r="N1050">
        <v>0.64070000000000005</v>
      </c>
      <c r="O1050" s="1">
        <v>2</v>
      </c>
      <c r="P1050" t="s">
        <v>11183</v>
      </c>
      <c r="Q1050" t="s">
        <v>11184</v>
      </c>
      <c r="S1050" t="s">
        <v>166</v>
      </c>
      <c r="T1050" t="s">
        <v>11156</v>
      </c>
      <c r="U1050" t="s">
        <v>11175</v>
      </c>
      <c r="V1050">
        <v>2</v>
      </c>
      <c r="AE1050" t="s">
        <v>48</v>
      </c>
      <c r="AF1050" t="s">
        <v>11158</v>
      </c>
      <c r="AG1050" t="s">
        <v>11185</v>
      </c>
      <c r="AH1050" t="str">
        <f>HYPERLINK("http://compartments.jensenlab.org/Entity?figures=subcell_cell_%&amp;knowledge=10&amp;textmining=10&amp;experiments=10&amp;predictions=10&amp;type1=9606&amp;type2=-22&amp;id1=ENSP00000444736","link")</f>
        <v>link</v>
      </c>
      <c r="AK1050" t="str">
        <f>HYPERLINK("http://www.proteinatlas.org/P59541","no")</f>
        <v>no</v>
      </c>
      <c r="AM1050">
        <v>259293</v>
      </c>
    </row>
    <row r="1051" spans="1:39" x14ac:dyDescent="0.35">
      <c r="A1051" t="s">
        <v>11186</v>
      </c>
      <c r="B1051" t="str">
        <f>HYPERLINK("http://www.uniprot.org/uniprot/P59542","P59542")</f>
        <v>P59542</v>
      </c>
      <c r="C1051" t="s">
        <v>11187</v>
      </c>
      <c r="D1051" t="s">
        <v>11188</v>
      </c>
      <c r="E1051" t="s">
        <v>39</v>
      </c>
      <c r="F1051" t="s">
        <v>40</v>
      </c>
      <c r="H1051">
        <v>299</v>
      </c>
      <c r="I1051">
        <v>7</v>
      </c>
      <c r="J1051">
        <v>0</v>
      </c>
      <c r="K1051" t="s">
        <v>11189</v>
      </c>
      <c r="L1051" t="s">
        <v>57</v>
      </c>
      <c r="N1051">
        <v>0.75849999999999995</v>
      </c>
      <c r="O1051" s="1">
        <v>1</v>
      </c>
      <c r="P1051" t="s">
        <v>11190</v>
      </c>
      <c r="Q1051" t="s">
        <v>11191</v>
      </c>
      <c r="S1051" t="s">
        <v>166</v>
      </c>
      <c r="T1051" t="s">
        <v>11156</v>
      </c>
      <c r="U1051" t="s">
        <v>11192</v>
      </c>
      <c r="V1051">
        <v>1</v>
      </c>
      <c r="AE1051" t="s">
        <v>48</v>
      </c>
      <c r="AF1051" t="s">
        <v>11158</v>
      </c>
      <c r="AG1051" t="s">
        <v>11193</v>
      </c>
      <c r="AH1051" t="str">
        <f>HYPERLINK("http://compartments.jensenlab.org/Entity?figures=subcell_cell_%&amp;knowledge=10&amp;textmining=10&amp;experiments=10&amp;predictions=10&amp;type1=9606&amp;type2=-22&amp;id1=ENSP00000375091","link")</f>
        <v>link</v>
      </c>
      <c r="AJ1051" t="s">
        <v>51</v>
      </c>
      <c r="AK1051" t="str">
        <f>HYPERLINK("http://www.proteinatlas.org/P59542","no")</f>
        <v>no</v>
      </c>
      <c r="AM1051">
        <v>259294</v>
      </c>
    </row>
    <row r="1052" spans="1:39" x14ac:dyDescent="0.35">
      <c r="A1052" t="s">
        <v>11194</v>
      </c>
      <c r="B1052" t="str">
        <f>HYPERLINK("http://www.uniprot.org/uniprot/P59543","P59543")</f>
        <v>P59543</v>
      </c>
      <c r="C1052" t="s">
        <v>11195</v>
      </c>
      <c r="D1052" t="s">
        <v>11196</v>
      </c>
      <c r="E1052" t="s">
        <v>39</v>
      </c>
      <c r="F1052" t="s">
        <v>40</v>
      </c>
      <c r="H1052">
        <v>309</v>
      </c>
      <c r="I1052">
        <v>7</v>
      </c>
      <c r="J1052">
        <v>0</v>
      </c>
      <c r="K1052" t="s">
        <v>11197</v>
      </c>
      <c r="L1052" t="s">
        <v>57</v>
      </c>
      <c r="N1052">
        <v>0.64670000000000005</v>
      </c>
      <c r="O1052" s="1">
        <v>2</v>
      </c>
      <c r="P1052" t="s">
        <v>11198</v>
      </c>
      <c r="Q1052" t="s">
        <v>11199</v>
      </c>
      <c r="S1052" t="s">
        <v>166</v>
      </c>
      <c r="T1052" t="s">
        <v>11156</v>
      </c>
      <c r="U1052" t="s">
        <v>11200</v>
      </c>
      <c r="V1052">
        <v>2</v>
      </c>
      <c r="AE1052" t="s">
        <v>48</v>
      </c>
      <c r="AF1052" t="s">
        <v>11158</v>
      </c>
      <c r="AG1052" t="s">
        <v>11201</v>
      </c>
      <c r="AH1052" t="str">
        <f>HYPERLINK("http://compartments.jensenlab.org/Entity?figures=subcell_cell_%&amp;knowledge=10&amp;textmining=10&amp;experiments=10&amp;predictions=10&amp;type1=9606&amp;type2=-22&amp;id1=ENSP00000441624","link")</f>
        <v>link</v>
      </c>
      <c r="AK1052" t="str">
        <f>HYPERLINK("http://www.proteinatlas.org/P59543","no")</f>
        <v>no</v>
      </c>
      <c r="AM1052">
        <v>259295</v>
      </c>
    </row>
    <row r="1053" spans="1:39" x14ac:dyDescent="0.35">
      <c r="A1053" t="s">
        <v>11202</v>
      </c>
      <c r="B1053" t="str">
        <f>HYPERLINK("http://www.uniprot.org/uniprot/P59901","P59901")</f>
        <v>P59901</v>
      </c>
      <c r="C1053" t="s">
        <v>11203</v>
      </c>
      <c r="D1053" t="s">
        <v>11204</v>
      </c>
      <c r="E1053" t="s">
        <v>39</v>
      </c>
      <c r="F1053" t="s">
        <v>40</v>
      </c>
      <c r="H1053">
        <v>499</v>
      </c>
      <c r="I1053">
        <v>1</v>
      </c>
      <c r="J1053">
        <v>1</v>
      </c>
      <c r="K1053" t="s">
        <v>11205</v>
      </c>
      <c r="L1053" t="s">
        <v>57</v>
      </c>
      <c r="N1053">
        <v>0.74650000000000005</v>
      </c>
      <c r="O1053" s="1">
        <v>2</v>
      </c>
      <c r="P1053" t="s">
        <v>11206</v>
      </c>
      <c r="Q1053" t="s">
        <v>11207</v>
      </c>
      <c r="R1053" t="s">
        <v>11208</v>
      </c>
      <c r="S1053" t="s">
        <v>166</v>
      </c>
      <c r="T1053" t="s">
        <v>418</v>
      </c>
      <c r="U1053" t="s">
        <v>11209</v>
      </c>
      <c r="V1053">
        <v>5</v>
      </c>
      <c r="AE1053" t="s">
        <v>144</v>
      </c>
      <c r="AF1053" t="s">
        <v>11210</v>
      </c>
      <c r="AG1053" t="s">
        <v>11211</v>
      </c>
      <c r="AH1053" t="str">
        <f>HYPERLINK("http://compartments.jensenlab.org/Entity?figures=subcell_cell_%&amp;knowledge=10&amp;textmining=10&amp;experiments=10&amp;predictions=10&amp;type1=9606&amp;type2=-22&amp;id1=ENSP00000291759","link")</f>
        <v>link</v>
      </c>
      <c r="AJ1053" t="s">
        <v>51</v>
      </c>
      <c r="AK1053" t="str">
        <f>HYPERLINK("http://www.proteinatlas.org/P59901","HPA048255;HPA049418")</f>
        <v>HPA048255;HPA049418</v>
      </c>
      <c r="AM1053">
        <v>23547</v>
      </c>
    </row>
    <row r="1054" spans="1:39" x14ac:dyDescent="0.35">
      <c r="A1054" t="s">
        <v>11212</v>
      </c>
      <c r="B1054" t="str">
        <f>HYPERLINK("http://www.uniprot.org/uniprot/P59922","P59922")</f>
        <v>P59922</v>
      </c>
      <c r="C1054" t="s">
        <v>11213</v>
      </c>
      <c r="D1054" t="s">
        <v>11214</v>
      </c>
      <c r="E1054" t="s">
        <v>39</v>
      </c>
      <c r="F1054" t="s">
        <v>40</v>
      </c>
      <c r="H1054">
        <v>312</v>
      </c>
      <c r="I1054">
        <v>7</v>
      </c>
      <c r="J1054">
        <v>0</v>
      </c>
      <c r="K1054" t="s">
        <v>11215</v>
      </c>
      <c r="L1054" t="s">
        <v>57</v>
      </c>
      <c r="N1054">
        <v>0.99</v>
      </c>
      <c r="O1054" s="1">
        <v>1</v>
      </c>
      <c r="S1054" t="s">
        <v>166</v>
      </c>
      <c r="T1054" t="s">
        <v>2880</v>
      </c>
      <c r="U1054" t="s">
        <v>11216</v>
      </c>
      <c r="V1054">
        <v>3</v>
      </c>
      <c r="AE1054" t="s">
        <v>74</v>
      </c>
      <c r="AF1054" t="s">
        <v>549</v>
      </c>
      <c r="AG1054" t="s">
        <v>11217</v>
      </c>
      <c r="AK1054" t="str">
        <f>HYPERLINK("http://www.proteinatlas.org/P59922","no")</f>
        <v>no</v>
      </c>
    </row>
    <row r="1055" spans="1:39" x14ac:dyDescent="0.35">
      <c r="A1055" t="s">
        <v>11218</v>
      </c>
      <c r="B1055" t="str">
        <f>HYPERLINK("http://www.uniprot.org/uniprot/P60201","P60201")</f>
        <v>P60201</v>
      </c>
      <c r="C1055" t="s">
        <v>11219</v>
      </c>
      <c r="D1055" t="s">
        <v>11220</v>
      </c>
      <c r="E1055" t="s">
        <v>39</v>
      </c>
      <c r="F1055" t="s">
        <v>40</v>
      </c>
      <c r="H1055">
        <v>277</v>
      </c>
      <c r="I1055">
        <v>4</v>
      </c>
      <c r="J1055">
        <v>0</v>
      </c>
      <c r="K1055" t="s">
        <v>11221</v>
      </c>
      <c r="L1055" t="s">
        <v>57</v>
      </c>
      <c r="N1055">
        <v>0.61880000000000002</v>
      </c>
      <c r="O1055" s="1">
        <v>2</v>
      </c>
      <c r="P1055" t="s">
        <v>11222</v>
      </c>
      <c r="Q1055" t="s">
        <v>11223</v>
      </c>
      <c r="S1055" t="s">
        <v>60</v>
      </c>
      <c r="T1055" t="s">
        <v>60</v>
      </c>
      <c r="V1055">
        <v>0</v>
      </c>
      <c r="AE1055" t="s">
        <v>11224</v>
      </c>
      <c r="AF1055" t="s">
        <v>11225</v>
      </c>
      <c r="AG1055" t="s">
        <v>11226</v>
      </c>
      <c r="AH1055" t="str">
        <f>HYPERLINK("http://compartments.jensenlab.org/Entity?figures=subcell_cell_%&amp;knowledge=10&amp;textmining=10&amp;experiments=10&amp;predictions=10&amp;type1=9606&amp;type2=-22&amp;id1=ENSP00000481006","link")</f>
        <v>link</v>
      </c>
      <c r="AK1055" t="str">
        <f>HYPERLINK("http://www.proteinatlas.org/P60201","HPA004128")</f>
        <v>HPA004128</v>
      </c>
      <c r="AM1055">
        <v>5354</v>
      </c>
    </row>
    <row r="1056" spans="1:39" x14ac:dyDescent="0.35">
      <c r="A1056" t="s">
        <v>11227</v>
      </c>
      <c r="B1056" t="str">
        <f>HYPERLINK("http://www.uniprot.org/uniprot/P60507","P60507")</f>
        <v>P60507</v>
      </c>
      <c r="C1056" t="s">
        <v>11228</v>
      </c>
      <c r="D1056" t="s">
        <v>11229</v>
      </c>
      <c r="E1056" t="s">
        <v>39</v>
      </c>
      <c r="F1056" t="s">
        <v>40</v>
      </c>
      <c r="H1056">
        <v>584</v>
      </c>
      <c r="I1056">
        <v>1</v>
      </c>
      <c r="J1056">
        <v>1</v>
      </c>
      <c r="K1056" t="s">
        <v>11230</v>
      </c>
      <c r="L1056" t="s">
        <v>57</v>
      </c>
      <c r="N1056">
        <v>0.83630000000000004</v>
      </c>
      <c r="O1056" s="1">
        <v>1</v>
      </c>
      <c r="S1056" t="s">
        <v>91</v>
      </c>
      <c r="T1056" t="s">
        <v>738</v>
      </c>
      <c r="U1056" t="s">
        <v>11231</v>
      </c>
      <c r="V1056">
        <v>11</v>
      </c>
      <c r="AE1056" t="s">
        <v>11232</v>
      </c>
      <c r="AF1056" t="s">
        <v>2440</v>
      </c>
      <c r="AG1056" t="s">
        <v>11233</v>
      </c>
      <c r="AK1056" t="str">
        <f>HYPERLINK("http://www.proteinatlas.org/P60507","no")</f>
        <v>no</v>
      </c>
    </row>
    <row r="1057" spans="1:39" x14ac:dyDescent="0.35">
      <c r="A1057" t="s">
        <v>11234</v>
      </c>
      <c r="B1057" t="str">
        <f>HYPERLINK("http://www.uniprot.org/uniprot/P60508","P60508")</f>
        <v>P60508</v>
      </c>
      <c r="C1057" t="s">
        <v>11235</v>
      </c>
      <c r="D1057" t="s">
        <v>11236</v>
      </c>
      <c r="E1057" t="s">
        <v>39</v>
      </c>
      <c r="F1057" t="s">
        <v>40</v>
      </c>
      <c r="H1057">
        <v>538</v>
      </c>
      <c r="I1057">
        <v>1</v>
      </c>
      <c r="J1057">
        <v>1</v>
      </c>
      <c r="K1057" t="s">
        <v>11237</v>
      </c>
      <c r="L1057" t="s">
        <v>57</v>
      </c>
      <c r="N1057">
        <v>0.84030000000000005</v>
      </c>
      <c r="O1057" s="1">
        <v>1</v>
      </c>
      <c r="P1057" t="s">
        <v>11238</v>
      </c>
      <c r="Q1057" t="s">
        <v>11239</v>
      </c>
      <c r="S1057" t="s">
        <v>91</v>
      </c>
      <c r="T1057" t="s">
        <v>738</v>
      </c>
      <c r="U1057" t="s">
        <v>11240</v>
      </c>
      <c r="V1057">
        <v>9</v>
      </c>
      <c r="Y1057" t="s">
        <v>11241</v>
      </c>
      <c r="AE1057" t="s">
        <v>11232</v>
      </c>
      <c r="AF1057" t="s">
        <v>11242</v>
      </c>
      <c r="AG1057" t="s">
        <v>11243</v>
      </c>
      <c r="AH1057" t="str">
        <f>HYPERLINK("http://compartments.jensenlab.org/Entity?figures=subcell_cell_%&amp;knowledge=10&amp;textmining=10&amp;experiments=10&amp;predictions=10&amp;type1=9606&amp;type2=-22&amp;id1=ENSP00000420174","link")</f>
        <v>link</v>
      </c>
      <c r="AI1057" t="s">
        <v>65</v>
      </c>
      <c r="AJ1057" t="s">
        <v>51</v>
      </c>
      <c r="AK1057" t="str">
        <f>HYPERLINK("http://www.proteinatlas.org/P60508","HPA011812")</f>
        <v>HPA011812</v>
      </c>
      <c r="AM1057">
        <v>405754</v>
      </c>
    </row>
    <row r="1058" spans="1:39" x14ac:dyDescent="0.35">
      <c r="A1058" t="s">
        <v>11244</v>
      </c>
      <c r="B1058" t="str">
        <f>HYPERLINK("http://www.uniprot.org/uniprot/P60509","P60509")</f>
        <v>P60509</v>
      </c>
      <c r="C1058" t="s">
        <v>11245</v>
      </c>
      <c r="D1058" t="s">
        <v>11246</v>
      </c>
      <c r="E1058" t="s">
        <v>39</v>
      </c>
      <c r="F1058" t="s">
        <v>40</v>
      </c>
      <c r="H1058">
        <v>514</v>
      </c>
      <c r="I1058">
        <v>1</v>
      </c>
      <c r="J1058">
        <v>1</v>
      </c>
      <c r="K1058" t="s">
        <v>11247</v>
      </c>
      <c r="L1058" t="s">
        <v>57</v>
      </c>
      <c r="N1058">
        <v>0.75649999999999995</v>
      </c>
      <c r="O1058" s="1">
        <v>1</v>
      </c>
      <c r="S1058" t="s">
        <v>91</v>
      </c>
      <c r="T1058" t="s">
        <v>738</v>
      </c>
      <c r="U1058" t="s">
        <v>11248</v>
      </c>
      <c r="V1058">
        <v>10</v>
      </c>
      <c r="AE1058" t="s">
        <v>3665</v>
      </c>
      <c r="AF1058" t="s">
        <v>11249</v>
      </c>
      <c r="AG1058" t="s">
        <v>11250</v>
      </c>
      <c r="AK1058" t="str">
        <f>HYPERLINK("http://www.proteinatlas.org/P60509","no")</f>
        <v>no</v>
      </c>
    </row>
    <row r="1059" spans="1:39" x14ac:dyDescent="0.35">
      <c r="A1059" t="s">
        <v>11251</v>
      </c>
      <c r="B1059" t="str">
        <f>HYPERLINK("http://www.uniprot.org/uniprot/P60852","P60852")</f>
        <v>P60852</v>
      </c>
      <c r="C1059" t="s">
        <v>11252</v>
      </c>
      <c r="D1059" t="s">
        <v>11253</v>
      </c>
      <c r="E1059" t="s">
        <v>39</v>
      </c>
      <c r="F1059" t="s">
        <v>40</v>
      </c>
      <c r="H1059">
        <v>638</v>
      </c>
      <c r="I1059">
        <v>1</v>
      </c>
      <c r="J1059">
        <v>1</v>
      </c>
      <c r="K1059" t="s">
        <v>11254</v>
      </c>
      <c r="L1059" t="s">
        <v>57</v>
      </c>
      <c r="N1059">
        <v>0.80840000000000001</v>
      </c>
      <c r="O1059" s="1">
        <v>1</v>
      </c>
      <c r="P1059" t="s">
        <v>11255</v>
      </c>
      <c r="Q1059" t="s">
        <v>11256</v>
      </c>
      <c r="S1059" t="s">
        <v>60</v>
      </c>
      <c r="T1059" t="s">
        <v>60</v>
      </c>
      <c r="U1059" t="s">
        <v>11257</v>
      </c>
      <c r="V1059">
        <v>4</v>
      </c>
      <c r="X1059">
        <v>157</v>
      </c>
      <c r="AE1059" t="s">
        <v>1045</v>
      </c>
      <c r="AF1059" t="s">
        <v>11258</v>
      </c>
      <c r="AG1059" t="s">
        <v>11259</v>
      </c>
      <c r="AH1059" t="str">
        <f>HYPERLINK("http://compartments.jensenlab.org/Entity?figures=subcell_cell_%&amp;knowledge=10&amp;textmining=10&amp;experiments=10&amp;predictions=10&amp;type1=9606&amp;type2=-22&amp;id1=ENSP00000278853","link")</f>
        <v>link</v>
      </c>
      <c r="AI1059" t="s">
        <v>1058</v>
      </c>
      <c r="AJ1059" t="s">
        <v>7201</v>
      </c>
      <c r="AK1059" t="str">
        <f>HYPERLINK("http://www.proteinatlas.org/P60852","HPA044523")</f>
        <v>HPA044523</v>
      </c>
      <c r="AM1059">
        <v>22917</v>
      </c>
    </row>
    <row r="1060" spans="1:39" x14ac:dyDescent="0.35">
      <c r="A1060" t="s">
        <v>11260</v>
      </c>
      <c r="B1060" t="str">
        <f>HYPERLINK("http://www.uniprot.org/uniprot/P60893","P60893")</f>
        <v>P60893</v>
      </c>
      <c r="C1060" t="s">
        <v>11261</v>
      </c>
      <c r="D1060" t="s">
        <v>11262</v>
      </c>
      <c r="E1060" t="s">
        <v>39</v>
      </c>
      <c r="F1060" t="s">
        <v>40</v>
      </c>
      <c r="H1060">
        <v>370</v>
      </c>
      <c r="I1060">
        <v>7</v>
      </c>
      <c r="J1060">
        <v>0</v>
      </c>
      <c r="K1060" t="s">
        <v>11263</v>
      </c>
      <c r="L1060" t="s">
        <v>57</v>
      </c>
      <c r="N1060">
        <v>0.78839999999999999</v>
      </c>
      <c r="O1060" s="1">
        <v>1</v>
      </c>
      <c r="P1060" t="s">
        <v>11264</v>
      </c>
      <c r="Q1060" t="s">
        <v>11265</v>
      </c>
      <c r="S1060" t="s">
        <v>166</v>
      </c>
      <c r="T1060" t="s">
        <v>838</v>
      </c>
      <c r="U1060" t="s">
        <v>11266</v>
      </c>
      <c r="V1060">
        <v>4</v>
      </c>
      <c r="AE1060" t="s">
        <v>74</v>
      </c>
      <c r="AF1060" t="s">
        <v>1913</v>
      </c>
      <c r="AG1060" t="s">
        <v>11267</v>
      </c>
      <c r="AH1060" t="str">
        <f>HYPERLINK("http://compartments.jensenlab.org/Entity?figures=subcell_cell_%&amp;knowledge=10&amp;textmining=10&amp;experiments=10&amp;predictions=10&amp;type1=9606&amp;type2=-22&amp;id1=ENSP00000297146","link")</f>
        <v>link</v>
      </c>
      <c r="AI1060" t="s">
        <v>65</v>
      </c>
      <c r="AJ1060" t="s">
        <v>51</v>
      </c>
      <c r="AK1060" t="str">
        <f>HYPERLINK("http://www.proteinatlas.org/P60893","no")</f>
        <v>no</v>
      </c>
      <c r="AM1060">
        <v>54329</v>
      </c>
    </row>
    <row r="1061" spans="1:39" x14ac:dyDescent="0.35">
      <c r="A1061" t="s">
        <v>11268</v>
      </c>
      <c r="B1061" t="str">
        <f>HYPERLINK("http://www.uniprot.org/uniprot/P61073","P61073")</f>
        <v>P61073</v>
      </c>
      <c r="C1061" t="s">
        <v>11269</v>
      </c>
      <c r="D1061" t="s">
        <v>11270</v>
      </c>
      <c r="E1061" t="s">
        <v>39</v>
      </c>
      <c r="F1061" t="s">
        <v>40</v>
      </c>
      <c r="H1061">
        <v>352</v>
      </c>
      <c r="I1061">
        <v>7</v>
      </c>
      <c r="J1061">
        <v>0</v>
      </c>
      <c r="K1061" t="s">
        <v>11271</v>
      </c>
      <c r="L1061" t="s">
        <v>57</v>
      </c>
      <c r="N1061">
        <v>0.92220000000000002</v>
      </c>
      <c r="O1061" s="1">
        <v>1</v>
      </c>
      <c r="P1061" t="s">
        <v>11272</v>
      </c>
      <c r="Q1061" t="s">
        <v>11273</v>
      </c>
      <c r="R1061" t="s">
        <v>11274</v>
      </c>
      <c r="S1061" t="s">
        <v>166</v>
      </c>
      <c r="T1061" t="s">
        <v>838</v>
      </c>
      <c r="U1061" t="s">
        <v>11275</v>
      </c>
      <c r="V1061">
        <v>2</v>
      </c>
      <c r="W1061" t="s">
        <v>11275</v>
      </c>
      <c r="X1061" t="s">
        <v>11276</v>
      </c>
      <c r="AE1061" t="s">
        <v>11277</v>
      </c>
      <c r="AF1061" t="s">
        <v>11278</v>
      </c>
      <c r="AG1061" t="s">
        <v>11279</v>
      </c>
      <c r="AH1061" t="str">
        <f>HYPERLINK("http://compartments.jensenlab.org/Entity?figures=subcell_cell_%&amp;knowledge=10&amp;textmining=10&amp;experiments=10&amp;predictions=10&amp;type1=9606&amp;type2=-22&amp;id1=ENSP00000241393","link")</f>
        <v>link</v>
      </c>
      <c r="AK1061" t="str">
        <f>HYPERLINK("http://www.proteinatlas.org/P61073","no")</f>
        <v>no</v>
      </c>
      <c r="AL1061" t="s">
        <v>11280</v>
      </c>
      <c r="AM1061">
        <v>7852</v>
      </c>
    </row>
    <row r="1062" spans="1:39" x14ac:dyDescent="0.35">
      <c r="A1062" t="s">
        <v>11281</v>
      </c>
      <c r="B1062" t="str">
        <f>HYPERLINK("http://www.uniprot.org/uniprot/P61550","P61550")</f>
        <v>P61550</v>
      </c>
      <c r="C1062" t="s">
        <v>11282</v>
      </c>
      <c r="D1062" t="s">
        <v>11283</v>
      </c>
      <c r="E1062" t="s">
        <v>39</v>
      </c>
      <c r="F1062" t="s">
        <v>40</v>
      </c>
      <c r="H1062">
        <v>626</v>
      </c>
      <c r="I1062">
        <v>1</v>
      </c>
      <c r="J1062">
        <v>1</v>
      </c>
      <c r="K1062" t="s">
        <v>11284</v>
      </c>
      <c r="L1062" t="s">
        <v>57</v>
      </c>
      <c r="N1062">
        <v>0.87029999999999996</v>
      </c>
      <c r="O1062" s="1">
        <v>1</v>
      </c>
      <c r="S1062" t="s">
        <v>91</v>
      </c>
      <c r="T1062" t="s">
        <v>738</v>
      </c>
      <c r="U1062" t="s">
        <v>11285</v>
      </c>
      <c r="V1062">
        <v>8</v>
      </c>
      <c r="Y1062">
        <v>568</v>
      </c>
      <c r="AE1062" t="s">
        <v>3665</v>
      </c>
      <c r="AF1062" t="s">
        <v>11286</v>
      </c>
      <c r="AG1062" t="s">
        <v>11287</v>
      </c>
      <c r="AK1062" t="str">
        <f>HYPERLINK("http://www.proteinatlas.org/P61550","no")</f>
        <v>no</v>
      </c>
    </row>
    <row r="1063" spans="1:39" x14ac:dyDescent="0.35">
      <c r="A1063" t="s">
        <v>11288</v>
      </c>
      <c r="B1063" t="str">
        <f>HYPERLINK("http://www.uniprot.org/uniprot/P61565","P61565")</f>
        <v>P61565</v>
      </c>
      <c r="C1063" t="s">
        <v>11289</v>
      </c>
      <c r="D1063" t="s">
        <v>11290</v>
      </c>
      <c r="E1063" t="s">
        <v>39</v>
      </c>
      <c r="F1063" t="s">
        <v>40</v>
      </c>
      <c r="H1063">
        <v>698</v>
      </c>
      <c r="I1063">
        <v>1</v>
      </c>
      <c r="J1063">
        <v>1</v>
      </c>
      <c r="K1063" t="s">
        <v>11291</v>
      </c>
      <c r="L1063" t="s">
        <v>57</v>
      </c>
      <c r="N1063">
        <v>0.87029999999999996</v>
      </c>
      <c r="O1063" s="1">
        <v>1</v>
      </c>
      <c r="S1063" t="s">
        <v>91</v>
      </c>
      <c r="T1063" t="s">
        <v>2438</v>
      </c>
      <c r="U1063" t="s">
        <v>11292</v>
      </c>
      <c r="V1063">
        <v>11</v>
      </c>
      <c r="AE1063" t="s">
        <v>1674</v>
      </c>
      <c r="AF1063" t="s">
        <v>2440</v>
      </c>
      <c r="AG1063" t="s">
        <v>11293</v>
      </c>
      <c r="AK1063" t="str">
        <f>HYPERLINK("http://www.proteinatlas.org/P61565","no")</f>
        <v>no</v>
      </c>
    </row>
    <row r="1064" spans="1:39" x14ac:dyDescent="0.35">
      <c r="A1064" t="s">
        <v>11294</v>
      </c>
      <c r="B1064" t="str">
        <f>HYPERLINK("http://www.uniprot.org/uniprot/P61566","P61566")</f>
        <v>P61566</v>
      </c>
      <c r="C1064" t="s">
        <v>11295</v>
      </c>
      <c r="D1064" t="s">
        <v>11296</v>
      </c>
      <c r="E1064" t="s">
        <v>39</v>
      </c>
      <c r="F1064" t="s">
        <v>40</v>
      </c>
      <c r="H1064">
        <v>588</v>
      </c>
      <c r="I1064">
        <v>2</v>
      </c>
      <c r="J1064">
        <v>0</v>
      </c>
      <c r="K1064" t="s">
        <v>11297</v>
      </c>
      <c r="L1064" t="s">
        <v>42</v>
      </c>
      <c r="N1064">
        <v>0.61680000000000001</v>
      </c>
      <c r="O1064" s="1">
        <v>2</v>
      </c>
      <c r="S1064" t="s">
        <v>91</v>
      </c>
      <c r="T1064" t="s">
        <v>1672</v>
      </c>
      <c r="U1064" t="s">
        <v>11298</v>
      </c>
      <c r="V1064">
        <v>4</v>
      </c>
      <c r="AE1064" t="s">
        <v>1674</v>
      </c>
      <c r="AF1064" t="s">
        <v>11299</v>
      </c>
      <c r="AG1064" t="s">
        <v>11300</v>
      </c>
      <c r="AK1064" t="str">
        <f>HYPERLINK("http://www.proteinatlas.org/P61566","no")</f>
        <v>no</v>
      </c>
    </row>
    <row r="1065" spans="1:39" x14ac:dyDescent="0.35">
      <c r="A1065" t="s">
        <v>11301</v>
      </c>
      <c r="B1065" t="str">
        <f>HYPERLINK("http://www.uniprot.org/uniprot/P61567","P61567")</f>
        <v>P61567</v>
      </c>
      <c r="C1065" t="s">
        <v>11302</v>
      </c>
      <c r="D1065" t="s">
        <v>11303</v>
      </c>
      <c r="E1065" t="s">
        <v>39</v>
      </c>
      <c r="F1065" t="s">
        <v>40</v>
      </c>
      <c r="H1065">
        <v>588</v>
      </c>
      <c r="I1065">
        <v>2</v>
      </c>
      <c r="J1065">
        <v>0</v>
      </c>
      <c r="K1065" t="s">
        <v>11297</v>
      </c>
      <c r="L1065" t="s">
        <v>42</v>
      </c>
      <c r="N1065">
        <v>0.62080000000000002</v>
      </c>
      <c r="O1065" s="1">
        <v>2</v>
      </c>
      <c r="S1065" t="s">
        <v>947</v>
      </c>
      <c r="T1065" t="s">
        <v>11304</v>
      </c>
      <c r="U1065" t="s">
        <v>11298</v>
      </c>
      <c r="V1065">
        <v>4</v>
      </c>
      <c r="AE1065" t="s">
        <v>11232</v>
      </c>
      <c r="AF1065" t="s">
        <v>11299</v>
      </c>
      <c r="AG1065" t="s">
        <v>11305</v>
      </c>
      <c r="AK1065" t="str">
        <f>HYPERLINK("http://www.proteinatlas.org/P61567","no")</f>
        <v>no</v>
      </c>
    </row>
    <row r="1066" spans="1:39" x14ac:dyDescent="0.35">
      <c r="A1066" t="s">
        <v>11306</v>
      </c>
      <c r="B1066" t="str">
        <f>HYPERLINK("http://www.uniprot.org/uniprot/P61570","P61570")</f>
        <v>P61570</v>
      </c>
      <c r="C1066" t="s">
        <v>11307</v>
      </c>
      <c r="D1066" t="s">
        <v>11308</v>
      </c>
      <c r="E1066" t="s">
        <v>39</v>
      </c>
      <c r="F1066" t="s">
        <v>40</v>
      </c>
      <c r="H1066">
        <v>661</v>
      </c>
      <c r="I1066">
        <v>2</v>
      </c>
      <c r="J1066">
        <v>0</v>
      </c>
      <c r="K1066" t="s">
        <v>11309</v>
      </c>
      <c r="L1066" t="s">
        <v>42</v>
      </c>
      <c r="N1066">
        <v>0.62080000000000002</v>
      </c>
      <c r="O1066" s="1">
        <v>2</v>
      </c>
      <c r="S1066" t="s">
        <v>91</v>
      </c>
      <c r="T1066" t="s">
        <v>2438</v>
      </c>
      <c r="U1066" t="s">
        <v>2439</v>
      </c>
      <c r="V1066">
        <v>4</v>
      </c>
      <c r="AE1066" t="s">
        <v>11232</v>
      </c>
      <c r="AF1066" t="s">
        <v>2440</v>
      </c>
      <c r="AG1066" t="s">
        <v>11310</v>
      </c>
      <c r="AK1066" t="str">
        <f>HYPERLINK("http://www.proteinatlas.org/P61570","no")</f>
        <v>no</v>
      </c>
    </row>
    <row r="1067" spans="1:39" x14ac:dyDescent="0.35">
      <c r="A1067" t="s">
        <v>11311</v>
      </c>
      <c r="B1067" t="str">
        <f>HYPERLINK("http://www.uniprot.org/uniprot/P62079","P62079")</f>
        <v>P62079</v>
      </c>
      <c r="C1067" t="s">
        <v>11312</v>
      </c>
      <c r="D1067" t="s">
        <v>11313</v>
      </c>
      <c r="E1067" t="s">
        <v>39</v>
      </c>
      <c r="F1067" t="s">
        <v>40</v>
      </c>
      <c r="H1067">
        <v>268</v>
      </c>
      <c r="I1067">
        <v>4</v>
      </c>
      <c r="J1067">
        <v>0</v>
      </c>
      <c r="K1067" t="s">
        <v>11314</v>
      </c>
      <c r="L1067" t="s">
        <v>57</v>
      </c>
      <c r="N1067">
        <v>0.65469999999999995</v>
      </c>
      <c r="O1067" s="1">
        <v>2</v>
      </c>
      <c r="P1067" t="s">
        <v>11315</v>
      </c>
      <c r="Q1067" t="s">
        <v>11316</v>
      </c>
      <c r="S1067" t="s">
        <v>91</v>
      </c>
      <c r="T1067" t="s">
        <v>135</v>
      </c>
      <c r="U1067" t="s">
        <v>11317</v>
      </c>
      <c r="V1067">
        <v>4</v>
      </c>
      <c r="AE1067" t="s">
        <v>48</v>
      </c>
      <c r="AF1067" t="s">
        <v>95</v>
      </c>
      <c r="AG1067" t="s">
        <v>11318</v>
      </c>
      <c r="AH1067" t="str">
        <f>HYPERLINK("http://compartments.jensenlab.org/Entity?figures=subcell_cell_%&amp;knowledge=10&amp;textmining=10&amp;experiments=10&amp;predictions=10&amp;type1=9606&amp;type2=-22&amp;id1=ENSP00000307701","link")</f>
        <v>link</v>
      </c>
      <c r="AJ1067" t="s">
        <v>51</v>
      </c>
      <c r="AK1067" t="str">
        <f>HYPERLINK("http://www.proteinatlas.org/P62079","no")</f>
        <v>no</v>
      </c>
      <c r="AM1067">
        <v>10098</v>
      </c>
    </row>
    <row r="1068" spans="1:39" x14ac:dyDescent="0.35">
      <c r="A1068" t="s">
        <v>11319</v>
      </c>
      <c r="B1068" t="str">
        <f>HYPERLINK("http://www.uniprot.org/uniprot/P62955","P62955")</f>
        <v>P62955</v>
      </c>
      <c r="C1068" t="s">
        <v>11320</v>
      </c>
      <c r="D1068" t="s">
        <v>11321</v>
      </c>
      <c r="E1068" t="s">
        <v>39</v>
      </c>
      <c r="F1068" t="s">
        <v>40</v>
      </c>
      <c r="H1068">
        <v>275</v>
      </c>
      <c r="I1068">
        <v>3</v>
      </c>
      <c r="J1068">
        <v>1</v>
      </c>
      <c r="K1068" t="s">
        <v>11322</v>
      </c>
      <c r="L1068" t="s">
        <v>42</v>
      </c>
      <c r="N1068">
        <v>0.83230000000000004</v>
      </c>
      <c r="O1068" s="1">
        <v>1</v>
      </c>
      <c r="P1068" t="s">
        <v>11323</v>
      </c>
      <c r="Q1068" t="s">
        <v>11324</v>
      </c>
      <c r="S1068" t="s">
        <v>45</v>
      </c>
      <c r="T1068" t="s">
        <v>341</v>
      </c>
      <c r="U1068">
        <v>45</v>
      </c>
      <c r="V1068">
        <v>1</v>
      </c>
      <c r="AE1068" t="s">
        <v>48</v>
      </c>
      <c r="AF1068" t="s">
        <v>2133</v>
      </c>
      <c r="AG1068" t="s">
        <v>11325</v>
      </c>
      <c r="AH1068" t="str">
        <f>HYPERLINK("http://compartments.jensenlab.org/Entity?figures=subcell_cell_%&amp;knowledge=10&amp;textmining=10&amp;experiments=10&amp;predictions=10&amp;type1=9606&amp;type2=-22&amp;id1=ENSP00000222212","link")</f>
        <v>link</v>
      </c>
      <c r="AI1068" t="s">
        <v>65</v>
      </c>
      <c r="AJ1068" t="s">
        <v>51</v>
      </c>
      <c r="AK1068" t="str">
        <f>HYPERLINK("http://www.proteinatlas.org/P62955","HPA049881")</f>
        <v>HPA049881</v>
      </c>
      <c r="AM1068">
        <v>59284</v>
      </c>
    </row>
    <row r="1069" spans="1:39" x14ac:dyDescent="0.35">
      <c r="A1069" t="s">
        <v>11326</v>
      </c>
      <c r="B1069" t="str">
        <f>HYPERLINK("http://www.uniprot.org/uniprot/P78310","P78310")</f>
        <v>P78310</v>
      </c>
      <c r="C1069" t="s">
        <v>11327</v>
      </c>
      <c r="D1069" t="s">
        <v>11328</v>
      </c>
      <c r="E1069" t="s">
        <v>39</v>
      </c>
      <c r="F1069" t="s">
        <v>55</v>
      </c>
      <c r="H1069">
        <v>365</v>
      </c>
      <c r="I1069">
        <v>1</v>
      </c>
      <c r="J1069">
        <v>1</v>
      </c>
      <c r="K1069" t="s">
        <v>11329</v>
      </c>
      <c r="L1069" t="s">
        <v>101</v>
      </c>
      <c r="M1069" t="s">
        <v>39</v>
      </c>
      <c r="N1069">
        <v>0.95350000000000001</v>
      </c>
      <c r="O1069" s="1">
        <v>1</v>
      </c>
      <c r="P1069" t="s">
        <v>11330</v>
      </c>
      <c r="Q1069" t="s">
        <v>11331</v>
      </c>
      <c r="S1069" t="s">
        <v>166</v>
      </c>
      <c r="T1069" t="s">
        <v>3629</v>
      </c>
      <c r="U1069" t="s">
        <v>11332</v>
      </c>
      <c r="V1069">
        <v>2</v>
      </c>
      <c r="W1069" t="s">
        <v>11332</v>
      </c>
      <c r="X1069" t="s">
        <v>11333</v>
      </c>
      <c r="Z1069" t="s">
        <v>107</v>
      </c>
      <c r="AA1069">
        <v>2</v>
      </c>
      <c r="AB1069" t="s">
        <v>11334</v>
      </c>
      <c r="AC1069" t="s">
        <v>11335</v>
      </c>
      <c r="AD1069" t="s">
        <v>11336</v>
      </c>
      <c r="AE1069" t="s">
        <v>11337</v>
      </c>
      <c r="AF1069" t="s">
        <v>11338</v>
      </c>
      <c r="AG1069" t="s">
        <v>11339</v>
      </c>
      <c r="AH1069" t="str">
        <f>HYPERLINK("http://compartments.jensenlab.org/Entity?figures=subcell_cell_%&amp;knowledge=10&amp;textmining=10&amp;experiments=10&amp;predictions=10&amp;type1=9606&amp;type2=-22&amp;id1=ENSP00000284878","link")</f>
        <v>link</v>
      </c>
      <c r="AI1069" t="s">
        <v>1058</v>
      </c>
      <c r="AJ1069" t="s">
        <v>3586</v>
      </c>
      <c r="AK1069" t="str">
        <f>HYPERLINK("http://www.proteinatlas.org/P78310","HPA003342;CAB005103;HPA030411;HPA030412")</f>
        <v>HPA003342;CAB005103;HPA030411;HPA030412</v>
      </c>
      <c r="AM1069">
        <v>1525</v>
      </c>
    </row>
    <row r="1070" spans="1:39" x14ac:dyDescent="0.35">
      <c r="A1070" t="s">
        <v>11340</v>
      </c>
      <c r="B1070" t="str">
        <f>HYPERLINK("http://www.uniprot.org/uniprot/P78324","P78324")</f>
        <v>P78324</v>
      </c>
      <c r="C1070" t="s">
        <v>11341</v>
      </c>
      <c r="D1070" t="s">
        <v>11342</v>
      </c>
      <c r="E1070" t="s">
        <v>39</v>
      </c>
      <c r="F1070" t="s">
        <v>40</v>
      </c>
      <c r="H1070">
        <v>504</v>
      </c>
      <c r="I1070">
        <v>1</v>
      </c>
      <c r="J1070">
        <v>1</v>
      </c>
      <c r="K1070" t="s">
        <v>11343</v>
      </c>
      <c r="L1070" t="s">
        <v>57</v>
      </c>
      <c r="N1070">
        <v>0.97409999999999997</v>
      </c>
      <c r="O1070" s="1">
        <v>1</v>
      </c>
      <c r="P1070" t="s">
        <v>11344</v>
      </c>
      <c r="Q1070" t="s">
        <v>11345</v>
      </c>
      <c r="R1070" t="s">
        <v>11346</v>
      </c>
      <c r="S1070" t="s">
        <v>91</v>
      </c>
      <c r="T1070" t="s">
        <v>886</v>
      </c>
      <c r="U1070" t="s">
        <v>11347</v>
      </c>
      <c r="V1070">
        <v>5</v>
      </c>
      <c r="X1070" t="s">
        <v>11348</v>
      </c>
      <c r="Y1070">
        <v>312</v>
      </c>
      <c r="AE1070" t="s">
        <v>144</v>
      </c>
      <c r="AF1070" t="s">
        <v>11349</v>
      </c>
      <c r="AG1070" t="s">
        <v>11350</v>
      </c>
      <c r="AH1070" t="str">
        <f>HYPERLINK("http://compartments.jensenlab.org/Entity?figures=subcell_cell_%&amp;knowledge=10&amp;textmining=10&amp;experiments=10&amp;predictions=10&amp;type1=9606&amp;type2=-22&amp;id1=ENSP00000348307","link")</f>
        <v>link</v>
      </c>
      <c r="AJ1070" t="s">
        <v>51</v>
      </c>
      <c r="AK1070" t="str">
        <f>HYPERLINK("http://www.proteinatlas.org/P78324","CAB002776;CAB015122")</f>
        <v>CAB002776;CAB015122</v>
      </c>
      <c r="AM1070">
        <v>140885</v>
      </c>
    </row>
    <row r="1071" spans="1:39" x14ac:dyDescent="0.35">
      <c r="A1071" t="s">
        <v>11351</v>
      </c>
      <c r="B1071" t="str">
        <f>HYPERLINK("http://www.uniprot.org/uniprot/P78325","P78325")</f>
        <v>P78325</v>
      </c>
      <c r="C1071" t="s">
        <v>11352</v>
      </c>
      <c r="D1071" t="s">
        <v>11353</v>
      </c>
      <c r="E1071" t="s">
        <v>39</v>
      </c>
      <c r="F1071" t="s">
        <v>40</v>
      </c>
      <c r="H1071">
        <v>824</v>
      </c>
      <c r="I1071">
        <v>1</v>
      </c>
      <c r="J1071">
        <v>1</v>
      </c>
      <c r="K1071" t="s">
        <v>11354</v>
      </c>
      <c r="L1071" t="s">
        <v>101</v>
      </c>
      <c r="N1071">
        <v>0.95809999999999995</v>
      </c>
      <c r="O1071" s="1">
        <v>1</v>
      </c>
      <c r="P1071" t="s">
        <v>11355</v>
      </c>
      <c r="Q1071" t="s">
        <v>11356</v>
      </c>
      <c r="R1071" t="s">
        <v>11357</v>
      </c>
      <c r="S1071" t="s">
        <v>947</v>
      </c>
      <c r="T1071" t="s">
        <v>1208</v>
      </c>
      <c r="U1071" t="s">
        <v>11358</v>
      </c>
      <c r="V1071">
        <v>5</v>
      </c>
      <c r="W1071" t="s">
        <v>11358</v>
      </c>
      <c r="X1071" t="s">
        <v>11359</v>
      </c>
      <c r="Z1071" t="s">
        <v>107</v>
      </c>
      <c r="AA1071">
        <v>3</v>
      </c>
      <c r="AB1071" t="s">
        <v>11360</v>
      </c>
      <c r="AC1071">
        <v>612</v>
      </c>
      <c r="AD1071" t="s">
        <v>11361</v>
      </c>
      <c r="AE1071" t="s">
        <v>144</v>
      </c>
      <c r="AF1071" t="s">
        <v>11362</v>
      </c>
      <c r="AG1071" t="s">
        <v>11363</v>
      </c>
      <c r="AH1071" t="str">
        <f>HYPERLINK("http://compartments.jensenlab.org/Entity?figures=subcell_cell_%&amp;knowledge=10&amp;textmining=10&amp;experiments=10&amp;predictions=10&amp;type1=9606&amp;type2=-22&amp;id1=ENSP00000453302","link")</f>
        <v>link</v>
      </c>
      <c r="AK1071" t="str">
        <f>HYPERLINK("http://www.proteinatlas.org/P78325","HPA064637")</f>
        <v>HPA064637</v>
      </c>
      <c r="AM1071">
        <v>101</v>
      </c>
    </row>
    <row r="1072" spans="1:39" x14ac:dyDescent="0.35">
      <c r="A1072" t="s">
        <v>11364</v>
      </c>
      <c r="B1072" t="str">
        <f>HYPERLINK("http://www.uniprot.org/uniprot/P78333","P78333")</f>
        <v>P78333</v>
      </c>
      <c r="C1072" t="s">
        <v>11365</v>
      </c>
      <c r="D1072" t="s">
        <v>11366</v>
      </c>
      <c r="E1072" t="s">
        <v>39</v>
      </c>
      <c r="F1072" t="s">
        <v>239</v>
      </c>
      <c r="H1072">
        <v>572</v>
      </c>
      <c r="I1072">
        <v>0</v>
      </c>
      <c r="J1072">
        <v>1</v>
      </c>
      <c r="K1072" t="s">
        <v>11367</v>
      </c>
      <c r="L1072" t="s">
        <v>996</v>
      </c>
      <c r="N1072">
        <v>0.74850000000000005</v>
      </c>
      <c r="O1072" s="1" t="s">
        <v>997</v>
      </c>
      <c r="P1072" t="s">
        <v>11368</v>
      </c>
      <c r="Q1072" t="s">
        <v>11369</v>
      </c>
      <c r="U1072" t="s">
        <v>11370</v>
      </c>
      <c r="V1072">
        <v>3</v>
      </c>
      <c r="W1072" t="s">
        <v>11370</v>
      </c>
      <c r="Z1072" t="s">
        <v>107</v>
      </c>
      <c r="AA1072">
        <v>1</v>
      </c>
      <c r="AB1072" t="s">
        <v>11371</v>
      </c>
      <c r="AC1072">
        <v>527</v>
      </c>
      <c r="AD1072" t="s">
        <v>11372</v>
      </c>
      <c r="AE1072" t="s">
        <v>2731</v>
      </c>
      <c r="AF1072" t="s">
        <v>11373</v>
      </c>
      <c r="AG1072" t="s">
        <v>11374</v>
      </c>
      <c r="AH1072" t="str">
        <f>HYPERLINK("http://compartments.jensenlab.org/Entity?figures=subcell_cell_%&amp;knowledge=10&amp;textmining=10&amp;experiments=10&amp;predictions=10&amp;type1=9606&amp;type2=-22&amp;id1=ENSP00000366267","link")</f>
        <v>link</v>
      </c>
      <c r="AI1072" t="s">
        <v>65</v>
      </c>
      <c r="AJ1072" t="s">
        <v>902</v>
      </c>
      <c r="AK1072" t="str">
        <f>HYPERLINK("http://www.proteinatlas.org/P78333","CAB025506;HPA044081")</f>
        <v>CAB025506;HPA044081</v>
      </c>
      <c r="AM1072">
        <v>2262</v>
      </c>
    </row>
    <row r="1073" spans="1:39" x14ac:dyDescent="0.35">
      <c r="A1073" t="s">
        <v>11375</v>
      </c>
      <c r="B1073" t="str">
        <f>HYPERLINK("http://www.uniprot.org/uniprot/P78334","P78334")</f>
        <v>P78334</v>
      </c>
      <c r="C1073" t="s">
        <v>11376</v>
      </c>
      <c r="D1073" t="s">
        <v>11377</v>
      </c>
      <c r="E1073" t="s">
        <v>39</v>
      </c>
      <c r="F1073" t="s">
        <v>55</v>
      </c>
      <c r="H1073">
        <v>506</v>
      </c>
      <c r="I1073">
        <v>4</v>
      </c>
      <c r="J1073">
        <v>1</v>
      </c>
      <c r="K1073" t="s">
        <v>11378</v>
      </c>
      <c r="L1073" t="s">
        <v>57</v>
      </c>
      <c r="M1073" t="s">
        <v>39</v>
      </c>
      <c r="N1073">
        <v>0.79100000000000004</v>
      </c>
      <c r="O1073" s="1">
        <v>1</v>
      </c>
      <c r="P1073" t="s">
        <v>11379</v>
      </c>
      <c r="Q1073" t="s">
        <v>11380</v>
      </c>
      <c r="S1073" t="s">
        <v>45</v>
      </c>
      <c r="T1073" t="s">
        <v>195</v>
      </c>
      <c r="U1073" t="s">
        <v>11381</v>
      </c>
      <c r="V1073">
        <v>2</v>
      </c>
      <c r="W1073" t="s">
        <v>11382</v>
      </c>
      <c r="AE1073" t="s">
        <v>619</v>
      </c>
      <c r="AF1073" t="s">
        <v>7015</v>
      </c>
      <c r="AG1073" t="s">
        <v>11383</v>
      </c>
      <c r="AH1073" t="str">
        <f>HYPERLINK("http://compartments.jensenlab.org/Entity?figures=subcell_cell_%&amp;knowledge=10&amp;textmining=10&amp;experiments=10&amp;predictions=10&amp;type1=9606&amp;type2=-22&amp;id1=ENSP00000359353","link")</f>
        <v>link</v>
      </c>
      <c r="AI1073" t="s">
        <v>65</v>
      </c>
      <c r="AJ1073" t="s">
        <v>51</v>
      </c>
      <c r="AK1073" t="str">
        <f>HYPERLINK("http://www.proteinatlas.org/P78334","HPA045918")</f>
        <v>HPA045918</v>
      </c>
      <c r="AL1073" t="s">
        <v>1235</v>
      </c>
      <c r="AM1073">
        <v>2564</v>
      </c>
    </row>
    <row r="1074" spans="1:39" x14ac:dyDescent="0.35">
      <c r="A1074" t="s">
        <v>11384</v>
      </c>
      <c r="B1074" t="str">
        <f>HYPERLINK("http://www.uniprot.org/uniprot/P78348","P78348")</f>
        <v>P78348</v>
      </c>
      <c r="C1074" t="s">
        <v>11385</v>
      </c>
      <c r="D1074" t="s">
        <v>11386</v>
      </c>
      <c r="E1074" t="s">
        <v>39</v>
      </c>
      <c r="F1074" t="s">
        <v>55</v>
      </c>
      <c r="H1074">
        <v>528</v>
      </c>
      <c r="I1074">
        <v>2</v>
      </c>
      <c r="J1074">
        <v>0</v>
      </c>
      <c r="K1074" t="s">
        <v>11387</v>
      </c>
      <c r="L1074" t="s">
        <v>101</v>
      </c>
      <c r="M1074" t="s">
        <v>39</v>
      </c>
      <c r="N1074">
        <v>0.52780000000000005</v>
      </c>
      <c r="O1074" s="1">
        <v>3</v>
      </c>
      <c r="P1074" t="s">
        <v>11388</v>
      </c>
      <c r="Q1074" t="s">
        <v>11389</v>
      </c>
      <c r="S1074" t="s">
        <v>60</v>
      </c>
      <c r="T1074" t="s">
        <v>60</v>
      </c>
      <c r="U1074" t="s">
        <v>11390</v>
      </c>
      <c r="V1074">
        <v>2</v>
      </c>
      <c r="W1074">
        <v>368</v>
      </c>
      <c r="Z1074" t="s">
        <v>107</v>
      </c>
      <c r="AA1074">
        <v>1</v>
      </c>
      <c r="AB1074" t="s">
        <v>11391</v>
      </c>
      <c r="AC1074">
        <v>368</v>
      </c>
      <c r="AD1074" t="s">
        <v>11392</v>
      </c>
      <c r="AE1074" t="s">
        <v>6534</v>
      </c>
      <c r="AF1074" t="s">
        <v>11393</v>
      </c>
      <c r="AG1074" t="s">
        <v>11394</v>
      </c>
      <c r="AH1074" t="str">
        <f>HYPERLINK("http://compartments.jensenlab.org/Entity?figures=subcell_cell_%&amp;knowledge=10&amp;textmining=10&amp;experiments=10&amp;predictions=10&amp;type1=9606&amp;type2=-22&amp;id1=ENSP00000228468","link")</f>
        <v>link</v>
      </c>
      <c r="AI1074" t="s">
        <v>65</v>
      </c>
      <c r="AJ1074" t="s">
        <v>51</v>
      </c>
      <c r="AK1074" t="str">
        <f>HYPERLINK("http://www.proteinatlas.org/P78348","no")</f>
        <v>no</v>
      </c>
      <c r="AL1074" t="s">
        <v>11395</v>
      </c>
      <c r="AM1074">
        <v>41</v>
      </c>
    </row>
    <row r="1075" spans="1:39" x14ac:dyDescent="0.35">
      <c r="A1075" t="s">
        <v>11396</v>
      </c>
      <c r="B1075" t="str">
        <f>HYPERLINK("http://www.uniprot.org/uniprot/P78357","P78357")</f>
        <v>P78357</v>
      </c>
      <c r="C1075" t="s">
        <v>11397</v>
      </c>
      <c r="D1075" t="s">
        <v>11398</v>
      </c>
      <c r="E1075" t="s">
        <v>39</v>
      </c>
      <c r="F1075" t="s">
        <v>40</v>
      </c>
      <c r="H1075">
        <v>1384</v>
      </c>
      <c r="I1075">
        <v>1</v>
      </c>
      <c r="J1075">
        <v>1</v>
      </c>
      <c r="K1075" t="s">
        <v>11399</v>
      </c>
      <c r="L1075" t="s">
        <v>101</v>
      </c>
      <c r="N1075">
        <v>0.97009999999999996</v>
      </c>
      <c r="O1075" s="1">
        <v>1</v>
      </c>
      <c r="P1075" t="s">
        <v>11400</v>
      </c>
      <c r="Q1075" t="s">
        <v>11401</v>
      </c>
      <c r="S1075" t="s">
        <v>166</v>
      </c>
      <c r="T1075" t="s">
        <v>11402</v>
      </c>
      <c r="U1075" t="s">
        <v>11403</v>
      </c>
      <c r="V1075">
        <v>17</v>
      </c>
      <c r="W1075" t="s">
        <v>11404</v>
      </c>
      <c r="Z1075" t="s">
        <v>107</v>
      </c>
      <c r="AA1075">
        <v>8</v>
      </c>
      <c r="AB1075" t="s">
        <v>11405</v>
      </c>
      <c r="AC1075" t="s">
        <v>11406</v>
      </c>
      <c r="AD1075" t="s">
        <v>11407</v>
      </c>
      <c r="AE1075" t="s">
        <v>144</v>
      </c>
      <c r="AF1075" t="s">
        <v>11408</v>
      </c>
      <c r="AG1075" t="s">
        <v>11409</v>
      </c>
      <c r="AH1075" t="str">
        <f>HYPERLINK("http://compartments.jensenlab.org/Entity?figures=subcell_cell_%&amp;knowledge=10&amp;textmining=10&amp;experiments=10&amp;predictions=10&amp;type1=9606&amp;type2=-22&amp;id1=ENSP00000264638","link")</f>
        <v>link</v>
      </c>
      <c r="AJ1075" t="s">
        <v>51</v>
      </c>
      <c r="AK1075" t="str">
        <f>HYPERLINK("http://www.proteinatlas.org/P78357","HPA011772")</f>
        <v>HPA011772</v>
      </c>
      <c r="AM1075">
        <v>8506</v>
      </c>
    </row>
    <row r="1076" spans="1:39" x14ac:dyDescent="0.35">
      <c r="A1076" t="s">
        <v>11410</v>
      </c>
      <c r="B1076" t="str">
        <f>HYPERLINK("http://www.uniprot.org/uniprot/P78363","P78363")</f>
        <v>P78363</v>
      </c>
      <c r="C1076" t="s">
        <v>11411</v>
      </c>
      <c r="D1076" t="s">
        <v>11412</v>
      </c>
      <c r="E1076" t="s">
        <v>39</v>
      </c>
      <c r="F1076" t="s">
        <v>40</v>
      </c>
      <c r="H1076">
        <v>2273</v>
      </c>
      <c r="I1076">
        <v>12</v>
      </c>
      <c r="J1076">
        <v>0</v>
      </c>
      <c r="K1076" t="s">
        <v>11413</v>
      </c>
      <c r="L1076" t="s">
        <v>57</v>
      </c>
      <c r="N1076">
        <v>0.86029999999999995</v>
      </c>
      <c r="O1076" s="1">
        <v>1</v>
      </c>
      <c r="P1076" t="s">
        <v>11414</v>
      </c>
      <c r="Q1076" t="s">
        <v>11415</v>
      </c>
      <c r="S1076" t="s">
        <v>45</v>
      </c>
      <c r="T1076" t="s">
        <v>3013</v>
      </c>
      <c r="U1076" t="s">
        <v>11416</v>
      </c>
      <c r="V1076">
        <v>10</v>
      </c>
      <c r="W1076" t="s">
        <v>11417</v>
      </c>
      <c r="Y1076" t="s">
        <v>11418</v>
      </c>
      <c r="AE1076" t="s">
        <v>48</v>
      </c>
      <c r="AF1076" t="s">
        <v>11419</v>
      </c>
      <c r="AG1076" t="s">
        <v>11420</v>
      </c>
      <c r="AH1076" t="str">
        <f>HYPERLINK("http://compartments.jensenlab.org/Entity?figures=subcell_cell_%&amp;knowledge=10&amp;textmining=10&amp;experiments=10&amp;predictions=10&amp;type1=9606&amp;type2=-22&amp;id1=ENSP00000359245","link")</f>
        <v>link</v>
      </c>
      <c r="AJ1076" t="s">
        <v>51</v>
      </c>
      <c r="AK1076" t="str">
        <f>HYPERLINK("http://www.proteinatlas.org/P78363","no")</f>
        <v>no</v>
      </c>
      <c r="AM1076">
        <v>24</v>
      </c>
    </row>
    <row r="1077" spans="1:39" x14ac:dyDescent="0.35">
      <c r="A1077" t="s">
        <v>11421</v>
      </c>
      <c r="B1077" t="str">
        <f>HYPERLINK("http://www.uniprot.org/uniprot/P78369","P78369")</f>
        <v>P78369</v>
      </c>
      <c r="C1077" t="s">
        <v>11422</v>
      </c>
      <c r="D1077" t="s">
        <v>11423</v>
      </c>
      <c r="E1077" t="s">
        <v>39</v>
      </c>
      <c r="F1077" t="s">
        <v>40</v>
      </c>
      <c r="H1077">
        <v>228</v>
      </c>
      <c r="I1077">
        <v>4</v>
      </c>
      <c r="J1077">
        <v>0</v>
      </c>
      <c r="K1077" t="s">
        <v>11424</v>
      </c>
      <c r="L1077" t="s">
        <v>57</v>
      </c>
      <c r="N1077">
        <v>0.66869999999999996</v>
      </c>
      <c r="O1077" s="1">
        <v>2</v>
      </c>
      <c r="P1077" t="s">
        <v>11425</v>
      </c>
      <c r="Q1077" t="s">
        <v>11426</v>
      </c>
      <c r="S1077" t="s">
        <v>91</v>
      </c>
      <c r="T1077" t="s">
        <v>537</v>
      </c>
      <c r="U1077">
        <v>187</v>
      </c>
      <c r="V1077">
        <v>0</v>
      </c>
      <c r="Y1077" t="s">
        <v>11427</v>
      </c>
      <c r="AE1077" t="s">
        <v>539</v>
      </c>
      <c r="AF1077" t="s">
        <v>11428</v>
      </c>
      <c r="AG1077" t="s">
        <v>11429</v>
      </c>
      <c r="AH1077" t="str">
        <f>HYPERLINK("http://compartments.jensenlab.org/Entity?figures=subcell_cell_%&amp;knowledge=10&amp;textmining=10&amp;experiments=10&amp;predictions=10&amp;type1=9606&amp;type2=-22&amp;id1=ENSP00000299339","link")</f>
        <v>link</v>
      </c>
      <c r="AI1077" t="s">
        <v>65</v>
      </c>
      <c r="AJ1077" t="s">
        <v>51</v>
      </c>
      <c r="AK1077" t="str">
        <f>HYPERLINK("http://www.proteinatlas.org/P78369","CAB012969;HPA042348")</f>
        <v>CAB012969;HPA042348</v>
      </c>
      <c r="AM1077">
        <v>9071</v>
      </c>
    </row>
    <row r="1078" spans="1:39" x14ac:dyDescent="0.35">
      <c r="A1078" t="s">
        <v>11430</v>
      </c>
      <c r="B1078" t="str">
        <f>HYPERLINK("http://www.uniprot.org/uniprot/P78380","P78380")</f>
        <v>P78380</v>
      </c>
      <c r="C1078" t="s">
        <v>11431</v>
      </c>
      <c r="D1078" t="s">
        <v>11432</v>
      </c>
      <c r="E1078" t="s">
        <v>39</v>
      </c>
      <c r="F1078" t="s">
        <v>55</v>
      </c>
      <c r="H1078">
        <v>273</v>
      </c>
      <c r="I1078">
        <v>1</v>
      </c>
      <c r="J1078">
        <v>0</v>
      </c>
      <c r="K1078" t="s">
        <v>11433</v>
      </c>
      <c r="L1078" t="s">
        <v>101</v>
      </c>
      <c r="M1078" t="s">
        <v>39</v>
      </c>
      <c r="N1078">
        <v>0.73219999999999996</v>
      </c>
      <c r="O1078" s="1">
        <v>2</v>
      </c>
      <c r="P1078" t="s">
        <v>11434</v>
      </c>
      <c r="Q1078" t="s">
        <v>11435</v>
      </c>
      <c r="S1078" t="s">
        <v>166</v>
      </c>
      <c r="T1078" t="s">
        <v>4251</v>
      </c>
      <c r="U1078" t="s">
        <v>11436</v>
      </c>
      <c r="V1078">
        <v>3</v>
      </c>
      <c r="W1078" t="s">
        <v>11437</v>
      </c>
      <c r="X1078">
        <v>10</v>
      </c>
      <c r="Z1078" t="s">
        <v>107</v>
      </c>
      <c r="AA1078">
        <v>1</v>
      </c>
      <c r="AB1078" t="s">
        <v>11438</v>
      </c>
      <c r="AC1078">
        <v>183</v>
      </c>
      <c r="AD1078" t="s">
        <v>11439</v>
      </c>
      <c r="AE1078" t="s">
        <v>11440</v>
      </c>
      <c r="AF1078" t="s">
        <v>11441</v>
      </c>
      <c r="AG1078" t="s">
        <v>11442</v>
      </c>
      <c r="AH1078" t="str">
        <f>HYPERLINK("http://compartments.jensenlab.org/Entity?figures=subcell_cell_%&amp;knowledge=10&amp;textmining=10&amp;experiments=10&amp;predictions=10&amp;type1=9606&amp;type2=-22&amp;id1=ENSP00000309124","link")</f>
        <v>link</v>
      </c>
      <c r="AI1078" t="s">
        <v>1058</v>
      </c>
      <c r="AJ1078" t="s">
        <v>902</v>
      </c>
      <c r="AK1078" t="str">
        <f>HYPERLINK("http://www.proteinatlas.org/P78380","HPA050798")</f>
        <v>HPA050798</v>
      </c>
      <c r="AM1078">
        <v>4973</v>
      </c>
    </row>
    <row r="1079" spans="1:39" x14ac:dyDescent="0.35">
      <c r="A1079" t="s">
        <v>11443</v>
      </c>
      <c r="B1079" t="str">
        <f>HYPERLINK("http://www.uniprot.org/uniprot/P78410","P78410")</f>
        <v>P78410</v>
      </c>
      <c r="C1079" t="s">
        <v>11444</v>
      </c>
      <c r="D1079" t="s">
        <v>11445</v>
      </c>
      <c r="E1079" t="s">
        <v>39</v>
      </c>
      <c r="F1079" t="s">
        <v>40</v>
      </c>
      <c r="H1079">
        <v>334</v>
      </c>
      <c r="I1079">
        <v>1</v>
      </c>
      <c r="J1079">
        <v>1</v>
      </c>
      <c r="K1079" t="s">
        <v>11446</v>
      </c>
      <c r="L1079" t="s">
        <v>57</v>
      </c>
      <c r="N1079">
        <v>0.71460000000000001</v>
      </c>
      <c r="O1079" s="1">
        <v>2</v>
      </c>
      <c r="P1079" t="s">
        <v>11447</v>
      </c>
      <c r="Q1079" t="s">
        <v>11448</v>
      </c>
      <c r="S1079" t="s">
        <v>91</v>
      </c>
      <c r="T1079" t="s">
        <v>1012</v>
      </c>
      <c r="U1079" t="s">
        <v>11449</v>
      </c>
      <c r="V1079">
        <v>1</v>
      </c>
      <c r="AE1079" t="s">
        <v>332</v>
      </c>
      <c r="AF1079" t="s">
        <v>11450</v>
      </c>
      <c r="AG1079" t="s">
        <v>11451</v>
      </c>
      <c r="AH1079" t="str">
        <f>HYPERLINK("http://compartments.jensenlab.org/Entity?figures=subcell_cell_%&amp;knowledge=10&amp;textmining=10&amp;experiments=10&amp;predictions=10&amp;type1=9606&amp;type2=-22&amp;id1=ENSP00000348751","link")</f>
        <v>link</v>
      </c>
      <c r="AJ1079" t="s">
        <v>51</v>
      </c>
      <c r="AK1079" t="str">
        <f>HYPERLINK("http://www.proteinatlas.org/P78410","CAB019392")</f>
        <v>CAB019392</v>
      </c>
      <c r="AM1079">
        <v>11118</v>
      </c>
    </row>
    <row r="1080" spans="1:39" x14ac:dyDescent="0.35">
      <c r="A1080" t="s">
        <v>11452</v>
      </c>
      <c r="B1080" t="str">
        <f>HYPERLINK("http://www.uniprot.org/uniprot/P78423","P78423")</f>
        <v>P78423</v>
      </c>
      <c r="C1080" t="s">
        <v>11453</v>
      </c>
      <c r="D1080" t="s">
        <v>11454</v>
      </c>
      <c r="E1080" t="s">
        <v>39</v>
      </c>
      <c r="F1080" t="s">
        <v>55</v>
      </c>
      <c r="H1080">
        <v>397</v>
      </c>
      <c r="I1080">
        <v>1</v>
      </c>
      <c r="J1080">
        <v>1</v>
      </c>
      <c r="K1080" t="s">
        <v>11455</v>
      </c>
      <c r="L1080" t="s">
        <v>57</v>
      </c>
      <c r="M1080" t="s">
        <v>39</v>
      </c>
      <c r="N1080">
        <v>0.73329999999999995</v>
      </c>
      <c r="O1080" s="1">
        <v>2</v>
      </c>
      <c r="P1080" t="s">
        <v>11456</v>
      </c>
      <c r="Q1080" t="s">
        <v>11457</v>
      </c>
      <c r="S1080" t="s">
        <v>60</v>
      </c>
      <c r="T1080" t="s">
        <v>60</v>
      </c>
      <c r="U1080">
        <v>33</v>
      </c>
      <c r="V1080">
        <v>1</v>
      </c>
      <c r="W1080">
        <v>33</v>
      </c>
      <c r="X1080" t="s">
        <v>11458</v>
      </c>
      <c r="AE1080" t="s">
        <v>1250</v>
      </c>
      <c r="AF1080" t="s">
        <v>11459</v>
      </c>
      <c r="AG1080" t="s">
        <v>11460</v>
      </c>
      <c r="AH1080" t="str">
        <f>HYPERLINK("http://compartments.jensenlab.org/Entity?figures=subcell_cell_%&amp;knowledge=10&amp;textmining=10&amp;experiments=10&amp;predictions=10&amp;type1=9606&amp;type2=-22&amp;id1=ENSP00000006053","link")</f>
        <v>link</v>
      </c>
      <c r="AI1080" t="s">
        <v>1058</v>
      </c>
      <c r="AJ1080" t="s">
        <v>902</v>
      </c>
      <c r="AK1080" t="str">
        <f>HYPERLINK("http://www.proteinatlas.org/P78423","CAB026192;HPA040361")</f>
        <v>CAB026192;HPA040361</v>
      </c>
      <c r="AM1080">
        <v>6376</v>
      </c>
    </row>
    <row r="1081" spans="1:39" x14ac:dyDescent="0.35">
      <c r="A1081" t="s">
        <v>11461</v>
      </c>
      <c r="B1081" t="str">
        <f>HYPERLINK("http://www.uniprot.org/uniprot/P78504","P78504")</f>
        <v>P78504</v>
      </c>
      <c r="C1081" t="s">
        <v>11462</v>
      </c>
      <c r="D1081" t="s">
        <v>11463</v>
      </c>
      <c r="E1081" t="s">
        <v>39</v>
      </c>
      <c r="F1081" t="s">
        <v>55</v>
      </c>
      <c r="H1081">
        <v>1218</v>
      </c>
      <c r="I1081">
        <v>1</v>
      </c>
      <c r="J1081">
        <v>1</v>
      </c>
      <c r="K1081" t="s">
        <v>11464</v>
      </c>
      <c r="L1081" t="s">
        <v>101</v>
      </c>
      <c r="M1081" t="s">
        <v>39</v>
      </c>
      <c r="N1081">
        <v>0.94650000000000001</v>
      </c>
      <c r="O1081" s="1">
        <v>1</v>
      </c>
      <c r="P1081" t="s">
        <v>11465</v>
      </c>
      <c r="Q1081" t="s">
        <v>11466</v>
      </c>
      <c r="R1081" t="s">
        <v>11467</v>
      </c>
      <c r="S1081" t="s">
        <v>91</v>
      </c>
      <c r="T1081" t="s">
        <v>11468</v>
      </c>
      <c r="U1081" t="s">
        <v>11469</v>
      </c>
      <c r="V1081">
        <v>10</v>
      </c>
      <c r="W1081" t="s">
        <v>11470</v>
      </c>
      <c r="X1081" t="s">
        <v>11471</v>
      </c>
      <c r="Y1081" t="s">
        <v>11472</v>
      </c>
      <c r="Z1081" t="s">
        <v>107</v>
      </c>
      <c r="AA1081">
        <v>13</v>
      </c>
      <c r="AB1081" t="s">
        <v>11473</v>
      </c>
      <c r="AC1081" t="s">
        <v>11474</v>
      </c>
      <c r="AD1081" t="s">
        <v>11475</v>
      </c>
      <c r="AE1081" t="s">
        <v>144</v>
      </c>
      <c r="AF1081" t="s">
        <v>11476</v>
      </c>
      <c r="AG1081" t="s">
        <v>11477</v>
      </c>
      <c r="AH1081" t="str">
        <f>HYPERLINK("http://compartments.jensenlab.org/Entity?figures=subcell_cell_%&amp;knowledge=10&amp;textmining=10&amp;experiments=10&amp;predictions=10&amp;type1=9606&amp;type2=-22&amp;id1=ENSP00000254958","link")</f>
        <v>link</v>
      </c>
      <c r="AI1081" t="s">
        <v>1058</v>
      </c>
      <c r="AJ1081" t="s">
        <v>902</v>
      </c>
      <c r="AK1081" t="str">
        <f>HYPERLINK("http://www.proteinatlas.org/P78504","CAB010343;HPA021555")</f>
        <v>CAB010343;HPA021555</v>
      </c>
      <c r="AM1081">
        <v>182</v>
      </c>
    </row>
    <row r="1082" spans="1:39" x14ac:dyDescent="0.35">
      <c r="A1082" t="s">
        <v>11478</v>
      </c>
      <c r="B1082" t="str">
        <f>HYPERLINK("http://www.uniprot.org/uniprot/P78536","P78536")</f>
        <v>P78536</v>
      </c>
      <c r="C1082" t="s">
        <v>11479</v>
      </c>
      <c r="D1082" t="s">
        <v>11480</v>
      </c>
      <c r="E1082" t="s">
        <v>39</v>
      </c>
      <c r="F1082" t="s">
        <v>40</v>
      </c>
      <c r="H1082">
        <v>824</v>
      </c>
      <c r="I1082">
        <v>1</v>
      </c>
      <c r="J1082">
        <v>1</v>
      </c>
      <c r="K1082" t="s">
        <v>11481</v>
      </c>
      <c r="L1082" t="s">
        <v>101</v>
      </c>
      <c r="N1082">
        <v>0.95809999999999995</v>
      </c>
      <c r="O1082" s="1">
        <v>1</v>
      </c>
      <c r="P1082" t="s">
        <v>11482</v>
      </c>
      <c r="Q1082" t="s">
        <v>11483</v>
      </c>
      <c r="R1082" t="s">
        <v>11484</v>
      </c>
      <c r="S1082" t="s">
        <v>947</v>
      </c>
      <c r="T1082" t="s">
        <v>1208</v>
      </c>
      <c r="U1082" t="s">
        <v>11485</v>
      </c>
      <c r="V1082">
        <v>9</v>
      </c>
      <c r="W1082" t="s">
        <v>11485</v>
      </c>
      <c r="Z1082" t="s">
        <v>107</v>
      </c>
      <c r="AA1082">
        <v>11</v>
      </c>
      <c r="AB1082" t="s">
        <v>11486</v>
      </c>
      <c r="AC1082" t="s">
        <v>11487</v>
      </c>
      <c r="AD1082" t="s">
        <v>11488</v>
      </c>
      <c r="AE1082" t="s">
        <v>144</v>
      </c>
      <c r="AF1082" t="s">
        <v>11489</v>
      </c>
      <c r="AG1082" t="s">
        <v>11490</v>
      </c>
      <c r="AH1082" t="str">
        <f>HYPERLINK("http://compartments.jensenlab.org/Entity?figures=subcell_cell_%&amp;knowledge=10&amp;textmining=10&amp;experiments=10&amp;predictions=10&amp;type1=9606&amp;type2=-22&amp;id1=ENSP00000309968","link")</f>
        <v>link</v>
      </c>
      <c r="AJ1082" t="s">
        <v>1649</v>
      </c>
      <c r="AK1082" t="str">
        <f>HYPERLINK("http://www.proteinatlas.org/P78536","HPA010738;CAB025906;HPA051575")</f>
        <v>HPA010738;CAB025906;HPA051575</v>
      </c>
      <c r="AM1082">
        <v>6868</v>
      </c>
    </row>
    <row r="1083" spans="1:39" x14ac:dyDescent="0.35">
      <c r="A1083" t="s">
        <v>11491</v>
      </c>
      <c r="B1083" t="str">
        <f>HYPERLINK("http://www.uniprot.org/uniprot/P78552","P78552")</f>
        <v>P78552</v>
      </c>
      <c r="C1083" t="s">
        <v>11492</v>
      </c>
      <c r="D1083" t="s">
        <v>11493</v>
      </c>
      <c r="E1083" t="s">
        <v>39</v>
      </c>
      <c r="F1083" t="s">
        <v>40</v>
      </c>
      <c r="H1083">
        <v>427</v>
      </c>
      <c r="I1083">
        <v>1</v>
      </c>
      <c r="J1083">
        <v>1</v>
      </c>
      <c r="K1083" t="s">
        <v>11494</v>
      </c>
      <c r="L1083" t="s">
        <v>101</v>
      </c>
      <c r="N1083">
        <v>0.8962</v>
      </c>
      <c r="O1083" s="1">
        <v>1</v>
      </c>
      <c r="P1083" t="s">
        <v>11495</v>
      </c>
      <c r="Q1083" t="s">
        <v>11496</v>
      </c>
      <c r="R1083" t="s">
        <v>11497</v>
      </c>
      <c r="S1083" t="s">
        <v>166</v>
      </c>
      <c r="T1083" t="s">
        <v>3171</v>
      </c>
      <c r="U1083" t="s">
        <v>11498</v>
      </c>
      <c r="V1083">
        <v>11</v>
      </c>
      <c r="Y1083">
        <v>327</v>
      </c>
      <c r="Z1083" t="s">
        <v>107</v>
      </c>
      <c r="AA1083">
        <v>4</v>
      </c>
      <c r="AB1083" t="s">
        <v>11499</v>
      </c>
      <c r="AC1083" t="s">
        <v>11500</v>
      </c>
      <c r="AD1083" t="s">
        <v>11501</v>
      </c>
      <c r="AE1083" t="s">
        <v>144</v>
      </c>
      <c r="AF1083" t="s">
        <v>11502</v>
      </c>
      <c r="AG1083" t="s">
        <v>11503</v>
      </c>
      <c r="AH1083" t="str">
        <f>HYPERLINK("http://compartments.jensenlab.org/Entity?figures=subcell_cell_%&amp;knowledge=10&amp;textmining=10&amp;experiments=10&amp;predictions=10&amp;type1=9606&amp;type2=-22&amp;id1=ENSP00000360730","link")</f>
        <v>link</v>
      </c>
      <c r="AJ1083" t="s">
        <v>51</v>
      </c>
      <c r="AK1083" t="str">
        <f>HYPERLINK("http://www.proteinatlas.org/P78552","HPA000293;HPA001008;HPA001587")</f>
        <v>HPA000293;HPA001008;HPA001587</v>
      </c>
      <c r="AM1083">
        <v>3597</v>
      </c>
    </row>
    <row r="1084" spans="1:39" x14ac:dyDescent="0.35">
      <c r="A1084" t="s">
        <v>11504</v>
      </c>
      <c r="B1084" t="str">
        <f>HYPERLINK("http://www.uniprot.org/uniprot/P78562","P78562")</f>
        <v>P78562</v>
      </c>
      <c r="C1084" t="s">
        <v>11505</v>
      </c>
      <c r="D1084" t="s">
        <v>11506</v>
      </c>
      <c r="E1084" t="s">
        <v>39</v>
      </c>
      <c r="F1084" t="s">
        <v>40</v>
      </c>
      <c r="H1084">
        <v>749</v>
      </c>
      <c r="I1084">
        <v>1</v>
      </c>
      <c r="J1084">
        <v>0</v>
      </c>
      <c r="K1084" t="s">
        <v>11507</v>
      </c>
      <c r="L1084" t="s">
        <v>57</v>
      </c>
      <c r="N1084">
        <v>0.60680000000000001</v>
      </c>
      <c r="O1084" s="1">
        <v>2</v>
      </c>
      <c r="P1084" t="s">
        <v>11508</v>
      </c>
      <c r="Q1084" t="s">
        <v>11509</v>
      </c>
      <c r="S1084" t="s">
        <v>947</v>
      </c>
      <c r="T1084" t="s">
        <v>1208</v>
      </c>
      <c r="U1084" t="s">
        <v>11510</v>
      </c>
      <c r="V1084">
        <v>8</v>
      </c>
      <c r="W1084" t="s">
        <v>11511</v>
      </c>
      <c r="AE1084" t="s">
        <v>359</v>
      </c>
      <c r="AF1084" t="s">
        <v>11512</v>
      </c>
      <c r="AG1084" t="s">
        <v>11513</v>
      </c>
      <c r="AH1084" t="str">
        <f>HYPERLINK("http://compartments.jensenlab.org/Entity?figures=subcell_cell_%&amp;knowledge=10&amp;textmining=10&amp;experiments=10&amp;predictions=10&amp;type1=9606&amp;type2=-22&amp;id1=ENSP00000368682","link")</f>
        <v>link</v>
      </c>
      <c r="AJ1084" t="s">
        <v>981</v>
      </c>
      <c r="AK1084" t="str">
        <f>HYPERLINK("http://www.proteinatlas.org/P78562","HPA029582")</f>
        <v>HPA029582</v>
      </c>
      <c r="AM1084">
        <v>5251</v>
      </c>
    </row>
    <row r="1085" spans="1:39" x14ac:dyDescent="0.35">
      <c r="A1085" t="s">
        <v>11514</v>
      </c>
      <c r="B1085" t="str">
        <f>HYPERLINK("http://www.uniprot.org/uniprot/P79483","P79483")</f>
        <v>P79483</v>
      </c>
      <c r="C1085" t="s">
        <v>11515</v>
      </c>
      <c r="D1085" t="s">
        <v>11516</v>
      </c>
      <c r="E1085" t="s">
        <v>39</v>
      </c>
      <c r="F1085" t="s">
        <v>55</v>
      </c>
      <c r="H1085">
        <v>266</v>
      </c>
      <c r="I1085">
        <v>1</v>
      </c>
      <c r="J1085">
        <v>1</v>
      </c>
      <c r="K1085" t="s">
        <v>3713</v>
      </c>
      <c r="L1085" t="s">
        <v>101</v>
      </c>
      <c r="M1085" t="s">
        <v>39</v>
      </c>
      <c r="N1085">
        <v>0.83799999999999997</v>
      </c>
      <c r="O1085" s="1">
        <v>1</v>
      </c>
      <c r="P1085" t="s">
        <v>11517</v>
      </c>
      <c r="Q1085" t="s">
        <v>11518</v>
      </c>
      <c r="S1085" t="s">
        <v>91</v>
      </c>
      <c r="T1085" t="s">
        <v>3641</v>
      </c>
      <c r="U1085">
        <v>48</v>
      </c>
      <c r="V1085">
        <v>1</v>
      </c>
      <c r="W1085">
        <v>48</v>
      </c>
      <c r="Y1085" t="s">
        <v>3723</v>
      </c>
      <c r="Z1085" t="s">
        <v>107</v>
      </c>
      <c r="AA1085">
        <v>4</v>
      </c>
      <c r="AB1085" t="s">
        <v>11519</v>
      </c>
      <c r="AC1085">
        <v>48</v>
      </c>
      <c r="AD1085" t="s">
        <v>11520</v>
      </c>
      <c r="AE1085" t="s">
        <v>3717</v>
      </c>
      <c r="AF1085" t="s">
        <v>3724</v>
      </c>
      <c r="AG1085" t="s">
        <v>11521</v>
      </c>
      <c r="AH1085" t="str">
        <f>HYPERLINK("http://compartments.jensenlab.org/Entity?figures=subcell_cell_%&amp;knowledge=10&amp;textmining=10&amp;experiments=10&amp;predictions=10&amp;type1=9606&amp;type2=-22&amp;id1=ENSP00000302517","link")</f>
        <v>link</v>
      </c>
      <c r="AI1085" t="s">
        <v>3694</v>
      </c>
      <c r="AJ1085" t="s">
        <v>1630</v>
      </c>
      <c r="AK1085" t="str">
        <f>HYPERLINK("http://www.proteinatlas.org/P79483","no")</f>
        <v>no</v>
      </c>
      <c r="AM1085">
        <v>3125</v>
      </c>
    </row>
    <row r="1086" spans="1:39" x14ac:dyDescent="0.35">
      <c r="A1086" t="s">
        <v>11522</v>
      </c>
      <c r="B1086" t="str">
        <f>HYPERLINK("http://www.uniprot.org/uniprot/P80370","P80370")</f>
        <v>P80370</v>
      </c>
      <c r="C1086" t="s">
        <v>11523</v>
      </c>
      <c r="D1086" t="s">
        <v>11524</v>
      </c>
      <c r="E1086" t="s">
        <v>39</v>
      </c>
      <c r="F1086" t="s">
        <v>40</v>
      </c>
      <c r="H1086">
        <v>383</v>
      </c>
      <c r="I1086">
        <v>1</v>
      </c>
      <c r="J1086">
        <v>1</v>
      </c>
      <c r="K1086" t="s">
        <v>11525</v>
      </c>
      <c r="L1086" t="s">
        <v>57</v>
      </c>
      <c r="N1086">
        <v>0.97799999999999998</v>
      </c>
      <c r="O1086" s="1">
        <v>1</v>
      </c>
      <c r="P1086" t="s">
        <v>11526</v>
      </c>
      <c r="Q1086" t="s">
        <v>11527</v>
      </c>
      <c r="S1086" t="s">
        <v>91</v>
      </c>
      <c r="T1086" t="s">
        <v>1054</v>
      </c>
      <c r="U1086" t="s">
        <v>11528</v>
      </c>
      <c r="V1086">
        <v>2</v>
      </c>
      <c r="W1086" t="s">
        <v>11528</v>
      </c>
      <c r="X1086" t="s">
        <v>11529</v>
      </c>
      <c r="AE1086" t="s">
        <v>144</v>
      </c>
      <c r="AF1086" t="s">
        <v>11530</v>
      </c>
      <c r="AG1086" t="s">
        <v>11531</v>
      </c>
      <c r="AH1086" t="str">
        <f>HYPERLINK("http://compartments.jensenlab.org/Entity?figures=subcell_cell_%&amp;knowledge=10&amp;textmining=10&amp;experiments=10&amp;predictions=10&amp;type1=9606&amp;type2=-22&amp;id1=ENSP00000340292","link")</f>
        <v>link</v>
      </c>
      <c r="AJ1086" t="s">
        <v>902</v>
      </c>
      <c r="AK1086" t="str">
        <f>HYPERLINK("http://www.proteinatlas.org/P80370","CAB005872;HPA053879;HPA062262")</f>
        <v>CAB005872;HPA053879;HPA062262</v>
      </c>
      <c r="AM1086">
        <v>8788</v>
      </c>
    </row>
    <row r="1087" spans="1:39" x14ac:dyDescent="0.35">
      <c r="A1087" t="s">
        <v>11532</v>
      </c>
      <c r="B1087" t="str">
        <f>HYPERLINK("http://www.uniprot.org/uniprot/P81408","P81408")</f>
        <v>P81408</v>
      </c>
      <c r="C1087" t="s">
        <v>11533</v>
      </c>
      <c r="D1087" t="s">
        <v>11534</v>
      </c>
      <c r="E1087" t="s">
        <v>39</v>
      </c>
      <c r="F1087" t="s">
        <v>40</v>
      </c>
      <c r="H1087">
        <v>668</v>
      </c>
      <c r="I1087">
        <v>4</v>
      </c>
      <c r="J1087">
        <v>0</v>
      </c>
      <c r="K1087" t="s">
        <v>11535</v>
      </c>
      <c r="L1087" t="s">
        <v>118</v>
      </c>
      <c r="N1087">
        <v>0.6008</v>
      </c>
      <c r="O1087" s="1">
        <v>2</v>
      </c>
      <c r="P1087" t="s">
        <v>11536</v>
      </c>
      <c r="Q1087" t="s">
        <v>11537</v>
      </c>
      <c r="S1087" t="s">
        <v>60</v>
      </c>
      <c r="T1087" t="s">
        <v>60</v>
      </c>
      <c r="U1087" t="s">
        <v>11538</v>
      </c>
      <c r="V1087">
        <v>1</v>
      </c>
      <c r="X1087">
        <v>323</v>
      </c>
      <c r="Y1087">
        <v>428</v>
      </c>
      <c r="Z1087" t="s">
        <v>123</v>
      </c>
      <c r="AA1087">
        <v>1</v>
      </c>
      <c r="AB1087" t="s">
        <v>11539</v>
      </c>
      <c r="AC1087">
        <v>160</v>
      </c>
      <c r="AD1087" t="s">
        <v>11540</v>
      </c>
      <c r="AE1087" t="s">
        <v>48</v>
      </c>
      <c r="AF1087" t="s">
        <v>472</v>
      </c>
      <c r="AG1087" t="s">
        <v>11541</v>
      </c>
      <c r="AH1087" t="str">
        <f>HYPERLINK("http://compartments.jensenlab.org/Entity?figures=subcell_cell_%&amp;knowledge=10&amp;textmining=10&amp;experiments=10&amp;predictions=10&amp;type1=9606&amp;type2=-22&amp;id1=ENSP00000354958","link")</f>
        <v>link</v>
      </c>
      <c r="AJ1087" t="s">
        <v>51</v>
      </c>
      <c r="AK1087" t="str">
        <f>HYPERLINK("http://www.proteinatlas.org/P81408","HPA006659;HPA050674")</f>
        <v>HPA006659;HPA050674</v>
      </c>
      <c r="AM1087">
        <v>10712</v>
      </c>
    </row>
    <row r="1088" spans="1:39" x14ac:dyDescent="0.35">
      <c r="A1088" t="s">
        <v>11542</v>
      </c>
      <c r="B1088" t="str">
        <f>HYPERLINK("http://www.uniprot.org/uniprot/P82251","P82251")</f>
        <v>P82251</v>
      </c>
      <c r="C1088" t="s">
        <v>11543</v>
      </c>
      <c r="D1088" t="s">
        <v>11544</v>
      </c>
      <c r="E1088" t="s">
        <v>39</v>
      </c>
      <c r="F1088" t="s">
        <v>40</v>
      </c>
      <c r="H1088">
        <v>487</v>
      </c>
      <c r="I1088">
        <v>12</v>
      </c>
      <c r="J1088">
        <v>0</v>
      </c>
      <c r="K1088" t="s">
        <v>11545</v>
      </c>
      <c r="L1088" t="s">
        <v>57</v>
      </c>
      <c r="N1088">
        <v>0.62670000000000003</v>
      </c>
      <c r="O1088" s="1">
        <v>2</v>
      </c>
      <c r="P1088" t="s">
        <v>11546</v>
      </c>
      <c r="Q1088" t="s">
        <v>11547</v>
      </c>
      <c r="S1088" t="s">
        <v>45</v>
      </c>
      <c r="T1088" t="s">
        <v>1743</v>
      </c>
      <c r="U1088" t="s">
        <v>11548</v>
      </c>
      <c r="V1088">
        <v>0</v>
      </c>
      <c r="W1088">
        <v>318</v>
      </c>
      <c r="AE1088" t="s">
        <v>74</v>
      </c>
      <c r="AF1088" t="s">
        <v>11549</v>
      </c>
      <c r="AG1088" t="s">
        <v>11550</v>
      </c>
      <c r="AH1088" t="str">
        <f>HYPERLINK("http://compartments.jensenlab.org/Entity?figures=subcell_cell_%&amp;knowledge=10&amp;textmining=10&amp;experiments=10&amp;predictions=10&amp;type1=9606&amp;type2=-22&amp;id1=ENSP00000023064","link")</f>
        <v>link</v>
      </c>
      <c r="AJ1088" t="s">
        <v>51</v>
      </c>
      <c r="AK1088" t="str">
        <f>HYPERLINK("http://www.proteinatlas.org/P82251","HPA042591")</f>
        <v>HPA042591</v>
      </c>
      <c r="AL1088" t="s">
        <v>2420</v>
      </c>
      <c r="AM1088">
        <v>11136</v>
      </c>
    </row>
    <row r="1089" spans="1:39" x14ac:dyDescent="0.35">
      <c r="A1089" t="s">
        <v>11551</v>
      </c>
      <c r="B1089" t="str">
        <f>HYPERLINK("http://www.uniprot.org/uniprot/P82279","P82279")</f>
        <v>P82279</v>
      </c>
      <c r="C1089" t="s">
        <v>11552</v>
      </c>
      <c r="D1089" t="s">
        <v>11553</v>
      </c>
      <c r="E1089" t="s">
        <v>39</v>
      </c>
      <c r="F1089" t="s">
        <v>55</v>
      </c>
      <c r="H1089">
        <v>1406</v>
      </c>
      <c r="I1089">
        <v>1</v>
      </c>
      <c r="J1089">
        <v>1</v>
      </c>
      <c r="K1089" t="s">
        <v>11554</v>
      </c>
      <c r="L1089" t="s">
        <v>57</v>
      </c>
      <c r="M1089" t="s">
        <v>39</v>
      </c>
      <c r="N1089">
        <v>0.91800000000000004</v>
      </c>
      <c r="O1089" s="1">
        <v>1</v>
      </c>
      <c r="P1089" t="s">
        <v>11555</v>
      </c>
      <c r="Q1089" t="s">
        <v>11556</v>
      </c>
      <c r="S1089" t="s">
        <v>91</v>
      </c>
      <c r="T1089" t="s">
        <v>11557</v>
      </c>
      <c r="U1089" t="s">
        <v>11558</v>
      </c>
      <c r="V1089">
        <v>24</v>
      </c>
      <c r="W1089" t="s">
        <v>11559</v>
      </c>
      <c r="AE1089" t="s">
        <v>11560</v>
      </c>
      <c r="AF1089" t="s">
        <v>11561</v>
      </c>
      <c r="AG1089" t="s">
        <v>11562</v>
      </c>
      <c r="AH1089" t="str">
        <f>HYPERLINK("http://compartments.jensenlab.org/Entity?figures=subcell_cell_%&amp;knowledge=10&amp;textmining=10&amp;experiments=10&amp;predictions=10&amp;type1=9606&amp;type2=-22&amp;id1=ENSP00000356370","link")</f>
        <v>link</v>
      </c>
      <c r="AI1089" t="s">
        <v>1058</v>
      </c>
      <c r="AJ1089" t="s">
        <v>902</v>
      </c>
      <c r="AK1089" t="str">
        <f>HYPERLINK("http://www.proteinatlas.org/P82279","no")</f>
        <v>no</v>
      </c>
      <c r="AM1089">
        <v>23418</v>
      </c>
    </row>
    <row r="1090" spans="1:39" x14ac:dyDescent="0.35">
      <c r="A1090" t="s">
        <v>11563</v>
      </c>
      <c r="B1090" t="str">
        <f>HYPERLINK("http://www.uniprot.org/uniprot/P98073","P98073")</f>
        <v>P98073</v>
      </c>
      <c r="C1090" t="s">
        <v>11564</v>
      </c>
      <c r="D1090" t="s">
        <v>11565</v>
      </c>
      <c r="E1090" t="s">
        <v>39</v>
      </c>
      <c r="F1090" t="s">
        <v>40</v>
      </c>
      <c r="H1090">
        <v>1019</v>
      </c>
      <c r="I1090">
        <v>1</v>
      </c>
      <c r="J1090">
        <v>0</v>
      </c>
      <c r="K1090" t="s">
        <v>11566</v>
      </c>
      <c r="L1090" t="s">
        <v>57</v>
      </c>
      <c r="N1090">
        <v>0.65269999999999995</v>
      </c>
      <c r="O1090" s="1">
        <v>2</v>
      </c>
      <c r="P1090" t="s">
        <v>11567</v>
      </c>
      <c r="Q1090" t="s">
        <v>11568</v>
      </c>
      <c r="S1090" t="s">
        <v>947</v>
      </c>
      <c r="T1090" t="s">
        <v>4787</v>
      </c>
      <c r="U1090" t="s">
        <v>11569</v>
      </c>
      <c r="V1090">
        <v>18</v>
      </c>
      <c r="Y1090" t="s">
        <v>11570</v>
      </c>
      <c r="AE1090" t="s">
        <v>359</v>
      </c>
      <c r="AF1090" t="s">
        <v>11571</v>
      </c>
      <c r="AG1090" t="s">
        <v>11572</v>
      </c>
      <c r="AH1090" t="str">
        <f>HYPERLINK("http://compartments.jensenlab.org/Entity?figures=subcell_cell_%&amp;knowledge=10&amp;textmining=10&amp;experiments=10&amp;predictions=10&amp;type1=9606&amp;type2=-22&amp;id1=ENSP00000284885","link")</f>
        <v>link</v>
      </c>
      <c r="AJ1090" t="s">
        <v>51</v>
      </c>
      <c r="AK1090" t="str">
        <f>HYPERLINK("http://www.proteinatlas.org/P98073","HPA015611")</f>
        <v>HPA015611</v>
      </c>
      <c r="AM1090">
        <v>5651</v>
      </c>
    </row>
    <row r="1091" spans="1:39" x14ac:dyDescent="0.35">
      <c r="A1091" t="s">
        <v>11573</v>
      </c>
      <c r="B1091" t="str">
        <f>HYPERLINK("http://www.uniprot.org/uniprot/P98153","P98153")</f>
        <v>P98153</v>
      </c>
      <c r="C1091" t="s">
        <v>11574</v>
      </c>
      <c r="D1091" t="s">
        <v>11575</v>
      </c>
      <c r="E1091" t="s">
        <v>39</v>
      </c>
      <c r="F1091" t="s">
        <v>40</v>
      </c>
      <c r="H1091">
        <v>550</v>
      </c>
      <c r="I1091">
        <v>1</v>
      </c>
      <c r="J1091">
        <v>1</v>
      </c>
      <c r="K1091" t="s">
        <v>11576</v>
      </c>
      <c r="L1091" t="s">
        <v>101</v>
      </c>
      <c r="N1091">
        <v>0.71660000000000001</v>
      </c>
      <c r="O1091" s="1">
        <v>2</v>
      </c>
      <c r="P1091" t="s">
        <v>11577</v>
      </c>
      <c r="Q1091" t="s">
        <v>11578</v>
      </c>
      <c r="S1091" t="s">
        <v>166</v>
      </c>
      <c r="T1091" t="s">
        <v>4251</v>
      </c>
      <c r="U1091" t="s">
        <v>11579</v>
      </c>
      <c r="V1091">
        <v>2</v>
      </c>
      <c r="Y1091" t="s">
        <v>11580</v>
      </c>
      <c r="Z1091" t="s">
        <v>107</v>
      </c>
      <c r="AA1091">
        <v>1</v>
      </c>
      <c r="AB1091" t="s">
        <v>11581</v>
      </c>
      <c r="AC1091">
        <v>149</v>
      </c>
      <c r="AD1091" t="s">
        <v>11582</v>
      </c>
      <c r="AE1091" t="s">
        <v>144</v>
      </c>
      <c r="AF1091" t="s">
        <v>11583</v>
      </c>
      <c r="AG1091" t="s">
        <v>11584</v>
      </c>
      <c r="AH1091" t="str">
        <f>HYPERLINK("http://compartments.jensenlab.org/Entity?figures=subcell_cell_%&amp;knowledge=10&amp;textmining=10&amp;experiments=10&amp;predictions=10&amp;type1=9606&amp;type2=-22&amp;id1=ENSP00000263196","link")</f>
        <v>link</v>
      </c>
      <c r="AJ1091" t="s">
        <v>51</v>
      </c>
      <c r="AK1091" t="str">
        <f>HYPERLINK("http://www.proteinatlas.org/P98153","HPA000873")</f>
        <v>HPA000873</v>
      </c>
      <c r="AM1091">
        <v>9993</v>
      </c>
    </row>
    <row r="1092" spans="1:39" x14ac:dyDescent="0.35">
      <c r="A1092" t="s">
        <v>11585</v>
      </c>
      <c r="B1092" t="str">
        <f>HYPERLINK("http://www.uniprot.org/uniprot/P98155","P98155")</f>
        <v>P98155</v>
      </c>
      <c r="C1092" t="s">
        <v>11586</v>
      </c>
      <c r="D1092" t="s">
        <v>11587</v>
      </c>
      <c r="E1092" t="s">
        <v>39</v>
      </c>
      <c r="F1092" t="s">
        <v>40</v>
      </c>
      <c r="H1092">
        <v>873</v>
      </c>
      <c r="I1092">
        <v>1</v>
      </c>
      <c r="J1092">
        <v>1</v>
      </c>
      <c r="K1092" t="s">
        <v>11588</v>
      </c>
      <c r="L1092" t="s">
        <v>57</v>
      </c>
      <c r="N1092">
        <v>0.78039999999999998</v>
      </c>
      <c r="O1092" s="1">
        <v>1</v>
      </c>
      <c r="P1092" t="s">
        <v>11589</v>
      </c>
      <c r="Q1092" t="s">
        <v>11590</v>
      </c>
      <c r="S1092" t="s">
        <v>166</v>
      </c>
      <c r="T1092" t="s">
        <v>2518</v>
      </c>
      <c r="U1092" t="s">
        <v>11591</v>
      </c>
      <c r="V1092">
        <v>3</v>
      </c>
      <c r="Y1092" t="s">
        <v>11592</v>
      </c>
      <c r="AE1092" t="s">
        <v>11593</v>
      </c>
      <c r="AF1092" t="s">
        <v>11594</v>
      </c>
      <c r="AG1092" t="s">
        <v>11595</v>
      </c>
      <c r="AH1092" t="str">
        <f>HYPERLINK("http://compartments.jensenlab.org/Entity?figures=subcell_cell_%&amp;knowledge=10&amp;textmining=10&amp;experiments=10&amp;predictions=10&amp;type1=9606&amp;type2=-22&amp;id1=ENSP00000371532","link")</f>
        <v>link</v>
      </c>
      <c r="AJ1092" t="s">
        <v>3586</v>
      </c>
      <c r="AK1092" t="str">
        <f>HYPERLINK("http://www.proteinatlas.org/P98155","CAB032462;HPA051312")</f>
        <v>CAB032462;HPA051312</v>
      </c>
      <c r="AM1092">
        <v>7436</v>
      </c>
    </row>
    <row r="1093" spans="1:39" x14ac:dyDescent="0.35">
      <c r="A1093" t="s">
        <v>11596</v>
      </c>
      <c r="B1093" t="str">
        <f>HYPERLINK("http://www.uniprot.org/uniprot/P98161","P98161")</f>
        <v>P98161</v>
      </c>
      <c r="C1093" t="s">
        <v>11597</v>
      </c>
      <c r="D1093" t="s">
        <v>11598</v>
      </c>
      <c r="E1093" t="s">
        <v>39</v>
      </c>
      <c r="F1093" t="s">
        <v>40</v>
      </c>
      <c r="H1093">
        <v>4303</v>
      </c>
      <c r="I1093">
        <v>11</v>
      </c>
      <c r="J1093">
        <v>1</v>
      </c>
      <c r="K1093" t="s">
        <v>11599</v>
      </c>
      <c r="L1093" t="s">
        <v>57</v>
      </c>
      <c r="N1093">
        <v>0.85829999999999995</v>
      </c>
      <c r="O1093" s="1">
        <v>1</v>
      </c>
      <c r="P1093" t="s">
        <v>11600</v>
      </c>
      <c r="Q1093" t="s">
        <v>11601</v>
      </c>
      <c r="S1093" t="s">
        <v>45</v>
      </c>
      <c r="T1093" t="s">
        <v>11602</v>
      </c>
      <c r="U1093" t="s">
        <v>11603</v>
      </c>
      <c r="V1093">
        <v>61</v>
      </c>
      <c r="W1093" t="s">
        <v>11604</v>
      </c>
      <c r="X1093" t="s">
        <v>11605</v>
      </c>
      <c r="Y1093" t="s">
        <v>11606</v>
      </c>
      <c r="AE1093" t="s">
        <v>1788</v>
      </c>
      <c r="AF1093" t="s">
        <v>11607</v>
      </c>
      <c r="AG1093" t="s">
        <v>11608</v>
      </c>
      <c r="AH1093" t="str">
        <f>HYPERLINK("http://compartments.jensenlab.org/Entity?figures=subcell_cell_%&amp;knowledge=10&amp;textmining=10&amp;experiments=10&amp;predictions=10&amp;type1=9606&amp;type2=-22&amp;id1=ENSP00000262304","link")</f>
        <v>link</v>
      </c>
      <c r="AJ1093" t="s">
        <v>299</v>
      </c>
      <c r="AK1093" t="str">
        <f>HYPERLINK("http://www.proteinatlas.org/P98161","CAB046448")</f>
        <v>CAB046448</v>
      </c>
      <c r="AM1093">
        <v>5310</v>
      </c>
    </row>
    <row r="1094" spans="1:39" x14ac:dyDescent="0.35">
      <c r="A1094" t="s">
        <v>11609</v>
      </c>
      <c r="B1094" t="str">
        <f>HYPERLINK("http://www.uniprot.org/uniprot/P98164","P98164")</f>
        <v>P98164</v>
      </c>
      <c r="C1094" t="s">
        <v>11610</v>
      </c>
      <c r="D1094" t="s">
        <v>11611</v>
      </c>
      <c r="E1094" t="s">
        <v>39</v>
      </c>
      <c r="F1094" t="s">
        <v>40</v>
      </c>
      <c r="H1094">
        <v>4655</v>
      </c>
      <c r="I1094">
        <v>1</v>
      </c>
      <c r="J1094">
        <v>1</v>
      </c>
      <c r="K1094" t="s">
        <v>11612</v>
      </c>
      <c r="L1094" t="s">
        <v>101</v>
      </c>
      <c r="N1094">
        <v>0.95409999999999995</v>
      </c>
      <c r="O1094" s="1">
        <v>1</v>
      </c>
      <c r="P1094" t="s">
        <v>11613</v>
      </c>
      <c r="Q1094" t="s">
        <v>11614</v>
      </c>
      <c r="S1094" t="s">
        <v>166</v>
      </c>
      <c r="T1094" t="s">
        <v>2518</v>
      </c>
      <c r="U1094" t="s">
        <v>11615</v>
      </c>
      <c r="V1094">
        <v>41</v>
      </c>
      <c r="Y1094" t="s">
        <v>11616</v>
      </c>
      <c r="Z1094" t="s">
        <v>107</v>
      </c>
      <c r="AA1094">
        <v>1</v>
      </c>
      <c r="AB1094" t="s">
        <v>11617</v>
      </c>
      <c r="AC1094">
        <v>388</v>
      </c>
      <c r="AD1094" t="s">
        <v>11618</v>
      </c>
      <c r="AE1094" t="s">
        <v>2521</v>
      </c>
      <c r="AF1094" t="s">
        <v>11619</v>
      </c>
      <c r="AG1094" t="s">
        <v>11620</v>
      </c>
      <c r="AH1094" t="str">
        <f>HYPERLINK("http://compartments.jensenlab.org/Entity?figures=subcell_cell_%&amp;knowledge=10&amp;textmining=10&amp;experiments=10&amp;predictions=10&amp;type1=9606&amp;type2=-22&amp;id1=ENSP00000263816","link")</f>
        <v>link</v>
      </c>
      <c r="AJ1094" t="s">
        <v>11621</v>
      </c>
      <c r="AK1094" t="str">
        <f>HYPERLINK("http://www.proteinatlas.org/P98164","HPA005980;HPA064792")</f>
        <v>HPA005980;HPA064792</v>
      </c>
      <c r="AL1094" t="s">
        <v>11622</v>
      </c>
      <c r="AM1094">
        <v>4036</v>
      </c>
    </row>
    <row r="1095" spans="1:39" x14ac:dyDescent="0.35">
      <c r="A1095" t="s">
        <v>11623</v>
      </c>
      <c r="B1095" t="str">
        <f>HYPERLINK("http://www.uniprot.org/uniprot/P98172","P98172")</f>
        <v>P98172</v>
      </c>
      <c r="C1095" t="s">
        <v>11624</v>
      </c>
      <c r="D1095" t="s">
        <v>11625</v>
      </c>
      <c r="E1095" t="s">
        <v>39</v>
      </c>
      <c r="F1095" t="s">
        <v>40</v>
      </c>
      <c r="H1095">
        <v>346</v>
      </c>
      <c r="I1095">
        <v>1</v>
      </c>
      <c r="J1095">
        <v>1</v>
      </c>
      <c r="K1095" t="s">
        <v>11626</v>
      </c>
      <c r="L1095" t="s">
        <v>101</v>
      </c>
      <c r="N1095">
        <v>0.96009999999999995</v>
      </c>
      <c r="O1095" s="1">
        <v>1</v>
      </c>
      <c r="P1095" t="s">
        <v>11627</v>
      </c>
      <c r="Q1095" t="s">
        <v>11628</v>
      </c>
      <c r="S1095" t="s">
        <v>91</v>
      </c>
      <c r="T1095" t="s">
        <v>10532</v>
      </c>
      <c r="U1095">
        <v>139</v>
      </c>
      <c r="V1095">
        <v>1</v>
      </c>
      <c r="W1095">
        <v>139</v>
      </c>
      <c r="Z1095" t="s">
        <v>107</v>
      </c>
      <c r="AA1095">
        <v>3</v>
      </c>
      <c r="AB1095" t="s">
        <v>11629</v>
      </c>
      <c r="AC1095">
        <v>139</v>
      </c>
      <c r="AD1095" t="s">
        <v>11630</v>
      </c>
      <c r="AE1095" t="s">
        <v>144</v>
      </c>
      <c r="AF1095" t="s">
        <v>11631</v>
      </c>
      <c r="AG1095" t="s">
        <v>11632</v>
      </c>
      <c r="AH1095" t="str">
        <f>HYPERLINK("http://compartments.jensenlab.org/Entity?figures=subcell_cell_%&amp;knowledge=10&amp;textmining=10&amp;experiments=10&amp;predictions=10&amp;type1=9606&amp;type2=-22&amp;id1=ENSP00000204961","link")</f>
        <v>link</v>
      </c>
      <c r="AJ1095" t="s">
        <v>299</v>
      </c>
      <c r="AK1095" t="str">
        <f>HYPERLINK("http://www.proteinatlas.org/P98172","CAB031489")</f>
        <v>CAB031489</v>
      </c>
      <c r="AM1095">
        <v>1947</v>
      </c>
    </row>
    <row r="1096" spans="1:39" x14ac:dyDescent="0.35">
      <c r="A1096" t="s">
        <v>11633</v>
      </c>
      <c r="B1096" t="str">
        <f>HYPERLINK("http://www.uniprot.org/uniprot/Q01113","Q01113")</f>
        <v>Q01113</v>
      </c>
      <c r="C1096" t="s">
        <v>11634</v>
      </c>
      <c r="D1096" t="s">
        <v>11635</v>
      </c>
      <c r="E1096" t="s">
        <v>39</v>
      </c>
      <c r="F1096" t="s">
        <v>55</v>
      </c>
      <c r="H1096">
        <v>521</v>
      </c>
      <c r="I1096">
        <v>1</v>
      </c>
      <c r="J1096">
        <v>1</v>
      </c>
      <c r="K1096" t="s">
        <v>11636</v>
      </c>
      <c r="L1096" t="s">
        <v>57</v>
      </c>
      <c r="M1096" t="s">
        <v>39</v>
      </c>
      <c r="N1096">
        <v>0.87080000000000002</v>
      </c>
      <c r="O1096" s="1">
        <v>1</v>
      </c>
      <c r="P1096" t="s">
        <v>11637</v>
      </c>
      <c r="Q1096" t="s">
        <v>11638</v>
      </c>
      <c r="R1096" t="s">
        <v>11639</v>
      </c>
      <c r="S1096" t="s">
        <v>166</v>
      </c>
      <c r="T1096" t="s">
        <v>3171</v>
      </c>
      <c r="U1096" t="s">
        <v>11640</v>
      </c>
      <c r="V1096">
        <v>2</v>
      </c>
      <c r="W1096" t="s">
        <v>11640</v>
      </c>
      <c r="Y1096" t="s">
        <v>11641</v>
      </c>
      <c r="AE1096" t="s">
        <v>1250</v>
      </c>
      <c r="AF1096" t="s">
        <v>11642</v>
      </c>
      <c r="AG1096" t="s">
        <v>11643</v>
      </c>
      <c r="AH1096" t="str">
        <f>HYPERLINK("http://compartments.jensenlab.org/Entity?figures=subcell_cell_%&amp;knowledge=10&amp;textmining=10&amp;experiments=10&amp;predictions=10&amp;type1=9606&amp;type2=-22&amp;id1=ENSP00000244174","link")</f>
        <v>link</v>
      </c>
      <c r="AI1096" t="s">
        <v>1058</v>
      </c>
      <c r="AJ1096" t="s">
        <v>902</v>
      </c>
      <c r="AK1096" t="str">
        <f>HYPERLINK("http://www.proteinatlas.org/Q01113","CAB010497")</f>
        <v>CAB010497</v>
      </c>
      <c r="AM1096">
        <v>3581</v>
      </c>
    </row>
    <row r="1097" spans="1:39" x14ac:dyDescent="0.35">
      <c r="A1097" t="s">
        <v>11644</v>
      </c>
      <c r="B1097" t="str">
        <f>HYPERLINK("http://www.uniprot.org/uniprot/Q01118","Q01118")</f>
        <v>Q01118</v>
      </c>
      <c r="C1097" t="s">
        <v>11645</v>
      </c>
      <c r="D1097" t="s">
        <v>11646</v>
      </c>
      <c r="E1097" t="s">
        <v>39</v>
      </c>
      <c r="F1097" t="s">
        <v>40</v>
      </c>
      <c r="H1097">
        <v>1682</v>
      </c>
      <c r="I1097">
        <v>24</v>
      </c>
      <c r="J1097">
        <v>0</v>
      </c>
      <c r="K1097" t="s">
        <v>11647</v>
      </c>
      <c r="L1097" t="s">
        <v>101</v>
      </c>
      <c r="N1097">
        <v>0.68059999999999998</v>
      </c>
      <c r="O1097" s="1">
        <v>2</v>
      </c>
      <c r="P1097" t="s">
        <v>11648</v>
      </c>
      <c r="Q1097" t="s">
        <v>11649</v>
      </c>
      <c r="S1097" t="s">
        <v>45</v>
      </c>
      <c r="T1097" t="s">
        <v>8727</v>
      </c>
      <c r="U1097" t="s">
        <v>11650</v>
      </c>
      <c r="V1097">
        <v>5</v>
      </c>
      <c r="Z1097" t="s">
        <v>123</v>
      </c>
      <c r="AA1097">
        <v>1</v>
      </c>
      <c r="AB1097" t="s">
        <v>11651</v>
      </c>
      <c r="AC1097">
        <v>1103</v>
      </c>
      <c r="AD1097" t="s">
        <v>11652</v>
      </c>
      <c r="AE1097" t="s">
        <v>48</v>
      </c>
      <c r="AF1097" t="s">
        <v>11653</v>
      </c>
      <c r="AG1097" t="s">
        <v>11654</v>
      </c>
      <c r="AH1097" t="str">
        <f>HYPERLINK("http://compartments.jensenlab.org/Entity?figures=subcell_cell_%&amp;knowledge=10&amp;textmining=10&amp;experiments=10&amp;predictions=10&amp;type1=9606&amp;type2=-22&amp;id1=ENSP00000386796","link")</f>
        <v>link</v>
      </c>
      <c r="AJ1097" t="s">
        <v>51</v>
      </c>
      <c r="AK1097" t="str">
        <f>HYPERLINK("http://www.proteinatlas.org/Q01118","HPA004879")</f>
        <v>HPA004879</v>
      </c>
      <c r="AM1097">
        <v>6332</v>
      </c>
    </row>
    <row r="1098" spans="1:39" x14ac:dyDescent="0.35">
      <c r="A1098" t="s">
        <v>11655</v>
      </c>
      <c r="B1098" t="str">
        <f>HYPERLINK("http://www.uniprot.org/uniprot/Q01151","Q01151")</f>
        <v>Q01151</v>
      </c>
      <c r="C1098" t="s">
        <v>11656</v>
      </c>
      <c r="D1098" t="s">
        <v>11657</v>
      </c>
      <c r="E1098" t="s">
        <v>39</v>
      </c>
      <c r="F1098" t="s">
        <v>40</v>
      </c>
      <c r="H1098">
        <v>205</v>
      </c>
      <c r="I1098">
        <v>1</v>
      </c>
      <c r="J1098">
        <v>1</v>
      </c>
      <c r="K1098" t="s">
        <v>11658</v>
      </c>
      <c r="L1098" t="s">
        <v>101</v>
      </c>
      <c r="N1098">
        <v>0.80840000000000001</v>
      </c>
      <c r="O1098" s="1">
        <v>1</v>
      </c>
      <c r="P1098" t="s">
        <v>11659</v>
      </c>
      <c r="Q1098" t="s">
        <v>11660</v>
      </c>
      <c r="R1098" t="s">
        <v>11657</v>
      </c>
      <c r="S1098" t="s">
        <v>60</v>
      </c>
      <c r="T1098" t="s">
        <v>60</v>
      </c>
      <c r="U1098" t="s">
        <v>11661</v>
      </c>
      <c r="V1098">
        <v>3</v>
      </c>
      <c r="W1098" t="s">
        <v>11661</v>
      </c>
      <c r="X1098">
        <v>188</v>
      </c>
      <c r="Z1098" t="s">
        <v>107</v>
      </c>
      <c r="AA1098">
        <v>9</v>
      </c>
      <c r="AB1098" t="s">
        <v>11662</v>
      </c>
      <c r="AC1098" t="s">
        <v>11663</v>
      </c>
      <c r="AD1098" t="s">
        <v>11664</v>
      </c>
      <c r="AE1098" t="s">
        <v>144</v>
      </c>
      <c r="AF1098" t="s">
        <v>11665</v>
      </c>
      <c r="AG1098" t="s">
        <v>11666</v>
      </c>
      <c r="AH1098" t="str">
        <f>HYPERLINK("http://compartments.jensenlab.org/Entity?figures=subcell_cell_%&amp;knowledge=10&amp;textmining=10&amp;experiments=10&amp;predictions=10&amp;type1=9606&amp;type2=-22&amp;id1=ENSP00000368450","link")</f>
        <v>link</v>
      </c>
      <c r="AJ1098" t="s">
        <v>51</v>
      </c>
      <c r="AK1098" t="str">
        <f>HYPERLINK("http://www.proteinatlas.org/Q01151","CAB002509;HPA041454")</f>
        <v>CAB002509;HPA041454</v>
      </c>
      <c r="AM1098">
        <v>9308</v>
      </c>
    </row>
    <row r="1099" spans="1:39" x14ac:dyDescent="0.35">
      <c r="A1099" t="s">
        <v>11667</v>
      </c>
      <c r="B1099" t="str">
        <f>HYPERLINK("http://www.uniprot.org/uniprot/Q01344","Q01344")</f>
        <v>Q01344</v>
      </c>
      <c r="C1099" t="s">
        <v>11668</v>
      </c>
      <c r="D1099" t="s">
        <v>11669</v>
      </c>
      <c r="E1099" t="s">
        <v>39</v>
      </c>
      <c r="F1099" t="s">
        <v>40</v>
      </c>
      <c r="H1099">
        <v>420</v>
      </c>
      <c r="I1099">
        <v>1</v>
      </c>
      <c r="J1099">
        <v>1</v>
      </c>
      <c r="K1099" t="s">
        <v>11670</v>
      </c>
      <c r="L1099" t="s">
        <v>101</v>
      </c>
      <c r="N1099">
        <v>0.87619999999999998</v>
      </c>
      <c r="O1099" s="1">
        <v>1</v>
      </c>
      <c r="P1099" t="s">
        <v>11671</v>
      </c>
      <c r="Q1099" t="s">
        <v>11672</v>
      </c>
      <c r="R1099" t="s">
        <v>11673</v>
      </c>
      <c r="S1099" t="s">
        <v>166</v>
      </c>
      <c r="T1099" t="s">
        <v>3171</v>
      </c>
      <c r="U1099" t="s">
        <v>11674</v>
      </c>
      <c r="V1099">
        <v>6</v>
      </c>
      <c r="W1099" t="s">
        <v>11674</v>
      </c>
      <c r="Y1099">
        <v>322</v>
      </c>
      <c r="Z1099" t="s">
        <v>107</v>
      </c>
      <c r="AA1099">
        <v>1</v>
      </c>
      <c r="AB1099" t="s">
        <v>11675</v>
      </c>
      <c r="AC1099">
        <v>35</v>
      </c>
      <c r="AD1099" t="s">
        <v>11676</v>
      </c>
      <c r="AE1099" t="s">
        <v>144</v>
      </c>
      <c r="AF1099" t="s">
        <v>11677</v>
      </c>
      <c r="AG1099" t="s">
        <v>11678</v>
      </c>
      <c r="AH1099" t="str">
        <f>HYPERLINK("http://compartments.jensenlab.org/Entity?figures=subcell_cell_%&amp;knowledge=10&amp;textmining=10&amp;experiments=10&amp;predictions=10&amp;type1=9606&amp;type2=-22&amp;id1=ENSP00000256452","link")</f>
        <v>link</v>
      </c>
      <c r="AJ1099" t="s">
        <v>902</v>
      </c>
      <c r="AK1099" t="str">
        <f>HYPERLINK("http://www.proteinatlas.org/Q01344","HPA013196")</f>
        <v>HPA013196</v>
      </c>
      <c r="AM1099">
        <v>3568</v>
      </c>
    </row>
    <row r="1100" spans="1:39" x14ac:dyDescent="0.35">
      <c r="A1100" t="s">
        <v>11679</v>
      </c>
      <c r="B1100" t="str">
        <f>HYPERLINK("http://www.uniprot.org/uniprot/Q01638","Q01638")</f>
        <v>Q01638</v>
      </c>
      <c r="C1100" t="s">
        <v>11680</v>
      </c>
      <c r="D1100" t="s">
        <v>11681</v>
      </c>
      <c r="E1100" t="s">
        <v>39</v>
      </c>
      <c r="F1100" t="s">
        <v>40</v>
      </c>
      <c r="H1100">
        <v>556</v>
      </c>
      <c r="I1100">
        <v>1</v>
      </c>
      <c r="J1100">
        <v>1</v>
      </c>
      <c r="K1100" t="s">
        <v>11682</v>
      </c>
      <c r="L1100" t="s">
        <v>57</v>
      </c>
      <c r="N1100">
        <v>0.94210000000000005</v>
      </c>
      <c r="O1100" s="1">
        <v>1</v>
      </c>
      <c r="P1100" t="s">
        <v>11683</v>
      </c>
      <c r="Q1100" t="s">
        <v>11684</v>
      </c>
      <c r="S1100" t="s">
        <v>166</v>
      </c>
      <c r="T1100" t="s">
        <v>3171</v>
      </c>
      <c r="U1100" t="s">
        <v>11685</v>
      </c>
      <c r="V1100">
        <v>8</v>
      </c>
      <c r="W1100" t="s">
        <v>11685</v>
      </c>
      <c r="X1100">
        <v>539</v>
      </c>
      <c r="AE1100" t="s">
        <v>11686</v>
      </c>
      <c r="AF1100" t="s">
        <v>4603</v>
      </c>
      <c r="AG1100" t="s">
        <v>11687</v>
      </c>
      <c r="AH1100" t="str">
        <f>HYPERLINK("http://compartments.jensenlab.org/Entity?figures=subcell_cell_%&amp;knowledge=10&amp;textmining=10&amp;experiments=10&amp;predictions=10&amp;type1=9606&amp;type2=-22&amp;id1=ENSP00000233954","link")</f>
        <v>link</v>
      </c>
      <c r="AI1100" t="s">
        <v>1058</v>
      </c>
      <c r="AK1100" t="str">
        <f>HYPERLINK("http://www.proteinatlas.org/Q01638","HPA007406;HPA007917")</f>
        <v>HPA007406;HPA007917</v>
      </c>
      <c r="AM1100">
        <v>9173</v>
      </c>
    </row>
    <row r="1101" spans="1:39" x14ac:dyDescent="0.35">
      <c r="A1101" t="s">
        <v>11688</v>
      </c>
      <c r="B1101" t="str">
        <f>HYPERLINK("http://www.uniprot.org/uniprot/Q01650","Q01650")</f>
        <v>Q01650</v>
      </c>
      <c r="C1101" t="s">
        <v>11689</v>
      </c>
      <c r="D1101" t="s">
        <v>11690</v>
      </c>
      <c r="E1101" t="s">
        <v>39</v>
      </c>
      <c r="F1101" t="s">
        <v>55</v>
      </c>
      <c r="H1101">
        <v>507</v>
      </c>
      <c r="I1101">
        <v>12</v>
      </c>
      <c r="J1101">
        <v>0</v>
      </c>
      <c r="K1101" t="s">
        <v>11691</v>
      </c>
      <c r="L1101" t="s">
        <v>1592</v>
      </c>
      <c r="M1101" t="s">
        <v>39</v>
      </c>
      <c r="N1101">
        <v>0.85329999999999995</v>
      </c>
      <c r="O1101" s="1">
        <v>1</v>
      </c>
      <c r="P1101" t="s">
        <v>11692</v>
      </c>
      <c r="Q1101" t="s">
        <v>11693</v>
      </c>
      <c r="S1101" t="s">
        <v>45</v>
      </c>
      <c r="T1101" t="s">
        <v>1743</v>
      </c>
      <c r="U1101" t="s">
        <v>11694</v>
      </c>
      <c r="V1101">
        <v>1</v>
      </c>
      <c r="Z1101" t="s">
        <v>107</v>
      </c>
      <c r="AA1101">
        <v>1</v>
      </c>
      <c r="AB1101" t="s">
        <v>11695</v>
      </c>
      <c r="AC1101">
        <v>230</v>
      </c>
      <c r="AD1101" t="s">
        <v>11696</v>
      </c>
      <c r="AE1101" t="s">
        <v>11697</v>
      </c>
      <c r="AF1101" t="s">
        <v>11698</v>
      </c>
      <c r="AG1101" t="s">
        <v>11699</v>
      </c>
      <c r="AH1101" t="str">
        <f>HYPERLINK("http://compartments.jensenlab.org/Entity?figures=subcell_cell_%&amp;knowledge=10&amp;textmining=10&amp;experiments=10&amp;predictions=10&amp;type1=9606&amp;type2=-22&amp;id1=ENSP00000261622","link")</f>
        <v>link</v>
      </c>
      <c r="AI1101" t="s">
        <v>11700</v>
      </c>
      <c r="AJ1101" t="s">
        <v>4758</v>
      </c>
      <c r="AK1101" t="str">
        <f>HYPERLINK("http://www.proteinatlas.org/Q01650","HPA052673;HPA056077")</f>
        <v>HPA052673;HPA056077</v>
      </c>
      <c r="AM1101">
        <v>8140</v>
      </c>
    </row>
    <row r="1102" spans="1:39" x14ac:dyDescent="0.35">
      <c r="A1102" t="s">
        <v>11701</v>
      </c>
      <c r="B1102" t="str">
        <f>HYPERLINK("http://www.uniprot.org/uniprot/Q01718","Q01718")</f>
        <v>Q01718</v>
      </c>
      <c r="C1102" t="s">
        <v>11702</v>
      </c>
      <c r="D1102" t="s">
        <v>11703</v>
      </c>
      <c r="E1102" t="s">
        <v>39</v>
      </c>
      <c r="F1102" t="s">
        <v>55</v>
      </c>
      <c r="H1102">
        <v>297</v>
      </c>
      <c r="I1102">
        <v>7</v>
      </c>
      <c r="J1102">
        <v>0</v>
      </c>
      <c r="K1102" t="s">
        <v>11704</v>
      </c>
      <c r="L1102" t="s">
        <v>57</v>
      </c>
      <c r="M1102" t="s">
        <v>39</v>
      </c>
      <c r="N1102">
        <v>0.96689999999999998</v>
      </c>
      <c r="O1102" s="1">
        <v>1</v>
      </c>
      <c r="P1102" t="s">
        <v>11705</v>
      </c>
      <c r="Q1102" t="s">
        <v>11706</v>
      </c>
      <c r="S1102" t="s">
        <v>166</v>
      </c>
      <c r="T1102" t="s">
        <v>838</v>
      </c>
      <c r="U1102" t="s">
        <v>11707</v>
      </c>
      <c r="V1102">
        <v>2</v>
      </c>
      <c r="W1102">
        <v>12</v>
      </c>
      <c r="AE1102" t="s">
        <v>74</v>
      </c>
      <c r="AF1102" t="s">
        <v>11708</v>
      </c>
      <c r="AG1102" t="s">
        <v>11709</v>
      </c>
      <c r="AH1102" t="str">
        <f>HYPERLINK("http://compartments.jensenlab.org/Entity?figures=subcell_cell_%&amp;knowledge=10&amp;textmining=10&amp;experiments=10&amp;predictions=10&amp;type1=9606&amp;type2=-22&amp;id1=ENSP00000333821","link")</f>
        <v>link</v>
      </c>
      <c r="AI1102" t="s">
        <v>65</v>
      </c>
      <c r="AJ1102" t="s">
        <v>51</v>
      </c>
      <c r="AK1102" t="str">
        <f>HYPERLINK("http://www.proteinatlas.org/Q01718","no")</f>
        <v>no</v>
      </c>
      <c r="AL1102" t="s">
        <v>11710</v>
      </c>
      <c r="AM1102">
        <v>4158</v>
      </c>
    </row>
    <row r="1103" spans="1:39" x14ac:dyDescent="0.35">
      <c r="A1103" t="s">
        <v>11711</v>
      </c>
      <c r="B1103" t="str">
        <f>HYPERLINK("http://www.uniprot.org/uniprot/Q01726","Q01726")</f>
        <v>Q01726</v>
      </c>
      <c r="C1103" t="s">
        <v>11712</v>
      </c>
      <c r="D1103" t="s">
        <v>11713</v>
      </c>
      <c r="E1103" t="s">
        <v>39</v>
      </c>
      <c r="F1103" t="s">
        <v>40</v>
      </c>
      <c r="H1103">
        <v>317</v>
      </c>
      <c r="I1103">
        <v>7</v>
      </c>
      <c r="J1103">
        <v>0</v>
      </c>
      <c r="K1103" t="s">
        <v>11714</v>
      </c>
      <c r="L1103" t="s">
        <v>57</v>
      </c>
      <c r="N1103">
        <v>0.94410000000000005</v>
      </c>
      <c r="O1103" s="1">
        <v>1</v>
      </c>
      <c r="P1103" t="s">
        <v>11715</v>
      </c>
      <c r="Q1103" t="s">
        <v>11716</v>
      </c>
      <c r="S1103" t="s">
        <v>166</v>
      </c>
      <c r="T1103" t="s">
        <v>838</v>
      </c>
      <c r="U1103" t="s">
        <v>11717</v>
      </c>
      <c r="V1103">
        <v>2</v>
      </c>
      <c r="W1103" t="s">
        <v>11717</v>
      </c>
      <c r="X1103">
        <v>19</v>
      </c>
      <c r="AE1103" t="s">
        <v>74</v>
      </c>
      <c r="AF1103" t="s">
        <v>11708</v>
      </c>
      <c r="AG1103" t="s">
        <v>11718</v>
      </c>
      <c r="AH1103" t="str">
        <f>HYPERLINK("http://compartments.jensenlab.org/Entity?figures=subcell_cell_%&amp;knowledge=10&amp;textmining=10&amp;experiments=10&amp;predictions=10&amp;type1=9606&amp;type2=-22&amp;id1=ENSP00000451605","link")</f>
        <v>link</v>
      </c>
      <c r="AK1103" t="str">
        <f>HYPERLINK("http://www.proteinatlas.org/Q01726","no")</f>
        <v>no</v>
      </c>
      <c r="AM1103">
        <v>4157</v>
      </c>
    </row>
    <row r="1104" spans="1:39" x14ac:dyDescent="0.35">
      <c r="A1104" t="s">
        <v>11719</v>
      </c>
      <c r="B1104" t="str">
        <f>HYPERLINK("http://www.uniprot.org/uniprot/Q01814","Q01814")</f>
        <v>Q01814</v>
      </c>
      <c r="C1104" t="s">
        <v>11720</v>
      </c>
      <c r="D1104" t="s">
        <v>11721</v>
      </c>
      <c r="E1104" t="s">
        <v>39</v>
      </c>
      <c r="F1104" t="s">
        <v>40</v>
      </c>
      <c r="H1104">
        <v>1243</v>
      </c>
      <c r="I1104">
        <v>10</v>
      </c>
      <c r="J1104">
        <v>0</v>
      </c>
      <c r="K1104" t="s">
        <v>11722</v>
      </c>
      <c r="L1104" t="s">
        <v>57</v>
      </c>
      <c r="N1104">
        <v>0.69059999999999999</v>
      </c>
      <c r="O1104" s="1">
        <v>2</v>
      </c>
      <c r="P1104" t="s">
        <v>11723</v>
      </c>
      <c r="Q1104" t="s">
        <v>11724</v>
      </c>
      <c r="S1104" t="s">
        <v>45</v>
      </c>
      <c r="T1104" t="s">
        <v>3982</v>
      </c>
      <c r="U1104" t="s">
        <v>11725</v>
      </c>
      <c r="V1104">
        <v>0</v>
      </c>
      <c r="X1104" t="s">
        <v>11726</v>
      </c>
      <c r="AE1104" t="s">
        <v>11727</v>
      </c>
      <c r="AF1104" t="s">
        <v>11728</v>
      </c>
      <c r="AG1104" t="s">
        <v>11729</v>
      </c>
      <c r="AH1104" t="str">
        <f>HYPERLINK("http://compartments.jensenlab.org/Entity?figures=subcell_cell_%&amp;knowledge=10&amp;textmining=10&amp;experiments=10&amp;predictions=10&amp;type1=9606&amp;type2=-22&amp;id1=ENSP00000324172","link")</f>
        <v>link</v>
      </c>
      <c r="AI1104" t="s">
        <v>65</v>
      </c>
      <c r="AJ1104" t="s">
        <v>2124</v>
      </c>
      <c r="AK1104" t="str">
        <f>HYPERLINK("http://www.proteinatlas.org/Q01814","CAB005606")</f>
        <v>CAB005606</v>
      </c>
      <c r="AM1104">
        <v>491</v>
      </c>
    </row>
    <row r="1105" spans="1:39" x14ac:dyDescent="0.35">
      <c r="A1105" t="s">
        <v>11730</v>
      </c>
      <c r="B1105" t="str">
        <f>HYPERLINK("http://www.uniprot.org/uniprot/Q01959","Q01959")</f>
        <v>Q01959</v>
      </c>
      <c r="C1105" t="s">
        <v>11731</v>
      </c>
      <c r="D1105" t="s">
        <v>11732</v>
      </c>
      <c r="E1105" t="s">
        <v>39</v>
      </c>
      <c r="F1105" t="s">
        <v>40</v>
      </c>
      <c r="H1105">
        <v>620</v>
      </c>
      <c r="I1105">
        <v>12</v>
      </c>
      <c r="J1105">
        <v>0</v>
      </c>
      <c r="K1105" t="s">
        <v>11733</v>
      </c>
      <c r="L1105" t="s">
        <v>57</v>
      </c>
      <c r="N1105">
        <v>0.93010000000000004</v>
      </c>
      <c r="O1105" s="1">
        <v>1</v>
      </c>
      <c r="P1105" t="s">
        <v>11734</v>
      </c>
      <c r="Q1105" t="s">
        <v>11735</v>
      </c>
      <c r="S1105" t="s">
        <v>45</v>
      </c>
      <c r="T1105" t="s">
        <v>6998</v>
      </c>
      <c r="U1105" t="s">
        <v>11736</v>
      </c>
      <c r="V1105">
        <v>3</v>
      </c>
      <c r="W1105" t="s">
        <v>11736</v>
      </c>
      <c r="X1105" t="s">
        <v>11737</v>
      </c>
      <c r="AE1105" t="s">
        <v>74</v>
      </c>
      <c r="AF1105" t="s">
        <v>11738</v>
      </c>
      <c r="AG1105" t="s">
        <v>11739</v>
      </c>
      <c r="AH1105" t="str">
        <f>HYPERLINK("http://compartments.jensenlab.org/Entity?figures=subcell_cell_%&amp;knowledge=10&amp;textmining=10&amp;experiments=10&amp;predictions=10&amp;type1=9606&amp;type2=-22&amp;id1=ENSP00000270349","link")</f>
        <v>link</v>
      </c>
      <c r="AI1105" t="s">
        <v>65</v>
      </c>
      <c r="AJ1105" t="s">
        <v>2124</v>
      </c>
      <c r="AK1105" t="str">
        <f>HYPERLINK("http://www.proteinatlas.org/Q01959","HPA013602;CAB016249")</f>
        <v>HPA013602;CAB016249</v>
      </c>
      <c r="AL1105" t="s">
        <v>11740</v>
      </c>
      <c r="AM1105">
        <v>6531</v>
      </c>
    </row>
    <row r="1106" spans="1:39" x14ac:dyDescent="0.35">
      <c r="A1106" t="s">
        <v>11741</v>
      </c>
      <c r="B1106" t="str">
        <f>HYPERLINK("http://www.uniprot.org/uniprot/Q01973","Q01973")</f>
        <v>Q01973</v>
      </c>
      <c r="C1106" t="s">
        <v>11742</v>
      </c>
      <c r="D1106" t="s">
        <v>11743</v>
      </c>
      <c r="E1106" t="s">
        <v>39</v>
      </c>
      <c r="F1106" t="s">
        <v>40</v>
      </c>
      <c r="H1106">
        <v>937</v>
      </c>
      <c r="I1106">
        <v>1</v>
      </c>
      <c r="J1106">
        <v>1</v>
      </c>
      <c r="K1106" t="s">
        <v>11744</v>
      </c>
      <c r="L1106" t="s">
        <v>101</v>
      </c>
      <c r="N1106">
        <v>0.96809999999999996</v>
      </c>
      <c r="O1106" s="1">
        <v>1</v>
      </c>
      <c r="P1106" t="s">
        <v>11745</v>
      </c>
      <c r="Q1106" t="s">
        <v>11746</v>
      </c>
      <c r="S1106" t="s">
        <v>166</v>
      </c>
      <c r="T1106" t="s">
        <v>1411</v>
      </c>
      <c r="U1106" t="s">
        <v>11747</v>
      </c>
      <c r="V1106">
        <v>4</v>
      </c>
      <c r="W1106" t="s">
        <v>11747</v>
      </c>
      <c r="X1106">
        <v>864</v>
      </c>
      <c r="Z1106" t="s">
        <v>107</v>
      </c>
      <c r="AA1106">
        <v>2</v>
      </c>
      <c r="AB1106" t="s">
        <v>11748</v>
      </c>
      <c r="AC1106" t="s">
        <v>11749</v>
      </c>
      <c r="AD1106" t="s">
        <v>11750</v>
      </c>
      <c r="AE1106" t="s">
        <v>144</v>
      </c>
      <c r="AF1106" t="s">
        <v>11751</v>
      </c>
      <c r="AG1106" t="s">
        <v>11752</v>
      </c>
      <c r="AH1106" t="str">
        <f>HYPERLINK("http://compartments.jensenlab.org/Entity?figures=subcell_cell_%&amp;knowledge=10&amp;textmining=10&amp;experiments=10&amp;predictions=10&amp;type1=9606&amp;type2=-22&amp;id1=ENSP00000360120","link")</f>
        <v>link</v>
      </c>
      <c r="AJ1106" t="s">
        <v>2124</v>
      </c>
      <c r="AK1106" t="str">
        <f>HYPERLINK("http://www.proteinatlas.org/Q01973","HPA057016")</f>
        <v>HPA057016</v>
      </c>
      <c r="AM1106">
        <v>4919</v>
      </c>
    </row>
    <row r="1107" spans="1:39" x14ac:dyDescent="0.35">
      <c r="A1107" t="s">
        <v>11753</v>
      </c>
      <c r="B1107" t="str">
        <f>HYPERLINK("http://www.uniprot.org/uniprot/Q01974","Q01974")</f>
        <v>Q01974</v>
      </c>
      <c r="C1107" t="s">
        <v>11754</v>
      </c>
      <c r="D1107" t="s">
        <v>11755</v>
      </c>
      <c r="E1107" t="s">
        <v>39</v>
      </c>
      <c r="F1107" t="s">
        <v>55</v>
      </c>
      <c r="H1107">
        <v>943</v>
      </c>
      <c r="I1107">
        <v>1</v>
      </c>
      <c r="J1107">
        <v>1</v>
      </c>
      <c r="K1107" t="s">
        <v>11756</v>
      </c>
      <c r="L1107" t="s">
        <v>101</v>
      </c>
      <c r="M1107" t="s">
        <v>39</v>
      </c>
      <c r="N1107">
        <v>0.9698</v>
      </c>
      <c r="O1107" s="1">
        <v>1</v>
      </c>
      <c r="P1107" t="s">
        <v>11757</v>
      </c>
      <c r="Q1107" t="s">
        <v>11758</v>
      </c>
      <c r="S1107" t="s">
        <v>166</v>
      </c>
      <c r="T1107" t="s">
        <v>1411</v>
      </c>
      <c r="U1107" t="s">
        <v>11759</v>
      </c>
      <c r="V1107">
        <v>3</v>
      </c>
      <c r="W1107" t="s">
        <v>11759</v>
      </c>
      <c r="X1107" t="s">
        <v>11760</v>
      </c>
      <c r="Z1107" t="s">
        <v>107</v>
      </c>
      <c r="AA1107">
        <v>1</v>
      </c>
      <c r="AB1107" t="s">
        <v>11761</v>
      </c>
      <c r="AC1107">
        <v>318</v>
      </c>
      <c r="AD1107" t="s">
        <v>11762</v>
      </c>
      <c r="AE1107" t="s">
        <v>332</v>
      </c>
      <c r="AF1107" t="s">
        <v>11763</v>
      </c>
      <c r="AG1107" t="s">
        <v>11764</v>
      </c>
      <c r="AH1107" t="str">
        <f>HYPERLINK("http://compartments.jensenlab.org/Entity?figures=subcell_cell_%&amp;knowledge=10&amp;textmining=10&amp;experiments=10&amp;predictions=10&amp;type1=9606&amp;type2=-22&amp;id1=ENSP00000364860","link")</f>
        <v>link</v>
      </c>
      <c r="AJ1107" t="s">
        <v>51</v>
      </c>
      <c r="AK1107" t="str">
        <f>HYPERLINK("http://www.proteinatlas.org/Q01974","HPA021868")</f>
        <v>HPA021868</v>
      </c>
      <c r="AM1107">
        <v>4920</v>
      </c>
    </row>
    <row r="1108" spans="1:39" x14ac:dyDescent="0.35">
      <c r="A1108" t="s">
        <v>11765</v>
      </c>
      <c r="B1108" t="str">
        <f>HYPERLINK("http://www.uniprot.org/uniprot/Q02094","Q02094")</f>
        <v>Q02094</v>
      </c>
      <c r="C1108" t="s">
        <v>11766</v>
      </c>
      <c r="D1108" t="s">
        <v>11767</v>
      </c>
      <c r="E1108" t="s">
        <v>39</v>
      </c>
      <c r="F1108" t="s">
        <v>40</v>
      </c>
      <c r="H1108">
        <v>409</v>
      </c>
      <c r="I1108">
        <v>12</v>
      </c>
      <c r="J1108">
        <v>0</v>
      </c>
      <c r="K1108" t="s">
        <v>11768</v>
      </c>
      <c r="L1108" t="s">
        <v>57</v>
      </c>
      <c r="N1108">
        <v>0.5988</v>
      </c>
      <c r="O1108" s="1">
        <v>2</v>
      </c>
      <c r="P1108" t="s">
        <v>11769</v>
      </c>
      <c r="Q1108" t="s">
        <v>11770</v>
      </c>
      <c r="R1108" t="s">
        <v>11771</v>
      </c>
      <c r="S1108" t="s">
        <v>45</v>
      </c>
      <c r="T1108" t="s">
        <v>11772</v>
      </c>
      <c r="U1108" t="s">
        <v>11773</v>
      </c>
      <c r="V1108">
        <v>2</v>
      </c>
      <c r="W1108" t="s">
        <v>11774</v>
      </c>
      <c r="Y1108">
        <v>219</v>
      </c>
      <c r="AE1108" t="s">
        <v>48</v>
      </c>
      <c r="AF1108" t="s">
        <v>11775</v>
      </c>
      <c r="AG1108" t="s">
        <v>11776</v>
      </c>
      <c r="AH1108" t="str">
        <f>HYPERLINK("http://compartments.jensenlab.org/Entity?figures=subcell_cell_%&amp;knowledge=10&amp;textmining=10&amp;experiments=10&amp;predictions=10&amp;type1=9606&amp;type2=-22&amp;id1=ENSP00000360217","link")</f>
        <v>link</v>
      </c>
      <c r="AJ1108" t="s">
        <v>51</v>
      </c>
      <c r="AK1108" t="str">
        <f>HYPERLINK("http://www.proteinatlas.org/Q02094","HPA055331")</f>
        <v>HPA055331</v>
      </c>
      <c r="AM1108">
        <v>6005</v>
      </c>
    </row>
    <row r="1109" spans="1:39" x14ac:dyDescent="0.35">
      <c r="A1109" t="s">
        <v>11777</v>
      </c>
      <c r="B1109" t="str">
        <f>HYPERLINK("http://www.uniprot.org/uniprot/Q02223","Q02223")</f>
        <v>Q02223</v>
      </c>
      <c r="C1109" t="s">
        <v>11778</v>
      </c>
      <c r="D1109" t="s">
        <v>11779</v>
      </c>
      <c r="E1109" t="s">
        <v>39</v>
      </c>
      <c r="F1109" t="s">
        <v>55</v>
      </c>
      <c r="H1109">
        <v>184</v>
      </c>
      <c r="I1109">
        <v>1</v>
      </c>
      <c r="J1109">
        <v>0</v>
      </c>
      <c r="K1109" t="s">
        <v>11780</v>
      </c>
      <c r="L1109" t="s">
        <v>101</v>
      </c>
      <c r="M1109" t="s">
        <v>39</v>
      </c>
      <c r="N1109">
        <v>0.74590000000000001</v>
      </c>
      <c r="O1109" s="1">
        <v>2</v>
      </c>
      <c r="P1109" t="s">
        <v>11781</v>
      </c>
      <c r="Q1109" t="s">
        <v>11782</v>
      </c>
      <c r="R1109" t="s">
        <v>11783</v>
      </c>
      <c r="S1109" t="s">
        <v>166</v>
      </c>
      <c r="T1109" t="s">
        <v>864</v>
      </c>
      <c r="U1109">
        <v>42</v>
      </c>
      <c r="V1109">
        <v>1</v>
      </c>
      <c r="Z1109" t="s">
        <v>107</v>
      </c>
      <c r="AA1109">
        <v>2</v>
      </c>
      <c r="AB1109" t="s">
        <v>11784</v>
      </c>
      <c r="AC1109">
        <v>42</v>
      </c>
      <c r="AD1109" t="s">
        <v>11785</v>
      </c>
      <c r="AE1109" t="s">
        <v>11786</v>
      </c>
      <c r="AF1109" t="s">
        <v>11787</v>
      </c>
      <c r="AG1109" t="s">
        <v>11788</v>
      </c>
      <c r="AH1109" t="str">
        <f>HYPERLINK("http://compartments.jensenlab.org/Entity?figures=subcell_cell_%&amp;knowledge=10&amp;textmining=10&amp;experiments=10&amp;predictions=10&amp;type1=9606&amp;type2=-22&amp;id1=ENSP00000053243","link")</f>
        <v>link</v>
      </c>
      <c r="AI1109" t="s">
        <v>65</v>
      </c>
      <c r="AJ1109" t="s">
        <v>51</v>
      </c>
      <c r="AK1109" t="str">
        <f>HYPERLINK("http://www.proteinatlas.org/Q02223","HPA010569")</f>
        <v>HPA010569</v>
      </c>
      <c r="AM1109">
        <v>608</v>
      </c>
    </row>
    <row r="1110" spans="1:39" x14ac:dyDescent="0.35">
      <c r="A1110" t="s">
        <v>11789</v>
      </c>
      <c r="B1110" t="str">
        <f>HYPERLINK("http://www.uniprot.org/uniprot/Q02246","Q02246")</f>
        <v>Q02246</v>
      </c>
      <c r="C1110" t="s">
        <v>11790</v>
      </c>
      <c r="D1110" t="s">
        <v>11791</v>
      </c>
      <c r="E1110" t="s">
        <v>39</v>
      </c>
      <c r="F1110" t="s">
        <v>239</v>
      </c>
      <c r="H1110">
        <v>1040</v>
      </c>
      <c r="I1110">
        <v>0</v>
      </c>
      <c r="J1110">
        <v>1</v>
      </c>
      <c r="K1110" t="s">
        <v>11792</v>
      </c>
      <c r="L1110" t="s">
        <v>57</v>
      </c>
      <c r="N1110">
        <v>0.74850000000000005</v>
      </c>
      <c r="O1110" s="1" t="s">
        <v>997</v>
      </c>
      <c r="P1110" t="s">
        <v>11793</v>
      </c>
      <c r="Q1110" t="s">
        <v>11794</v>
      </c>
      <c r="S1110" t="s">
        <v>60</v>
      </c>
      <c r="T1110" t="s">
        <v>60</v>
      </c>
      <c r="U1110" t="s">
        <v>11795</v>
      </c>
      <c r="V1110">
        <v>14</v>
      </c>
      <c r="W1110" t="s">
        <v>11796</v>
      </c>
      <c r="AE1110" t="s">
        <v>243</v>
      </c>
      <c r="AF1110" t="s">
        <v>11797</v>
      </c>
      <c r="AG1110" t="s">
        <v>11798</v>
      </c>
      <c r="AH1110" t="str">
        <f>HYPERLINK("http://compartments.jensenlab.org/Entity?figures=subcell_cell_%&amp;knowledge=10&amp;textmining=10&amp;experiments=10&amp;predictions=10&amp;type1=9606&amp;type2=-22&amp;id1=ENSP00000330633","link")</f>
        <v>link</v>
      </c>
      <c r="AI1110" t="s">
        <v>65</v>
      </c>
      <c r="AJ1110" t="s">
        <v>51</v>
      </c>
      <c r="AK1110" t="str">
        <f>HYPERLINK("http://www.proteinatlas.org/Q02246","HPA001397;HPA012497")</f>
        <v>HPA001397;HPA012497</v>
      </c>
      <c r="AM1110">
        <v>6900</v>
      </c>
    </row>
    <row r="1111" spans="1:39" x14ac:dyDescent="0.35">
      <c r="A1111" t="s">
        <v>11799</v>
      </c>
      <c r="B1111" t="str">
        <f>HYPERLINK("http://www.uniprot.org/uniprot/Q02297","Q02297")</f>
        <v>Q02297</v>
      </c>
      <c r="C1111" t="s">
        <v>11800</v>
      </c>
      <c r="D1111" t="s">
        <v>11801</v>
      </c>
      <c r="E1111" t="s">
        <v>39</v>
      </c>
      <c r="F1111" t="s">
        <v>40</v>
      </c>
      <c r="H1111">
        <v>640</v>
      </c>
      <c r="I1111">
        <v>1</v>
      </c>
      <c r="J1111">
        <v>0</v>
      </c>
      <c r="K1111" t="s">
        <v>11802</v>
      </c>
      <c r="L1111" t="s">
        <v>57</v>
      </c>
      <c r="N1111">
        <v>0.78239999999999998</v>
      </c>
      <c r="O1111" s="1">
        <v>1</v>
      </c>
      <c r="P1111" t="s">
        <v>11803</v>
      </c>
      <c r="Q1111" t="s">
        <v>11804</v>
      </c>
      <c r="S1111" t="s">
        <v>60</v>
      </c>
      <c r="T1111" t="s">
        <v>60</v>
      </c>
      <c r="U1111" t="s">
        <v>11805</v>
      </c>
      <c r="V1111">
        <v>3</v>
      </c>
      <c r="W1111" t="s">
        <v>11806</v>
      </c>
      <c r="X1111" t="s">
        <v>11807</v>
      </c>
      <c r="AE1111" t="s">
        <v>11808</v>
      </c>
      <c r="AF1111" t="s">
        <v>11809</v>
      </c>
      <c r="AG1111" t="s">
        <v>11810</v>
      </c>
      <c r="AH1111" t="str">
        <f>HYPERLINK("http://compartments.jensenlab.org/Entity?figures=subcell_cell_%&amp;knowledge=10&amp;textmining=10&amp;experiments=10&amp;predictions=10&amp;type1=9606&amp;type2=-22&amp;id1=ENSP00000384620","link")</f>
        <v>link</v>
      </c>
      <c r="AK1111" t="str">
        <f>HYPERLINK("http://www.proteinatlas.org/Q02297","HPA010964")</f>
        <v>HPA010964</v>
      </c>
      <c r="AM1111">
        <v>3084</v>
      </c>
    </row>
    <row r="1112" spans="1:39" x14ac:dyDescent="0.35">
      <c r="A1112" t="s">
        <v>11811</v>
      </c>
      <c r="B1112" t="str">
        <f>HYPERLINK("http://www.uniprot.org/uniprot/Q02413","Q02413")</f>
        <v>Q02413</v>
      </c>
      <c r="C1112" t="s">
        <v>11812</v>
      </c>
      <c r="D1112" t="s">
        <v>11813</v>
      </c>
      <c r="E1112" t="s">
        <v>39</v>
      </c>
      <c r="F1112" t="s">
        <v>40</v>
      </c>
      <c r="H1112">
        <v>1049</v>
      </c>
      <c r="I1112">
        <v>1</v>
      </c>
      <c r="J1112">
        <v>1</v>
      </c>
      <c r="K1112" t="s">
        <v>11814</v>
      </c>
      <c r="L1112" t="s">
        <v>57</v>
      </c>
      <c r="N1112">
        <v>0.84230000000000005</v>
      </c>
      <c r="O1112" s="1">
        <v>1</v>
      </c>
      <c r="P1112" t="s">
        <v>11815</v>
      </c>
      <c r="Q1112" t="s">
        <v>11816</v>
      </c>
      <c r="S1112" t="s">
        <v>91</v>
      </c>
      <c r="T1112" t="s">
        <v>8359</v>
      </c>
      <c r="U1112" t="s">
        <v>11817</v>
      </c>
      <c r="V1112">
        <v>3</v>
      </c>
      <c r="X1112">
        <v>794</v>
      </c>
      <c r="AE1112" t="s">
        <v>8361</v>
      </c>
      <c r="AF1112" t="s">
        <v>11818</v>
      </c>
      <c r="AG1112" t="s">
        <v>11819</v>
      </c>
      <c r="AH1112" t="str">
        <f>HYPERLINK("http://compartments.jensenlab.org/Entity?figures=subcell_cell_%&amp;knowledge=10&amp;textmining=10&amp;experiments=10&amp;predictions=10&amp;type1=9606&amp;type2=-22&amp;id1=ENSP00000257192","link")</f>
        <v>link</v>
      </c>
      <c r="AI1112" t="s">
        <v>65</v>
      </c>
      <c r="AJ1112" t="s">
        <v>4758</v>
      </c>
      <c r="AK1112" t="str">
        <f>HYPERLINK("http://www.proteinatlas.org/Q02413","CAB009394;HPA022128")</f>
        <v>CAB009394;HPA022128</v>
      </c>
      <c r="AM1112">
        <v>1828</v>
      </c>
    </row>
    <row r="1113" spans="1:39" x14ac:dyDescent="0.35">
      <c r="A1113" t="s">
        <v>11820</v>
      </c>
      <c r="B1113" t="str">
        <f>HYPERLINK("http://www.uniprot.org/uniprot/Q02487","Q02487")</f>
        <v>Q02487</v>
      </c>
      <c r="C1113" t="s">
        <v>11821</v>
      </c>
      <c r="D1113" t="s">
        <v>11822</v>
      </c>
      <c r="E1113" t="s">
        <v>39</v>
      </c>
      <c r="F1113" t="s">
        <v>55</v>
      </c>
      <c r="H1113">
        <v>901</v>
      </c>
      <c r="I1113">
        <v>1</v>
      </c>
      <c r="J1113">
        <v>1</v>
      </c>
      <c r="K1113" t="s">
        <v>11823</v>
      </c>
      <c r="L1113" t="s">
        <v>101</v>
      </c>
      <c r="M1113" t="s">
        <v>39</v>
      </c>
      <c r="N1113">
        <v>0.95699999999999996</v>
      </c>
      <c r="O1113" s="1">
        <v>1</v>
      </c>
      <c r="P1113" t="s">
        <v>11824</v>
      </c>
      <c r="Q1113" t="s">
        <v>11825</v>
      </c>
      <c r="S1113" t="s">
        <v>91</v>
      </c>
      <c r="T1113" t="s">
        <v>8359</v>
      </c>
      <c r="U1113" t="s">
        <v>11826</v>
      </c>
      <c r="V1113">
        <v>5</v>
      </c>
      <c r="Z1113" t="s">
        <v>107</v>
      </c>
      <c r="AA1113">
        <v>3</v>
      </c>
      <c r="AB1113" t="s">
        <v>11827</v>
      </c>
      <c r="AC1113" t="s">
        <v>11828</v>
      </c>
      <c r="AD1113" t="s">
        <v>11829</v>
      </c>
      <c r="AE1113" t="s">
        <v>8361</v>
      </c>
      <c r="AF1113" t="s">
        <v>11830</v>
      </c>
      <c r="AG1113" t="s">
        <v>11831</v>
      </c>
      <c r="AH1113" t="str">
        <f>HYPERLINK("http://compartments.jensenlab.org/Entity?figures=subcell_cell_%&amp;knowledge=10&amp;textmining=10&amp;experiments=10&amp;predictions=10&amp;type1=9606&amp;type2=-22&amp;id1=ENSP00000280904","link")</f>
        <v>link</v>
      </c>
      <c r="AI1113" t="s">
        <v>65</v>
      </c>
      <c r="AJ1113" t="s">
        <v>51</v>
      </c>
      <c r="AK1113" t="str">
        <f>HYPERLINK("http://www.proteinatlas.org/Q02487","HPA011911;HPA012615")</f>
        <v>HPA011911;HPA012615</v>
      </c>
      <c r="AM1113">
        <v>1824</v>
      </c>
    </row>
    <row r="1114" spans="1:39" x14ac:dyDescent="0.35">
      <c r="A1114" t="s">
        <v>11832</v>
      </c>
      <c r="B1114" t="str">
        <f>HYPERLINK("http://www.uniprot.org/uniprot/Q02505","Q02505")</f>
        <v>Q02505</v>
      </c>
      <c r="C1114" t="s">
        <v>11833</v>
      </c>
      <c r="D1114" t="s">
        <v>11834</v>
      </c>
      <c r="E1114" t="s">
        <v>39</v>
      </c>
      <c r="F1114" t="s">
        <v>40</v>
      </c>
      <c r="H1114">
        <v>2541</v>
      </c>
      <c r="I1114">
        <v>1</v>
      </c>
      <c r="J1114">
        <v>1</v>
      </c>
      <c r="K1114" t="s">
        <v>11835</v>
      </c>
      <c r="L1114" t="s">
        <v>42</v>
      </c>
      <c r="N1114">
        <v>0.83230000000000004</v>
      </c>
      <c r="O1114" s="1">
        <v>1</v>
      </c>
      <c r="P1114" t="s">
        <v>11836</v>
      </c>
      <c r="Q1114" t="s">
        <v>11837</v>
      </c>
      <c r="S1114" t="s">
        <v>60</v>
      </c>
      <c r="T1114" t="s">
        <v>60</v>
      </c>
      <c r="U1114" t="s">
        <v>11838</v>
      </c>
      <c r="V1114">
        <v>13</v>
      </c>
      <c r="W1114" t="s">
        <v>11838</v>
      </c>
      <c r="X1114" t="s">
        <v>11839</v>
      </c>
      <c r="AE1114" t="s">
        <v>11840</v>
      </c>
      <c r="AF1114" t="s">
        <v>11841</v>
      </c>
      <c r="AG1114" t="s">
        <v>11842</v>
      </c>
      <c r="AH1114" t="str">
        <f>HYPERLINK("http://compartments.jensenlab.org/Entity?figures=subcell_cell_%&amp;knowledge=10&amp;textmining=10&amp;experiments=10&amp;predictions=10&amp;type1=9606&amp;type2=-22&amp;id1=ENSP00000393306","link")</f>
        <v>link</v>
      </c>
      <c r="AK1114" t="str">
        <f>HYPERLINK("http://www.proteinatlas.org/Q02505","HPA010871")</f>
        <v>HPA010871</v>
      </c>
    </row>
    <row r="1115" spans="1:39" x14ac:dyDescent="0.35">
      <c r="A1115" t="s">
        <v>11843</v>
      </c>
      <c r="B1115" t="str">
        <f>HYPERLINK("http://www.uniprot.org/uniprot/Q02643","Q02643")</f>
        <v>Q02643</v>
      </c>
      <c r="C1115" t="s">
        <v>11844</v>
      </c>
      <c r="D1115" t="s">
        <v>11845</v>
      </c>
      <c r="E1115" t="s">
        <v>39</v>
      </c>
      <c r="F1115" t="s">
        <v>40</v>
      </c>
      <c r="H1115">
        <v>423</v>
      </c>
      <c r="I1115">
        <v>7</v>
      </c>
      <c r="J1115">
        <v>1</v>
      </c>
      <c r="K1115" t="s">
        <v>11846</v>
      </c>
      <c r="L1115" t="s">
        <v>57</v>
      </c>
      <c r="N1115">
        <v>0.8024</v>
      </c>
      <c r="O1115" s="1">
        <v>1</v>
      </c>
      <c r="P1115" t="s">
        <v>11847</v>
      </c>
      <c r="Q1115" t="s">
        <v>11848</v>
      </c>
      <c r="S1115" t="s">
        <v>166</v>
      </c>
      <c r="T1115" t="s">
        <v>3409</v>
      </c>
      <c r="U1115" t="s">
        <v>11849</v>
      </c>
      <c r="V1115">
        <v>1</v>
      </c>
      <c r="W1115" t="s">
        <v>11849</v>
      </c>
      <c r="AE1115" t="s">
        <v>74</v>
      </c>
      <c r="AF1115" t="s">
        <v>11850</v>
      </c>
      <c r="AG1115" t="s">
        <v>11851</v>
      </c>
      <c r="AH1115" t="str">
        <f>HYPERLINK("http://compartments.jensenlab.org/Entity?figures=subcell_cell_%&amp;knowledge=10&amp;textmining=10&amp;experiments=10&amp;predictions=10&amp;type1=9606&amp;type2=-22&amp;id1=ENSP00000320180","link")</f>
        <v>link</v>
      </c>
      <c r="AI1115" t="s">
        <v>65</v>
      </c>
      <c r="AJ1115" t="s">
        <v>2873</v>
      </c>
      <c r="AK1115" t="str">
        <f>HYPERLINK("http://www.proteinatlas.org/Q02643","no")</f>
        <v>no</v>
      </c>
      <c r="AL1115" t="s">
        <v>11852</v>
      </c>
      <c r="AM1115">
        <v>2692</v>
      </c>
    </row>
    <row r="1116" spans="1:39" x14ac:dyDescent="0.35">
      <c r="A1116" t="s">
        <v>11853</v>
      </c>
      <c r="B1116" t="str">
        <f>HYPERLINK("http://www.uniprot.org/uniprot/Q02763","Q02763")</f>
        <v>Q02763</v>
      </c>
      <c r="C1116" t="s">
        <v>11854</v>
      </c>
      <c r="D1116" t="s">
        <v>11855</v>
      </c>
      <c r="E1116" t="s">
        <v>39</v>
      </c>
      <c r="F1116" t="s">
        <v>55</v>
      </c>
      <c r="H1116">
        <v>1124</v>
      </c>
      <c r="I1116">
        <v>1</v>
      </c>
      <c r="J1116">
        <v>1</v>
      </c>
      <c r="K1116" t="s">
        <v>11856</v>
      </c>
      <c r="L1116" t="s">
        <v>101</v>
      </c>
      <c r="M1116" t="s">
        <v>39</v>
      </c>
      <c r="N1116">
        <v>0.96530000000000005</v>
      </c>
      <c r="O1116" s="1">
        <v>1</v>
      </c>
      <c r="P1116" t="s">
        <v>11857</v>
      </c>
      <c r="Q1116" t="s">
        <v>11858</v>
      </c>
      <c r="R1116" t="s">
        <v>11859</v>
      </c>
      <c r="S1116" t="s">
        <v>166</v>
      </c>
      <c r="T1116" t="s">
        <v>1411</v>
      </c>
      <c r="U1116" t="s">
        <v>11860</v>
      </c>
      <c r="V1116">
        <v>9</v>
      </c>
      <c r="W1116" t="s">
        <v>11860</v>
      </c>
      <c r="X1116" t="s">
        <v>11861</v>
      </c>
      <c r="Z1116" t="s">
        <v>107</v>
      </c>
      <c r="AA1116">
        <v>3</v>
      </c>
      <c r="AB1116" t="s">
        <v>11862</v>
      </c>
      <c r="AC1116" t="s">
        <v>11863</v>
      </c>
      <c r="AD1116" t="s">
        <v>11864</v>
      </c>
      <c r="AE1116" t="s">
        <v>11865</v>
      </c>
      <c r="AF1116" t="s">
        <v>11866</v>
      </c>
      <c r="AG1116" t="s">
        <v>11867</v>
      </c>
      <c r="AH1116" t="str">
        <f>HYPERLINK("http://compartments.jensenlab.org/Entity?figures=subcell_cell_%&amp;knowledge=10&amp;textmining=10&amp;experiments=10&amp;predictions=10&amp;type1=9606&amp;type2=-22&amp;id1=ENSP00000369375","link")</f>
        <v>link</v>
      </c>
      <c r="AK1116" t="str">
        <f>HYPERLINK("http://www.proteinatlas.org/Q02763","CAB010359;HPA011738")</f>
        <v>CAB010359;HPA011738</v>
      </c>
      <c r="AL1116" t="s">
        <v>11868</v>
      </c>
      <c r="AM1116">
        <v>7010</v>
      </c>
    </row>
    <row r="1117" spans="1:39" x14ac:dyDescent="0.35">
      <c r="A1117" t="s">
        <v>11869</v>
      </c>
      <c r="B1117" t="str">
        <f>HYPERLINK("http://www.uniprot.org/uniprot/Q03167","Q03167")</f>
        <v>Q03167</v>
      </c>
      <c r="C1117" t="s">
        <v>11870</v>
      </c>
      <c r="D1117" t="s">
        <v>11871</v>
      </c>
      <c r="E1117" t="s">
        <v>39</v>
      </c>
      <c r="F1117" t="s">
        <v>55</v>
      </c>
      <c r="H1117">
        <v>851</v>
      </c>
      <c r="I1117">
        <v>1</v>
      </c>
      <c r="J1117">
        <v>1</v>
      </c>
      <c r="K1117" t="s">
        <v>11872</v>
      </c>
      <c r="L1117" t="s">
        <v>101</v>
      </c>
      <c r="M1117" t="s">
        <v>39</v>
      </c>
      <c r="N1117">
        <v>0.85470000000000002</v>
      </c>
      <c r="O1117" s="1">
        <v>1</v>
      </c>
      <c r="P1117" t="s">
        <v>11873</v>
      </c>
      <c r="Q1117" t="s">
        <v>11874</v>
      </c>
      <c r="S1117" t="s">
        <v>60</v>
      </c>
      <c r="T1117" t="s">
        <v>60</v>
      </c>
      <c r="U1117" t="s">
        <v>11875</v>
      </c>
      <c r="V1117">
        <v>5</v>
      </c>
      <c r="W1117" t="s">
        <v>11876</v>
      </c>
      <c r="X1117" t="s">
        <v>11877</v>
      </c>
      <c r="Z1117" t="s">
        <v>107</v>
      </c>
      <c r="AA1117">
        <v>3</v>
      </c>
      <c r="AB1117" t="s">
        <v>11878</v>
      </c>
      <c r="AC1117" t="s">
        <v>11879</v>
      </c>
      <c r="AD1117" t="s">
        <v>11880</v>
      </c>
      <c r="AE1117" t="s">
        <v>11881</v>
      </c>
      <c r="AF1117" t="s">
        <v>11882</v>
      </c>
      <c r="AG1117" t="s">
        <v>11883</v>
      </c>
      <c r="AH1117" t="str">
        <f>HYPERLINK("http://compartments.jensenlab.org/Entity?figures=subcell_cell_%&amp;knowledge=10&amp;textmining=10&amp;experiments=10&amp;predictions=10&amp;type1=9606&amp;type2=-22&amp;id1=ENSP00000212355","link")</f>
        <v>link</v>
      </c>
      <c r="AI1117" t="s">
        <v>1058</v>
      </c>
      <c r="AJ1117" t="s">
        <v>902</v>
      </c>
      <c r="AK1117" t="str">
        <f>HYPERLINK("http://www.proteinatlas.org/Q03167","HPA008257;CAB018971")</f>
        <v>HPA008257;CAB018971</v>
      </c>
      <c r="AM1117">
        <v>7049</v>
      </c>
    </row>
    <row r="1118" spans="1:39" x14ac:dyDescent="0.35">
      <c r="A1118" t="s">
        <v>11884</v>
      </c>
      <c r="B1118" t="str">
        <f>HYPERLINK("http://www.uniprot.org/uniprot/Q03405","Q03405")</f>
        <v>Q03405</v>
      </c>
      <c r="C1118" t="s">
        <v>11885</v>
      </c>
      <c r="D1118" t="s">
        <v>11886</v>
      </c>
      <c r="E1118" t="s">
        <v>39</v>
      </c>
      <c r="F1118" t="s">
        <v>239</v>
      </c>
      <c r="H1118">
        <v>335</v>
      </c>
      <c r="I1118">
        <v>0</v>
      </c>
      <c r="J1118">
        <v>1</v>
      </c>
      <c r="K1118" t="s">
        <v>11887</v>
      </c>
      <c r="L1118" t="s">
        <v>996</v>
      </c>
      <c r="N1118">
        <v>0.78439999999999999</v>
      </c>
      <c r="O1118" s="1" t="s">
        <v>997</v>
      </c>
      <c r="P1118" t="s">
        <v>11888</v>
      </c>
      <c r="Q1118" t="s">
        <v>11889</v>
      </c>
      <c r="R1118" t="s">
        <v>11890</v>
      </c>
      <c r="U1118" t="s">
        <v>11891</v>
      </c>
      <c r="V1118">
        <v>5</v>
      </c>
      <c r="W1118" t="s">
        <v>11891</v>
      </c>
      <c r="X1118" t="s">
        <v>11892</v>
      </c>
      <c r="Y1118" t="s">
        <v>11893</v>
      </c>
      <c r="Z1118" t="s">
        <v>107</v>
      </c>
      <c r="AA1118">
        <v>18</v>
      </c>
      <c r="AB1118" t="s">
        <v>11894</v>
      </c>
      <c r="AC1118" t="s">
        <v>11895</v>
      </c>
      <c r="AD1118" t="s">
        <v>11896</v>
      </c>
      <c r="AE1118" t="s">
        <v>11897</v>
      </c>
      <c r="AF1118" t="s">
        <v>11898</v>
      </c>
      <c r="AG1118" t="s">
        <v>11899</v>
      </c>
      <c r="AH1118" t="str">
        <f>HYPERLINK("http://compartments.jensenlab.org/Entity?figures=subcell_cell_%&amp;knowledge=10&amp;textmining=10&amp;experiments=10&amp;predictions=10&amp;type1=9606&amp;type2=-22&amp;id1=ENSP00000339328","link")</f>
        <v>link</v>
      </c>
      <c r="AI1118" t="s">
        <v>65</v>
      </c>
      <c r="AJ1118" t="s">
        <v>11102</v>
      </c>
      <c r="AK1118" t="str">
        <f>HYPERLINK("http://www.proteinatlas.org/Q03405","HPA050843")</f>
        <v>HPA050843</v>
      </c>
      <c r="AL1118" t="s">
        <v>11900</v>
      </c>
      <c r="AM1118">
        <v>5329</v>
      </c>
    </row>
    <row r="1119" spans="1:39" x14ac:dyDescent="0.35">
      <c r="A1119" t="s">
        <v>11901</v>
      </c>
      <c r="B1119" t="str">
        <f>HYPERLINK("http://www.uniprot.org/uniprot/Q03431","Q03431")</f>
        <v>Q03431</v>
      </c>
      <c r="C1119" t="s">
        <v>11902</v>
      </c>
      <c r="D1119" t="s">
        <v>11903</v>
      </c>
      <c r="E1119" t="s">
        <v>39</v>
      </c>
      <c r="F1119" t="s">
        <v>40</v>
      </c>
      <c r="H1119">
        <v>593</v>
      </c>
      <c r="I1119">
        <v>7</v>
      </c>
      <c r="J1119">
        <v>1</v>
      </c>
      <c r="K1119" t="s">
        <v>11904</v>
      </c>
      <c r="L1119" t="s">
        <v>57</v>
      </c>
      <c r="N1119">
        <v>0.93410000000000004</v>
      </c>
      <c r="O1119" s="1">
        <v>1</v>
      </c>
      <c r="P1119" t="s">
        <v>11905</v>
      </c>
      <c r="Q1119" t="s">
        <v>11906</v>
      </c>
      <c r="S1119" t="s">
        <v>166</v>
      </c>
      <c r="T1119" t="s">
        <v>3409</v>
      </c>
      <c r="U1119" t="s">
        <v>11907</v>
      </c>
      <c r="V1119">
        <v>4</v>
      </c>
      <c r="W1119" t="s">
        <v>11908</v>
      </c>
      <c r="X1119" t="s">
        <v>11909</v>
      </c>
      <c r="Y1119">
        <v>474</v>
      </c>
      <c r="AE1119" t="s">
        <v>74</v>
      </c>
      <c r="AF1119" t="s">
        <v>11910</v>
      </c>
      <c r="AG1119" t="s">
        <v>11911</v>
      </c>
      <c r="AH1119" t="str">
        <f>HYPERLINK("http://compartments.jensenlab.org/Entity?figures=subcell_cell_%&amp;knowledge=10&amp;textmining=10&amp;experiments=10&amp;predictions=10&amp;type1=9606&amp;type2=-22&amp;id1=ENSP00000321999","link")</f>
        <v>link</v>
      </c>
      <c r="AI1119" t="s">
        <v>65</v>
      </c>
      <c r="AJ1119" t="s">
        <v>299</v>
      </c>
      <c r="AK1119" t="str">
        <f>HYPERLINK("http://www.proteinatlas.org/Q03431","HPA007978;CAB016053")</f>
        <v>HPA007978;CAB016053</v>
      </c>
      <c r="AL1119" t="s">
        <v>11912</v>
      </c>
      <c r="AM1119">
        <v>5745</v>
      </c>
    </row>
    <row r="1120" spans="1:39" x14ac:dyDescent="0.35">
      <c r="A1120" t="s">
        <v>11913</v>
      </c>
      <c r="B1120" t="str">
        <f>HYPERLINK("http://www.uniprot.org/uniprot/Q04609","Q04609")</f>
        <v>Q04609</v>
      </c>
      <c r="C1120" t="s">
        <v>11914</v>
      </c>
      <c r="D1120" t="s">
        <v>11915</v>
      </c>
      <c r="E1120" t="s">
        <v>39</v>
      </c>
      <c r="F1120" t="s">
        <v>40</v>
      </c>
      <c r="H1120">
        <v>750</v>
      </c>
      <c r="I1120">
        <v>1</v>
      </c>
      <c r="J1120">
        <v>0</v>
      </c>
      <c r="K1120" t="s">
        <v>11916</v>
      </c>
      <c r="L1120" t="s">
        <v>57</v>
      </c>
      <c r="N1120">
        <v>0.64470000000000005</v>
      </c>
      <c r="O1120" s="1">
        <v>2</v>
      </c>
      <c r="P1120" t="s">
        <v>11917</v>
      </c>
      <c r="Q1120" t="s">
        <v>11918</v>
      </c>
      <c r="S1120" t="s">
        <v>947</v>
      </c>
      <c r="T1120" t="s">
        <v>2866</v>
      </c>
      <c r="U1120" t="s">
        <v>11919</v>
      </c>
      <c r="V1120">
        <v>10</v>
      </c>
      <c r="W1120" t="s">
        <v>11920</v>
      </c>
      <c r="AE1120" t="s">
        <v>11921</v>
      </c>
      <c r="AF1120" t="s">
        <v>11922</v>
      </c>
      <c r="AG1120" t="s">
        <v>11923</v>
      </c>
      <c r="AH1120" t="str">
        <f>HYPERLINK("http://compartments.jensenlab.org/Entity?figures=subcell_cell_%&amp;knowledge=10&amp;textmining=10&amp;experiments=10&amp;predictions=10&amp;type1=9606&amp;type2=-22&amp;id1=ENSP00000256999","link")</f>
        <v>link</v>
      </c>
      <c r="AI1120" t="s">
        <v>65</v>
      </c>
      <c r="AJ1120" t="s">
        <v>299</v>
      </c>
      <c r="AK1120" t="str">
        <f>HYPERLINK("http://www.proteinatlas.org/Q04609","CAB001451;HPA010593")</f>
        <v>CAB001451;HPA010593</v>
      </c>
      <c r="AL1120" t="s">
        <v>11924</v>
      </c>
      <c r="AM1120">
        <v>2346</v>
      </c>
    </row>
    <row r="1121" spans="1:39" x14ac:dyDescent="0.35">
      <c r="A1121" t="s">
        <v>11925</v>
      </c>
      <c r="B1121" t="str">
        <f>HYPERLINK("http://www.uniprot.org/uniprot/Q04721","Q04721")</f>
        <v>Q04721</v>
      </c>
      <c r="C1121" t="s">
        <v>11926</v>
      </c>
      <c r="D1121" t="s">
        <v>11927</v>
      </c>
      <c r="E1121" t="s">
        <v>39</v>
      </c>
      <c r="F1121" t="s">
        <v>55</v>
      </c>
      <c r="H1121">
        <v>2471</v>
      </c>
      <c r="I1121">
        <v>1</v>
      </c>
      <c r="J1121">
        <v>1</v>
      </c>
      <c r="K1121" t="s">
        <v>11928</v>
      </c>
      <c r="L1121" t="s">
        <v>101</v>
      </c>
      <c r="M1121" t="s">
        <v>39</v>
      </c>
      <c r="N1121">
        <v>0.88170000000000004</v>
      </c>
      <c r="O1121" s="1">
        <v>1</v>
      </c>
      <c r="P1121" t="s">
        <v>11929</v>
      </c>
      <c r="Q1121" t="s">
        <v>11930</v>
      </c>
      <c r="S1121" t="s">
        <v>166</v>
      </c>
      <c r="T1121" t="s">
        <v>9652</v>
      </c>
      <c r="U1121" t="s">
        <v>11931</v>
      </c>
      <c r="V1121">
        <v>5</v>
      </c>
      <c r="W1121" t="s">
        <v>11931</v>
      </c>
      <c r="X1121" t="s">
        <v>11932</v>
      </c>
      <c r="Z1121" t="s">
        <v>107</v>
      </c>
      <c r="AA1121">
        <v>1</v>
      </c>
      <c r="AB1121" t="s">
        <v>11933</v>
      </c>
      <c r="AC1121">
        <v>46</v>
      </c>
      <c r="AD1121" t="s">
        <v>11934</v>
      </c>
      <c r="AE1121" t="s">
        <v>9658</v>
      </c>
      <c r="AF1121" t="s">
        <v>11935</v>
      </c>
      <c r="AG1121" t="s">
        <v>11936</v>
      </c>
      <c r="AH1121" t="str">
        <f>HYPERLINK("http://compartments.jensenlab.org/Entity?figures=subcell_cell_%&amp;knowledge=10&amp;textmining=10&amp;experiments=10&amp;predictions=10&amp;type1=9606&amp;type2=-22&amp;id1=ENSP00000256646","link")</f>
        <v>link</v>
      </c>
      <c r="AI1121" t="s">
        <v>7719</v>
      </c>
      <c r="AJ1121" t="s">
        <v>11937</v>
      </c>
      <c r="AK1121" t="str">
        <f>HYPERLINK("http://www.proteinatlas.org/Q04721","HPA046392")</f>
        <v>HPA046392</v>
      </c>
      <c r="AM1121">
        <v>4853</v>
      </c>
    </row>
    <row r="1122" spans="1:39" x14ac:dyDescent="0.35">
      <c r="A1122" t="s">
        <v>11938</v>
      </c>
      <c r="B1122" t="str">
        <f>HYPERLINK("http://www.uniprot.org/uniprot/Q04771","Q04771")</f>
        <v>Q04771</v>
      </c>
      <c r="C1122" t="s">
        <v>11939</v>
      </c>
      <c r="D1122" t="s">
        <v>11940</v>
      </c>
      <c r="E1122" t="s">
        <v>39</v>
      </c>
      <c r="F1122" t="s">
        <v>55</v>
      </c>
      <c r="H1122">
        <v>509</v>
      </c>
      <c r="I1122">
        <v>1</v>
      </c>
      <c r="J1122">
        <v>1</v>
      </c>
      <c r="K1122" t="s">
        <v>11941</v>
      </c>
      <c r="L1122" t="s">
        <v>101</v>
      </c>
      <c r="M1122" t="s">
        <v>39</v>
      </c>
      <c r="N1122">
        <v>0.85370000000000001</v>
      </c>
      <c r="O1122" s="1">
        <v>1</v>
      </c>
      <c r="P1122" t="s">
        <v>11942</v>
      </c>
      <c r="Q1122" t="s">
        <v>11943</v>
      </c>
      <c r="S1122" t="s">
        <v>166</v>
      </c>
      <c r="T1122" t="s">
        <v>7370</v>
      </c>
      <c r="U1122">
        <v>102</v>
      </c>
      <c r="V1122">
        <v>1</v>
      </c>
      <c r="X1122" t="s">
        <v>11944</v>
      </c>
      <c r="Z1122" t="s">
        <v>107</v>
      </c>
      <c r="AA1122">
        <v>2</v>
      </c>
      <c r="AB1122" t="s">
        <v>11945</v>
      </c>
      <c r="AC1122">
        <v>102</v>
      </c>
      <c r="AD1122" t="s">
        <v>11946</v>
      </c>
      <c r="AE1122" t="s">
        <v>144</v>
      </c>
      <c r="AF1122" t="s">
        <v>11947</v>
      </c>
      <c r="AG1122" t="s">
        <v>11948</v>
      </c>
      <c r="AH1122" t="str">
        <f>HYPERLINK("http://compartments.jensenlab.org/Entity?figures=subcell_cell_%&amp;knowledge=10&amp;textmining=10&amp;experiments=10&amp;predictions=10&amp;type1=9606&amp;type2=-22&amp;id1=ENSP00000263640","link")</f>
        <v>link</v>
      </c>
      <c r="AI1122" t="s">
        <v>65</v>
      </c>
      <c r="AJ1122" t="s">
        <v>51</v>
      </c>
      <c r="AK1122" t="str">
        <f>HYPERLINK("http://www.proteinatlas.org/Q04771","HPA007505;HPA046514")</f>
        <v>HPA007505;HPA046514</v>
      </c>
      <c r="AL1122" t="s">
        <v>8844</v>
      </c>
      <c r="AM1122">
        <v>90</v>
      </c>
    </row>
    <row r="1123" spans="1:39" x14ac:dyDescent="0.35">
      <c r="A1123" t="s">
        <v>11949</v>
      </c>
      <c r="B1123" t="str">
        <f>HYPERLINK("http://www.uniprot.org/uniprot/Q04826","Q04826")</f>
        <v>Q04826</v>
      </c>
      <c r="C1123" t="s">
        <v>11950</v>
      </c>
      <c r="D1123" t="s">
        <v>3637</v>
      </c>
      <c r="E1123" t="s">
        <v>39</v>
      </c>
      <c r="F1123" t="s">
        <v>40</v>
      </c>
      <c r="H1123">
        <v>362</v>
      </c>
      <c r="I1123">
        <v>1</v>
      </c>
      <c r="J1123">
        <v>1</v>
      </c>
      <c r="K1123" t="s">
        <v>3638</v>
      </c>
      <c r="L1123" t="s">
        <v>57</v>
      </c>
      <c r="N1123">
        <v>0.79239999999999999</v>
      </c>
      <c r="O1123" s="1">
        <v>1</v>
      </c>
      <c r="P1123" t="s">
        <v>6136</v>
      </c>
      <c r="Q1123" t="s">
        <v>6137</v>
      </c>
      <c r="S1123" t="s">
        <v>91</v>
      </c>
      <c r="T1123" t="s">
        <v>3641</v>
      </c>
      <c r="U1123">
        <v>110</v>
      </c>
      <c r="V1123">
        <v>1</v>
      </c>
      <c r="AE1123" t="s">
        <v>144</v>
      </c>
      <c r="AF1123" t="s">
        <v>11951</v>
      </c>
      <c r="AG1123" t="s">
        <v>11952</v>
      </c>
      <c r="AH1123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1123" t="str">
        <f>HYPERLINK("http://www.proteinatlas.org/Q04826","no")</f>
        <v>no</v>
      </c>
    </row>
    <row r="1124" spans="1:39" x14ac:dyDescent="0.35">
      <c r="A1124" t="s">
        <v>11953</v>
      </c>
      <c r="B1124" t="str">
        <f>HYPERLINK("http://www.uniprot.org/uniprot/Q04844","Q04844")</f>
        <v>Q04844</v>
      </c>
      <c r="C1124" t="s">
        <v>11954</v>
      </c>
      <c r="D1124" t="s">
        <v>11955</v>
      </c>
      <c r="E1124" t="s">
        <v>39</v>
      </c>
      <c r="F1124" t="s">
        <v>55</v>
      </c>
      <c r="H1124">
        <v>493</v>
      </c>
      <c r="I1124">
        <v>4</v>
      </c>
      <c r="J1124">
        <v>1</v>
      </c>
      <c r="K1124" t="s">
        <v>11956</v>
      </c>
      <c r="L1124" t="s">
        <v>57</v>
      </c>
      <c r="M1124" t="s">
        <v>39</v>
      </c>
      <c r="N1124">
        <v>0.92820000000000003</v>
      </c>
      <c r="O1124" s="1">
        <v>1</v>
      </c>
      <c r="P1124" t="s">
        <v>11957</v>
      </c>
      <c r="Q1124" t="s">
        <v>11958</v>
      </c>
      <c r="S1124" t="s">
        <v>45</v>
      </c>
      <c r="T1124" t="s">
        <v>195</v>
      </c>
      <c r="U1124" t="s">
        <v>11959</v>
      </c>
      <c r="V1124">
        <v>2</v>
      </c>
      <c r="AE1124" t="s">
        <v>619</v>
      </c>
      <c r="AF1124" t="s">
        <v>11960</v>
      </c>
      <c r="AG1124" t="s">
        <v>11961</v>
      </c>
      <c r="AH1124" t="str">
        <f>HYPERLINK("http://compartments.jensenlab.org/Entity?figures=subcell_cell_%&amp;knowledge=10&amp;textmining=10&amp;experiments=10&amp;predictions=10&amp;type1=9606&amp;type2=-22&amp;id1=ENSP00000293780","link")</f>
        <v>link</v>
      </c>
      <c r="AI1124" t="s">
        <v>65</v>
      </c>
      <c r="AJ1124" t="s">
        <v>51</v>
      </c>
      <c r="AK1124" t="str">
        <f>HYPERLINK("http://www.proteinatlas.org/Q04844","no")</f>
        <v>no</v>
      </c>
      <c r="AL1124" t="s">
        <v>3744</v>
      </c>
      <c r="AM1124">
        <v>1145</v>
      </c>
    </row>
    <row r="1125" spans="1:39" x14ac:dyDescent="0.35">
      <c r="A1125" t="s">
        <v>11962</v>
      </c>
      <c r="B1125" t="str">
        <f>HYPERLINK("http://www.uniprot.org/uniprot/Q04900","Q04900")</f>
        <v>Q04900</v>
      </c>
      <c r="C1125" t="s">
        <v>11963</v>
      </c>
      <c r="D1125" t="s">
        <v>11964</v>
      </c>
      <c r="E1125" t="s">
        <v>39</v>
      </c>
      <c r="F1125" t="s">
        <v>55</v>
      </c>
      <c r="H1125">
        <v>197</v>
      </c>
      <c r="I1125">
        <v>1</v>
      </c>
      <c r="J1125">
        <v>1</v>
      </c>
      <c r="K1125" t="s">
        <v>11965</v>
      </c>
      <c r="L1125" t="s">
        <v>101</v>
      </c>
      <c r="M1125" t="s">
        <v>39</v>
      </c>
      <c r="N1125">
        <v>0.86890000000000001</v>
      </c>
      <c r="O1125" s="1">
        <v>1</v>
      </c>
      <c r="P1125" t="s">
        <v>11966</v>
      </c>
      <c r="Q1125" t="s">
        <v>11967</v>
      </c>
      <c r="R1125" t="s">
        <v>11964</v>
      </c>
      <c r="S1125" t="s">
        <v>60</v>
      </c>
      <c r="T1125" t="s">
        <v>60</v>
      </c>
      <c r="U1125" t="s">
        <v>11968</v>
      </c>
      <c r="V1125">
        <v>9</v>
      </c>
      <c r="W1125" t="s">
        <v>11968</v>
      </c>
      <c r="X1125" t="s">
        <v>11969</v>
      </c>
      <c r="Z1125" t="s">
        <v>107</v>
      </c>
      <c r="AA1125">
        <v>2</v>
      </c>
      <c r="AB1125" t="s">
        <v>11970</v>
      </c>
      <c r="AC1125">
        <v>146</v>
      </c>
      <c r="AD1125" t="s">
        <v>11971</v>
      </c>
      <c r="AE1125" t="s">
        <v>11972</v>
      </c>
      <c r="AF1125" t="s">
        <v>11973</v>
      </c>
      <c r="AG1125" t="s">
        <v>11974</v>
      </c>
      <c r="AH1125" t="str">
        <f>HYPERLINK("http://compartments.jensenlab.org/Entity?figures=subcell_cell_%&amp;knowledge=10&amp;textmining=10&amp;experiments=10&amp;predictions=10&amp;type1=9606&amp;type2=-22&amp;id1=ENSP00000309376","link")</f>
        <v>link</v>
      </c>
      <c r="AI1125" t="s">
        <v>4661</v>
      </c>
      <c r="AJ1125" t="s">
        <v>11975</v>
      </c>
      <c r="AK1125" t="str">
        <f>HYPERLINK("http://www.proteinatlas.org/Q04900","HPA010636")</f>
        <v>HPA010636</v>
      </c>
      <c r="AM1125">
        <v>8763</v>
      </c>
    </row>
    <row r="1126" spans="1:39" x14ac:dyDescent="0.35">
      <c r="A1126" t="s">
        <v>11976</v>
      </c>
      <c r="B1126" t="str">
        <f>HYPERLINK("http://www.uniprot.org/uniprot/Q04912","Q04912")</f>
        <v>Q04912</v>
      </c>
      <c r="C1126" t="s">
        <v>11977</v>
      </c>
      <c r="D1126" t="s">
        <v>11978</v>
      </c>
      <c r="E1126" t="s">
        <v>39</v>
      </c>
      <c r="F1126" t="s">
        <v>40</v>
      </c>
      <c r="H1126">
        <v>1400</v>
      </c>
      <c r="I1126">
        <v>1</v>
      </c>
      <c r="J1126">
        <v>1</v>
      </c>
      <c r="K1126" t="s">
        <v>11979</v>
      </c>
      <c r="L1126" t="s">
        <v>101</v>
      </c>
      <c r="N1126">
        <v>0.96209999999999996</v>
      </c>
      <c r="O1126" s="1">
        <v>1</v>
      </c>
      <c r="P1126" t="s">
        <v>11980</v>
      </c>
      <c r="Q1126" t="s">
        <v>11981</v>
      </c>
      <c r="R1126" t="s">
        <v>11982</v>
      </c>
      <c r="S1126" t="s">
        <v>166</v>
      </c>
      <c r="T1126" t="s">
        <v>1411</v>
      </c>
      <c r="U1126" t="s">
        <v>11983</v>
      </c>
      <c r="V1126">
        <v>8</v>
      </c>
      <c r="W1126" t="s">
        <v>11984</v>
      </c>
      <c r="X1126" t="s">
        <v>11985</v>
      </c>
      <c r="Z1126" t="s">
        <v>107</v>
      </c>
      <c r="AA1126">
        <v>5</v>
      </c>
      <c r="AB1126" t="s">
        <v>11986</v>
      </c>
      <c r="AC1126" t="s">
        <v>11987</v>
      </c>
      <c r="AD1126" t="s">
        <v>11988</v>
      </c>
      <c r="AE1126" t="s">
        <v>144</v>
      </c>
      <c r="AF1126" t="s">
        <v>11989</v>
      </c>
      <c r="AG1126" t="s">
        <v>11990</v>
      </c>
      <c r="AH1126" t="str">
        <f>HYPERLINK("http://compartments.jensenlab.org/Entity?figures=subcell_cell_%&amp;knowledge=10&amp;textmining=10&amp;experiments=10&amp;predictions=10&amp;type1=9606&amp;type2=-22&amp;id1=ENSP00000296474","link")</f>
        <v>link</v>
      </c>
      <c r="AJ1126" t="s">
        <v>1811</v>
      </c>
      <c r="AK1126" t="str">
        <f>HYPERLINK("http://www.proteinatlas.org/Q04912","HPA007657;HPA008180;CAB008972")</f>
        <v>HPA007657;HPA008180;CAB008972</v>
      </c>
      <c r="AM1126">
        <v>4486</v>
      </c>
    </row>
    <row r="1127" spans="1:39" x14ac:dyDescent="0.35">
      <c r="A1127" t="s">
        <v>11991</v>
      </c>
      <c r="B1127" t="str">
        <f>HYPERLINK("http://www.uniprot.org/uniprot/Q05586","Q05586")</f>
        <v>Q05586</v>
      </c>
      <c r="C1127" t="s">
        <v>11992</v>
      </c>
      <c r="D1127" t="s">
        <v>11993</v>
      </c>
      <c r="E1127" t="s">
        <v>39</v>
      </c>
      <c r="F1127" t="s">
        <v>55</v>
      </c>
      <c r="H1127">
        <v>938</v>
      </c>
      <c r="I1127">
        <v>3</v>
      </c>
      <c r="J1127">
        <v>1</v>
      </c>
      <c r="K1127" t="s">
        <v>11994</v>
      </c>
      <c r="L1127" t="s">
        <v>57</v>
      </c>
      <c r="M1127" t="s">
        <v>39</v>
      </c>
      <c r="N1127">
        <v>0.98499999999999999</v>
      </c>
      <c r="O1127" s="1">
        <v>1</v>
      </c>
      <c r="P1127" t="s">
        <v>11995</v>
      </c>
      <c r="Q1127" t="s">
        <v>11996</v>
      </c>
      <c r="S1127" t="s">
        <v>45</v>
      </c>
      <c r="T1127" t="s">
        <v>1554</v>
      </c>
      <c r="U1127" t="s">
        <v>11997</v>
      </c>
      <c r="V1127">
        <v>11</v>
      </c>
      <c r="W1127" t="s">
        <v>11998</v>
      </c>
      <c r="X1127" t="s">
        <v>11999</v>
      </c>
      <c r="Y1127">
        <v>608</v>
      </c>
      <c r="AE1127" t="s">
        <v>12000</v>
      </c>
      <c r="AF1127" t="s">
        <v>12001</v>
      </c>
      <c r="AG1127" t="s">
        <v>12002</v>
      </c>
      <c r="AH1127" t="str">
        <f>HYPERLINK("http://compartments.jensenlab.org/Entity?figures=subcell_cell_%&amp;knowledge=10&amp;textmining=10&amp;experiments=10&amp;predictions=10&amp;type1=9606&amp;type2=-22&amp;id1=ENSP00000360616","link")</f>
        <v>link</v>
      </c>
      <c r="AI1127" t="s">
        <v>65</v>
      </c>
      <c r="AJ1127" t="s">
        <v>1811</v>
      </c>
      <c r="AK1127" t="str">
        <f>HYPERLINK("http://www.proteinatlas.org/Q05586","CAB006831")</f>
        <v>CAB006831</v>
      </c>
      <c r="AL1127" t="s">
        <v>12003</v>
      </c>
      <c r="AM1127">
        <v>2902</v>
      </c>
    </row>
    <row r="1128" spans="1:39" x14ac:dyDescent="0.35">
      <c r="A1128" t="s">
        <v>12004</v>
      </c>
      <c r="B1128" t="str">
        <f>HYPERLINK("http://www.uniprot.org/uniprot/Q05901","Q05901")</f>
        <v>Q05901</v>
      </c>
      <c r="C1128" t="s">
        <v>12005</v>
      </c>
      <c r="D1128" t="s">
        <v>12006</v>
      </c>
      <c r="E1128" t="s">
        <v>39</v>
      </c>
      <c r="F1128" t="s">
        <v>55</v>
      </c>
      <c r="H1128">
        <v>458</v>
      </c>
      <c r="I1128">
        <v>4</v>
      </c>
      <c r="J1128">
        <v>1</v>
      </c>
      <c r="K1128" t="s">
        <v>12007</v>
      </c>
      <c r="L1128" t="s">
        <v>57</v>
      </c>
      <c r="M1128" t="s">
        <v>39</v>
      </c>
      <c r="N1128">
        <v>0.86670000000000003</v>
      </c>
      <c r="O1128" s="1">
        <v>1</v>
      </c>
      <c r="P1128" t="s">
        <v>12008</v>
      </c>
      <c r="Q1128" t="s">
        <v>12009</v>
      </c>
      <c r="S1128" t="s">
        <v>45</v>
      </c>
      <c r="T1128" t="s">
        <v>195</v>
      </c>
      <c r="U1128" t="s">
        <v>12010</v>
      </c>
      <c r="V1128">
        <v>3</v>
      </c>
      <c r="AE1128" t="s">
        <v>619</v>
      </c>
      <c r="AF1128" t="s">
        <v>7953</v>
      </c>
      <c r="AG1128" t="s">
        <v>12011</v>
      </c>
      <c r="AH1128" t="str">
        <f>HYPERLINK("http://compartments.jensenlab.org/Entity?figures=subcell_cell_%&amp;knowledge=10&amp;textmining=10&amp;experiments=10&amp;predictions=10&amp;type1=9606&amp;type2=-22&amp;id1=ENSP00000289957","link")</f>
        <v>link</v>
      </c>
      <c r="AI1128" t="s">
        <v>65</v>
      </c>
      <c r="AJ1128" t="s">
        <v>51</v>
      </c>
      <c r="AK1128" t="str">
        <f>HYPERLINK("http://www.proteinatlas.org/Q05901","HPA045555")</f>
        <v>HPA045555</v>
      </c>
      <c r="AL1128" t="s">
        <v>7955</v>
      </c>
      <c r="AM1128">
        <v>1142</v>
      </c>
    </row>
    <row r="1129" spans="1:39" x14ac:dyDescent="0.35">
      <c r="A1129" t="s">
        <v>12012</v>
      </c>
      <c r="B1129" t="str">
        <f>HYPERLINK("http://www.uniprot.org/uniprot/Q05940","Q05940")</f>
        <v>Q05940</v>
      </c>
      <c r="C1129" t="s">
        <v>12013</v>
      </c>
      <c r="D1129" t="s">
        <v>12014</v>
      </c>
      <c r="E1129" t="s">
        <v>39</v>
      </c>
      <c r="F1129" t="s">
        <v>40</v>
      </c>
      <c r="H1129">
        <v>514</v>
      </c>
      <c r="I1129">
        <v>12</v>
      </c>
      <c r="J1129">
        <v>0</v>
      </c>
      <c r="K1129" t="s">
        <v>12015</v>
      </c>
      <c r="L1129" t="s">
        <v>57</v>
      </c>
      <c r="N1129">
        <v>0.92610000000000003</v>
      </c>
      <c r="O1129" s="1">
        <v>1</v>
      </c>
      <c r="P1129" t="s">
        <v>12016</v>
      </c>
      <c r="Q1129" t="s">
        <v>12017</v>
      </c>
      <c r="S1129" t="s">
        <v>45</v>
      </c>
      <c r="T1129" t="s">
        <v>10615</v>
      </c>
      <c r="U1129" t="s">
        <v>12018</v>
      </c>
      <c r="V1129">
        <v>4</v>
      </c>
      <c r="W1129" t="s">
        <v>12019</v>
      </c>
      <c r="X1129">
        <v>70</v>
      </c>
      <c r="AE1129" t="s">
        <v>12020</v>
      </c>
      <c r="AF1129" t="s">
        <v>12021</v>
      </c>
      <c r="AG1129" t="s">
        <v>12022</v>
      </c>
      <c r="AH1129" t="str">
        <f>HYPERLINK("http://compartments.jensenlab.org/Entity?figures=subcell_cell_%&amp;knowledge=10&amp;textmining=10&amp;experiments=10&amp;predictions=10&amp;type1=9606&amp;type2=-22&amp;id1=ENSP00000298472","link")</f>
        <v>link</v>
      </c>
      <c r="AJ1129" t="s">
        <v>51</v>
      </c>
      <c r="AK1129" t="str">
        <f>HYPERLINK("http://www.proteinatlas.org/Q05940","HPA016856")</f>
        <v>HPA016856</v>
      </c>
      <c r="AL1129" t="s">
        <v>12023</v>
      </c>
      <c r="AM1129">
        <v>6571</v>
      </c>
    </row>
    <row r="1130" spans="1:39" x14ac:dyDescent="0.35">
      <c r="A1130" t="s">
        <v>12024</v>
      </c>
      <c r="B1130" t="str">
        <f>HYPERLINK("http://www.uniprot.org/uniprot/Q05996","Q05996")</f>
        <v>Q05996</v>
      </c>
      <c r="C1130" t="s">
        <v>12025</v>
      </c>
      <c r="D1130" t="s">
        <v>12026</v>
      </c>
      <c r="E1130" t="s">
        <v>39</v>
      </c>
      <c r="F1130" t="s">
        <v>40</v>
      </c>
      <c r="H1130">
        <v>745</v>
      </c>
      <c r="I1130">
        <v>1</v>
      </c>
      <c r="J1130">
        <v>1</v>
      </c>
      <c r="K1130" t="s">
        <v>12027</v>
      </c>
      <c r="L1130" t="s">
        <v>57</v>
      </c>
      <c r="N1130">
        <v>0.70660000000000001</v>
      </c>
      <c r="O1130" s="1">
        <v>2</v>
      </c>
      <c r="P1130" t="s">
        <v>12028</v>
      </c>
      <c r="Q1130" t="s">
        <v>12029</v>
      </c>
      <c r="S1130" t="s">
        <v>60</v>
      </c>
      <c r="T1130" t="s">
        <v>60</v>
      </c>
      <c r="U1130" t="s">
        <v>12030</v>
      </c>
      <c r="V1130">
        <v>6</v>
      </c>
      <c r="AE1130" t="s">
        <v>1045</v>
      </c>
      <c r="AF1130" t="s">
        <v>12031</v>
      </c>
      <c r="AG1130" t="s">
        <v>12032</v>
      </c>
      <c r="AH1130" t="str">
        <f>HYPERLINK("http://compartments.jensenlab.org/Entity?figures=subcell_cell_%&amp;knowledge=10&amp;textmining=10&amp;experiments=10&amp;predictions=10&amp;type1=9606&amp;type2=-22&amp;id1=ENSP00000460971","link")</f>
        <v>link</v>
      </c>
      <c r="AK1130" t="str">
        <f>HYPERLINK("http://www.proteinatlas.org/Q05996","HPA011296")</f>
        <v>HPA011296</v>
      </c>
      <c r="AM1130">
        <v>7783</v>
      </c>
    </row>
    <row r="1131" spans="1:39" x14ac:dyDescent="0.35">
      <c r="A1131" t="s">
        <v>12033</v>
      </c>
      <c r="B1131" t="str">
        <f>HYPERLINK("http://www.uniprot.org/uniprot/Q06418","Q06418")</f>
        <v>Q06418</v>
      </c>
      <c r="C1131" t="s">
        <v>12034</v>
      </c>
      <c r="D1131" t="s">
        <v>12035</v>
      </c>
      <c r="E1131" t="s">
        <v>39</v>
      </c>
      <c r="F1131" t="s">
        <v>55</v>
      </c>
      <c r="H1131">
        <v>890</v>
      </c>
      <c r="I1131">
        <v>1</v>
      </c>
      <c r="J1131">
        <v>1</v>
      </c>
      <c r="K1131" t="s">
        <v>12036</v>
      </c>
      <c r="L1131" t="s">
        <v>101</v>
      </c>
      <c r="M1131" t="s">
        <v>39</v>
      </c>
      <c r="N1131">
        <v>0.9607</v>
      </c>
      <c r="O1131" s="1">
        <v>1</v>
      </c>
      <c r="P1131" t="s">
        <v>12037</v>
      </c>
      <c r="Q1131" t="s">
        <v>12038</v>
      </c>
      <c r="S1131" t="s">
        <v>166</v>
      </c>
      <c r="T1131" t="s">
        <v>7927</v>
      </c>
      <c r="U1131" t="s">
        <v>12039</v>
      </c>
      <c r="V1131">
        <v>7</v>
      </c>
      <c r="W1131" t="s">
        <v>12040</v>
      </c>
      <c r="Z1131" t="s">
        <v>107</v>
      </c>
      <c r="AA1131">
        <v>6</v>
      </c>
      <c r="AB1131" t="s">
        <v>12041</v>
      </c>
      <c r="AC1131" t="s">
        <v>12042</v>
      </c>
      <c r="AD1131" t="s">
        <v>12043</v>
      </c>
      <c r="AE1131" t="s">
        <v>332</v>
      </c>
      <c r="AF1131" t="s">
        <v>12044</v>
      </c>
      <c r="AG1131" t="s">
        <v>12045</v>
      </c>
      <c r="AH1131" t="str">
        <f>HYPERLINK("http://compartments.jensenlab.org/Entity?figures=subcell_cell_%&amp;knowledge=10&amp;textmining=10&amp;experiments=10&amp;predictions=10&amp;type1=9606&amp;type2=-22&amp;id1=ENSP00000263798","link")</f>
        <v>link</v>
      </c>
      <c r="AI1131" t="s">
        <v>65</v>
      </c>
      <c r="AJ1131" t="s">
        <v>12046</v>
      </c>
      <c r="AK1131" t="str">
        <f>HYPERLINK("http://www.proteinatlas.org/Q06418","no")</f>
        <v>no</v>
      </c>
      <c r="AM1131">
        <v>7301</v>
      </c>
    </row>
    <row r="1132" spans="1:39" x14ac:dyDescent="0.35">
      <c r="A1132" t="s">
        <v>12047</v>
      </c>
      <c r="B1132" t="str">
        <f>HYPERLINK("http://www.uniprot.org/uniprot/Q06432","Q06432")</f>
        <v>Q06432</v>
      </c>
      <c r="C1132" t="s">
        <v>12048</v>
      </c>
      <c r="D1132" t="s">
        <v>12049</v>
      </c>
      <c r="E1132" t="s">
        <v>39</v>
      </c>
      <c r="F1132" t="s">
        <v>40</v>
      </c>
      <c r="H1132">
        <v>222</v>
      </c>
      <c r="I1132">
        <v>3</v>
      </c>
      <c r="J1132">
        <v>1</v>
      </c>
      <c r="K1132" t="s">
        <v>12050</v>
      </c>
      <c r="L1132" t="s">
        <v>42</v>
      </c>
      <c r="N1132">
        <v>0.80640000000000001</v>
      </c>
      <c r="O1132" s="1">
        <v>1</v>
      </c>
      <c r="P1132" t="s">
        <v>12051</v>
      </c>
      <c r="Q1132" t="s">
        <v>12052</v>
      </c>
      <c r="S1132" t="s">
        <v>45</v>
      </c>
      <c r="T1132" t="s">
        <v>341</v>
      </c>
      <c r="U1132" t="s">
        <v>12053</v>
      </c>
      <c r="V1132">
        <v>2</v>
      </c>
      <c r="AE1132" t="s">
        <v>48</v>
      </c>
      <c r="AF1132" t="s">
        <v>12054</v>
      </c>
      <c r="AG1132" t="s">
        <v>12055</v>
      </c>
      <c r="AH1132" t="str">
        <f>HYPERLINK("http://compartments.jensenlab.org/Entity?figures=subcell_cell_%&amp;knowledge=10&amp;textmining=10&amp;experiments=10&amp;predictions=10&amp;type1=9606&amp;type2=-22&amp;id1=ENSP00000226021","link")</f>
        <v>link</v>
      </c>
      <c r="AJ1132" t="s">
        <v>51</v>
      </c>
      <c r="AK1132" t="str">
        <f>HYPERLINK("http://www.proteinatlas.org/Q06432","HPA054153")</f>
        <v>HPA054153</v>
      </c>
      <c r="AL1132" t="s">
        <v>12056</v>
      </c>
      <c r="AM1132">
        <v>786</v>
      </c>
    </row>
    <row r="1133" spans="1:39" x14ac:dyDescent="0.35">
      <c r="A1133" t="s">
        <v>12057</v>
      </c>
      <c r="B1133" t="str">
        <f>HYPERLINK("http://www.uniprot.org/uniprot/Q06481","Q06481")</f>
        <v>Q06481</v>
      </c>
      <c r="C1133" t="s">
        <v>12058</v>
      </c>
      <c r="D1133" t="s">
        <v>12059</v>
      </c>
      <c r="E1133" t="s">
        <v>39</v>
      </c>
      <c r="F1133" t="s">
        <v>55</v>
      </c>
      <c r="H1133">
        <v>763</v>
      </c>
      <c r="I1133">
        <v>1</v>
      </c>
      <c r="J1133">
        <v>1</v>
      </c>
      <c r="K1133" t="s">
        <v>12060</v>
      </c>
      <c r="L1133" t="s">
        <v>101</v>
      </c>
      <c r="M1133" t="s">
        <v>39</v>
      </c>
      <c r="N1133">
        <v>0.50529999999999997</v>
      </c>
      <c r="O1133" s="1">
        <v>3</v>
      </c>
      <c r="P1133" t="s">
        <v>12061</v>
      </c>
      <c r="Q1133" t="s">
        <v>12062</v>
      </c>
      <c r="S1133" t="s">
        <v>60</v>
      </c>
      <c r="T1133" t="s">
        <v>60</v>
      </c>
      <c r="U1133">
        <v>541</v>
      </c>
      <c r="V1133">
        <v>1</v>
      </c>
      <c r="Z1133" t="s">
        <v>107</v>
      </c>
      <c r="AA1133">
        <v>1</v>
      </c>
      <c r="AB1133" t="s">
        <v>12063</v>
      </c>
      <c r="AC1133">
        <v>541</v>
      </c>
      <c r="AD1133" t="s">
        <v>12064</v>
      </c>
      <c r="AE1133" t="s">
        <v>9658</v>
      </c>
      <c r="AF1133" t="s">
        <v>12065</v>
      </c>
      <c r="AG1133" t="s">
        <v>12066</v>
      </c>
      <c r="AH1133" t="str">
        <f>HYPERLINK("http://compartments.jensenlab.org/Entity?figures=subcell_cell_%&amp;knowledge=10&amp;textmining=10&amp;experiments=10&amp;predictions=10&amp;type1=9606&amp;type2=-22&amp;id1=ENSP00000263574","link")</f>
        <v>link</v>
      </c>
      <c r="AI1133" t="s">
        <v>7719</v>
      </c>
      <c r="AJ1133" t="s">
        <v>2873</v>
      </c>
      <c r="AK1133" t="str">
        <f>HYPERLINK("http://www.proteinatlas.org/Q06481","HPA039319")</f>
        <v>HPA039319</v>
      </c>
      <c r="AM1133">
        <v>334</v>
      </c>
    </row>
    <row r="1134" spans="1:39" x14ac:dyDescent="0.35">
      <c r="A1134" t="s">
        <v>12067</v>
      </c>
      <c r="B1134" t="str">
        <f>HYPERLINK("http://www.uniprot.org/uniprot/Q06495","Q06495")</f>
        <v>Q06495</v>
      </c>
      <c r="C1134" t="s">
        <v>12068</v>
      </c>
      <c r="D1134" t="s">
        <v>12069</v>
      </c>
      <c r="E1134" t="s">
        <v>39</v>
      </c>
      <c r="F1134" t="s">
        <v>40</v>
      </c>
      <c r="H1134">
        <v>639</v>
      </c>
      <c r="I1134">
        <v>8</v>
      </c>
      <c r="J1134">
        <v>0</v>
      </c>
      <c r="K1134" t="s">
        <v>12070</v>
      </c>
      <c r="L1134" t="s">
        <v>57</v>
      </c>
      <c r="N1134">
        <v>0.9002</v>
      </c>
      <c r="O1134" s="1">
        <v>1</v>
      </c>
      <c r="P1134" t="s">
        <v>12071</v>
      </c>
      <c r="Q1134" t="s">
        <v>12072</v>
      </c>
      <c r="S1134" t="s">
        <v>45</v>
      </c>
      <c r="T1134" t="s">
        <v>3250</v>
      </c>
      <c r="U1134" t="s">
        <v>12073</v>
      </c>
      <c r="V1134">
        <v>3</v>
      </c>
      <c r="W1134" t="s">
        <v>12074</v>
      </c>
      <c r="AE1134" t="s">
        <v>48</v>
      </c>
      <c r="AF1134" t="s">
        <v>12075</v>
      </c>
      <c r="AG1134" t="s">
        <v>12076</v>
      </c>
      <c r="AH1134" t="str">
        <f>HYPERLINK("http://compartments.jensenlab.org/Entity?figures=subcell_cell_%&amp;knowledge=10&amp;textmining=10&amp;experiments=10&amp;predictions=10&amp;type1=9606&amp;type2=-22&amp;id1=ENSP00000321424","link")</f>
        <v>link</v>
      </c>
      <c r="AI1134" t="s">
        <v>65</v>
      </c>
      <c r="AJ1134" t="s">
        <v>51</v>
      </c>
      <c r="AK1134" t="str">
        <f>HYPERLINK("http://www.proteinatlas.org/Q06495","HPA051255")</f>
        <v>HPA051255</v>
      </c>
      <c r="AM1134">
        <v>6569</v>
      </c>
    </row>
    <row r="1135" spans="1:39" x14ac:dyDescent="0.35">
      <c r="A1135" t="s">
        <v>12077</v>
      </c>
      <c r="B1135" t="str">
        <f>HYPERLINK("http://www.uniprot.org/uniprot/Q07000","Q07000")</f>
        <v>Q07000</v>
      </c>
      <c r="C1135" t="s">
        <v>12078</v>
      </c>
      <c r="D1135" t="s">
        <v>3849</v>
      </c>
      <c r="E1135" t="s">
        <v>39</v>
      </c>
      <c r="F1135" t="s">
        <v>40</v>
      </c>
      <c r="H1135">
        <v>366</v>
      </c>
      <c r="I1135">
        <v>1</v>
      </c>
      <c r="J1135">
        <v>1</v>
      </c>
      <c r="K1135" t="s">
        <v>4930</v>
      </c>
      <c r="L1135" t="s">
        <v>57</v>
      </c>
      <c r="N1135">
        <v>0.80840000000000001</v>
      </c>
      <c r="O1135" s="1">
        <v>1</v>
      </c>
      <c r="P1135" t="s">
        <v>7883</v>
      </c>
      <c r="Q1135" t="s">
        <v>7884</v>
      </c>
      <c r="S1135" t="s">
        <v>91</v>
      </c>
      <c r="T1135" t="s">
        <v>3641</v>
      </c>
      <c r="U1135">
        <v>110</v>
      </c>
      <c r="V1135">
        <v>1</v>
      </c>
      <c r="AE1135" t="s">
        <v>144</v>
      </c>
      <c r="AF1135" t="s">
        <v>4918</v>
      </c>
      <c r="AG1135" t="s">
        <v>12079</v>
      </c>
      <c r="AH1135" t="str">
        <f>HYPERLINK("http://compartments.jensenlab.org/Entity?figures=subcell_cell_%&amp;knowledge=10&amp;textmining=10&amp;experiments=10&amp;predictions=10&amp;type1=9606&amp;type2=-22&amp;id1=ENSP00000383195","link")</f>
        <v>link</v>
      </c>
      <c r="AK1135" t="str">
        <f>HYPERLINK("http://www.proteinatlas.org/Q07000","no")</f>
        <v>no</v>
      </c>
    </row>
    <row r="1136" spans="1:39" x14ac:dyDescent="0.35">
      <c r="A1136" t="s">
        <v>12080</v>
      </c>
      <c r="B1136" t="str">
        <f>HYPERLINK("http://www.uniprot.org/uniprot/Q07001","Q07001")</f>
        <v>Q07001</v>
      </c>
      <c r="C1136" t="s">
        <v>12081</v>
      </c>
      <c r="D1136" t="s">
        <v>12082</v>
      </c>
      <c r="E1136" t="s">
        <v>39</v>
      </c>
      <c r="F1136" t="s">
        <v>55</v>
      </c>
      <c r="H1136">
        <v>517</v>
      </c>
      <c r="I1136">
        <v>4</v>
      </c>
      <c r="J1136">
        <v>1</v>
      </c>
      <c r="K1136" t="s">
        <v>12083</v>
      </c>
      <c r="L1136" t="s">
        <v>57</v>
      </c>
      <c r="M1136" t="s">
        <v>39</v>
      </c>
      <c r="N1136">
        <v>0.9194</v>
      </c>
      <c r="O1136" s="1">
        <v>1</v>
      </c>
      <c r="P1136" t="s">
        <v>12084</v>
      </c>
      <c r="Q1136" t="s">
        <v>12085</v>
      </c>
      <c r="S1136" t="s">
        <v>45</v>
      </c>
      <c r="T1136" t="s">
        <v>195</v>
      </c>
      <c r="U1136" t="s">
        <v>12086</v>
      </c>
      <c r="V1136">
        <v>3</v>
      </c>
      <c r="AE1136" t="s">
        <v>619</v>
      </c>
      <c r="AF1136" t="s">
        <v>5115</v>
      </c>
      <c r="AG1136" t="s">
        <v>12087</v>
      </c>
      <c r="AH1136" t="str">
        <f>HYPERLINK("http://compartments.jensenlab.org/Entity?figures=subcell_cell_%&amp;knowledge=10&amp;textmining=10&amp;experiments=10&amp;predictions=10&amp;type1=9606&amp;type2=-22&amp;id1=ENSP00000258385","link")</f>
        <v>link</v>
      </c>
      <c r="AI1136" t="s">
        <v>65</v>
      </c>
      <c r="AJ1136" t="s">
        <v>51</v>
      </c>
      <c r="AK1136" t="str">
        <f>HYPERLINK("http://www.proteinatlas.org/Q07001","no")</f>
        <v>no</v>
      </c>
      <c r="AL1136" t="s">
        <v>3744</v>
      </c>
      <c r="AM1136">
        <v>1144</v>
      </c>
    </row>
    <row r="1137" spans="1:39" x14ac:dyDescent="0.35">
      <c r="A1137" t="s">
        <v>12088</v>
      </c>
      <c r="B1137" t="str">
        <f>HYPERLINK("http://www.uniprot.org/uniprot/Q07011","Q07011")</f>
        <v>Q07011</v>
      </c>
      <c r="C1137" t="s">
        <v>12089</v>
      </c>
      <c r="D1137" t="s">
        <v>12090</v>
      </c>
      <c r="E1137" t="s">
        <v>39</v>
      </c>
      <c r="F1137" t="s">
        <v>40</v>
      </c>
      <c r="H1137">
        <v>255</v>
      </c>
      <c r="I1137">
        <v>1</v>
      </c>
      <c r="J1137">
        <v>1</v>
      </c>
      <c r="K1137" t="s">
        <v>12091</v>
      </c>
      <c r="L1137" t="s">
        <v>101</v>
      </c>
      <c r="N1137">
        <v>0.87029999999999996</v>
      </c>
      <c r="O1137" s="1">
        <v>1</v>
      </c>
      <c r="P1137" t="s">
        <v>12092</v>
      </c>
      <c r="Q1137" t="s">
        <v>12093</v>
      </c>
      <c r="R1137" t="s">
        <v>12094</v>
      </c>
      <c r="S1137" t="s">
        <v>166</v>
      </c>
      <c r="T1137" t="s">
        <v>864</v>
      </c>
      <c r="U1137" t="s">
        <v>12095</v>
      </c>
      <c r="V1137">
        <v>2</v>
      </c>
      <c r="W1137" t="s">
        <v>12095</v>
      </c>
      <c r="Z1137" t="s">
        <v>107</v>
      </c>
      <c r="AA1137">
        <v>2</v>
      </c>
      <c r="AB1137" t="s">
        <v>12096</v>
      </c>
      <c r="AC1137" t="s">
        <v>12095</v>
      </c>
      <c r="AD1137" t="s">
        <v>12097</v>
      </c>
      <c r="AE1137" t="s">
        <v>144</v>
      </c>
      <c r="AF1137" t="s">
        <v>12098</v>
      </c>
      <c r="AG1137" t="s">
        <v>12099</v>
      </c>
      <c r="AH1137" t="str">
        <f>HYPERLINK("http://compartments.jensenlab.org/Entity?figures=subcell_cell_%&amp;knowledge=10&amp;textmining=10&amp;experiments=10&amp;predictions=10&amp;type1=9606&amp;type2=-22&amp;id1=ENSP00000366729","link")</f>
        <v>link</v>
      </c>
      <c r="AJ1137" t="s">
        <v>51</v>
      </c>
      <c r="AK1137" t="str">
        <f>HYPERLINK("http://www.proteinatlas.org/Q07011","CAB002423")</f>
        <v>CAB002423</v>
      </c>
      <c r="AM1137">
        <v>3604</v>
      </c>
    </row>
    <row r="1138" spans="1:39" x14ac:dyDescent="0.35">
      <c r="A1138" t="s">
        <v>12100</v>
      </c>
      <c r="B1138" t="str">
        <f>HYPERLINK("http://www.uniprot.org/uniprot/Q07075","Q07075")</f>
        <v>Q07075</v>
      </c>
      <c r="C1138" t="s">
        <v>12101</v>
      </c>
      <c r="D1138" t="s">
        <v>12102</v>
      </c>
      <c r="E1138" t="s">
        <v>39</v>
      </c>
      <c r="F1138" t="s">
        <v>40</v>
      </c>
      <c r="H1138">
        <v>957</v>
      </c>
      <c r="I1138">
        <v>1</v>
      </c>
      <c r="J1138">
        <v>0</v>
      </c>
      <c r="K1138" t="s">
        <v>12103</v>
      </c>
      <c r="L1138" t="s">
        <v>101</v>
      </c>
      <c r="N1138">
        <v>0.67659999999999998</v>
      </c>
      <c r="O1138" s="1">
        <v>2</v>
      </c>
      <c r="P1138" t="s">
        <v>12104</v>
      </c>
      <c r="Q1138" t="s">
        <v>12105</v>
      </c>
      <c r="R1138" t="s">
        <v>12106</v>
      </c>
      <c r="S1138" t="s">
        <v>947</v>
      </c>
      <c r="T1138" t="s">
        <v>5610</v>
      </c>
      <c r="U1138" t="s">
        <v>12107</v>
      </c>
      <c r="V1138">
        <v>13</v>
      </c>
      <c r="W1138" t="s">
        <v>12108</v>
      </c>
      <c r="Z1138" t="s">
        <v>123</v>
      </c>
      <c r="AA1138">
        <v>8</v>
      </c>
      <c r="AB1138" t="s">
        <v>12109</v>
      </c>
      <c r="AC1138" t="s">
        <v>12110</v>
      </c>
      <c r="AD1138" t="s">
        <v>12111</v>
      </c>
      <c r="AE1138" t="s">
        <v>359</v>
      </c>
      <c r="AF1138" t="s">
        <v>12112</v>
      </c>
      <c r="AG1138" t="s">
        <v>12113</v>
      </c>
      <c r="AH1138" t="str">
        <f>HYPERLINK("http://compartments.jensenlab.org/Entity?figures=subcell_cell_%&amp;knowledge=10&amp;textmining=10&amp;experiments=10&amp;predictions=10&amp;type1=9606&amp;type2=-22&amp;id1=ENSP00000265162","link")</f>
        <v>link</v>
      </c>
      <c r="AI1138" t="s">
        <v>65</v>
      </c>
      <c r="AJ1138" t="s">
        <v>51</v>
      </c>
      <c r="AK1138" t="str">
        <f>HYPERLINK("http://www.proteinatlas.org/Q07075","HPA005128")</f>
        <v>HPA005128</v>
      </c>
      <c r="AM1138">
        <v>2028</v>
      </c>
    </row>
    <row r="1139" spans="1:39" x14ac:dyDescent="0.35">
      <c r="A1139" t="s">
        <v>12114</v>
      </c>
      <c r="B1139" t="str">
        <f>HYPERLINK("http://www.uniprot.org/uniprot/Q07108","Q07108")</f>
        <v>Q07108</v>
      </c>
      <c r="C1139" t="s">
        <v>12115</v>
      </c>
      <c r="D1139" t="s">
        <v>12116</v>
      </c>
      <c r="E1139" t="s">
        <v>39</v>
      </c>
      <c r="F1139" t="s">
        <v>40</v>
      </c>
      <c r="H1139">
        <v>199</v>
      </c>
      <c r="I1139">
        <v>1</v>
      </c>
      <c r="J1139">
        <v>0</v>
      </c>
      <c r="K1139" t="s">
        <v>12117</v>
      </c>
      <c r="L1139" t="s">
        <v>101</v>
      </c>
      <c r="N1139">
        <v>0.78039999999999998</v>
      </c>
      <c r="O1139" s="1">
        <v>1</v>
      </c>
      <c r="P1139" t="s">
        <v>12118</v>
      </c>
      <c r="Q1139" t="s">
        <v>12119</v>
      </c>
      <c r="R1139" t="s">
        <v>12116</v>
      </c>
      <c r="S1139" t="s">
        <v>166</v>
      </c>
      <c r="T1139" t="s">
        <v>4251</v>
      </c>
      <c r="U1139" t="s">
        <v>12120</v>
      </c>
      <c r="V1139">
        <v>1</v>
      </c>
      <c r="W1139" t="s">
        <v>12120</v>
      </c>
      <c r="Z1139" t="s">
        <v>123</v>
      </c>
      <c r="AA1139">
        <v>3</v>
      </c>
      <c r="AB1139" t="s">
        <v>12121</v>
      </c>
      <c r="AC1139">
        <v>166</v>
      </c>
      <c r="AD1139" t="s">
        <v>12122</v>
      </c>
      <c r="AE1139" t="s">
        <v>359</v>
      </c>
      <c r="AF1139" t="s">
        <v>12123</v>
      </c>
      <c r="AG1139" t="s">
        <v>12124</v>
      </c>
      <c r="AH1139" t="str">
        <f>HYPERLINK("http://compartments.jensenlab.org/Entity?figures=subcell_cell_%&amp;knowledge=10&amp;textmining=10&amp;experiments=10&amp;predictions=10&amp;type1=9606&amp;type2=-22&amp;id1=ENSP00000228434","link")</f>
        <v>link</v>
      </c>
      <c r="AJ1139" t="s">
        <v>51</v>
      </c>
      <c r="AK1139" t="str">
        <f>HYPERLINK("http://www.proteinatlas.org/Q07108","CAB002503;HPA050525")</f>
        <v>CAB002503;HPA050525</v>
      </c>
      <c r="AM1139">
        <v>969</v>
      </c>
    </row>
    <row r="1140" spans="1:39" x14ac:dyDescent="0.35">
      <c r="A1140" t="s">
        <v>12125</v>
      </c>
      <c r="B1140" t="str">
        <f>HYPERLINK("http://www.uniprot.org/uniprot/Q07444","Q07444")</f>
        <v>Q07444</v>
      </c>
      <c r="C1140" t="s">
        <v>12126</v>
      </c>
      <c r="D1140" t="s">
        <v>12127</v>
      </c>
      <c r="E1140" t="s">
        <v>39</v>
      </c>
      <c r="F1140" t="s">
        <v>40</v>
      </c>
      <c r="H1140">
        <v>240</v>
      </c>
      <c r="I1140">
        <v>1</v>
      </c>
      <c r="J1140">
        <v>0</v>
      </c>
      <c r="K1140" t="s">
        <v>12128</v>
      </c>
      <c r="L1140" t="s">
        <v>57</v>
      </c>
      <c r="N1140">
        <v>0.5948</v>
      </c>
      <c r="O1140" s="1">
        <v>2</v>
      </c>
      <c r="P1140" t="s">
        <v>12129</v>
      </c>
      <c r="Q1140" t="s">
        <v>12130</v>
      </c>
      <c r="S1140" t="s">
        <v>166</v>
      </c>
      <c r="T1140" t="s">
        <v>4251</v>
      </c>
      <c r="U1140" t="s">
        <v>12131</v>
      </c>
      <c r="V1140">
        <v>4</v>
      </c>
      <c r="AE1140" t="s">
        <v>359</v>
      </c>
      <c r="AF1140" t="s">
        <v>12132</v>
      </c>
      <c r="AG1140" t="s">
        <v>12133</v>
      </c>
      <c r="AH1140" t="str">
        <f>HYPERLINK("http://compartments.jensenlab.org/Entity?figures=subcell_cell_%&amp;knowledge=10&amp;textmining=10&amp;experiments=10&amp;predictions=10&amp;type1=9606&amp;type2=-22&amp;id1=ENSP00000379716","link")</f>
        <v>link</v>
      </c>
      <c r="AK1140" t="str">
        <f>HYPERLINK("http://www.proteinatlas.org/Q07444","HPA062570")</f>
        <v>HPA062570</v>
      </c>
      <c r="AM1140">
        <v>3823</v>
      </c>
    </row>
    <row r="1141" spans="1:39" x14ac:dyDescent="0.35">
      <c r="A1141" t="s">
        <v>12134</v>
      </c>
      <c r="B1141" t="str">
        <f>HYPERLINK("http://www.uniprot.org/uniprot/Q07699","Q07699")</f>
        <v>Q07699</v>
      </c>
      <c r="C1141" t="s">
        <v>12135</v>
      </c>
      <c r="D1141" t="s">
        <v>12136</v>
      </c>
      <c r="E1141" t="s">
        <v>39</v>
      </c>
      <c r="F1141" t="s">
        <v>40</v>
      </c>
      <c r="H1141">
        <v>218</v>
      </c>
      <c r="I1141">
        <v>1</v>
      </c>
      <c r="J1141">
        <v>1</v>
      </c>
      <c r="K1141" t="s">
        <v>12137</v>
      </c>
      <c r="L1141" t="s">
        <v>57</v>
      </c>
      <c r="N1141">
        <v>0.76249999999999996</v>
      </c>
      <c r="O1141" s="1">
        <v>1</v>
      </c>
      <c r="P1141" t="s">
        <v>12138</v>
      </c>
      <c r="Q1141" t="s">
        <v>12139</v>
      </c>
      <c r="S1141" t="s">
        <v>45</v>
      </c>
      <c r="T1141" t="s">
        <v>2427</v>
      </c>
      <c r="U1141" t="s">
        <v>12140</v>
      </c>
      <c r="V1141">
        <v>4</v>
      </c>
      <c r="W1141" t="s">
        <v>12140</v>
      </c>
      <c r="AE1141" t="s">
        <v>1434</v>
      </c>
      <c r="AF1141" t="s">
        <v>12141</v>
      </c>
      <c r="AG1141" t="s">
        <v>12142</v>
      </c>
      <c r="AH1141" t="str">
        <f>HYPERLINK("http://compartments.jensenlab.org/Entity?figures=subcell_cell_%&amp;knowledge=10&amp;textmining=10&amp;experiments=10&amp;predictions=10&amp;type1=9606&amp;type2=-22&amp;id1=ENSP00000262631","link")</f>
        <v>link</v>
      </c>
      <c r="AK1141" t="str">
        <f>HYPERLINK("http://www.proteinatlas.org/Q07699","no")</f>
        <v>no</v>
      </c>
      <c r="AL1141" t="s">
        <v>2433</v>
      </c>
      <c r="AM1141">
        <v>6324</v>
      </c>
    </row>
    <row r="1142" spans="1:39" x14ac:dyDescent="0.35">
      <c r="A1142" t="s">
        <v>12143</v>
      </c>
      <c r="B1142" t="str">
        <f>HYPERLINK("http://www.uniprot.org/uniprot/Q07837","Q07837")</f>
        <v>Q07837</v>
      </c>
      <c r="C1142" t="s">
        <v>12144</v>
      </c>
      <c r="D1142" t="s">
        <v>12145</v>
      </c>
      <c r="E1142" t="s">
        <v>39</v>
      </c>
      <c r="F1142" t="s">
        <v>40</v>
      </c>
      <c r="H1142">
        <v>685</v>
      </c>
      <c r="I1142">
        <v>1</v>
      </c>
      <c r="J1142">
        <v>0</v>
      </c>
      <c r="K1142" t="s">
        <v>12146</v>
      </c>
      <c r="L1142" t="s">
        <v>57</v>
      </c>
      <c r="N1142">
        <v>0.7964</v>
      </c>
      <c r="O1142" s="1">
        <v>1</v>
      </c>
      <c r="P1142" t="s">
        <v>12147</v>
      </c>
      <c r="Q1142" t="s">
        <v>12148</v>
      </c>
      <c r="S1142" t="s">
        <v>45</v>
      </c>
      <c r="T1142" t="s">
        <v>4439</v>
      </c>
      <c r="U1142" t="s">
        <v>12149</v>
      </c>
      <c r="V1142">
        <v>6</v>
      </c>
      <c r="W1142" t="s">
        <v>12150</v>
      </c>
      <c r="Y1142">
        <v>440</v>
      </c>
      <c r="AE1142" t="s">
        <v>359</v>
      </c>
      <c r="AF1142" t="s">
        <v>12151</v>
      </c>
      <c r="AG1142" t="s">
        <v>12152</v>
      </c>
      <c r="AH1142" t="str">
        <f>HYPERLINK("http://compartments.jensenlab.org/Entity?figures=subcell_cell_%&amp;knowledge=10&amp;textmining=10&amp;experiments=10&amp;predictions=10&amp;type1=9606&amp;type2=-22&amp;id1=ENSP00000260649","link")</f>
        <v>link</v>
      </c>
      <c r="AJ1142" t="s">
        <v>2256</v>
      </c>
      <c r="AK1142" t="str">
        <f>HYPERLINK("http://www.proteinatlas.org/Q07837","HPA038360")</f>
        <v>HPA038360</v>
      </c>
      <c r="AL1142" t="s">
        <v>2420</v>
      </c>
      <c r="AM1142">
        <v>6519</v>
      </c>
    </row>
    <row r="1143" spans="1:39" x14ac:dyDescent="0.35">
      <c r="A1143" t="s">
        <v>12153</v>
      </c>
      <c r="B1143" t="str">
        <f>HYPERLINK("http://www.uniprot.org/uniprot/Q07954","Q07954")</f>
        <v>Q07954</v>
      </c>
      <c r="C1143" t="s">
        <v>12154</v>
      </c>
      <c r="D1143" t="s">
        <v>12155</v>
      </c>
      <c r="E1143" t="s">
        <v>39</v>
      </c>
      <c r="F1143" t="s">
        <v>55</v>
      </c>
      <c r="H1143">
        <v>4544</v>
      </c>
      <c r="I1143">
        <v>1</v>
      </c>
      <c r="J1143">
        <v>1</v>
      </c>
      <c r="K1143" t="s">
        <v>12156</v>
      </c>
      <c r="L1143" t="s">
        <v>101</v>
      </c>
      <c r="M1143" t="s">
        <v>39</v>
      </c>
      <c r="N1143">
        <v>0.96840000000000004</v>
      </c>
      <c r="O1143" s="1">
        <v>1</v>
      </c>
      <c r="P1143" t="s">
        <v>12157</v>
      </c>
      <c r="Q1143" t="s">
        <v>12158</v>
      </c>
      <c r="R1143" t="s">
        <v>12159</v>
      </c>
      <c r="S1143" t="s">
        <v>166</v>
      </c>
      <c r="T1143" t="s">
        <v>2518</v>
      </c>
      <c r="U1143" t="s">
        <v>12160</v>
      </c>
      <c r="V1143">
        <v>52</v>
      </c>
      <c r="W1143" t="s">
        <v>12161</v>
      </c>
      <c r="Y1143" t="s">
        <v>12162</v>
      </c>
      <c r="Z1143" t="s">
        <v>107</v>
      </c>
      <c r="AA1143">
        <v>48</v>
      </c>
      <c r="AB1143" t="s">
        <v>12163</v>
      </c>
      <c r="AC1143" t="s">
        <v>12164</v>
      </c>
      <c r="AD1143" t="s">
        <v>12165</v>
      </c>
      <c r="AE1143" t="s">
        <v>12166</v>
      </c>
      <c r="AF1143" t="s">
        <v>12167</v>
      </c>
      <c r="AG1143" t="s">
        <v>12168</v>
      </c>
      <c r="AH1143" t="str">
        <f>HYPERLINK("http://compartments.jensenlab.org/Entity?figures=subcell_cell_%&amp;knowledge=10&amp;textmining=10&amp;experiments=10&amp;predictions=10&amp;type1=9606&amp;type2=-22&amp;id1=ENSP00000243077","link")</f>
        <v>link</v>
      </c>
      <c r="AI1143" t="s">
        <v>7719</v>
      </c>
      <c r="AJ1143" t="s">
        <v>299</v>
      </c>
      <c r="AK1143" t="str">
        <f>HYPERLINK("http://www.proteinatlas.org/Q07954","HPA004182;CAB018621;HPA022903")</f>
        <v>HPA004182;CAB018621;HPA022903</v>
      </c>
      <c r="AL1143" t="s">
        <v>12169</v>
      </c>
      <c r="AM1143">
        <v>4035</v>
      </c>
    </row>
    <row r="1144" spans="1:39" x14ac:dyDescent="0.35">
      <c r="A1144" t="s">
        <v>12170</v>
      </c>
      <c r="B1144" t="str">
        <f>HYPERLINK("http://www.uniprot.org/uniprot/Q08174","Q08174")</f>
        <v>Q08174</v>
      </c>
      <c r="C1144" t="s">
        <v>12171</v>
      </c>
      <c r="D1144" t="s">
        <v>12172</v>
      </c>
      <c r="E1144" t="s">
        <v>39</v>
      </c>
      <c r="F1144" t="s">
        <v>55</v>
      </c>
      <c r="H1144">
        <v>1060</v>
      </c>
      <c r="I1144">
        <v>1</v>
      </c>
      <c r="J1144">
        <v>1</v>
      </c>
      <c r="K1144" t="s">
        <v>12173</v>
      </c>
      <c r="L1144" t="s">
        <v>101</v>
      </c>
      <c r="M1144" t="s">
        <v>39</v>
      </c>
      <c r="N1144">
        <v>0.98480000000000001</v>
      </c>
      <c r="O1144" s="1">
        <v>1</v>
      </c>
      <c r="P1144" t="s">
        <v>12174</v>
      </c>
      <c r="Q1144" t="s">
        <v>12175</v>
      </c>
      <c r="S1144" t="s">
        <v>91</v>
      </c>
      <c r="T1144" t="s">
        <v>216</v>
      </c>
      <c r="U1144" t="s">
        <v>12176</v>
      </c>
      <c r="V1144">
        <v>8</v>
      </c>
      <c r="W1144" t="s">
        <v>12177</v>
      </c>
      <c r="Z1144" t="s">
        <v>107</v>
      </c>
      <c r="AA1144">
        <v>6</v>
      </c>
      <c r="AB1144" t="s">
        <v>12178</v>
      </c>
      <c r="AC1144" t="s">
        <v>12179</v>
      </c>
      <c r="AD1144" t="s">
        <v>12180</v>
      </c>
      <c r="AE1144" t="s">
        <v>8431</v>
      </c>
      <c r="AF1144" t="s">
        <v>12181</v>
      </c>
      <c r="AG1144" t="s">
        <v>12182</v>
      </c>
      <c r="AH1144" t="str">
        <f>HYPERLINK("http://compartments.jensenlab.org/Entity?figures=subcell_cell_%&amp;knowledge=10&amp;textmining=10&amp;experiments=10&amp;predictions=10&amp;type1=9606&amp;type2=-22&amp;id1=ENSP00000378043","link")</f>
        <v>link</v>
      </c>
      <c r="AK1144" t="str">
        <f>HYPERLINK("http://www.proteinatlas.org/Q08174","HPA047720;HPA050538")</f>
        <v>HPA047720;HPA050538</v>
      </c>
      <c r="AM1144">
        <v>5097</v>
      </c>
    </row>
    <row r="1145" spans="1:39" x14ac:dyDescent="0.35">
      <c r="A1145" t="s">
        <v>12183</v>
      </c>
      <c r="B1145" t="str">
        <f>HYPERLINK("http://www.uniprot.org/uniprot/Q08334","Q08334")</f>
        <v>Q08334</v>
      </c>
      <c r="C1145" t="s">
        <v>12184</v>
      </c>
      <c r="D1145" t="s">
        <v>12185</v>
      </c>
      <c r="E1145" t="s">
        <v>39</v>
      </c>
      <c r="F1145" t="s">
        <v>55</v>
      </c>
      <c r="H1145">
        <v>325</v>
      </c>
      <c r="I1145">
        <v>1</v>
      </c>
      <c r="J1145">
        <v>1</v>
      </c>
      <c r="K1145" t="s">
        <v>12186</v>
      </c>
      <c r="L1145" t="s">
        <v>101</v>
      </c>
      <c r="M1145" t="s">
        <v>39</v>
      </c>
      <c r="N1145">
        <v>0.88139999999999996</v>
      </c>
      <c r="O1145" s="1">
        <v>1</v>
      </c>
      <c r="P1145" t="s">
        <v>12187</v>
      </c>
      <c r="Q1145" t="s">
        <v>12188</v>
      </c>
      <c r="R1145" t="s">
        <v>12189</v>
      </c>
      <c r="S1145" t="s">
        <v>166</v>
      </c>
      <c r="T1145" t="s">
        <v>5643</v>
      </c>
      <c r="U1145" t="s">
        <v>12190</v>
      </c>
      <c r="V1145">
        <v>4</v>
      </c>
      <c r="X1145">
        <v>312</v>
      </c>
      <c r="Z1145" t="s">
        <v>107</v>
      </c>
      <c r="AA1145">
        <v>3</v>
      </c>
      <c r="AB1145" t="s">
        <v>12191</v>
      </c>
      <c r="AC1145" t="s">
        <v>12192</v>
      </c>
      <c r="AD1145" t="s">
        <v>12193</v>
      </c>
      <c r="AE1145" t="s">
        <v>144</v>
      </c>
      <c r="AF1145" t="s">
        <v>12194</v>
      </c>
      <c r="AG1145" t="s">
        <v>12195</v>
      </c>
      <c r="AH1145" t="str">
        <f>HYPERLINK("http://compartments.jensenlab.org/Entity?figures=subcell_cell_%&amp;knowledge=10&amp;textmining=10&amp;experiments=10&amp;predictions=10&amp;type1=9606&amp;type2=-22&amp;id1=ENSP00000290200","link")</f>
        <v>link</v>
      </c>
      <c r="AI1145" t="s">
        <v>65</v>
      </c>
      <c r="AJ1145" t="s">
        <v>51</v>
      </c>
      <c r="AK1145" t="str">
        <f>HYPERLINK("http://www.proteinatlas.org/Q08334","CAB020670;HPA047550")</f>
        <v>CAB020670;HPA047550</v>
      </c>
      <c r="AM1145">
        <v>3588</v>
      </c>
    </row>
    <row r="1146" spans="1:39" x14ac:dyDescent="0.35">
      <c r="A1146" t="s">
        <v>12196</v>
      </c>
      <c r="B1146" t="str">
        <f>HYPERLINK("http://www.uniprot.org/uniprot/Q08345","Q08345")</f>
        <v>Q08345</v>
      </c>
      <c r="C1146" t="s">
        <v>12197</v>
      </c>
      <c r="D1146" t="s">
        <v>12198</v>
      </c>
      <c r="E1146" t="s">
        <v>39</v>
      </c>
      <c r="F1146" t="s">
        <v>55</v>
      </c>
      <c r="H1146">
        <v>913</v>
      </c>
      <c r="I1146">
        <v>1</v>
      </c>
      <c r="J1146">
        <v>1</v>
      </c>
      <c r="K1146" t="s">
        <v>12199</v>
      </c>
      <c r="L1146" t="s">
        <v>57</v>
      </c>
      <c r="M1146" t="s">
        <v>39</v>
      </c>
      <c r="N1146">
        <v>0.87280000000000002</v>
      </c>
      <c r="O1146" s="1">
        <v>1</v>
      </c>
      <c r="P1146" t="s">
        <v>12200</v>
      </c>
      <c r="Q1146" t="s">
        <v>12201</v>
      </c>
      <c r="R1146" t="s">
        <v>12202</v>
      </c>
      <c r="S1146" t="s">
        <v>166</v>
      </c>
      <c r="T1146" t="s">
        <v>1411</v>
      </c>
      <c r="U1146" t="s">
        <v>12203</v>
      </c>
      <c r="V1146">
        <v>5</v>
      </c>
      <c r="W1146" t="s">
        <v>12203</v>
      </c>
      <c r="Y1146" t="s">
        <v>12204</v>
      </c>
      <c r="AE1146" t="s">
        <v>12205</v>
      </c>
      <c r="AF1146" t="s">
        <v>12206</v>
      </c>
      <c r="AG1146" t="s">
        <v>12207</v>
      </c>
      <c r="AH1146" t="str">
        <f>HYPERLINK("http://compartments.jensenlab.org/Entity?figures=subcell_cell_%&amp;knowledge=10&amp;textmining=10&amp;experiments=10&amp;predictions=10&amp;type1=9606&amp;type2=-22&amp;id1=ENSP00000318217","link")</f>
        <v>link</v>
      </c>
      <c r="AI1146" t="s">
        <v>65</v>
      </c>
      <c r="AJ1146" t="s">
        <v>902</v>
      </c>
      <c r="AK1146" t="str">
        <f>HYPERLINK("http://www.proteinatlas.org/Q08345","CAB010162;CAB025656;HPA057194")</f>
        <v>CAB010162;CAB025656;HPA057194</v>
      </c>
      <c r="AL1146" t="s">
        <v>12208</v>
      </c>
      <c r="AM1146">
        <v>780</v>
      </c>
    </row>
    <row r="1147" spans="1:39" x14ac:dyDescent="0.35">
      <c r="A1147" t="s">
        <v>12209</v>
      </c>
      <c r="B1147" t="str">
        <f>HYPERLINK("http://www.uniprot.org/uniprot/Q08357","Q08357")</f>
        <v>Q08357</v>
      </c>
      <c r="C1147" t="s">
        <v>12210</v>
      </c>
      <c r="D1147" t="s">
        <v>12211</v>
      </c>
      <c r="E1147" t="s">
        <v>39</v>
      </c>
      <c r="F1147" t="s">
        <v>40</v>
      </c>
      <c r="H1147">
        <v>652</v>
      </c>
      <c r="I1147">
        <v>12</v>
      </c>
      <c r="J1147">
        <v>0</v>
      </c>
      <c r="K1147" t="s">
        <v>12212</v>
      </c>
      <c r="L1147" t="s">
        <v>57</v>
      </c>
      <c r="N1147">
        <v>0.64870000000000005</v>
      </c>
      <c r="O1147" s="1">
        <v>2</v>
      </c>
      <c r="P1147" t="s">
        <v>12213</v>
      </c>
      <c r="Q1147" t="s">
        <v>12214</v>
      </c>
      <c r="S1147" t="s">
        <v>45</v>
      </c>
      <c r="T1147" t="s">
        <v>12215</v>
      </c>
      <c r="U1147" t="s">
        <v>12216</v>
      </c>
      <c r="V1147">
        <v>1</v>
      </c>
      <c r="W1147" t="s">
        <v>12217</v>
      </c>
      <c r="X1147" t="s">
        <v>12218</v>
      </c>
      <c r="AE1147" t="s">
        <v>74</v>
      </c>
      <c r="AF1147" t="s">
        <v>12219</v>
      </c>
      <c r="AG1147" t="s">
        <v>12220</v>
      </c>
      <c r="AH1147" t="str">
        <f>HYPERLINK("http://compartments.jensenlab.org/Entity?figures=subcell_cell_%&amp;knowledge=10&amp;textmining=10&amp;experiments=10&amp;predictions=10&amp;type1=9606&amp;type2=-22&amp;id1=ENSP00000340465","link")</f>
        <v>link</v>
      </c>
      <c r="AI1147" t="s">
        <v>65</v>
      </c>
      <c r="AJ1147" t="s">
        <v>51</v>
      </c>
      <c r="AK1147" t="str">
        <f>HYPERLINK("http://www.proteinatlas.org/Q08357","HPA026540")</f>
        <v>HPA026540</v>
      </c>
      <c r="AM1147">
        <v>6575</v>
      </c>
    </row>
    <row r="1148" spans="1:39" x14ac:dyDescent="0.35">
      <c r="A1148" t="s">
        <v>12221</v>
      </c>
      <c r="B1148" t="str">
        <f>HYPERLINK("http://www.uniprot.org/uniprot/Q08462","Q08462")</f>
        <v>Q08462</v>
      </c>
      <c r="C1148" t="s">
        <v>12222</v>
      </c>
      <c r="D1148" t="s">
        <v>12223</v>
      </c>
      <c r="E1148" t="s">
        <v>39</v>
      </c>
      <c r="F1148" t="s">
        <v>40</v>
      </c>
      <c r="H1148">
        <v>1091</v>
      </c>
      <c r="I1148">
        <v>12</v>
      </c>
      <c r="J1148">
        <v>0</v>
      </c>
      <c r="K1148" t="s">
        <v>12224</v>
      </c>
      <c r="L1148" t="s">
        <v>57</v>
      </c>
      <c r="N1148">
        <v>0.79239999999999999</v>
      </c>
      <c r="O1148" s="1">
        <v>1</v>
      </c>
      <c r="P1148" t="s">
        <v>12225</v>
      </c>
      <c r="Q1148" t="s">
        <v>12226</v>
      </c>
      <c r="S1148" t="s">
        <v>947</v>
      </c>
      <c r="T1148" t="s">
        <v>1784</v>
      </c>
      <c r="U1148" t="s">
        <v>12227</v>
      </c>
      <c r="V1148">
        <v>2</v>
      </c>
      <c r="W1148" t="s">
        <v>12227</v>
      </c>
      <c r="AE1148" t="s">
        <v>48</v>
      </c>
      <c r="AF1148" t="s">
        <v>12228</v>
      </c>
      <c r="AG1148" t="s">
        <v>12229</v>
      </c>
      <c r="AH1148" t="str">
        <f>HYPERLINK("http://compartments.jensenlab.org/Entity?figures=subcell_cell_%&amp;knowledge=10&amp;textmining=10&amp;experiments=10&amp;predictions=10&amp;type1=9606&amp;type2=-22&amp;id1=ENSP00000342952","link")</f>
        <v>link</v>
      </c>
      <c r="AI1148" t="s">
        <v>65</v>
      </c>
      <c r="AJ1148" t="s">
        <v>2124</v>
      </c>
      <c r="AK1148" t="str">
        <f>HYPERLINK("http://www.proteinatlas.org/Q08462","CAB031482;HPA038015;HPA038483")</f>
        <v>CAB031482;HPA038015;HPA038483</v>
      </c>
      <c r="AM1148">
        <v>108</v>
      </c>
    </row>
    <row r="1149" spans="1:39" x14ac:dyDescent="0.35">
      <c r="A1149" t="s">
        <v>12230</v>
      </c>
      <c r="B1149" t="str">
        <f>HYPERLINK("http://www.uniprot.org/uniprot/Q08554","Q08554")</f>
        <v>Q08554</v>
      </c>
      <c r="C1149" t="s">
        <v>12231</v>
      </c>
      <c r="D1149" t="s">
        <v>12232</v>
      </c>
      <c r="E1149" t="s">
        <v>39</v>
      </c>
      <c r="F1149" t="s">
        <v>55</v>
      </c>
      <c r="H1149">
        <v>894</v>
      </c>
      <c r="I1149">
        <v>1</v>
      </c>
      <c r="J1149">
        <v>1</v>
      </c>
      <c r="K1149" t="s">
        <v>12233</v>
      </c>
      <c r="L1149" t="s">
        <v>57</v>
      </c>
      <c r="M1149" t="s">
        <v>39</v>
      </c>
      <c r="N1149">
        <v>0.90810000000000002</v>
      </c>
      <c r="O1149" s="1">
        <v>1</v>
      </c>
      <c r="P1149" t="s">
        <v>12234</v>
      </c>
      <c r="Q1149" t="s">
        <v>12235</v>
      </c>
      <c r="S1149" t="s">
        <v>91</v>
      </c>
      <c r="T1149" t="s">
        <v>8359</v>
      </c>
      <c r="U1149" t="s">
        <v>12236</v>
      </c>
      <c r="V1149">
        <v>3</v>
      </c>
      <c r="AE1149" t="s">
        <v>8361</v>
      </c>
      <c r="AF1149" t="s">
        <v>8432</v>
      </c>
      <c r="AG1149" t="s">
        <v>12237</v>
      </c>
      <c r="AH1149" t="str">
        <f>HYPERLINK("http://compartments.jensenlab.org/Entity?figures=subcell_cell_%&amp;knowledge=10&amp;textmining=10&amp;experiments=10&amp;predictions=10&amp;type1=9606&amp;type2=-22&amp;id1=ENSP00000257198","link")</f>
        <v>link</v>
      </c>
      <c r="AI1149" t="s">
        <v>65</v>
      </c>
      <c r="AJ1149" t="s">
        <v>51</v>
      </c>
      <c r="AK1149" t="str">
        <f>HYPERLINK("http://www.proteinatlas.org/Q08554","HPA012891")</f>
        <v>HPA012891</v>
      </c>
      <c r="AM1149">
        <v>1823</v>
      </c>
    </row>
    <row r="1150" spans="1:39" x14ac:dyDescent="0.35">
      <c r="A1150" t="s">
        <v>12238</v>
      </c>
      <c r="B1150" t="str">
        <f>HYPERLINK("http://www.uniprot.org/uniprot/Q08708","Q08708")</f>
        <v>Q08708</v>
      </c>
      <c r="C1150" t="s">
        <v>12239</v>
      </c>
      <c r="D1150" t="s">
        <v>12240</v>
      </c>
      <c r="E1150" t="s">
        <v>39</v>
      </c>
      <c r="F1150" t="s">
        <v>40</v>
      </c>
      <c r="H1150">
        <v>224</v>
      </c>
      <c r="I1150">
        <v>1</v>
      </c>
      <c r="J1150">
        <v>1</v>
      </c>
      <c r="K1150" t="s">
        <v>12241</v>
      </c>
      <c r="L1150" t="s">
        <v>57</v>
      </c>
      <c r="N1150">
        <v>0.84830000000000005</v>
      </c>
      <c r="O1150" s="1">
        <v>1</v>
      </c>
      <c r="P1150" t="s">
        <v>12242</v>
      </c>
      <c r="Q1150" t="s">
        <v>12243</v>
      </c>
      <c r="R1150" t="s">
        <v>12244</v>
      </c>
      <c r="S1150" t="s">
        <v>166</v>
      </c>
      <c r="T1150" t="s">
        <v>12245</v>
      </c>
      <c r="U1150" t="s">
        <v>12246</v>
      </c>
      <c r="V1150">
        <v>2</v>
      </c>
      <c r="W1150">
        <v>99</v>
      </c>
      <c r="Y1150">
        <v>6</v>
      </c>
      <c r="AE1150" t="s">
        <v>332</v>
      </c>
      <c r="AF1150" t="s">
        <v>12247</v>
      </c>
      <c r="AG1150" t="s">
        <v>12248</v>
      </c>
      <c r="AH1150" t="str">
        <f>HYPERLINK("http://compartments.jensenlab.org/Entity?figures=subcell_cell_%&amp;knowledge=10&amp;textmining=10&amp;experiments=10&amp;predictions=10&amp;type1=9606&amp;type2=-22&amp;id1=ENSP00000329507","link")</f>
        <v>link</v>
      </c>
      <c r="AI1150" t="s">
        <v>65</v>
      </c>
      <c r="AJ1150" t="s">
        <v>51</v>
      </c>
      <c r="AK1150" t="str">
        <f>HYPERLINK("http://www.proteinatlas.org/Q08708","HPA014523")</f>
        <v>HPA014523</v>
      </c>
      <c r="AM1150">
        <v>10871</v>
      </c>
    </row>
    <row r="1151" spans="1:39" x14ac:dyDescent="0.35">
      <c r="A1151" t="s">
        <v>12249</v>
      </c>
      <c r="B1151" t="str">
        <f>HYPERLINK("http://www.uniprot.org/uniprot/Q08722","Q08722")</f>
        <v>Q08722</v>
      </c>
      <c r="C1151" t="s">
        <v>12250</v>
      </c>
      <c r="D1151" t="s">
        <v>12251</v>
      </c>
      <c r="E1151" t="s">
        <v>39</v>
      </c>
      <c r="F1151" t="s">
        <v>55</v>
      </c>
      <c r="H1151">
        <v>323</v>
      </c>
      <c r="I1151">
        <v>5</v>
      </c>
      <c r="J1151">
        <v>1</v>
      </c>
      <c r="K1151" t="s">
        <v>12252</v>
      </c>
      <c r="L1151" t="s">
        <v>101</v>
      </c>
      <c r="M1151" t="s">
        <v>39</v>
      </c>
      <c r="N1151">
        <v>0.97689999999999999</v>
      </c>
      <c r="O1151" s="1">
        <v>1</v>
      </c>
      <c r="P1151" t="s">
        <v>12253</v>
      </c>
      <c r="Q1151" t="s">
        <v>12254</v>
      </c>
      <c r="R1151" t="s">
        <v>12251</v>
      </c>
      <c r="S1151" t="s">
        <v>60</v>
      </c>
      <c r="T1151" t="s">
        <v>60</v>
      </c>
      <c r="U1151" t="s">
        <v>12255</v>
      </c>
      <c r="V1151">
        <v>6</v>
      </c>
      <c r="W1151" t="s">
        <v>12255</v>
      </c>
      <c r="Z1151" t="s">
        <v>107</v>
      </c>
      <c r="AA1151">
        <v>35</v>
      </c>
      <c r="AB1151" t="s">
        <v>12256</v>
      </c>
      <c r="AC1151" t="s">
        <v>12257</v>
      </c>
      <c r="AD1151" t="s">
        <v>12258</v>
      </c>
      <c r="AE1151" t="s">
        <v>74</v>
      </c>
      <c r="AF1151" t="s">
        <v>12259</v>
      </c>
      <c r="AG1151" t="s">
        <v>12260</v>
      </c>
      <c r="AH1151" t="str">
        <f>HYPERLINK("http://compartments.jensenlab.org/Entity?figures=subcell_cell_%&amp;knowledge=10&amp;textmining=10&amp;experiments=10&amp;predictions=10&amp;type1=9606&amp;type2=-22&amp;id1=ENSP00000355361","link")</f>
        <v>link</v>
      </c>
      <c r="AI1151" t="s">
        <v>65</v>
      </c>
      <c r="AJ1151" t="s">
        <v>902</v>
      </c>
      <c r="AK1151" t="str">
        <f>HYPERLINK("http://www.proteinatlas.org/Q08722","CAB016055;HPA044659")</f>
        <v>CAB016055;HPA044659</v>
      </c>
      <c r="AM1151">
        <v>961</v>
      </c>
    </row>
    <row r="1152" spans="1:39" x14ac:dyDescent="0.35">
      <c r="A1152" t="s">
        <v>12261</v>
      </c>
      <c r="B1152" t="str">
        <f>HYPERLINK("http://www.uniprot.org/uniprot/Q08AI6","Q08AI6")</f>
        <v>Q08AI6</v>
      </c>
      <c r="C1152" t="s">
        <v>12262</v>
      </c>
      <c r="D1152" t="s">
        <v>12263</v>
      </c>
      <c r="E1152" t="s">
        <v>39</v>
      </c>
      <c r="F1152" t="s">
        <v>40</v>
      </c>
      <c r="H1152">
        <v>406</v>
      </c>
      <c r="I1152">
        <v>10</v>
      </c>
      <c r="J1152">
        <v>0</v>
      </c>
      <c r="K1152" t="s">
        <v>12264</v>
      </c>
      <c r="L1152" t="s">
        <v>57</v>
      </c>
      <c r="N1152">
        <v>0.63870000000000005</v>
      </c>
      <c r="O1152" s="1">
        <v>2</v>
      </c>
      <c r="P1152" t="s">
        <v>12265</v>
      </c>
      <c r="Q1152" t="s">
        <v>12266</v>
      </c>
      <c r="S1152" t="s">
        <v>45</v>
      </c>
      <c r="T1152" t="s">
        <v>598</v>
      </c>
      <c r="U1152" t="s">
        <v>12267</v>
      </c>
      <c r="V1152">
        <v>2</v>
      </c>
      <c r="AE1152" t="s">
        <v>48</v>
      </c>
      <c r="AF1152" t="s">
        <v>12268</v>
      </c>
      <c r="AG1152" t="s">
        <v>12269</v>
      </c>
      <c r="AH1152" t="str">
        <f>HYPERLINK("http://compartments.jensenlab.org/Entity?figures=subcell_cell_%&amp;knowledge=10&amp;textmining=10&amp;experiments=10&amp;predictions=10&amp;type1=9606&amp;type2=-22&amp;id1=ENSP00000386272","link")</f>
        <v>link</v>
      </c>
      <c r="AK1152" t="str">
        <f>HYPERLINK("http://www.proteinatlas.org/Q08AI6","HPA043432")</f>
        <v>HPA043432</v>
      </c>
      <c r="AM1152">
        <v>151258</v>
      </c>
    </row>
    <row r="1153" spans="1:39" x14ac:dyDescent="0.35">
      <c r="A1153" t="s">
        <v>12270</v>
      </c>
      <c r="B1153" t="str">
        <f>HYPERLINK("http://www.uniprot.org/uniprot/Q08ET2","Q08ET2")</f>
        <v>Q08ET2</v>
      </c>
      <c r="C1153" t="s">
        <v>12271</v>
      </c>
      <c r="D1153" t="s">
        <v>12272</v>
      </c>
      <c r="E1153" t="s">
        <v>39</v>
      </c>
      <c r="F1153" t="s">
        <v>40</v>
      </c>
      <c r="H1153">
        <v>396</v>
      </c>
      <c r="I1153">
        <v>1</v>
      </c>
      <c r="J1153">
        <v>1</v>
      </c>
      <c r="K1153" t="s">
        <v>12273</v>
      </c>
      <c r="L1153" t="s">
        <v>57</v>
      </c>
      <c r="N1153">
        <v>0.6008</v>
      </c>
      <c r="O1153" s="1">
        <v>2</v>
      </c>
      <c r="P1153" t="s">
        <v>12274</v>
      </c>
      <c r="Q1153" t="s">
        <v>12275</v>
      </c>
      <c r="S1153" t="s">
        <v>91</v>
      </c>
      <c r="T1153" t="s">
        <v>555</v>
      </c>
      <c r="U1153" t="s">
        <v>12276</v>
      </c>
      <c r="V1153">
        <v>4</v>
      </c>
      <c r="Y1153">
        <v>47</v>
      </c>
      <c r="AE1153" t="s">
        <v>332</v>
      </c>
      <c r="AF1153" t="s">
        <v>12277</v>
      </c>
      <c r="AG1153" t="s">
        <v>12278</v>
      </c>
      <c r="AH1153" t="str">
        <f>HYPERLINK("http://compartments.jensenlab.org/Entity?figures=subcell_cell_%&amp;knowledge=10&amp;textmining=10&amp;experiments=10&amp;predictions=10&amp;type1=9606&amp;type2=-22&amp;id1=ENSP00000354090","link")</f>
        <v>link</v>
      </c>
      <c r="AK1153" t="str">
        <f>HYPERLINK("http://www.proteinatlas.org/Q08ET2","HPA014377")</f>
        <v>HPA014377</v>
      </c>
      <c r="AM1153" s="4">
        <v>100000000</v>
      </c>
    </row>
    <row r="1154" spans="1:39" x14ac:dyDescent="0.35">
      <c r="A1154" t="s">
        <v>12279</v>
      </c>
      <c r="B1154" t="str">
        <f>HYPERLINK("http://www.uniprot.org/uniprot/Q09160","Q09160")</f>
        <v>Q09160</v>
      </c>
      <c r="C1154" t="s">
        <v>12280</v>
      </c>
      <c r="D1154" t="s">
        <v>3647</v>
      </c>
      <c r="E1154" t="s">
        <v>39</v>
      </c>
      <c r="F1154" t="s">
        <v>40</v>
      </c>
      <c r="H1154">
        <v>365</v>
      </c>
      <c r="I1154">
        <v>1</v>
      </c>
      <c r="J1154">
        <v>1</v>
      </c>
      <c r="K1154" t="s">
        <v>3648</v>
      </c>
      <c r="L1154" t="s">
        <v>101</v>
      </c>
      <c r="N1154">
        <v>0.88019999999999998</v>
      </c>
      <c r="O1154" s="1">
        <v>1</v>
      </c>
      <c r="P1154" t="s">
        <v>4084</v>
      </c>
      <c r="Q1154" t="s">
        <v>4085</v>
      </c>
      <c r="S1154" t="s">
        <v>91</v>
      </c>
      <c r="T1154" t="s">
        <v>3641</v>
      </c>
      <c r="U1154">
        <v>110</v>
      </c>
      <c r="V1154">
        <v>1</v>
      </c>
      <c r="W1154">
        <v>110</v>
      </c>
      <c r="Z1154" t="s">
        <v>107</v>
      </c>
      <c r="AA1154">
        <v>1</v>
      </c>
      <c r="AB1154" t="s">
        <v>12281</v>
      </c>
      <c r="AC1154">
        <v>110</v>
      </c>
      <c r="AD1154" t="s">
        <v>12282</v>
      </c>
      <c r="AE1154" t="s">
        <v>144</v>
      </c>
      <c r="AF1154" t="s">
        <v>4922</v>
      </c>
      <c r="AG1154" t="s">
        <v>12283</v>
      </c>
      <c r="AH1154" t="str">
        <f>HYPERLINK("http://compartments.jensenlab.org/Entity?figures=subcell_cell_%&amp;knowledge=10&amp;textmining=10&amp;experiments=10&amp;predictions=10&amp;type1=9606&amp;type2=-22&amp;id1=ENSP00000406366","link")</f>
        <v>link</v>
      </c>
      <c r="AK1154" t="str">
        <f>HYPERLINK("http://www.proteinatlas.org/Q09160","no")</f>
        <v>no</v>
      </c>
    </row>
    <row r="1155" spans="1:39" x14ac:dyDescent="0.35">
      <c r="A1155" t="s">
        <v>12284</v>
      </c>
      <c r="B1155" t="str">
        <f>HYPERLINK("http://www.uniprot.org/uniprot/Q0D2K0","Q0D2K0")</f>
        <v>Q0D2K0</v>
      </c>
      <c r="C1155" t="s">
        <v>12285</v>
      </c>
      <c r="D1155" t="s">
        <v>12286</v>
      </c>
      <c r="E1155" t="s">
        <v>39</v>
      </c>
      <c r="F1155" t="s">
        <v>40</v>
      </c>
      <c r="H1155">
        <v>466</v>
      </c>
      <c r="I1155">
        <v>9</v>
      </c>
      <c r="J1155">
        <v>0</v>
      </c>
      <c r="K1155" t="s">
        <v>12287</v>
      </c>
      <c r="L1155" t="s">
        <v>57</v>
      </c>
      <c r="N1155">
        <v>0.66469999999999996</v>
      </c>
      <c r="O1155" s="1">
        <v>2</v>
      </c>
      <c r="P1155" t="s">
        <v>12288</v>
      </c>
      <c r="Q1155" t="s">
        <v>12289</v>
      </c>
      <c r="S1155" t="s">
        <v>45</v>
      </c>
      <c r="T1155" t="s">
        <v>12290</v>
      </c>
      <c r="U1155" t="s">
        <v>12291</v>
      </c>
      <c r="V1155">
        <v>3</v>
      </c>
      <c r="AE1155" t="s">
        <v>48</v>
      </c>
      <c r="AF1155" t="s">
        <v>12292</v>
      </c>
      <c r="AG1155" t="s">
        <v>12293</v>
      </c>
      <c r="AH1155" t="str">
        <f>HYPERLINK("http://compartments.jensenlab.org/Entity?figures=subcell_cell_%&amp;knowledge=10&amp;textmining=10&amp;experiments=10&amp;predictions=10&amp;type1=9606&amp;type2=-22&amp;id1=ENSP00000311687","link")</f>
        <v>link</v>
      </c>
      <c r="AJ1155" t="s">
        <v>51</v>
      </c>
      <c r="AK1155" t="str">
        <f>HYPERLINK("http://www.proteinatlas.org/Q0D2K0","HPA038259")</f>
        <v>HPA038259</v>
      </c>
      <c r="AM1155">
        <v>348938</v>
      </c>
    </row>
    <row r="1156" spans="1:39" x14ac:dyDescent="0.35">
      <c r="A1156" t="s">
        <v>12294</v>
      </c>
      <c r="B1156" t="str">
        <f>HYPERLINK("http://www.uniprot.org/uniprot/Q0P6H9","Q0P6H9")</f>
        <v>Q0P6H9</v>
      </c>
      <c r="C1156" t="s">
        <v>12295</v>
      </c>
      <c r="D1156" t="s">
        <v>12296</v>
      </c>
      <c r="E1156" t="s">
        <v>39</v>
      </c>
      <c r="F1156" t="s">
        <v>40</v>
      </c>
      <c r="H1156">
        <v>643</v>
      </c>
      <c r="I1156">
        <v>5</v>
      </c>
      <c r="J1156">
        <v>1</v>
      </c>
      <c r="K1156" t="s">
        <v>12297</v>
      </c>
      <c r="L1156" t="s">
        <v>42</v>
      </c>
      <c r="N1156">
        <v>0.60680000000000001</v>
      </c>
      <c r="O1156" s="1">
        <v>2</v>
      </c>
      <c r="P1156" t="s">
        <v>12298</v>
      </c>
      <c r="Q1156" t="s">
        <v>12299</v>
      </c>
      <c r="S1156" t="s">
        <v>60</v>
      </c>
      <c r="T1156" t="s">
        <v>60</v>
      </c>
      <c r="U1156" t="s">
        <v>12300</v>
      </c>
      <c r="V1156">
        <v>3</v>
      </c>
      <c r="AE1156" t="s">
        <v>48</v>
      </c>
      <c r="AF1156" t="s">
        <v>95</v>
      </c>
      <c r="AG1156" t="s">
        <v>12301</v>
      </c>
      <c r="AH1156" t="str">
        <f>HYPERLINK("http://compartments.jensenlab.org/Entity?figures=subcell_cell_%&amp;knowledge=10&amp;textmining=10&amp;experiments=10&amp;predictions=10&amp;type1=9606&amp;type2=-22&amp;id1=ENSP00000260403","link")</f>
        <v>link</v>
      </c>
      <c r="AJ1156" t="s">
        <v>51</v>
      </c>
      <c r="AK1156" t="str">
        <f>HYPERLINK("http://www.proteinatlas.org/Q0P6H9","HPA044461")</f>
        <v>HPA044461</v>
      </c>
      <c r="AM1156">
        <v>80021</v>
      </c>
    </row>
    <row r="1157" spans="1:39" x14ac:dyDescent="0.35">
      <c r="A1157" t="s">
        <v>12302</v>
      </c>
      <c r="B1157" t="str">
        <f>HYPERLINK("http://www.uniprot.org/uniprot/Q10588","Q10588")</f>
        <v>Q10588</v>
      </c>
      <c r="C1157" t="s">
        <v>12303</v>
      </c>
      <c r="D1157" t="s">
        <v>12304</v>
      </c>
      <c r="E1157" t="s">
        <v>39</v>
      </c>
      <c r="F1157" t="s">
        <v>239</v>
      </c>
      <c r="H1157">
        <v>318</v>
      </c>
      <c r="I1157">
        <v>0</v>
      </c>
      <c r="J1157">
        <v>1</v>
      </c>
      <c r="K1157" t="s">
        <v>12305</v>
      </c>
      <c r="L1157" t="s">
        <v>996</v>
      </c>
      <c r="N1157">
        <v>0.70660000000000001</v>
      </c>
      <c r="O1157" s="1" t="s">
        <v>241</v>
      </c>
      <c r="P1157" t="s">
        <v>12306</v>
      </c>
      <c r="Q1157" t="s">
        <v>12307</v>
      </c>
      <c r="R1157" t="s">
        <v>12308</v>
      </c>
      <c r="U1157" t="s">
        <v>12309</v>
      </c>
      <c r="V1157">
        <v>4</v>
      </c>
      <c r="W1157" t="s">
        <v>12309</v>
      </c>
      <c r="Z1157" t="s">
        <v>107</v>
      </c>
      <c r="AA1157">
        <v>2</v>
      </c>
      <c r="AB1157" t="s">
        <v>12310</v>
      </c>
      <c r="AC1157">
        <v>66</v>
      </c>
      <c r="AD1157" t="s">
        <v>12311</v>
      </c>
      <c r="AE1157" t="s">
        <v>243</v>
      </c>
      <c r="AF1157" t="s">
        <v>12312</v>
      </c>
      <c r="AG1157" t="s">
        <v>12313</v>
      </c>
      <c r="AH1157" t="str">
        <f>HYPERLINK("http://compartments.jensenlab.org/Entity?figures=subcell_cell_%&amp;knowledge=10&amp;textmining=10&amp;experiments=10&amp;predictions=10&amp;type1=9606&amp;type2=-22&amp;id1=ENSP00000265016","link")</f>
        <v>link</v>
      </c>
      <c r="AI1157" t="s">
        <v>65</v>
      </c>
      <c r="AJ1157" t="s">
        <v>51</v>
      </c>
      <c r="AK1157" t="str">
        <f>HYPERLINK("http://www.proteinatlas.org/Q10588","HPA050121")</f>
        <v>HPA050121</v>
      </c>
      <c r="AM1157">
        <v>683</v>
      </c>
    </row>
    <row r="1158" spans="1:39" x14ac:dyDescent="0.35">
      <c r="A1158" t="s">
        <v>12314</v>
      </c>
      <c r="B1158" t="str">
        <f>HYPERLINK("http://www.uniprot.org/uniprot/Q10589","Q10589")</f>
        <v>Q10589</v>
      </c>
      <c r="C1158" t="s">
        <v>12315</v>
      </c>
      <c r="D1158" t="s">
        <v>12316</v>
      </c>
      <c r="E1158" t="s">
        <v>39</v>
      </c>
      <c r="F1158" t="s">
        <v>239</v>
      </c>
      <c r="H1158">
        <v>180</v>
      </c>
      <c r="I1158">
        <v>1</v>
      </c>
      <c r="J1158">
        <v>0</v>
      </c>
      <c r="K1158" t="s">
        <v>12317</v>
      </c>
      <c r="L1158" t="s">
        <v>101</v>
      </c>
      <c r="M1158" t="s">
        <v>39</v>
      </c>
      <c r="N1158">
        <v>0.79259999999999997</v>
      </c>
      <c r="O1158" s="1">
        <v>1</v>
      </c>
      <c r="P1158" t="s">
        <v>12318</v>
      </c>
      <c r="Q1158" t="s">
        <v>12319</v>
      </c>
      <c r="R1158" t="s">
        <v>12320</v>
      </c>
      <c r="S1158" t="s">
        <v>60</v>
      </c>
      <c r="T1158" t="s">
        <v>60</v>
      </c>
      <c r="U1158" t="s">
        <v>12321</v>
      </c>
      <c r="V1158">
        <v>2</v>
      </c>
      <c r="W1158" t="s">
        <v>12321</v>
      </c>
      <c r="Z1158" t="s">
        <v>107</v>
      </c>
      <c r="AA1158">
        <v>14</v>
      </c>
      <c r="AB1158" t="s">
        <v>12322</v>
      </c>
      <c r="AC1158" t="s">
        <v>12321</v>
      </c>
      <c r="AD1158" t="s">
        <v>12323</v>
      </c>
      <c r="AE1158" t="s">
        <v>12324</v>
      </c>
      <c r="AF1158" t="s">
        <v>12325</v>
      </c>
      <c r="AG1158" t="s">
        <v>12326</v>
      </c>
      <c r="AH1158" t="str">
        <f>HYPERLINK("http://compartments.jensenlab.org/Entity?figures=subcell_cell_%&amp;knowledge=10&amp;textmining=10&amp;experiments=10&amp;predictions=10&amp;type1=9606&amp;type2=-22&amp;id1=ENSP00000252593","link")</f>
        <v>link</v>
      </c>
      <c r="AI1158" t="s">
        <v>4125</v>
      </c>
      <c r="AJ1158" t="s">
        <v>12327</v>
      </c>
      <c r="AK1158" t="str">
        <f>HYPERLINK("http://www.proteinatlas.org/Q10589","HPA017060")</f>
        <v>HPA017060</v>
      </c>
      <c r="AM1158">
        <v>684</v>
      </c>
    </row>
    <row r="1159" spans="1:39" x14ac:dyDescent="0.35">
      <c r="A1159" t="s">
        <v>12328</v>
      </c>
      <c r="B1159" t="str">
        <f>HYPERLINK("http://www.uniprot.org/uniprot/Q12770","Q12770")</f>
        <v>Q12770</v>
      </c>
      <c r="C1159" t="s">
        <v>12329</v>
      </c>
      <c r="D1159" t="s">
        <v>12330</v>
      </c>
      <c r="E1159" t="s">
        <v>39</v>
      </c>
      <c r="F1159" t="s">
        <v>40</v>
      </c>
      <c r="H1159">
        <v>1279</v>
      </c>
      <c r="I1159">
        <v>8</v>
      </c>
      <c r="J1159">
        <v>0</v>
      </c>
      <c r="K1159" t="s">
        <v>12331</v>
      </c>
      <c r="L1159" t="s">
        <v>101</v>
      </c>
      <c r="N1159">
        <v>0.71060000000000001</v>
      </c>
      <c r="O1159" s="1">
        <v>2</v>
      </c>
      <c r="P1159" t="s">
        <v>12332</v>
      </c>
      <c r="Q1159" t="s">
        <v>12333</v>
      </c>
      <c r="S1159" t="s">
        <v>60</v>
      </c>
      <c r="T1159" t="s">
        <v>60</v>
      </c>
      <c r="U1159" t="s">
        <v>12334</v>
      </c>
      <c r="V1159">
        <v>3</v>
      </c>
      <c r="X1159" t="s">
        <v>12335</v>
      </c>
      <c r="Z1159" t="s">
        <v>123</v>
      </c>
      <c r="AA1159">
        <v>1</v>
      </c>
      <c r="AB1159" t="s">
        <v>12336</v>
      </c>
      <c r="AC1159">
        <v>590</v>
      </c>
      <c r="AD1159" t="s">
        <v>12337</v>
      </c>
      <c r="AE1159" t="s">
        <v>12338</v>
      </c>
      <c r="AF1159" t="s">
        <v>12339</v>
      </c>
      <c r="AG1159" t="s">
        <v>12340</v>
      </c>
      <c r="AH1159" t="str">
        <f>HYPERLINK("http://compartments.jensenlab.org/Entity?figures=subcell_cell_%&amp;knowledge=10&amp;textmining=10&amp;experiments=10&amp;predictions=10&amp;type1=9606&amp;type2=-22&amp;id1=ENSP00000265565","link")</f>
        <v>link</v>
      </c>
      <c r="AI1159" t="s">
        <v>12341</v>
      </c>
      <c r="AJ1159" t="s">
        <v>12342</v>
      </c>
      <c r="AK1159" t="str">
        <f>HYPERLINK("http://www.proteinatlas.org/Q12770","HPA004713")</f>
        <v>HPA004713</v>
      </c>
      <c r="AM1159">
        <v>22937</v>
      </c>
    </row>
    <row r="1160" spans="1:39" x14ac:dyDescent="0.35">
      <c r="A1160" t="s">
        <v>12343</v>
      </c>
      <c r="B1160" t="str">
        <f>HYPERLINK("http://www.uniprot.org/uniprot/Q12836","Q12836")</f>
        <v>Q12836</v>
      </c>
      <c r="C1160" t="s">
        <v>12344</v>
      </c>
      <c r="D1160" t="s">
        <v>12345</v>
      </c>
      <c r="E1160" t="s">
        <v>39</v>
      </c>
      <c r="F1160" t="s">
        <v>55</v>
      </c>
      <c r="H1160">
        <v>540</v>
      </c>
      <c r="I1160">
        <v>1</v>
      </c>
      <c r="J1160">
        <v>1</v>
      </c>
      <c r="K1160" t="s">
        <v>12346</v>
      </c>
      <c r="L1160" t="s">
        <v>101</v>
      </c>
      <c r="M1160" t="s">
        <v>39</v>
      </c>
      <c r="N1160">
        <v>0.69589999999999996</v>
      </c>
      <c r="O1160" s="1">
        <v>2</v>
      </c>
      <c r="P1160" t="s">
        <v>12347</v>
      </c>
      <c r="Q1160" t="s">
        <v>12348</v>
      </c>
      <c r="S1160" t="s">
        <v>60</v>
      </c>
      <c r="T1160" t="s">
        <v>60</v>
      </c>
      <c r="U1160" t="s">
        <v>12349</v>
      </c>
      <c r="V1160">
        <v>6</v>
      </c>
      <c r="Z1160" t="s">
        <v>107</v>
      </c>
      <c r="AA1160">
        <v>1</v>
      </c>
      <c r="AB1160" t="s">
        <v>12350</v>
      </c>
      <c r="AC1160" t="s">
        <v>12351</v>
      </c>
      <c r="AD1160" t="s">
        <v>12352</v>
      </c>
      <c r="AE1160" t="s">
        <v>1045</v>
      </c>
      <c r="AF1160" t="s">
        <v>12353</v>
      </c>
      <c r="AG1160" t="s">
        <v>12354</v>
      </c>
      <c r="AH1160" t="str">
        <f>HYPERLINK("http://compartments.jensenlab.org/Entity?figures=subcell_cell_%&amp;knowledge=10&amp;textmining=10&amp;experiments=10&amp;predictions=10&amp;type1=9606&amp;type2=-22&amp;id1=ENSP00000355529","link")</f>
        <v>link</v>
      </c>
      <c r="AI1160" t="s">
        <v>1058</v>
      </c>
      <c r="AK1160" t="str">
        <f>HYPERLINK("http://www.proteinatlas.org/Q12836","HPA008547")</f>
        <v>HPA008547</v>
      </c>
      <c r="AM1160">
        <v>57829</v>
      </c>
    </row>
    <row r="1161" spans="1:39" x14ac:dyDescent="0.35">
      <c r="A1161" t="s">
        <v>12355</v>
      </c>
      <c r="B1161" t="str">
        <f>HYPERLINK("http://www.uniprot.org/uniprot/Q12860","Q12860")</f>
        <v>Q12860</v>
      </c>
      <c r="C1161" t="s">
        <v>12356</v>
      </c>
      <c r="D1161" t="s">
        <v>12357</v>
      </c>
      <c r="E1161" t="s">
        <v>39</v>
      </c>
      <c r="F1161" t="s">
        <v>239</v>
      </c>
      <c r="H1161">
        <v>1018</v>
      </c>
      <c r="I1161">
        <v>0</v>
      </c>
      <c r="J1161">
        <v>1</v>
      </c>
      <c r="K1161" t="s">
        <v>12358</v>
      </c>
      <c r="L1161" t="s">
        <v>996</v>
      </c>
      <c r="N1161">
        <v>0.72850000000000004</v>
      </c>
      <c r="O1161" s="1" t="s">
        <v>241</v>
      </c>
      <c r="P1161" t="s">
        <v>12359</v>
      </c>
      <c r="Q1161" t="s">
        <v>12360</v>
      </c>
      <c r="S1161" t="s">
        <v>60</v>
      </c>
      <c r="T1161" t="s">
        <v>60</v>
      </c>
      <c r="U1161" t="s">
        <v>12361</v>
      </c>
      <c r="V1161">
        <v>10</v>
      </c>
      <c r="W1161" t="s">
        <v>12361</v>
      </c>
      <c r="Z1161" t="s">
        <v>107</v>
      </c>
      <c r="AA1161">
        <v>6</v>
      </c>
      <c r="AB1161" t="s">
        <v>12362</v>
      </c>
      <c r="AC1161" t="s">
        <v>12363</v>
      </c>
      <c r="AD1161" t="s">
        <v>12364</v>
      </c>
      <c r="AE1161" t="s">
        <v>12365</v>
      </c>
      <c r="AF1161" t="s">
        <v>12366</v>
      </c>
      <c r="AG1161" t="s">
        <v>12367</v>
      </c>
      <c r="AH1161" t="str">
        <f>HYPERLINK("http://compartments.jensenlab.org/Entity?figures=subcell_cell_%&amp;knowledge=10&amp;textmining=10&amp;experiments=10&amp;predictions=10&amp;type1=9606&amp;type2=-22&amp;id1=ENSP00000325660","link")</f>
        <v>link</v>
      </c>
      <c r="AI1161" t="s">
        <v>65</v>
      </c>
      <c r="AJ1161" t="s">
        <v>51</v>
      </c>
      <c r="AK1161" t="str">
        <f>HYPERLINK("http://www.proteinatlas.org/Q12860","CAB025200;HPA041060")</f>
        <v>CAB025200;HPA041060</v>
      </c>
      <c r="AM1161">
        <v>1272</v>
      </c>
    </row>
    <row r="1162" spans="1:39" x14ac:dyDescent="0.35">
      <c r="A1162" t="s">
        <v>12368</v>
      </c>
      <c r="B1162" t="str">
        <f>HYPERLINK("http://www.uniprot.org/uniprot/Q12864","Q12864")</f>
        <v>Q12864</v>
      </c>
      <c r="C1162" t="s">
        <v>12369</v>
      </c>
      <c r="D1162" t="s">
        <v>12370</v>
      </c>
      <c r="E1162" t="s">
        <v>39</v>
      </c>
      <c r="F1162" t="s">
        <v>55</v>
      </c>
      <c r="H1162">
        <v>832</v>
      </c>
      <c r="I1162">
        <v>1</v>
      </c>
      <c r="J1162">
        <v>1</v>
      </c>
      <c r="K1162" t="s">
        <v>12371</v>
      </c>
      <c r="L1162" t="s">
        <v>101</v>
      </c>
      <c r="M1162" t="s">
        <v>39</v>
      </c>
      <c r="N1162">
        <v>0.91439999999999999</v>
      </c>
      <c r="O1162" s="1">
        <v>1</v>
      </c>
      <c r="P1162" t="s">
        <v>12372</v>
      </c>
      <c r="Q1162" t="s">
        <v>12373</v>
      </c>
      <c r="S1162" t="s">
        <v>91</v>
      </c>
      <c r="T1162" t="s">
        <v>2622</v>
      </c>
      <c r="U1162" t="s">
        <v>12374</v>
      </c>
      <c r="V1162">
        <v>8</v>
      </c>
      <c r="Z1162" t="s">
        <v>107</v>
      </c>
      <c r="AA1162">
        <v>4</v>
      </c>
      <c r="AB1162" t="s">
        <v>12375</v>
      </c>
      <c r="AC1162" t="s">
        <v>12376</v>
      </c>
      <c r="AD1162" t="s">
        <v>12377</v>
      </c>
      <c r="AE1162" t="s">
        <v>332</v>
      </c>
      <c r="AF1162" t="s">
        <v>12378</v>
      </c>
      <c r="AG1162" t="s">
        <v>12379</v>
      </c>
      <c r="AH1162" t="str">
        <f>HYPERLINK("http://compartments.jensenlab.org/Entity?figures=subcell_cell_%&amp;knowledge=10&amp;textmining=10&amp;experiments=10&amp;predictions=10&amp;type1=9606&amp;type2=-22&amp;id1=ENSP00000027335","link")</f>
        <v>link</v>
      </c>
      <c r="AI1162" t="s">
        <v>65</v>
      </c>
      <c r="AJ1162" t="s">
        <v>51</v>
      </c>
      <c r="AK1162" t="str">
        <f>HYPERLINK("http://www.proteinatlas.org/Q12864","HPA023614;HPA023616;CAB025143;HPA026556")</f>
        <v>HPA023614;HPA023616;CAB025143;HPA026556</v>
      </c>
      <c r="AM1162">
        <v>1015</v>
      </c>
    </row>
    <row r="1163" spans="1:39" x14ac:dyDescent="0.35">
      <c r="A1163" t="s">
        <v>12380</v>
      </c>
      <c r="B1163" t="str">
        <f>HYPERLINK("http://www.uniprot.org/uniprot/Q12866","Q12866")</f>
        <v>Q12866</v>
      </c>
      <c r="C1163" t="s">
        <v>12381</v>
      </c>
      <c r="D1163" t="s">
        <v>12382</v>
      </c>
      <c r="E1163" t="s">
        <v>39</v>
      </c>
      <c r="F1163" t="s">
        <v>40</v>
      </c>
      <c r="H1163">
        <v>999</v>
      </c>
      <c r="I1163">
        <v>1</v>
      </c>
      <c r="J1163">
        <v>1</v>
      </c>
      <c r="K1163" t="s">
        <v>12383</v>
      </c>
      <c r="L1163" t="s">
        <v>101</v>
      </c>
      <c r="N1163">
        <v>0.96809999999999996</v>
      </c>
      <c r="O1163" s="1">
        <v>1</v>
      </c>
      <c r="P1163" t="s">
        <v>12384</v>
      </c>
      <c r="Q1163" t="s">
        <v>12385</v>
      </c>
      <c r="S1163" t="s">
        <v>166</v>
      </c>
      <c r="T1163" t="s">
        <v>7927</v>
      </c>
      <c r="U1163" t="s">
        <v>12386</v>
      </c>
      <c r="V1163">
        <v>14</v>
      </c>
      <c r="W1163" t="s">
        <v>12386</v>
      </c>
      <c r="X1163" t="s">
        <v>12387</v>
      </c>
      <c r="Z1163" t="s">
        <v>107</v>
      </c>
      <c r="AA1163">
        <v>10</v>
      </c>
      <c r="AB1163" t="s">
        <v>12388</v>
      </c>
      <c r="AC1163" t="s">
        <v>12389</v>
      </c>
      <c r="AD1163" t="s">
        <v>12390</v>
      </c>
      <c r="AE1163" t="s">
        <v>144</v>
      </c>
      <c r="AF1163" t="s">
        <v>12391</v>
      </c>
      <c r="AG1163" t="s">
        <v>12392</v>
      </c>
      <c r="AH1163" t="str">
        <f>HYPERLINK("http://compartments.jensenlab.org/Entity?figures=subcell_cell_%&amp;knowledge=10&amp;textmining=10&amp;experiments=10&amp;predictions=10&amp;type1=9606&amp;type2=-22&amp;id1=ENSP00000295408","link")</f>
        <v>link</v>
      </c>
      <c r="AI1163" t="s">
        <v>113</v>
      </c>
      <c r="AJ1163" t="s">
        <v>1767</v>
      </c>
      <c r="AK1163" t="str">
        <f>HYPERLINK("http://www.proteinatlas.org/Q12866","HPA036196")</f>
        <v>HPA036196</v>
      </c>
      <c r="AM1163">
        <v>10461</v>
      </c>
    </row>
    <row r="1164" spans="1:39" x14ac:dyDescent="0.35">
      <c r="A1164" t="s">
        <v>12393</v>
      </c>
      <c r="B1164" t="str">
        <f>HYPERLINK("http://www.uniprot.org/uniprot/Q12879","Q12879")</f>
        <v>Q12879</v>
      </c>
      <c r="C1164" t="s">
        <v>12394</v>
      </c>
      <c r="D1164" t="s">
        <v>12395</v>
      </c>
      <c r="E1164" t="s">
        <v>39</v>
      </c>
      <c r="F1164" t="s">
        <v>55</v>
      </c>
      <c r="H1164">
        <v>1464</v>
      </c>
      <c r="I1164">
        <v>3</v>
      </c>
      <c r="J1164">
        <v>1</v>
      </c>
      <c r="K1164" t="s">
        <v>12396</v>
      </c>
      <c r="L1164" t="s">
        <v>57</v>
      </c>
      <c r="M1164" t="s">
        <v>39</v>
      </c>
      <c r="N1164">
        <v>0.97789999999999999</v>
      </c>
      <c r="O1164" s="1">
        <v>1</v>
      </c>
      <c r="P1164" t="s">
        <v>12397</v>
      </c>
      <c r="Q1164" t="s">
        <v>12398</v>
      </c>
      <c r="S1164" t="s">
        <v>45</v>
      </c>
      <c r="T1164" t="s">
        <v>1554</v>
      </c>
      <c r="U1164" t="s">
        <v>12399</v>
      </c>
      <c r="V1164">
        <v>7</v>
      </c>
      <c r="W1164" t="s">
        <v>12399</v>
      </c>
      <c r="Y1164" t="s">
        <v>12400</v>
      </c>
      <c r="AE1164" t="s">
        <v>619</v>
      </c>
      <c r="AF1164" t="s">
        <v>12401</v>
      </c>
      <c r="AG1164" t="s">
        <v>12402</v>
      </c>
      <c r="AH1164" t="str">
        <f>HYPERLINK("http://compartments.jensenlab.org/Entity?figures=subcell_cell_%&amp;knowledge=10&amp;textmining=10&amp;experiments=10&amp;predictions=10&amp;type1=9606&amp;type2=-22&amp;id1=ENSP00000332549","link")</f>
        <v>link</v>
      </c>
      <c r="AI1164" t="s">
        <v>65</v>
      </c>
      <c r="AJ1164" t="s">
        <v>1811</v>
      </c>
      <c r="AK1164" t="str">
        <f>HYPERLINK("http://www.proteinatlas.org/Q12879","CAB022725")</f>
        <v>CAB022725</v>
      </c>
      <c r="AL1164" t="s">
        <v>12403</v>
      </c>
      <c r="AM1164">
        <v>2903</v>
      </c>
    </row>
    <row r="1165" spans="1:39" x14ac:dyDescent="0.35">
      <c r="A1165" t="s">
        <v>12404</v>
      </c>
      <c r="B1165" t="str">
        <f>HYPERLINK("http://www.uniprot.org/uniprot/Q12884","Q12884")</f>
        <v>Q12884</v>
      </c>
      <c r="C1165" t="s">
        <v>12405</v>
      </c>
      <c r="D1165" t="s">
        <v>12406</v>
      </c>
      <c r="E1165" t="s">
        <v>39</v>
      </c>
      <c r="F1165" t="s">
        <v>55</v>
      </c>
      <c r="H1165">
        <v>760</v>
      </c>
      <c r="I1165">
        <v>1</v>
      </c>
      <c r="J1165">
        <v>0</v>
      </c>
      <c r="K1165" t="s">
        <v>12407</v>
      </c>
      <c r="L1165" t="s">
        <v>101</v>
      </c>
      <c r="M1165" t="s">
        <v>39</v>
      </c>
      <c r="N1165">
        <v>0.49730000000000002</v>
      </c>
      <c r="O1165" s="1">
        <v>3</v>
      </c>
      <c r="P1165" t="s">
        <v>12408</v>
      </c>
      <c r="Q1165" t="s">
        <v>12409</v>
      </c>
      <c r="U1165" t="s">
        <v>12410</v>
      </c>
      <c r="V1165">
        <v>6</v>
      </c>
      <c r="W1165" t="s">
        <v>12410</v>
      </c>
      <c r="Y1165" t="s">
        <v>12411</v>
      </c>
      <c r="Z1165" t="s">
        <v>107</v>
      </c>
      <c r="AA1165">
        <v>10</v>
      </c>
      <c r="AB1165" t="s">
        <v>12412</v>
      </c>
      <c r="AC1165" t="s">
        <v>12410</v>
      </c>
      <c r="AD1165" t="s">
        <v>12413</v>
      </c>
      <c r="AE1165" t="s">
        <v>12414</v>
      </c>
      <c r="AF1165" t="s">
        <v>12415</v>
      </c>
      <c r="AG1165" t="s">
        <v>12416</v>
      </c>
      <c r="AH1165" t="str">
        <f>HYPERLINK("http://compartments.jensenlab.org/Entity?figures=subcell_cell_%&amp;knowledge=10&amp;textmining=10&amp;experiments=10&amp;predictions=10&amp;type1=9606&amp;type2=-22&amp;id1=ENSP00000188790","link")</f>
        <v>link</v>
      </c>
      <c r="AI1165" t="s">
        <v>65</v>
      </c>
      <c r="AJ1165" t="s">
        <v>902</v>
      </c>
      <c r="AK1165" t="str">
        <f>HYPERLINK("http://www.proteinatlas.org/Q12884","HPA059739")</f>
        <v>HPA059739</v>
      </c>
      <c r="AM1165">
        <v>2191</v>
      </c>
    </row>
    <row r="1166" spans="1:39" x14ac:dyDescent="0.35">
      <c r="A1166" t="s">
        <v>12417</v>
      </c>
      <c r="B1166" t="str">
        <f>HYPERLINK("http://www.uniprot.org/uniprot/Q12891","Q12891")</f>
        <v>Q12891</v>
      </c>
      <c r="C1166" t="s">
        <v>12418</v>
      </c>
      <c r="D1166" t="s">
        <v>12419</v>
      </c>
      <c r="E1166" t="s">
        <v>39</v>
      </c>
      <c r="F1166" t="s">
        <v>239</v>
      </c>
      <c r="H1166">
        <v>473</v>
      </c>
      <c r="I1166">
        <v>0</v>
      </c>
      <c r="J1166">
        <v>1</v>
      </c>
      <c r="K1166" t="s">
        <v>12420</v>
      </c>
      <c r="L1166" t="s">
        <v>996</v>
      </c>
      <c r="N1166">
        <v>0.72650000000000003</v>
      </c>
      <c r="O1166" s="1" t="s">
        <v>241</v>
      </c>
      <c r="P1166" t="s">
        <v>12421</v>
      </c>
      <c r="Q1166" t="s">
        <v>12422</v>
      </c>
      <c r="U1166" t="s">
        <v>12423</v>
      </c>
      <c r="V1166">
        <v>3</v>
      </c>
      <c r="W1166" t="s">
        <v>12424</v>
      </c>
      <c r="Y1166">
        <v>134</v>
      </c>
      <c r="Z1166" t="s">
        <v>107</v>
      </c>
      <c r="AA1166">
        <v>3</v>
      </c>
      <c r="AB1166" t="s">
        <v>12425</v>
      </c>
      <c r="AC1166">
        <v>103</v>
      </c>
      <c r="AD1166" t="s">
        <v>12426</v>
      </c>
      <c r="AE1166" t="s">
        <v>243</v>
      </c>
      <c r="AF1166" t="s">
        <v>12427</v>
      </c>
      <c r="AG1166" t="s">
        <v>12428</v>
      </c>
      <c r="AH1166" t="str">
        <f>HYPERLINK("http://compartments.jensenlab.org/Entity?figures=subcell_cell_%&amp;knowledge=10&amp;textmining=10&amp;experiments=10&amp;predictions=10&amp;type1=9606&amp;type2=-22&amp;id1=ENSP00000350387","link")</f>
        <v>link</v>
      </c>
      <c r="AI1166" t="s">
        <v>12429</v>
      </c>
      <c r="AJ1166" t="s">
        <v>12430</v>
      </c>
      <c r="AK1166" t="str">
        <f>HYPERLINK("http://www.proteinatlas.org/Q12891","HPA036436")</f>
        <v>HPA036436</v>
      </c>
      <c r="AM1166">
        <v>8692</v>
      </c>
    </row>
    <row r="1167" spans="1:39" x14ac:dyDescent="0.35">
      <c r="A1167" t="s">
        <v>12431</v>
      </c>
      <c r="B1167" t="str">
        <f>HYPERLINK("http://www.uniprot.org/uniprot/Q12907","Q12907")</f>
        <v>Q12907</v>
      </c>
      <c r="C1167" t="s">
        <v>12432</v>
      </c>
      <c r="D1167" t="s">
        <v>12433</v>
      </c>
      <c r="E1167" t="s">
        <v>39</v>
      </c>
      <c r="F1167" t="s">
        <v>40</v>
      </c>
      <c r="H1167">
        <v>356</v>
      </c>
      <c r="I1167">
        <v>1</v>
      </c>
      <c r="J1167">
        <v>1</v>
      </c>
      <c r="K1167" t="s">
        <v>12434</v>
      </c>
      <c r="L1167" t="s">
        <v>101</v>
      </c>
      <c r="N1167">
        <v>0.61480000000000001</v>
      </c>
      <c r="O1167" s="1">
        <v>2</v>
      </c>
      <c r="P1167" t="s">
        <v>12435</v>
      </c>
      <c r="Q1167" t="s">
        <v>12436</v>
      </c>
      <c r="S1167" t="s">
        <v>60</v>
      </c>
      <c r="T1167" t="s">
        <v>60</v>
      </c>
      <c r="U1167">
        <v>183</v>
      </c>
      <c r="V1167">
        <v>1</v>
      </c>
      <c r="Z1167" t="s">
        <v>107</v>
      </c>
      <c r="AA1167">
        <v>6</v>
      </c>
      <c r="AB1167" t="s">
        <v>12437</v>
      </c>
      <c r="AC1167">
        <v>183</v>
      </c>
      <c r="AD1167" t="s">
        <v>12438</v>
      </c>
      <c r="AE1167" t="s">
        <v>12439</v>
      </c>
      <c r="AF1167" t="s">
        <v>12440</v>
      </c>
      <c r="AG1167" t="s">
        <v>12441</v>
      </c>
      <c r="AH1167" t="str">
        <f>HYPERLINK("http://compartments.jensenlab.org/Entity?figures=subcell_cell_%&amp;knowledge=10&amp;textmining=10&amp;experiments=10&amp;predictions=10&amp;type1=9606&amp;type2=-22&amp;id1=ENSP00000303366","link")</f>
        <v>link</v>
      </c>
      <c r="AI1167" t="s">
        <v>12341</v>
      </c>
      <c r="AJ1167" t="s">
        <v>12342</v>
      </c>
      <c r="AK1167" t="str">
        <f>HYPERLINK("http://www.proteinatlas.org/Q12907","HPA003927")</f>
        <v>HPA003927</v>
      </c>
      <c r="AM1167">
        <v>10960</v>
      </c>
    </row>
    <row r="1168" spans="1:39" x14ac:dyDescent="0.35">
      <c r="A1168" t="s">
        <v>12442</v>
      </c>
      <c r="B1168" t="str">
        <f>HYPERLINK("http://www.uniprot.org/uniprot/Q12908","Q12908")</f>
        <v>Q12908</v>
      </c>
      <c r="C1168" t="s">
        <v>12443</v>
      </c>
      <c r="D1168" t="s">
        <v>12444</v>
      </c>
      <c r="E1168" t="s">
        <v>39</v>
      </c>
      <c r="F1168" t="s">
        <v>40</v>
      </c>
      <c r="H1168">
        <v>348</v>
      </c>
      <c r="I1168">
        <v>7</v>
      </c>
      <c r="J1168">
        <v>0</v>
      </c>
      <c r="K1168" t="s">
        <v>12445</v>
      </c>
      <c r="L1168" t="s">
        <v>57</v>
      </c>
      <c r="N1168">
        <v>0.87819999999999998</v>
      </c>
      <c r="O1168" s="1">
        <v>1</v>
      </c>
      <c r="P1168" t="s">
        <v>12446</v>
      </c>
      <c r="Q1168" t="s">
        <v>12447</v>
      </c>
      <c r="S1168" t="s">
        <v>45</v>
      </c>
      <c r="T1168" t="s">
        <v>4679</v>
      </c>
      <c r="U1168" t="s">
        <v>12448</v>
      </c>
      <c r="V1168">
        <v>1</v>
      </c>
      <c r="W1168" t="s">
        <v>12448</v>
      </c>
      <c r="AE1168" t="s">
        <v>48</v>
      </c>
      <c r="AF1168" t="s">
        <v>12449</v>
      </c>
      <c r="AG1168" t="s">
        <v>12450</v>
      </c>
      <c r="AH1168" t="str">
        <f>HYPERLINK("http://compartments.jensenlab.org/Entity?figures=subcell_cell_%&amp;knowledge=10&amp;textmining=10&amp;experiments=10&amp;predictions=10&amp;type1=9606&amp;type2=-22&amp;id1=ENSP00000245312","link")</f>
        <v>link</v>
      </c>
      <c r="AJ1168" t="s">
        <v>2873</v>
      </c>
      <c r="AK1168" t="str">
        <f>HYPERLINK("http://www.proteinatlas.org/Q12908","HPA004795")</f>
        <v>HPA004795</v>
      </c>
      <c r="AM1168">
        <v>6555</v>
      </c>
    </row>
    <row r="1169" spans="1:39" x14ac:dyDescent="0.35">
      <c r="A1169" t="s">
        <v>12451</v>
      </c>
      <c r="B1169" t="str">
        <f>HYPERLINK("http://www.uniprot.org/uniprot/Q12913","Q12913")</f>
        <v>Q12913</v>
      </c>
      <c r="C1169" t="s">
        <v>12452</v>
      </c>
      <c r="D1169" t="s">
        <v>12453</v>
      </c>
      <c r="E1169" t="s">
        <v>39</v>
      </c>
      <c r="F1169" t="s">
        <v>55</v>
      </c>
      <c r="H1169">
        <v>1337</v>
      </c>
      <c r="I1169">
        <v>1</v>
      </c>
      <c r="J1169">
        <v>1</v>
      </c>
      <c r="K1169" t="s">
        <v>12454</v>
      </c>
      <c r="L1169" t="s">
        <v>101</v>
      </c>
      <c r="M1169" t="s">
        <v>39</v>
      </c>
      <c r="N1169">
        <v>0.93479999999999996</v>
      </c>
      <c r="O1169" s="1">
        <v>1</v>
      </c>
      <c r="P1169" t="s">
        <v>12455</v>
      </c>
      <c r="Q1169" t="s">
        <v>12456</v>
      </c>
      <c r="R1169" t="s">
        <v>12457</v>
      </c>
      <c r="S1169" t="s">
        <v>166</v>
      </c>
      <c r="T1169" t="s">
        <v>1161</v>
      </c>
      <c r="U1169" t="s">
        <v>12458</v>
      </c>
      <c r="V1169">
        <v>34</v>
      </c>
      <c r="W1169" t="s">
        <v>12458</v>
      </c>
      <c r="X1169" t="s">
        <v>12459</v>
      </c>
      <c r="Y1169">
        <v>557</v>
      </c>
      <c r="Z1169" t="s">
        <v>107</v>
      </c>
      <c r="AA1169">
        <v>30</v>
      </c>
      <c r="AB1169" t="s">
        <v>12460</v>
      </c>
      <c r="AC1169" t="s">
        <v>12461</v>
      </c>
      <c r="AD1169" t="s">
        <v>12462</v>
      </c>
      <c r="AE1169" t="s">
        <v>12463</v>
      </c>
      <c r="AF1169" t="s">
        <v>12464</v>
      </c>
      <c r="AG1169" t="s">
        <v>12465</v>
      </c>
      <c r="AH1169" t="str">
        <f>HYPERLINK("http://compartments.jensenlab.org/Entity?figures=subcell_cell_%&amp;knowledge=10&amp;textmining=10&amp;experiments=10&amp;predictions=10&amp;type1=9606&amp;type2=-22&amp;id1=ENSP00000400010","link")</f>
        <v>link</v>
      </c>
      <c r="AI1169" t="s">
        <v>65</v>
      </c>
      <c r="AJ1169" t="s">
        <v>51</v>
      </c>
      <c r="AK1169" t="str">
        <f>HYPERLINK("http://www.proteinatlas.org/Q12913","HPA006026")</f>
        <v>HPA006026</v>
      </c>
      <c r="AM1169">
        <v>5795</v>
      </c>
    </row>
    <row r="1170" spans="1:39" x14ac:dyDescent="0.35">
      <c r="A1170" t="s">
        <v>12466</v>
      </c>
      <c r="B1170" t="str">
        <f>HYPERLINK("http://www.uniprot.org/uniprot/Q12918","Q12918")</f>
        <v>Q12918</v>
      </c>
      <c r="C1170" t="s">
        <v>12467</v>
      </c>
      <c r="D1170" t="s">
        <v>12468</v>
      </c>
      <c r="E1170" t="s">
        <v>39</v>
      </c>
      <c r="F1170" t="s">
        <v>40</v>
      </c>
      <c r="H1170">
        <v>225</v>
      </c>
      <c r="I1170">
        <v>1</v>
      </c>
      <c r="J1170">
        <v>0</v>
      </c>
      <c r="K1170" t="s">
        <v>12469</v>
      </c>
      <c r="L1170" t="s">
        <v>101</v>
      </c>
      <c r="N1170">
        <v>0.74050000000000005</v>
      </c>
      <c r="O1170" s="1">
        <v>2</v>
      </c>
      <c r="P1170" t="s">
        <v>12470</v>
      </c>
      <c r="Q1170" t="s">
        <v>12471</v>
      </c>
      <c r="R1170" t="s">
        <v>12472</v>
      </c>
      <c r="S1170" t="s">
        <v>166</v>
      </c>
      <c r="T1170" t="s">
        <v>4251</v>
      </c>
      <c r="U1170" t="s">
        <v>12473</v>
      </c>
      <c r="V1170">
        <v>4</v>
      </c>
      <c r="Z1170" t="s">
        <v>123</v>
      </c>
      <c r="AA1170">
        <v>1</v>
      </c>
      <c r="AB1170" t="s">
        <v>12474</v>
      </c>
      <c r="AC1170">
        <v>116</v>
      </c>
      <c r="AD1170" t="s">
        <v>12475</v>
      </c>
      <c r="AE1170" t="s">
        <v>359</v>
      </c>
      <c r="AF1170" t="s">
        <v>12476</v>
      </c>
      <c r="AG1170" t="s">
        <v>12477</v>
      </c>
      <c r="AH1170" t="str">
        <f>HYPERLINK("http://compartments.jensenlab.org/Entity?figures=subcell_cell_%&amp;knowledge=10&amp;textmining=10&amp;experiments=10&amp;predictions=10&amp;type1=9606&amp;type2=-22&amp;id1=ENSP00000229402","link")</f>
        <v>link</v>
      </c>
      <c r="AJ1170" t="s">
        <v>51</v>
      </c>
      <c r="AK1170" t="str">
        <f>HYPERLINK("http://www.proteinatlas.org/Q12918","HPA039113")</f>
        <v>HPA039113</v>
      </c>
      <c r="AM1170">
        <v>3820</v>
      </c>
    </row>
    <row r="1171" spans="1:39" x14ac:dyDescent="0.35">
      <c r="A1171" t="s">
        <v>12478</v>
      </c>
      <c r="B1171" t="str">
        <f>HYPERLINK("http://www.uniprot.org/uniprot/Q12999","Q12999")</f>
        <v>Q12999</v>
      </c>
      <c r="C1171" t="s">
        <v>12479</v>
      </c>
      <c r="D1171" t="s">
        <v>12480</v>
      </c>
      <c r="E1171" t="s">
        <v>39</v>
      </c>
      <c r="F1171" t="s">
        <v>40</v>
      </c>
      <c r="H1171">
        <v>210</v>
      </c>
      <c r="I1171">
        <v>4</v>
      </c>
      <c r="J1171">
        <v>0</v>
      </c>
      <c r="K1171" t="s">
        <v>12481</v>
      </c>
      <c r="L1171" t="s">
        <v>101</v>
      </c>
      <c r="N1171">
        <v>0.74850000000000005</v>
      </c>
      <c r="O1171" s="1">
        <v>1</v>
      </c>
      <c r="P1171" t="s">
        <v>12482</v>
      </c>
      <c r="Q1171" t="s">
        <v>12483</v>
      </c>
      <c r="S1171" t="s">
        <v>91</v>
      </c>
      <c r="T1171" t="s">
        <v>135</v>
      </c>
      <c r="U1171" t="s">
        <v>12484</v>
      </c>
      <c r="V1171">
        <v>4</v>
      </c>
      <c r="W1171" t="s">
        <v>12485</v>
      </c>
      <c r="Z1171" t="s">
        <v>123</v>
      </c>
      <c r="AA1171">
        <v>1</v>
      </c>
      <c r="AB1171" t="s">
        <v>12486</v>
      </c>
      <c r="AC1171" t="s">
        <v>12487</v>
      </c>
      <c r="AD1171" t="s">
        <v>12488</v>
      </c>
      <c r="AE1171" t="s">
        <v>48</v>
      </c>
      <c r="AF1171" t="s">
        <v>95</v>
      </c>
      <c r="AG1171" t="s">
        <v>12489</v>
      </c>
      <c r="AH1171" t="str">
        <f>HYPERLINK("http://compartments.jensenlab.org/Entity?figures=subcell_cell_%&amp;knowledge=10&amp;textmining=10&amp;experiments=10&amp;predictions=10&amp;type1=9606&amp;type2=-22&amp;id1=ENSP00000257910","link")</f>
        <v>link</v>
      </c>
      <c r="AJ1171" t="s">
        <v>51</v>
      </c>
      <c r="AK1171" t="str">
        <f>HYPERLINK("http://www.proteinatlas.org/Q12999","HPA057489")</f>
        <v>HPA057489</v>
      </c>
      <c r="AM1171">
        <v>6302</v>
      </c>
    </row>
    <row r="1172" spans="1:39" x14ac:dyDescent="0.35">
      <c r="A1172" t="s">
        <v>12490</v>
      </c>
      <c r="B1172" t="str">
        <f>HYPERLINK("http://www.uniprot.org/uniprot/Q13002","Q13002")</f>
        <v>Q13002</v>
      </c>
      <c r="C1172" t="s">
        <v>12491</v>
      </c>
      <c r="D1172" t="s">
        <v>12492</v>
      </c>
      <c r="E1172" t="s">
        <v>39</v>
      </c>
      <c r="F1172" t="s">
        <v>55</v>
      </c>
      <c r="H1172">
        <v>908</v>
      </c>
      <c r="I1172">
        <v>3</v>
      </c>
      <c r="J1172">
        <v>1</v>
      </c>
      <c r="K1172" t="s">
        <v>12493</v>
      </c>
      <c r="L1172" t="s">
        <v>57</v>
      </c>
      <c r="N1172">
        <v>0.96209999999999996</v>
      </c>
      <c r="O1172" s="1">
        <v>1</v>
      </c>
      <c r="P1172" t="s">
        <v>12494</v>
      </c>
      <c r="Q1172" t="s">
        <v>12495</v>
      </c>
      <c r="S1172" t="s">
        <v>45</v>
      </c>
      <c r="T1172" t="s">
        <v>1554</v>
      </c>
      <c r="U1172" t="s">
        <v>12496</v>
      </c>
      <c r="V1172">
        <v>9</v>
      </c>
      <c r="W1172" t="s">
        <v>12497</v>
      </c>
      <c r="AE1172" t="s">
        <v>619</v>
      </c>
      <c r="AF1172" t="s">
        <v>12498</v>
      </c>
      <c r="AG1172" t="s">
        <v>12499</v>
      </c>
      <c r="AH1172" t="str">
        <f>HYPERLINK("http://compartments.jensenlab.org/Entity?figures=subcell_cell_%&amp;knowledge=10&amp;textmining=10&amp;experiments=10&amp;predictions=10&amp;type1=9606&amp;type2=-22&amp;id1=ENSP00000397026","link")</f>
        <v>link</v>
      </c>
      <c r="AI1172" t="s">
        <v>65</v>
      </c>
      <c r="AJ1172" t="s">
        <v>51</v>
      </c>
      <c r="AK1172" t="str">
        <f>HYPERLINK("http://www.proteinatlas.org/Q13002","HPA014395;HPA014623;CAB022463")</f>
        <v>HPA014395;HPA014623;CAB022463</v>
      </c>
      <c r="AL1172" t="s">
        <v>12500</v>
      </c>
      <c r="AM1172">
        <v>2898</v>
      </c>
    </row>
    <row r="1173" spans="1:39" x14ac:dyDescent="0.35">
      <c r="A1173" t="s">
        <v>12501</v>
      </c>
      <c r="B1173" t="str">
        <f>HYPERLINK("http://www.uniprot.org/uniprot/Q13003","Q13003")</f>
        <v>Q13003</v>
      </c>
      <c r="C1173" t="s">
        <v>12502</v>
      </c>
      <c r="D1173" t="s">
        <v>12503</v>
      </c>
      <c r="E1173" t="s">
        <v>39</v>
      </c>
      <c r="F1173" t="s">
        <v>55</v>
      </c>
      <c r="H1173">
        <v>919</v>
      </c>
      <c r="I1173">
        <v>3</v>
      </c>
      <c r="J1173">
        <v>1</v>
      </c>
      <c r="K1173" t="s">
        <v>12504</v>
      </c>
      <c r="L1173" t="s">
        <v>101</v>
      </c>
      <c r="N1173">
        <v>0.98199999999999998</v>
      </c>
      <c r="O1173" s="1">
        <v>1</v>
      </c>
      <c r="P1173" t="s">
        <v>12505</v>
      </c>
      <c r="Q1173" t="s">
        <v>12506</v>
      </c>
      <c r="S1173" t="s">
        <v>45</v>
      </c>
      <c r="T1173" t="s">
        <v>1554</v>
      </c>
      <c r="U1173" t="s">
        <v>12507</v>
      </c>
      <c r="V1173">
        <v>9</v>
      </c>
      <c r="W1173" t="s">
        <v>12508</v>
      </c>
      <c r="Y1173">
        <v>13</v>
      </c>
      <c r="Z1173" t="s">
        <v>107</v>
      </c>
      <c r="AA1173">
        <v>2</v>
      </c>
      <c r="AB1173" t="s">
        <v>12509</v>
      </c>
      <c r="AC1173" t="s">
        <v>12510</v>
      </c>
      <c r="AD1173" t="s">
        <v>12511</v>
      </c>
      <c r="AE1173" t="s">
        <v>619</v>
      </c>
      <c r="AF1173" t="s">
        <v>12512</v>
      </c>
      <c r="AG1173" t="s">
        <v>12513</v>
      </c>
      <c r="AH1173" t="str">
        <f>HYPERLINK("http://compartments.jensenlab.org/Entity?figures=subcell_cell_%&amp;knowledge=10&amp;textmining=10&amp;experiments=10&amp;predictions=10&amp;type1=9606&amp;type2=-22&amp;id1=ENSP00000362183","link")</f>
        <v>link</v>
      </c>
      <c r="AI1173" t="s">
        <v>65</v>
      </c>
      <c r="AJ1173" t="s">
        <v>51</v>
      </c>
      <c r="AK1173" t="str">
        <f>HYPERLINK("http://www.proteinatlas.org/Q13003","HPA014709")</f>
        <v>HPA014709</v>
      </c>
      <c r="AM1173">
        <v>2899</v>
      </c>
    </row>
    <row r="1174" spans="1:39" x14ac:dyDescent="0.35">
      <c r="A1174" t="s">
        <v>12514</v>
      </c>
      <c r="B1174" t="str">
        <f>HYPERLINK("http://www.uniprot.org/uniprot/Q13018","Q13018")</f>
        <v>Q13018</v>
      </c>
      <c r="C1174" t="s">
        <v>12515</v>
      </c>
      <c r="D1174" t="s">
        <v>12516</v>
      </c>
      <c r="E1174" t="s">
        <v>39</v>
      </c>
      <c r="F1174" t="s">
        <v>55</v>
      </c>
      <c r="H1174">
        <v>1463</v>
      </c>
      <c r="I1174">
        <v>1</v>
      </c>
      <c r="J1174">
        <v>1</v>
      </c>
      <c r="K1174" t="s">
        <v>12517</v>
      </c>
      <c r="L1174" t="s">
        <v>101</v>
      </c>
      <c r="M1174" t="s">
        <v>39</v>
      </c>
      <c r="N1174">
        <v>0.95220000000000005</v>
      </c>
      <c r="O1174" s="1">
        <v>1</v>
      </c>
      <c r="P1174" t="s">
        <v>12518</v>
      </c>
      <c r="Q1174" t="s">
        <v>12519</v>
      </c>
      <c r="S1174" t="s">
        <v>166</v>
      </c>
      <c r="T1174" t="s">
        <v>2180</v>
      </c>
      <c r="U1174" t="s">
        <v>12520</v>
      </c>
      <c r="V1174">
        <v>16</v>
      </c>
      <c r="W1174" t="s">
        <v>12520</v>
      </c>
      <c r="Y1174">
        <v>981</v>
      </c>
      <c r="Z1174" t="s">
        <v>107</v>
      </c>
      <c r="AA1174">
        <v>1</v>
      </c>
      <c r="AB1174" t="s">
        <v>12521</v>
      </c>
      <c r="AC1174">
        <v>727</v>
      </c>
      <c r="AD1174" t="s">
        <v>12522</v>
      </c>
      <c r="AE1174" t="s">
        <v>1700</v>
      </c>
      <c r="AF1174" t="s">
        <v>12523</v>
      </c>
      <c r="AG1174" t="s">
        <v>12524</v>
      </c>
      <c r="AH1174" t="str">
        <f>HYPERLINK("http://compartments.jensenlab.org/Entity?figures=subcell_cell_%&amp;knowledge=10&amp;textmining=10&amp;experiments=10&amp;predictions=10&amp;type1=9606&amp;type2=-22&amp;id1=ENSP00000283243","link")</f>
        <v>link</v>
      </c>
      <c r="AI1174" t="s">
        <v>65</v>
      </c>
      <c r="AJ1174" t="s">
        <v>902</v>
      </c>
      <c r="AK1174" t="str">
        <f>HYPERLINK("http://www.proteinatlas.org/Q13018","HPA012657;CAB068217;CAB068218")</f>
        <v>HPA012657;CAB068217;CAB068218</v>
      </c>
      <c r="AM1174">
        <v>22925</v>
      </c>
    </row>
    <row r="1175" spans="1:39" x14ac:dyDescent="0.35">
      <c r="A1175" t="s">
        <v>12525</v>
      </c>
      <c r="B1175" t="str">
        <f>HYPERLINK("http://www.uniprot.org/uniprot/Q13145","Q13145")</f>
        <v>Q13145</v>
      </c>
      <c r="C1175" t="s">
        <v>12526</v>
      </c>
      <c r="D1175" t="s">
        <v>12527</v>
      </c>
      <c r="E1175" t="s">
        <v>39</v>
      </c>
      <c r="F1175" t="s">
        <v>40</v>
      </c>
      <c r="H1175">
        <v>260</v>
      </c>
      <c r="I1175">
        <v>1</v>
      </c>
      <c r="J1175">
        <v>1</v>
      </c>
      <c r="K1175" t="s">
        <v>12528</v>
      </c>
      <c r="L1175" t="s">
        <v>57</v>
      </c>
      <c r="N1175">
        <v>0.85029999999999994</v>
      </c>
      <c r="O1175" s="1">
        <v>1</v>
      </c>
      <c r="P1175" t="s">
        <v>12529</v>
      </c>
      <c r="Q1175" t="s">
        <v>12530</v>
      </c>
      <c r="S1175" t="s">
        <v>60</v>
      </c>
      <c r="T1175" t="s">
        <v>60</v>
      </c>
      <c r="U1175">
        <v>87</v>
      </c>
      <c r="V1175">
        <v>1</v>
      </c>
      <c r="X1175">
        <v>121</v>
      </c>
      <c r="AE1175" t="s">
        <v>144</v>
      </c>
      <c r="AF1175" t="s">
        <v>12531</v>
      </c>
      <c r="AG1175" t="s">
        <v>12532</v>
      </c>
      <c r="AH1175" t="str">
        <f>HYPERLINK("http://compartments.jensenlab.org/Entity?figures=subcell_cell_%&amp;knowledge=10&amp;textmining=10&amp;experiments=10&amp;predictions=10&amp;type1=9606&amp;type2=-22&amp;id1=ENSP00000364683","link")</f>
        <v>link</v>
      </c>
      <c r="AJ1175" t="s">
        <v>2124</v>
      </c>
      <c r="AK1175" t="str">
        <f>HYPERLINK("http://www.proteinatlas.org/Q13145","HPA010866")</f>
        <v>HPA010866</v>
      </c>
      <c r="AM1175">
        <v>25805</v>
      </c>
    </row>
    <row r="1176" spans="1:39" x14ac:dyDescent="0.35">
      <c r="A1176" t="s">
        <v>12533</v>
      </c>
      <c r="B1176" t="str">
        <f>HYPERLINK("http://www.uniprot.org/uniprot/Q13183","Q13183")</f>
        <v>Q13183</v>
      </c>
      <c r="C1176" t="s">
        <v>12534</v>
      </c>
      <c r="D1176" t="s">
        <v>12535</v>
      </c>
      <c r="E1176" t="s">
        <v>39</v>
      </c>
      <c r="F1176" t="s">
        <v>40</v>
      </c>
      <c r="H1176">
        <v>592</v>
      </c>
      <c r="I1176">
        <v>12</v>
      </c>
      <c r="J1176">
        <v>0</v>
      </c>
      <c r="K1176" t="s">
        <v>12536</v>
      </c>
      <c r="L1176" t="s">
        <v>42</v>
      </c>
      <c r="N1176">
        <v>0.83630000000000004</v>
      </c>
      <c r="O1176" s="1">
        <v>1</v>
      </c>
      <c r="P1176" t="s">
        <v>12537</v>
      </c>
      <c r="Q1176" t="s">
        <v>12538</v>
      </c>
      <c r="S1176" t="s">
        <v>45</v>
      </c>
      <c r="T1176" t="s">
        <v>12539</v>
      </c>
      <c r="U1176" t="s">
        <v>12540</v>
      </c>
      <c r="V1176">
        <v>2</v>
      </c>
      <c r="W1176" t="s">
        <v>12541</v>
      </c>
      <c r="AE1176" t="s">
        <v>48</v>
      </c>
      <c r="AF1176" t="s">
        <v>12542</v>
      </c>
      <c r="AG1176" t="s">
        <v>12543</v>
      </c>
      <c r="AH1176" t="str">
        <f>HYPERLINK("http://compartments.jensenlab.org/Entity?figures=subcell_cell_%&amp;knowledge=10&amp;textmining=10&amp;experiments=10&amp;predictions=10&amp;type1=9606&amp;type2=-22&amp;id1=ENSP00000316202","link")</f>
        <v>link</v>
      </c>
      <c r="AJ1176" t="s">
        <v>51</v>
      </c>
      <c r="AK1176" t="str">
        <f>HYPERLINK("http://www.proteinatlas.org/Q13183","HPA014963")</f>
        <v>HPA014963</v>
      </c>
      <c r="AL1176" t="s">
        <v>12544</v>
      </c>
      <c r="AM1176">
        <v>9058</v>
      </c>
    </row>
    <row r="1177" spans="1:39" x14ac:dyDescent="0.35">
      <c r="A1177" t="s">
        <v>12545</v>
      </c>
      <c r="B1177" t="str">
        <f>HYPERLINK("http://www.uniprot.org/uniprot/Q13224","Q13224")</f>
        <v>Q13224</v>
      </c>
      <c r="C1177" t="s">
        <v>12546</v>
      </c>
      <c r="D1177" t="s">
        <v>12547</v>
      </c>
      <c r="E1177" t="s">
        <v>39</v>
      </c>
      <c r="F1177" t="s">
        <v>40</v>
      </c>
      <c r="H1177">
        <v>1484</v>
      </c>
      <c r="I1177">
        <v>3</v>
      </c>
      <c r="J1177">
        <v>1</v>
      </c>
      <c r="K1177" t="s">
        <v>12548</v>
      </c>
      <c r="L1177" t="s">
        <v>57</v>
      </c>
      <c r="N1177">
        <v>0.92020000000000002</v>
      </c>
      <c r="O1177" s="1">
        <v>1</v>
      </c>
      <c r="P1177" t="s">
        <v>12549</v>
      </c>
      <c r="Q1177" t="s">
        <v>12550</v>
      </c>
      <c r="S1177" t="s">
        <v>45</v>
      </c>
      <c r="T1177" t="s">
        <v>1554</v>
      </c>
      <c r="U1177" t="s">
        <v>12551</v>
      </c>
      <c r="V1177">
        <v>7</v>
      </c>
      <c r="W1177" t="s">
        <v>12551</v>
      </c>
      <c r="Y1177" t="s">
        <v>12552</v>
      </c>
      <c r="AE1177" t="s">
        <v>619</v>
      </c>
      <c r="AF1177" t="s">
        <v>12553</v>
      </c>
      <c r="AG1177" t="s">
        <v>12554</v>
      </c>
      <c r="AH1177" t="str">
        <f>HYPERLINK("http://compartments.jensenlab.org/Entity?figures=subcell_cell_%&amp;knowledge=10&amp;textmining=10&amp;experiments=10&amp;predictions=10&amp;type1=9606&amp;type2=-22&amp;id1=ENSP00000477455","link")</f>
        <v>link</v>
      </c>
      <c r="AK1177" t="str">
        <f>HYPERLINK("http://www.proteinatlas.org/Q13224","no")</f>
        <v>no</v>
      </c>
      <c r="AL1177" t="s">
        <v>12555</v>
      </c>
      <c r="AM1177">
        <v>2904</v>
      </c>
    </row>
    <row r="1178" spans="1:39" x14ac:dyDescent="0.35">
      <c r="A1178" t="s">
        <v>12556</v>
      </c>
      <c r="B1178" t="str">
        <f>HYPERLINK("http://www.uniprot.org/uniprot/Q13255","Q13255")</f>
        <v>Q13255</v>
      </c>
      <c r="C1178" t="s">
        <v>12557</v>
      </c>
      <c r="D1178" t="s">
        <v>12558</v>
      </c>
      <c r="E1178" t="s">
        <v>39</v>
      </c>
      <c r="F1178" t="s">
        <v>40</v>
      </c>
      <c r="H1178">
        <v>1194</v>
      </c>
      <c r="I1178">
        <v>7</v>
      </c>
      <c r="J1178">
        <v>1</v>
      </c>
      <c r="K1178" t="s">
        <v>12559</v>
      </c>
      <c r="L1178" t="s">
        <v>57</v>
      </c>
      <c r="N1178">
        <v>0.96409999999999996</v>
      </c>
      <c r="O1178" s="1">
        <v>1</v>
      </c>
      <c r="P1178" t="s">
        <v>12560</v>
      </c>
      <c r="Q1178" t="s">
        <v>12561</v>
      </c>
      <c r="S1178" t="s">
        <v>166</v>
      </c>
      <c r="T1178" t="s">
        <v>874</v>
      </c>
      <c r="U1178" t="s">
        <v>12562</v>
      </c>
      <c r="V1178">
        <v>5</v>
      </c>
      <c r="W1178" t="s">
        <v>12563</v>
      </c>
      <c r="X1178" t="s">
        <v>12564</v>
      </c>
      <c r="AE1178" t="s">
        <v>74</v>
      </c>
      <c r="AF1178" t="s">
        <v>12565</v>
      </c>
      <c r="AG1178" t="s">
        <v>12566</v>
      </c>
      <c r="AH1178" t="str">
        <f>HYPERLINK("http://compartments.jensenlab.org/Entity?figures=subcell_cell_%&amp;knowledge=10&amp;textmining=10&amp;experiments=10&amp;predictions=10&amp;type1=9606&amp;type2=-22&amp;id1=ENSP00000282753","link")</f>
        <v>link</v>
      </c>
      <c r="AI1178" t="s">
        <v>65</v>
      </c>
      <c r="AJ1178" t="s">
        <v>1101</v>
      </c>
      <c r="AK1178" t="str">
        <f>HYPERLINK("http://www.proteinatlas.org/Q13255","HPA015701")</f>
        <v>HPA015701</v>
      </c>
      <c r="AM1178">
        <v>2911</v>
      </c>
    </row>
    <row r="1179" spans="1:39" x14ac:dyDescent="0.35">
      <c r="A1179" t="s">
        <v>12567</v>
      </c>
      <c r="B1179" t="str">
        <f>HYPERLINK("http://www.uniprot.org/uniprot/Q13258","Q13258")</f>
        <v>Q13258</v>
      </c>
      <c r="C1179" t="s">
        <v>12568</v>
      </c>
      <c r="D1179" t="s">
        <v>12569</v>
      </c>
      <c r="E1179" t="s">
        <v>39</v>
      </c>
      <c r="F1179" t="s">
        <v>40</v>
      </c>
      <c r="H1179">
        <v>359</v>
      </c>
      <c r="I1179">
        <v>7</v>
      </c>
      <c r="J1179">
        <v>0</v>
      </c>
      <c r="K1179" t="s">
        <v>12570</v>
      </c>
      <c r="L1179" t="s">
        <v>57</v>
      </c>
      <c r="N1179">
        <v>0.71860000000000002</v>
      </c>
      <c r="O1179" s="1">
        <v>2</v>
      </c>
      <c r="P1179" t="s">
        <v>12571</v>
      </c>
      <c r="Q1179" t="s">
        <v>12572</v>
      </c>
      <c r="S1179" t="s">
        <v>166</v>
      </c>
      <c r="T1179" t="s">
        <v>838</v>
      </c>
      <c r="U1179" t="s">
        <v>12573</v>
      </c>
      <c r="V1179">
        <v>3</v>
      </c>
      <c r="AE1179" t="s">
        <v>74</v>
      </c>
      <c r="AF1179" t="s">
        <v>12574</v>
      </c>
      <c r="AG1179" t="s">
        <v>12575</v>
      </c>
      <c r="AH1179" t="str">
        <f>HYPERLINK("http://compartments.jensenlab.org/Entity?figures=subcell_cell_%&amp;knowledge=10&amp;textmining=10&amp;experiments=10&amp;predictions=10&amp;type1=9606&amp;type2=-22&amp;id1=ENSP00000303424","link")</f>
        <v>link</v>
      </c>
      <c r="AI1179" t="s">
        <v>65</v>
      </c>
      <c r="AJ1179" t="s">
        <v>51</v>
      </c>
      <c r="AK1179" t="str">
        <f>HYPERLINK("http://www.proteinatlas.org/Q13258","no")</f>
        <v>no</v>
      </c>
      <c r="AL1179" t="s">
        <v>6537</v>
      </c>
      <c r="AM1179">
        <v>5729</v>
      </c>
    </row>
    <row r="1180" spans="1:39" x14ac:dyDescent="0.35">
      <c r="A1180" t="s">
        <v>12576</v>
      </c>
      <c r="B1180" t="str">
        <f>HYPERLINK("http://www.uniprot.org/uniprot/Q13261","Q13261")</f>
        <v>Q13261</v>
      </c>
      <c r="C1180" t="s">
        <v>12577</v>
      </c>
      <c r="D1180" t="s">
        <v>12578</v>
      </c>
      <c r="E1180" t="s">
        <v>39</v>
      </c>
      <c r="F1180" t="s">
        <v>40</v>
      </c>
      <c r="H1180">
        <v>267</v>
      </c>
      <c r="I1180">
        <v>1</v>
      </c>
      <c r="J1180">
        <v>1</v>
      </c>
      <c r="K1180" t="s">
        <v>12579</v>
      </c>
      <c r="L1180" t="s">
        <v>57</v>
      </c>
      <c r="N1180">
        <v>0.91220000000000001</v>
      </c>
      <c r="O1180" s="1">
        <v>1</v>
      </c>
      <c r="P1180" t="s">
        <v>12580</v>
      </c>
      <c r="Q1180" t="s">
        <v>12581</v>
      </c>
      <c r="R1180" t="s">
        <v>12582</v>
      </c>
      <c r="S1180" t="s">
        <v>166</v>
      </c>
      <c r="T1180" t="s">
        <v>3171</v>
      </c>
      <c r="U1180" t="s">
        <v>12583</v>
      </c>
      <c r="V1180">
        <v>1</v>
      </c>
      <c r="W1180" t="s">
        <v>12583</v>
      </c>
      <c r="AE1180" t="s">
        <v>12584</v>
      </c>
      <c r="AF1180" t="s">
        <v>12585</v>
      </c>
      <c r="AG1180" t="s">
        <v>12586</v>
      </c>
      <c r="AH1180" t="str">
        <f>HYPERLINK("http://compartments.jensenlab.org/Entity?figures=subcell_cell_%&amp;knowledge=10&amp;textmining=10&amp;experiments=10&amp;predictions=10&amp;type1=9606&amp;type2=-22&amp;id1=ENSP00000369312","link")</f>
        <v>link</v>
      </c>
      <c r="AI1180" t="s">
        <v>12587</v>
      </c>
      <c r="AJ1180" t="s">
        <v>3053</v>
      </c>
      <c r="AK1180" t="str">
        <f>HYPERLINK("http://www.proteinatlas.org/Q13261","CAB026215")</f>
        <v>CAB026215</v>
      </c>
      <c r="AM1180">
        <v>3601</v>
      </c>
    </row>
    <row r="1181" spans="1:39" x14ac:dyDescent="0.35">
      <c r="A1181" t="s">
        <v>12588</v>
      </c>
      <c r="B1181" t="str">
        <f>HYPERLINK("http://www.uniprot.org/uniprot/Q13286","Q13286")</f>
        <v>Q13286</v>
      </c>
      <c r="C1181" t="s">
        <v>12589</v>
      </c>
      <c r="D1181" t="s">
        <v>12590</v>
      </c>
      <c r="E1181" t="s">
        <v>39</v>
      </c>
      <c r="F1181" t="s">
        <v>40</v>
      </c>
      <c r="H1181">
        <v>438</v>
      </c>
      <c r="I1181">
        <v>6</v>
      </c>
      <c r="J1181">
        <v>0</v>
      </c>
      <c r="K1181" t="s">
        <v>12591</v>
      </c>
      <c r="L1181" t="s">
        <v>101</v>
      </c>
      <c r="N1181">
        <v>0.5948</v>
      </c>
      <c r="O1181" s="1">
        <v>2</v>
      </c>
      <c r="P1181" t="s">
        <v>12592</v>
      </c>
      <c r="Q1181" t="s">
        <v>12593</v>
      </c>
      <c r="S1181" t="s">
        <v>60</v>
      </c>
      <c r="T1181" t="s">
        <v>60</v>
      </c>
      <c r="U1181" t="s">
        <v>12594</v>
      </c>
      <c r="V1181">
        <v>3</v>
      </c>
      <c r="Z1181" t="s">
        <v>123</v>
      </c>
      <c r="AA1181">
        <v>1</v>
      </c>
      <c r="AB1181" t="s">
        <v>12595</v>
      </c>
      <c r="AC1181" t="s">
        <v>12596</v>
      </c>
      <c r="AD1181" t="s">
        <v>12597</v>
      </c>
      <c r="AE1181" t="s">
        <v>12598</v>
      </c>
      <c r="AF1181" t="s">
        <v>12599</v>
      </c>
      <c r="AG1181" t="s">
        <v>12600</v>
      </c>
      <c r="AH1181" t="str">
        <f>HYPERLINK("http://compartments.jensenlab.org/Entity?figures=subcell_cell_%&amp;knowledge=10&amp;textmining=10&amp;experiments=10&amp;predictions=10&amp;type1=9606&amp;type2=-22&amp;id1=ENSP00000353116","link")</f>
        <v>link</v>
      </c>
      <c r="AK1181" t="str">
        <f>HYPERLINK("http://www.proteinatlas.org/Q13286","no")</f>
        <v>no</v>
      </c>
      <c r="AM1181">
        <v>1201</v>
      </c>
    </row>
    <row r="1182" spans="1:39" x14ac:dyDescent="0.35">
      <c r="A1182" t="s">
        <v>12601</v>
      </c>
      <c r="B1182" t="str">
        <f>HYPERLINK("http://www.uniprot.org/uniprot/Q13291","Q13291")</f>
        <v>Q13291</v>
      </c>
      <c r="C1182" t="s">
        <v>12602</v>
      </c>
      <c r="D1182" t="s">
        <v>12603</v>
      </c>
      <c r="E1182" t="s">
        <v>39</v>
      </c>
      <c r="F1182" t="s">
        <v>55</v>
      </c>
      <c r="H1182">
        <v>335</v>
      </c>
      <c r="I1182">
        <v>1</v>
      </c>
      <c r="J1182">
        <v>1</v>
      </c>
      <c r="K1182" t="s">
        <v>12604</v>
      </c>
      <c r="L1182" t="s">
        <v>101</v>
      </c>
      <c r="M1182" t="s">
        <v>39</v>
      </c>
      <c r="N1182">
        <v>0.9415</v>
      </c>
      <c r="O1182" s="1">
        <v>1</v>
      </c>
      <c r="P1182" t="s">
        <v>12605</v>
      </c>
      <c r="Q1182" t="s">
        <v>12606</v>
      </c>
      <c r="R1182" t="s">
        <v>12607</v>
      </c>
      <c r="S1182" t="s">
        <v>60</v>
      </c>
      <c r="T1182" t="s">
        <v>60</v>
      </c>
      <c r="U1182" t="s">
        <v>12608</v>
      </c>
      <c r="V1182">
        <v>8</v>
      </c>
      <c r="W1182" t="s">
        <v>12609</v>
      </c>
      <c r="X1182" t="s">
        <v>12610</v>
      </c>
      <c r="Z1182" t="s">
        <v>107</v>
      </c>
      <c r="AA1182">
        <v>10</v>
      </c>
      <c r="AB1182" t="s">
        <v>12611</v>
      </c>
      <c r="AC1182" t="s">
        <v>12612</v>
      </c>
      <c r="AD1182" t="s">
        <v>12613</v>
      </c>
      <c r="AE1182" t="s">
        <v>332</v>
      </c>
      <c r="AF1182" t="s">
        <v>12614</v>
      </c>
      <c r="AG1182" t="s">
        <v>12615</v>
      </c>
      <c r="AH1182" t="str">
        <f>HYPERLINK("http://compartments.jensenlab.org/Entity?figures=subcell_cell_%&amp;knowledge=10&amp;textmining=10&amp;experiments=10&amp;predictions=10&amp;type1=9606&amp;type2=-22&amp;id1=ENSP00000306190","link")</f>
        <v>link</v>
      </c>
      <c r="AI1182" t="s">
        <v>65</v>
      </c>
      <c r="AJ1182" t="s">
        <v>51</v>
      </c>
      <c r="AK1182" t="str">
        <f>HYPERLINK("http://www.proteinatlas.org/Q13291","CAB002438")</f>
        <v>CAB002438</v>
      </c>
      <c r="AM1182">
        <v>6504</v>
      </c>
    </row>
    <row r="1183" spans="1:39" x14ac:dyDescent="0.35">
      <c r="A1183" t="s">
        <v>12616</v>
      </c>
      <c r="B1183" t="str">
        <f>HYPERLINK("http://www.uniprot.org/uniprot/Q13304","Q13304")</f>
        <v>Q13304</v>
      </c>
      <c r="C1183" t="s">
        <v>12617</v>
      </c>
      <c r="D1183" t="s">
        <v>12618</v>
      </c>
      <c r="E1183" t="s">
        <v>39</v>
      </c>
      <c r="F1183" t="s">
        <v>55</v>
      </c>
      <c r="H1183">
        <v>367</v>
      </c>
      <c r="I1183">
        <v>7</v>
      </c>
      <c r="J1183">
        <v>0</v>
      </c>
      <c r="K1183" t="s">
        <v>12619</v>
      </c>
      <c r="L1183" t="s">
        <v>57</v>
      </c>
      <c r="M1183" t="s">
        <v>39</v>
      </c>
      <c r="N1183">
        <v>0.95050000000000001</v>
      </c>
      <c r="O1183" s="1">
        <v>1</v>
      </c>
      <c r="P1183" t="s">
        <v>12620</v>
      </c>
      <c r="Q1183" t="s">
        <v>12621</v>
      </c>
      <c r="S1183" t="s">
        <v>166</v>
      </c>
      <c r="T1183" t="s">
        <v>838</v>
      </c>
      <c r="U1183" t="s">
        <v>12622</v>
      </c>
      <c r="V1183">
        <v>3</v>
      </c>
      <c r="W1183">
        <v>204</v>
      </c>
      <c r="AE1183" t="s">
        <v>74</v>
      </c>
      <c r="AF1183" t="s">
        <v>1723</v>
      </c>
      <c r="AG1183" t="s">
        <v>12623</v>
      </c>
      <c r="AH1183" t="str">
        <f>HYPERLINK("http://compartments.jensenlab.org/Entity?figures=subcell_cell_%&amp;knowledge=10&amp;textmining=10&amp;experiments=10&amp;predictions=10&amp;type1=9606&amp;type2=-22&amp;id1=ENSP00000272644","link")</f>
        <v>link</v>
      </c>
      <c r="AI1183" t="s">
        <v>65</v>
      </c>
      <c r="AJ1183" t="s">
        <v>51</v>
      </c>
      <c r="AK1183" t="str">
        <f>HYPERLINK("http://www.proteinatlas.org/Q13304","HPA029766")</f>
        <v>HPA029766</v>
      </c>
      <c r="AM1183">
        <v>2840</v>
      </c>
    </row>
    <row r="1184" spans="1:39" x14ac:dyDescent="0.35">
      <c r="A1184" t="s">
        <v>12624</v>
      </c>
      <c r="B1184" t="str">
        <f>HYPERLINK("http://www.uniprot.org/uniprot/Q13308","Q13308")</f>
        <v>Q13308</v>
      </c>
      <c r="C1184" t="s">
        <v>12625</v>
      </c>
      <c r="D1184" t="s">
        <v>12626</v>
      </c>
      <c r="E1184" t="s">
        <v>39</v>
      </c>
      <c r="F1184" t="s">
        <v>40</v>
      </c>
      <c r="H1184">
        <v>1070</v>
      </c>
      <c r="I1184">
        <v>1</v>
      </c>
      <c r="J1184">
        <v>1</v>
      </c>
      <c r="K1184" t="s">
        <v>12627</v>
      </c>
      <c r="L1184" t="s">
        <v>101</v>
      </c>
      <c r="N1184">
        <v>0.98399999999999999</v>
      </c>
      <c r="O1184" s="1">
        <v>1</v>
      </c>
      <c r="P1184" t="s">
        <v>12628</v>
      </c>
      <c r="Q1184" t="s">
        <v>12629</v>
      </c>
      <c r="S1184" t="s">
        <v>166</v>
      </c>
      <c r="T1184" t="s">
        <v>1411</v>
      </c>
      <c r="U1184" t="s">
        <v>12630</v>
      </c>
      <c r="V1184">
        <v>10</v>
      </c>
      <c r="W1184" t="s">
        <v>12631</v>
      </c>
      <c r="Z1184" t="s">
        <v>107</v>
      </c>
      <c r="AA1184">
        <v>28</v>
      </c>
      <c r="AB1184" t="s">
        <v>12632</v>
      </c>
      <c r="AC1184" t="s">
        <v>12633</v>
      </c>
      <c r="AD1184" t="s">
        <v>12634</v>
      </c>
      <c r="AE1184" t="s">
        <v>12635</v>
      </c>
      <c r="AF1184" t="s">
        <v>12636</v>
      </c>
      <c r="AG1184" t="s">
        <v>12637</v>
      </c>
      <c r="AH1184" t="str">
        <f>HYPERLINK("http://compartments.jensenlab.org/Entity?figures=subcell_cell_%&amp;knowledge=10&amp;textmining=10&amp;experiments=10&amp;predictions=10&amp;type1=9606&amp;type2=-22&amp;id1=ENSP00000230419","link")</f>
        <v>link</v>
      </c>
      <c r="AJ1184" t="s">
        <v>51</v>
      </c>
      <c r="AK1184" t="str">
        <f>HYPERLINK("http://www.proteinatlas.org/Q13308","HPA003222")</f>
        <v>HPA003222</v>
      </c>
      <c r="AM1184">
        <v>5754</v>
      </c>
    </row>
    <row r="1185" spans="1:39" x14ac:dyDescent="0.35">
      <c r="A1185" t="s">
        <v>12638</v>
      </c>
      <c r="B1185" t="str">
        <f>HYPERLINK("http://www.uniprot.org/uniprot/Q13324","Q13324")</f>
        <v>Q13324</v>
      </c>
      <c r="C1185" t="s">
        <v>12639</v>
      </c>
      <c r="D1185" t="s">
        <v>12640</v>
      </c>
      <c r="E1185" t="s">
        <v>39</v>
      </c>
      <c r="F1185" t="s">
        <v>40</v>
      </c>
      <c r="H1185">
        <v>411</v>
      </c>
      <c r="I1185">
        <v>7</v>
      </c>
      <c r="J1185">
        <v>0</v>
      </c>
      <c r="K1185" t="s">
        <v>12641</v>
      </c>
      <c r="L1185" t="s">
        <v>57</v>
      </c>
      <c r="N1185">
        <v>0.88019999999999998</v>
      </c>
      <c r="O1185" s="1">
        <v>1</v>
      </c>
      <c r="P1185" t="s">
        <v>12642</v>
      </c>
      <c r="Q1185" t="s">
        <v>12643</v>
      </c>
      <c r="S1185" t="s">
        <v>166</v>
      </c>
      <c r="T1185" t="s">
        <v>3409</v>
      </c>
      <c r="U1185" t="s">
        <v>12644</v>
      </c>
      <c r="V1185">
        <v>5</v>
      </c>
      <c r="W1185" t="s">
        <v>12644</v>
      </c>
      <c r="Y1185">
        <v>374</v>
      </c>
      <c r="AE1185" t="s">
        <v>74</v>
      </c>
      <c r="AF1185" t="s">
        <v>8254</v>
      </c>
      <c r="AG1185" t="s">
        <v>12645</v>
      </c>
      <c r="AH1185" t="str">
        <f>HYPERLINK("http://compartments.jensenlab.org/Entity?figures=subcell_cell_%&amp;knowledge=10&amp;textmining=10&amp;experiments=10&amp;predictions=10&amp;type1=9606&amp;type2=-22&amp;id1=ENSP00000418722","link")</f>
        <v>link</v>
      </c>
      <c r="AK1185" t="str">
        <f>HYPERLINK("http://www.proteinatlas.org/Q13324","HPA046683")</f>
        <v>HPA046683</v>
      </c>
      <c r="AM1185">
        <v>1395</v>
      </c>
    </row>
    <row r="1186" spans="1:39" x14ac:dyDescent="0.35">
      <c r="A1186" t="s">
        <v>12646</v>
      </c>
      <c r="B1186" t="str">
        <f>HYPERLINK("http://www.uniprot.org/uniprot/Q13332","Q13332")</f>
        <v>Q13332</v>
      </c>
      <c r="C1186" t="s">
        <v>12647</v>
      </c>
      <c r="D1186" t="s">
        <v>12648</v>
      </c>
      <c r="E1186" t="s">
        <v>39</v>
      </c>
      <c r="F1186" t="s">
        <v>40</v>
      </c>
      <c r="H1186">
        <v>1948</v>
      </c>
      <c r="I1186">
        <v>1</v>
      </c>
      <c r="J1186">
        <v>1</v>
      </c>
      <c r="K1186" t="s">
        <v>12649</v>
      </c>
      <c r="L1186" t="s">
        <v>101</v>
      </c>
      <c r="N1186">
        <v>0.88819999999999999</v>
      </c>
      <c r="O1186" s="1">
        <v>1</v>
      </c>
      <c r="P1186" t="s">
        <v>12650</v>
      </c>
      <c r="Q1186" t="s">
        <v>12651</v>
      </c>
      <c r="S1186" t="s">
        <v>166</v>
      </c>
      <c r="T1186" t="s">
        <v>1161</v>
      </c>
      <c r="U1186" t="s">
        <v>12652</v>
      </c>
      <c r="V1186">
        <v>4</v>
      </c>
      <c r="W1186" t="s">
        <v>12653</v>
      </c>
      <c r="Z1186" t="s">
        <v>107</v>
      </c>
      <c r="AA1186">
        <v>4</v>
      </c>
      <c r="AB1186" t="s">
        <v>12654</v>
      </c>
      <c r="AC1186" t="s">
        <v>12655</v>
      </c>
      <c r="AD1186" t="s">
        <v>12656</v>
      </c>
      <c r="AE1186" t="s">
        <v>144</v>
      </c>
      <c r="AF1186" t="s">
        <v>12657</v>
      </c>
      <c r="AG1186" t="s">
        <v>12658</v>
      </c>
      <c r="AH1186" t="str">
        <f>HYPERLINK("http://compartments.jensenlab.org/Entity?figures=subcell_cell_%&amp;knowledge=10&amp;textmining=10&amp;experiments=10&amp;predictions=10&amp;type1=9606&amp;type2=-22&amp;id1=ENSP00000349932","link")</f>
        <v>link</v>
      </c>
      <c r="AJ1186" t="s">
        <v>51</v>
      </c>
      <c r="AK1186" t="str">
        <f>HYPERLINK("http://www.proteinatlas.org/Q13332","HPA054747")</f>
        <v>HPA054747</v>
      </c>
      <c r="AL1186" t="s">
        <v>12659</v>
      </c>
      <c r="AM1186">
        <v>5802</v>
      </c>
    </row>
    <row r="1187" spans="1:39" x14ac:dyDescent="0.35">
      <c r="A1187" t="s">
        <v>12660</v>
      </c>
      <c r="B1187" t="str">
        <f>HYPERLINK("http://www.uniprot.org/uniprot/Q13336","Q13336")</f>
        <v>Q13336</v>
      </c>
      <c r="C1187" t="s">
        <v>12661</v>
      </c>
      <c r="D1187" t="s">
        <v>12662</v>
      </c>
      <c r="E1187" t="s">
        <v>39</v>
      </c>
      <c r="F1187" t="s">
        <v>55</v>
      </c>
      <c r="H1187">
        <v>389</v>
      </c>
      <c r="I1187">
        <v>8</v>
      </c>
      <c r="J1187">
        <v>0</v>
      </c>
      <c r="K1187" t="s">
        <v>12663</v>
      </c>
      <c r="L1187" t="s">
        <v>118</v>
      </c>
      <c r="M1187" t="s">
        <v>39</v>
      </c>
      <c r="N1187">
        <v>0.42209999999999998</v>
      </c>
      <c r="O1187" s="1">
        <v>3</v>
      </c>
      <c r="P1187" t="s">
        <v>12664</v>
      </c>
      <c r="Q1187" t="s">
        <v>12665</v>
      </c>
      <c r="S1187" t="s">
        <v>45</v>
      </c>
      <c r="T1187" t="s">
        <v>12666</v>
      </c>
      <c r="U1187" t="s">
        <v>12667</v>
      </c>
      <c r="V1187">
        <v>1</v>
      </c>
      <c r="W1187">
        <v>125</v>
      </c>
      <c r="Z1187" t="s">
        <v>107</v>
      </c>
      <c r="AA1187">
        <v>1</v>
      </c>
      <c r="AB1187" t="s">
        <v>12668</v>
      </c>
      <c r="AC1187">
        <v>211</v>
      </c>
      <c r="AD1187" t="s">
        <v>12669</v>
      </c>
      <c r="AE1187" t="s">
        <v>3765</v>
      </c>
      <c r="AF1187" t="s">
        <v>12670</v>
      </c>
      <c r="AG1187" t="s">
        <v>12671</v>
      </c>
      <c r="AH1187" t="str">
        <f>HYPERLINK("http://compartments.jensenlab.org/Entity?figures=subcell_cell_%&amp;knowledge=10&amp;textmining=10&amp;experiments=10&amp;predictions=10&amp;type1=9606&amp;type2=-22&amp;id1=ENSP00000318546","link")</f>
        <v>link</v>
      </c>
      <c r="AK1187" t="str">
        <f>HYPERLINK("http://www.proteinatlas.org/Q13336","HPA059570")</f>
        <v>HPA059570</v>
      </c>
      <c r="AM1187">
        <v>6563</v>
      </c>
    </row>
    <row r="1188" spans="1:39" x14ac:dyDescent="0.35">
      <c r="A1188" t="s">
        <v>12672</v>
      </c>
      <c r="B1188" t="str">
        <f>HYPERLINK("http://www.uniprot.org/uniprot/Q13349","Q13349")</f>
        <v>Q13349</v>
      </c>
      <c r="C1188" t="s">
        <v>12673</v>
      </c>
      <c r="D1188" t="s">
        <v>12674</v>
      </c>
      <c r="E1188" t="s">
        <v>39</v>
      </c>
      <c r="F1188" t="s">
        <v>40</v>
      </c>
      <c r="H1188">
        <v>1161</v>
      </c>
      <c r="I1188">
        <v>1</v>
      </c>
      <c r="J1188">
        <v>1</v>
      </c>
      <c r="K1188" t="s">
        <v>12675</v>
      </c>
      <c r="L1188" t="s">
        <v>57</v>
      </c>
      <c r="N1188">
        <v>0.77049999999999996</v>
      </c>
      <c r="O1188" s="1">
        <v>1</v>
      </c>
      <c r="P1188" t="s">
        <v>12676</v>
      </c>
      <c r="Q1188" t="s">
        <v>12677</v>
      </c>
      <c r="R1188" t="s">
        <v>12678</v>
      </c>
      <c r="S1188" t="s">
        <v>166</v>
      </c>
      <c r="T1188" t="s">
        <v>2763</v>
      </c>
      <c r="U1188" t="s">
        <v>12679</v>
      </c>
      <c r="V1188">
        <v>10</v>
      </c>
      <c r="X1188" t="s">
        <v>12680</v>
      </c>
      <c r="AE1188" t="s">
        <v>144</v>
      </c>
      <c r="AF1188" t="s">
        <v>12681</v>
      </c>
      <c r="AG1188" t="s">
        <v>12682</v>
      </c>
      <c r="AH1188" t="str">
        <f>HYPERLINK("http://compartments.jensenlab.org/Entity?figures=subcell_cell_%&amp;knowledge=10&amp;textmining=10&amp;experiments=10&amp;predictions=10&amp;type1=9606&amp;type2=-22&amp;id1=ENSP00000373854","link")</f>
        <v>link</v>
      </c>
      <c r="AI1188" t="s">
        <v>65</v>
      </c>
      <c r="AJ1188" t="s">
        <v>51</v>
      </c>
      <c r="AK1188" t="str">
        <f>HYPERLINK("http://www.proteinatlas.org/Q13349","HPA026786")</f>
        <v>HPA026786</v>
      </c>
      <c r="AM1188">
        <v>3681</v>
      </c>
    </row>
    <row r="1189" spans="1:39" x14ac:dyDescent="0.35">
      <c r="A1189" t="s">
        <v>12683</v>
      </c>
      <c r="B1189" t="str">
        <f>HYPERLINK("http://www.uniprot.org/uniprot/Q13410","Q13410")</f>
        <v>Q13410</v>
      </c>
      <c r="C1189" t="s">
        <v>12684</v>
      </c>
      <c r="D1189" t="s">
        <v>12685</v>
      </c>
      <c r="E1189" t="s">
        <v>39</v>
      </c>
      <c r="F1189" t="s">
        <v>40</v>
      </c>
      <c r="H1189">
        <v>526</v>
      </c>
      <c r="I1189">
        <v>1</v>
      </c>
      <c r="J1189">
        <v>1</v>
      </c>
      <c r="K1189" t="s">
        <v>12686</v>
      </c>
      <c r="L1189" t="s">
        <v>57</v>
      </c>
      <c r="N1189">
        <v>0.9042</v>
      </c>
      <c r="O1189" s="1">
        <v>1</v>
      </c>
      <c r="P1189" t="s">
        <v>12687</v>
      </c>
      <c r="Q1189" t="s">
        <v>12688</v>
      </c>
      <c r="S1189" t="s">
        <v>91</v>
      </c>
      <c r="T1189" t="s">
        <v>1012</v>
      </c>
      <c r="U1189" t="s">
        <v>12689</v>
      </c>
      <c r="V1189">
        <v>2</v>
      </c>
      <c r="W1189" t="s">
        <v>12689</v>
      </c>
      <c r="AE1189" t="s">
        <v>1434</v>
      </c>
      <c r="AF1189" t="s">
        <v>12690</v>
      </c>
      <c r="AG1189" t="s">
        <v>12691</v>
      </c>
      <c r="AH1189" t="str">
        <f>HYPERLINK("http://compartments.jensenlab.org/Entity?figures=subcell_cell_%&amp;knowledge=10&amp;textmining=10&amp;experiments=10&amp;predictions=10&amp;type1=9606&amp;type2=-22&amp;id1=ENSP00000244513","link")</f>
        <v>link</v>
      </c>
      <c r="AI1189" t="s">
        <v>113</v>
      </c>
      <c r="AJ1189" t="s">
        <v>902</v>
      </c>
      <c r="AK1189" t="str">
        <f>HYPERLINK("http://www.proteinatlas.org/Q13410","HPA011126")</f>
        <v>HPA011126</v>
      </c>
      <c r="AM1189">
        <v>696</v>
      </c>
    </row>
    <row r="1190" spans="1:39" x14ac:dyDescent="0.35">
      <c r="A1190" t="s">
        <v>12692</v>
      </c>
      <c r="B1190" t="str">
        <f>HYPERLINK("http://www.uniprot.org/uniprot/Q13421","Q13421")</f>
        <v>Q13421</v>
      </c>
      <c r="C1190" t="s">
        <v>12693</v>
      </c>
      <c r="D1190" t="s">
        <v>12694</v>
      </c>
      <c r="E1190" t="s">
        <v>39</v>
      </c>
      <c r="F1190" t="s">
        <v>239</v>
      </c>
      <c r="H1190">
        <v>630</v>
      </c>
      <c r="I1190">
        <v>0</v>
      </c>
      <c r="J1190">
        <v>1</v>
      </c>
      <c r="K1190" t="s">
        <v>12695</v>
      </c>
      <c r="L1190" t="s">
        <v>996</v>
      </c>
      <c r="N1190">
        <v>0.71260000000000001</v>
      </c>
      <c r="O1190" s="1" t="s">
        <v>241</v>
      </c>
      <c r="P1190" t="s">
        <v>12696</v>
      </c>
      <c r="Q1190" t="s">
        <v>12697</v>
      </c>
      <c r="U1190" t="s">
        <v>12698</v>
      </c>
      <c r="V1190">
        <v>4</v>
      </c>
      <c r="W1190" t="s">
        <v>12698</v>
      </c>
      <c r="Z1190" t="s">
        <v>107</v>
      </c>
      <c r="AA1190">
        <v>4</v>
      </c>
      <c r="AB1190" t="s">
        <v>12699</v>
      </c>
      <c r="AC1190" t="s">
        <v>12700</v>
      </c>
      <c r="AD1190" t="s">
        <v>12701</v>
      </c>
      <c r="AE1190" t="s">
        <v>12702</v>
      </c>
      <c r="AF1190" t="s">
        <v>12703</v>
      </c>
      <c r="AG1190" t="s">
        <v>12704</v>
      </c>
      <c r="AH1190" t="str">
        <f>HYPERLINK("http://compartments.jensenlab.org/Entity?figures=subcell_cell_%&amp;knowledge=10&amp;textmining=10&amp;experiments=10&amp;predictions=10&amp;type1=9606&amp;type2=-22&amp;id1=ENSP00000372313","link")</f>
        <v>link</v>
      </c>
      <c r="AI1190" t="s">
        <v>12705</v>
      </c>
      <c r="AJ1190" t="s">
        <v>7201</v>
      </c>
      <c r="AK1190" t="str">
        <f>HYPERLINK("http://www.proteinatlas.org/Q13421","CAB002216;HPA017172")</f>
        <v>CAB002216;HPA017172</v>
      </c>
      <c r="AM1190">
        <v>10232</v>
      </c>
    </row>
    <row r="1191" spans="1:39" x14ac:dyDescent="0.35">
      <c r="A1191" t="s">
        <v>12706</v>
      </c>
      <c r="B1191" t="str">
        <f>HYPERLINK("http://www.uniprot.org/uniprot/Q13433","Q13433")</f>
        <v>Q13433</v>
      </c>
      <c r="C1191" t="s">
        <v>12707</v>
      </c>
      <c r="D1191" t="s">
        <v>12708</v>
      </c>
      <c r="E1191" t="s">
        <v>39</v>
      </c>
      <c r="F1191" t="s">
        <v>55</v>
      </c>
      <c r="H1191">
        <v>755</v>
      </c>
      <c r="I1191">
        <v>6</v>
      </c>
      <c r="J1191">
        <v>1</v>
      </c>
      <c r="K1191" t="s">
        <v>12709</v>
      </c>
      <c r="L1191" t="s">
        <v>101</v>
      </c>
      <c r="M1191" t="s">
        <v>39</v>
      </c>
      <c r="N1191">
        <v>0.93959999999999999</v>
      </c>
      <c r="O1191" s="1">
        <v>1</v>
      </c>
      <c r="P1191" t="s">
        <v>12710</v>
      </c>
      <c r="Q1191" t="s">
        <v>12711</v>
      </c>
      <c r="S1191" t="s">
        <v>45</v>
      </c>
      <c r="T1191" t="s">
        <v>12712</v>
      </c>
      <c r="U1191" t="s">
        <v>12713</v>
      </c>
      <c r="V1191">
        <v>5</v>
      </c>
      <c r="W1191">
        <v>283</v>
      </c>
      <c r="Z1191" t="s">
        <v>107</v>
      </c>
      <c r="AA1191">
        <v>11</v>
      </c>
      <c r="AB1191" t="s">
        <v>12714</v>
      </c>
      <c r="AC1191" t="s">
        <v>12715</v>
      </c>
      <c r="AD1191" t="s">
        <v>12716</v>
      </c>
      <c r="AE1191" t="s">
        <v>74</v>
      </c>
      <c r="AF1191" t="s">
        <v>12717</v>
      </c>
      <c r="AG1191" t="s">
        <v>12718</v>
      </c>
      <c r="AH1191" t="str">
        <f>HYPERLINK("http://compartments.jensenlab.org/Entity?figures=subcell_cell_%&amp;knowledge=10&amp;textmining=10&amp;experiments=10&amp;predictions=10&amp;type1=9606&amp;type2=-22&amp;id1=ENSP00000269187","link")</f>
        <v>link</v>
      </c>
      <c r="AI1191" t="s">
        <v>65</v>
      </c>
      <c r="AJ1191" t="s">
        <v>345</v>
      </c>
      <c r="AK1191" t="str">
        <f>HYPERLINK("http://www.proteinatlas.org/Q13433","HPA042377")</f>
        <v>HPA042377</v>
      </c>
      <c r="AM1191">
        <v>25800</v>
      </c>
    </row>
    <row r="1192" spans="1:39" x14ac:dyDescent="0.35">
      <c r="A1192" t="s">
        <v>12719</v>
      </c>
      <c r="B1192" t="str">
        <f>HYPERLINK("http://www.uniprot.org/uniprot/Q13443","Q13443")</f>
        <v>Q13443</v>
      </c>
      <c r="C1192" t="s">
        <v>12720</v>
      </c>
      <c r="D1192" t="s">
        <v>12721</v>
      </c>
      <c r="E1192" t="s">
        <v>39</v>
      </c>
      <c r="F1192" t="s">
        <v>55</v>
      </c>
      <c r="H1192">
        <v>819</v>
      </c>
      <c r="I1192">
        <v>1</v>
      </c>
      <c r="J1192">
        <v>1</v>
      </c>
      <c r="K1192" t="s">
        <v>12722</v>
      </c>
      <c r="L1192" t="s">
        <v>101</v>
      </c>
      <c r="M1192" t="s">
        <v>39</v>
      </c>
      <c r="N1192">
        <v>0.88660000000000005</v>
      </c>
      <c r="O1192" s="1">
        <v>1</v>
      </c>
      <c r="P1192" t="s">
        <v>12723</v>
      </c>
      <c r="Q1192" t="s">
        <v>12724</v>
      </c>
      <c r="S1192" t="s">
        <v>947</v>
      </c>
      <c r="T1192" t="s">
        <v>1208</v>
      </c>
      <c r="U1192" t="s">
        <v>12725</v>
      </c>
      <c r="V1192">
        <v>6</v>
      </c>
      <c r="W1192" t="s">
        <v>12726</v>
      </c>
      <c r="Z1192" t="s">
        <v>107</v>
      </c>
      <c r="AA1192">
        <v>1</v>
      </c>
      <c r="AB1192" t="s">
        <v>12727</v>
      </c>
      <c r="AC1192">
        <v>381</v>
      </c>
      <c r="AD1192" t="s">
        <v>12728</v>
      </c>
      <c r="AE1192" t="s">
        <v>1250</v>
      </c>
      <c r="AF1192" t="s">
        <v>12729</v>
      </c>
      <c r="AG1192" t="s">
        <v>12730</v>
      </c>
      <c r="AH1192" t="str">
        <f>HYPERLINK("http://compartments.jensenlab.org/Entity?figures=subcell_cell_%&amp;knowledge=10&amp;textmining=10&amp;experiments=10&amp;predictions=10&amp;type1=9606&amp;type2=-22&amp;id1=ENSP00000419446","link")</f>
        <v>link</v>
      </c>
      <c r="AK1192" t="str">
        <f>HYPERLINK("http://www.proteinatlas.org/Q13443","HPA004000")</f>
        <v>HPA004000</v>
      </c>
      <c r="AM1192">
        <v>8754</v>
      </c>
    </row>
    <row r="1193" spans="1:39" x14ac:dyDescent="0.35">
      <c r="A1193" t="s">
        <v>12731</v>
      </c>
      <c r="B1193" t="str">
        <f>HYPERLINK("http://www.uniprot.org/uniprot/Q13444","Q13444")</f>
        <v>Q13444</v>
      </c>
      <c r="C1193" t="s">
        <v>12732</v>
      </c>
      <c r="D1193" t="s">
        <v>12733</v>
      </c>
      <c r="E1193" t="s">
        <v>39</v>
      </c>
      <c r="F1193" t="s">
        <v>40</v>
      </c>
      <c r="H1193">
        <v>863</v>
      </c>
      <c r="I1193">
        <v>1</v>
      </c>
      <c r="J1193">
        <v>1</v>
      </c>
      <c r="K1193" t="s">
        <v>12734</v>
      </c>
      <c r="L1193" t="s">
        <v>101</v>
      </c>
      <c r="N1193">
        <v>0.82440000000000002</v>
      </c>
      <c r="O1193" s="1">
        <v>1</v>
      </c>
      <c r="P1193" t="s">
        <v>12735</v>
      </c>
      <c r="Q1193" t="s">
        <v>12736</v>
      </c>
      <c r="S1193" t="s">
        <v>947</v>
      </c>
      <c r="T1193" t="s">
        <v>1208</v>
      </c>
      <c r="U1193" t="s">
        <v>12737</v>
      </c>
      <c r="V1193">
        <v>5</v>
      </c>
      <c r="Z1193" t="s">
        <v>107</v>
      </c>
      <c r="AA1193">
        <v>2</v>
      </c>
      <c r="AB1193" t="s">
        <v>12738</v>
      </c>
      <c r="AC1193">
        <v>237</v>
      </c>
      <c r="AD1193" t="s">
        <v>12739</v>
      </c>
      <c r="AE1193" t="s">
        <v>12740</v>
      </c>
      <c r="AF1193" t="s">
        <v>12741</v>
      </c>
      <c r="AG1193" t="s">
        <v>12742</v>
      </c>
      <c r="AH1193" t="str">
        <f>HYPERLINK("http://compartments.jensenlab.org/Entity?figures=subcell_cell_%&amp;knowledge=10&amp;textmining=10&amp;experiments=10&amp;predictions=10&amp;type1=9606&amp;type2=-22&amp;id1=ENSP00000349436","link")</f>
        <v>link</v>
      </c>
      <c r="AJ1193" t="s">
        <v>4458</v>
      </c>
      <c r="AK1193" t="str">
        <f>HYPERLINK("http://www.proteinatlas.org/Q13444","HPA011633")</f>
        <v>HPA011633</v>
      </c>
      <c r="AM1193">
        <v>8751</v>
      </c>
    </row>
    <row r="1194" spans="1:39" x14ac:dyDescent="0.35">
      <c r="A1194" t="s">
        <v>12743</v>
      </c>
      <c r="B1194" t="str">
        <f>HYPERLINK("http://www.uniprot.org/uniprot/Q13449","Q13449")</f>
        <v>Q13449</v>
      </c>
      <c r="C1194" t="s">
        <v>12744</v>
      </c>
      <c r="D1194" t="s">
        <v>12745</v>
      </c>
      <c r="E1194" t="s">
        <v>39</v>
      </c>
      <c r="F1194" t="s">
        <v>239</v>
      </c>
      <c r="H1194">
        <v>338</v>
      </c>
      <c r="I1194">
        <v>0</v>
      </c>
      <c r="J1194">
        <v>1</v>
      </c>
      <c r="K1194" t="s">
        <v>12746</v>
      </c>
      <c r="L1194" t="s">
        <v>996</v>
      </c>
      <c r="N1194">
        <v>0.77249999999999996</v>
      </c>
      <c r="O1194" s="1" t="s">
        <v>997</v>
      </c>
      <c r="P1194" t="s">
        <v>12747</v>
      </c>
      <c r="Q1194" t="s">
        <v>12748</v>
      </c>
      <c r="S1194" t="s">
        <v>60</v>
      </c>
      <c r="T1194" t="s">
        <v>60</v>
      </c>
      <c r="U1194" t="s">
        <v>12749</v>
      </c>
      <c r="V1194">
        <v>8</v>
      </c>
      <c r="W1194" t="s">
        <v>12749</v>
      </c>
      <c r="Z1194" t="s">
        <v>107</v>
      </c>
      <c r="AA1194">
        <v>8</v>
      </c>
      <c r="AB1194" t="s">
        <v>12750</v>
      </c>
      <c r="AC1194" t="s">
        <v>12751</v>
      </c>
      <c r="AD1194" t="s">
        <v>12752</v>
      </c>
      <c r="AE1194" t="s">
        <v>243</v>
      </c>
      <c r="AF1194" t="s">
        <v>12753</v>
      </c>
      <c r="AG1194" t="s">
        <v>12754</v>
      </c>
      <c r="AH1194" t="str">
        <f>HYPERLINK("http://compartments.jensenlab.org/Entity?figures=subcell_cell_%&amp;knowledge=10&amp;textmining=10&amp;experiments=10&amp;predictions=10&amp;type1=9606&amp;type2=-22&amp;id1=ENSP00000419000","link")</f>
        <v>link</v>
      </c>
      <c r="AI1194" t="s">
        <v>65</v>
      </c>
      <c r="AJ1194" t="s">
        <v>51</v>
      </c>
      <c r="AK1194" t="str">
        <f>HYPERLINK("http://www.proteinatlas.org/Q13449","no")</f>
        <v>no</v>
      </c>
      <c r="AM1194">
        <v>4045</v>
      </c>
    </row>
    <row r="1195" spans="1:39" x14ac:dyDescent="0.35">
      <c r="A1195" t="s">
        <v>12755</v>
      </c>
      <c r="B1195" t="str">
        <f>HYPERLINK("http://www.uniprot.org/uniprot/Q13467","Q13467")</f>
        <v>Q13467</v>
      </c>
      <c r="C1195" t="s">
        <v>12756</v>
      </c>
      <c r="D1195" t="s">
        <v>12757</v>
      </c>
      <c r="E1195" t="s">
        <v>39</v>
      </c>
      <c r="F1195" t="s">
        <v>40</v>
      </c>
      <c r="H1195">
        <v>585</v>
      </c>
      <c r="I1195">
        <v>7</v>
      </c>
      <c r="J1195">
        <v>1</v>
      </c>
      <c r="K1195" t="s">
        <v>12758</v>
      </c>
      <c r="L1195" t="s">
        <v>57</v>
      </c>
      <c r="N1195">
        <v>0.91420000000000001</v>
      </c>
      <c r="O1195" s="1">
        <v>1</v>
      </c>
      <c r="P1195" t="s">
        <v>12759</v>
      </c>
      <c r="Q1195" t="s">
        <v>12760</v>
      </c>
      <c r="S1195" t="s">
        <v>166</v>
      </c>
      <c r="T1195" t="s">
        <v>827</v>
      </c>
      <c r="U1195" t="s">
        <v>12761</v>
      </c>
      <c r="V1195">
        <v>2</v>
      </c>
      <c r="W1195" t="s">
        <v>12761</v>
      </c>
      <c r="X1195" t="s">
        <v>12762</v>
      </c>
      <c r="AE1195" t="s">
        <v>12763</v>
      </c>
      <c r="AF1195" t="s">
        <v>12764</v>
      </c>
      <c r="AG1195" t="s">
        <v>12765</v>
      </c>
      <c r="AH1195" t="str">
        <f>HYPERLINK("http://compartments.jensenlab.org/Entity?figures=subcell_cell_%&amp;knowledge=10&amp;textmining=10&amp;experiments=10&amp;predictions=10&amp;type1=9606&amp;type2=-22&amp;id1=ENSP00000354607","link")</f>
        <v>link</v>
      </c>
      <c r="AI1195" t="s">
        <v>1216</v>
      </c>
      <c r="AJ1195" t="s">
        <v>2124</v>
      </c>
      <c r="AK1195" t="str">
        <f>HYPERLINK("http://www.proteinatlas.org/Q13467","HPA052361;HPA053811")</f>
        <v>HPA052361;HPA053811</v>
      </c>
      <c r="AM1195">
        <v>7855</v>
      </c>
    </row>
    <row r="1196" spans="1:39" x14ac:dyDescent="0.35">
      <c r="A1196" t="s">
        <v>12766</v>
      </c>
      <c r="B1196" t="str">
        <f>HYPERLINK("http://www.uniprot.org/uniprot/Q13478","Q13478")</f>
        <v>Q13478</v>
      </c>
      <c r="C1196" t="s">
        <v>12767</v>
      </c>
      <c r="D1196" t="s">
        <v>12768</v>
      </c>
      <c r="E1196" t="s">
        <v>39</v>
      </c>
      <c r="F1196" t="s">
        <v>40</v>
      </c>
      <c r="H1196">
        <v>541</v>
      </c>
      <c r="I1196">
        <v>1</v>
      </c>
      <c r="J1196">
        <v>1</v>
      </c>
      <c r="K1196" t="s">
        <v>12769</v>
      </c>
      <c r="L1196" t="s">
        <v>101</v>
      </c>
      <c r="N1196">
        <v>0.82830000000000004</v>
      </c>
      <c r="O1196" s="1">
        <v>1</v>
      </c>
      <c r="P1196" t="s">
        <v>12770</v>
      </c>
      <c r="Q1196" t="s">
        <v>12771</v>
      </c>
      <c r="R1196" t="s">
        <v>12772</v>
      </c>
      <c r="S1196" t="s">
        <v>166</v>
      </c>
      <c r="T1196" t="s">
        <v>3171</v>
      </c>
      <c r="U1196" t="s">
        <v>12773</v>
      </c>
      <c r="V1196">
        <v>8</v>
      </c>
      <c r="Z1196" t="s">
        <v>107</v>
      </c>
      <c r="AA1196">
        <v>3</v>
      </c>
      <c r="AB1196" t="s">
        <v>12774</v>
      </c>
      <c r="AC1196" t="s">
        <v>12775</v>
      </c>
      <c r="AD1196" t="s">
        <v>12776</v>
      </c>
      <c r="AE1196" t="s">
        <v>144</v>
      </c>
      <c r="AF1196" t="s">
        <v>12777</v>
      </c>
      <c r="AG1196" t="s">
        <v>12778</v>
      </c>
      <c r="AH1196" t="str">
        <f>HYPERLINK("http://compartments.jensenlab.org/Entity?figures=subcell_cell_%&amp;knowledge=10&amp;textmining=10&amp;experiments=10&amp;predictions=10&amp;type1=9606&amp;type2=-22&amp;id1=ENSP00000233957","link")</f>
        <v>link</v>
      </c>
      <c r="AJ1196" t="s">
        <v>113</v>
      </c>
      <c r="AK1196" t="str">
        <f>HYPERLINK("http://www.proteinatlas.org/Q13478","HPA007615")</f>
        <v>HPA007615</v>
      </c>
      <c r="AM1196">
        <v>8809</v>
      </c>
    </row>
    <row r="1197" spans="1:39" x14ac:dyDescent="0.35">
      <c r="A1197" t="s">
        <v>12779</v>
      </c>
      <c r="B1197" t="str">
        <f>HYPERLINK("http://www.uniprot.org/uniprot/Q13488","Q13488")</f>
        <v>Q13488</v>
      </c>
      <c r="C1197" t="s">
        <v>12780</v>
      </c>
      <c r="D1197" t="s">
        <v>12781</v>
      </c>
      <c r="E1197" t="s">
        <v>39</v>
      </c>
      <c r="F1197" t="s">
        <v>40</v>
      </c>
      <c r="H1197">
        <v>830</v>
      </c>
      <c r="I1197">
        <v>8</v>
      </c>
      <c r="J1197">
        <v>0</v>
      </c>
      <c r="K1197" t="s">
        <v>12782</v>
      </c>
      <c r="L1197" t="s">
        <v>57</v>
      </c>
      <c r="N1197">
        <v>0.71660000000000001</v>
      </c>
      <c r="O1197" s="1">
        <v>2</v>
      </c>
      <c r="P1197" t="s">
        <v>12783</v>
      </c>
      <c r="Q1197" t="s">
        <v>12784</v>
      </c>
      <c r="S1197" t="s">
        <v>60</v>
      </c>
      <c r="T1197" t="s">
        <v>60</v>
      </c>
      <c r="U1197" t="s">
        <v>12785</v>
      </c>
      <c r="V1197">
        <v>2</v>
      </c>
      <c r="W1197" t="s">
        <v>12785</v>
      </c>
      <c r="AE1197" t="s">
        <v>48</v>
      </c>
      <c r="AF1197" t="s">
        <v>12786</v>
      </c>
      <c r="AG1197" t="s">
        <v>12787</v>
      </c>
      <c r="AH1197" t="str">
        <f>HYPERLINK("http://compartments.jensenlab.org/Entity?figures=subcell_cell_%&amp;knowledge=10&amp;textmining=10&amp;experiments=10&amp;predictions=10&amp;type1=9606&amp;type2=-22&amp;id1=ENSP00000265686","link")</f>
        <v>link</v>
      </c>
      <c r="AI1197" t="s">
        <v>65</v>
      </c>
      <c r="AJ1197" t="s">
        <v>12788</v>
      </c>
      <c r="AK1197" t="str">
        <f>HYPERLINK("http://www.proteinatlas.org/Q13488","HPA038742")</f>
        <v>HPA038742</v>
      </c>
      <c r="AM1197">
        <v>10312</v>
      </c>
    </row>
    <row r="1198" spans="1:39" x14ac:dyDescent="0.35">
      <c r="A1198" t="s">
        <v>12789</v>
      </c>
      <c r="B1198" t="str">
        <f>HYPERLINK("http://www.uniprot.org/uniprot/Q13491","Q13491")</f>
        <v>Q13491</v>
      </c>
      <c r="C1198" t="s">
        <v>12790</v>
      </c>
      <c r="D1198" t="s">
        <v>12791</v>
      </c>
      <c r="E1198" t="s">
        <v>39</v>
      </c>
      <c r="F1198" t="s">
        <v>55</v>
      </c>
      <c r="H1198">
        <v>265</v>
      </c>
      <c r="I1198">
        <v>4</v>
      </c>
      <c r="J1198">
        <v>0</v>
      </c>
      <c r="K1198" t="s">
        <v>12792</v>
      </c>
      <c r="L1198" t="s">
        <v>118</v>
      </c>
      <c r="M1198" t="s">
        <v>39</v>
      </c>
      <c r="N1198">
        <v>0.85550000000000004</v>
      </c>
      <c r="O1198" s="1">
        <v>1</v>
      </c>
      <c r="P1198" t="s">
        <v>12793</v>
      </c>
      <c r="Q1198" t="s">
        <v>12794</v>
      </c>
      <c r="S1198" t="s">
        <v>60</v>
      </c>
      <c r="T1198" t="s">
        <v>60</v>
      </c>
      <c r="U1198" t="s">
        <v>12795</v>
      </c>
      <c r="V1198">
        <v>2</v>
      </c>
      <c r="W1198" t="s">
        <v>12795</v>
      </c>
      <c r="Z1198" t="s">
        <v>107</v>
      </c>
      <c r="AA1198">
        <v>1</v>
      </c>
      <c r="AB1198" t="s">
        <v>12796</v>
      </c>
      <c r="AC1198">
        <v>177</v>
      </c>
      <c r="AD1198" t="s">
        <v>12797</v>
      </c>
      <c r="AE1198" t="s">
        <v>74</v>
      </c>
      <c r="AF1198" t="s">
        <v>12798</v>
      </c>
      <c r="AG1198" t="s">
        <v>12799</v>
      </c>
      <c r="AH1198" t="str">
        <f>HYPERLINK("http://compartments.jensenlab.org/Entity?figures=subcell_cell_%&amp;knowledge=10&amp;textmining=10&amp;experiments=10&amp;predictions=10&amp;type1=9606&amp;type2=-22&amp;id1=ENSP00000349420","link")</f>
        <v>link</v>
      </c>
      <c r="AK1198" t="str">
        <f>HYPERLINK("http://www.proteinatlas.org/Q13491","HPA002913")</f>
        <v>HPA002913</v>
      </c>
      <c r="AM1198">
        <v>2824</v>
      </c>
    </row>
    <row r="1199" spans="1:39" x14ac:dyDescent="0.35">
      <c r="A1199" t="s">
        <v>12800</v>
      </c>
      <c r="B1199" t="str">
        <f>HYPERLINK("http://www.uniprot.org/uniprot/Q13508","Q13508")</f>
        <v>Q13508</v>
      </c>
      <c r="C1199" t="s">
        <v>12801</v>
      </c>
      <c r="D1199" t="s">
        <v>12802</v>
      </c>
      <c r="E1199" t="s">
        <v>39</v>
      </c>
      <c r="F1199" t="s">
        <v>239</v>
      </c>
      <c r="H1199">
        <v>389</v>
      </c>
      <c r="I1199">
        <v>0</v>
      </c>
      <c r="J1199">
        <v>1</v>
      </c>
      <c r="K1199" t="s">
        <v>12803</v>
      </c>
      <c r="L1199" t="s">
        <v>57</v>
      </c>
      <c r="N1199">
        <v>0.497</v>
      </c>
      <c r="O1199" s="1" t="s">
        <v>1752</v>
      </c>
      <c r="P1199" t="s">
        <v>12804</v>
      </c>
      <c r="Q1199" t="s">
        <v>12805</v>
      </c>
      <c r="S1199" t="s">
        <v>947</v>
      </c>
      <c r="T1199" t="s">
        <v>10559</v>
      </c>
      <c r="U1199">
        <v>248</v>
      </c>
      <c r="V1199">
        <v>1</v>
      </c>
      <c r="W1199" t="s">
        <v>12806</v>
      </c>
      <c r="AE1199" t="s">
        <v>243</v>
      </c>
      <c r="AF1199" t="s">
        <v>12807</v>
      </c>
      <c r="AG1199" t="s">
        <v>12808</v>
      </c>
      <c r="AH1199" t="str">
        <f>HYPERLINK("http://compartments.jensenlab.org/Entity?figures=subcell_cell_%&amp;knowledge=10&amp;textmining=10&amp;experiments=10&amp;predictions=10&amp;type1=9606&amp;type2=-22&amp;id1=ENSP00000348064","link")</f>
        <v>link</v>
      </c>
      <c r="AI1199" t="s">
        <v>65</v>
      </c>
      <c r="AJ1199" t="s">
        <v>51</v>
      </c>
      <c r="AK1199" t="str">
        <f>HYPERLINK("http://www.proteinatlas.org/Q13508","HPA011268")</f>
        <v>HPA011268</v>
      </c>
      <c r="AM1199">
        <v>419</v>
      </c>
    </row>
    <row r="1200" spans="1:39" x14ac:dyDescent="0.35">
      <c r="A1200" t="s">
        <v>12809</v>
      </c>
      <c r="B1200" t="str">
        <f>HYPERLINK("http://www.uniprot.org/uniprot/Q13530","Q13530")</f>
        <v>Q13530</v>
      </c>
      <c r="C1200" t="s">
        <v>12810</v>
      </c>
      <c r="D1200" t="s">
        <v>12811</v>
      </c>
      <c r="E1200" t="s">
        <v>39</v>
      </c>
      <c r="F1200" t="s">
        <v>40</v>
      </c>
      <c r="H1200">
        <v>473</v>
      </c>
      <c r="I1200">
        <v>8</v>
      </c>
      <c r="J1200">
        <v>0</v>
      </c>
      <c r="K1200" t="s">
        <v>12812</v>
      </c>
      <c r="L1200" t="s">
        <v>57</v>
      </c>
      <c r="N1200">
        <v>0.77249999999999996</v>
      </c>
      <c r="O1200" s="1">
        <v>1</v>
      </c>
      <c r="P1200" t="s">
        <v>12813</v>
      </c>
      <c r="Q1200" t="s">
        <v>12814</v>
      </c>
      <c r="S1200" t="s">
        <v>45</v>
      </c>
      <c r="T1200" t="s">
        <v>384</v>
      </c>
      <c r="U1200" t="s">
        <v>12815</v>
      </c>
      <c r="V1200">
        <v>1</v>
      </c>
      <c r="AE1200" t="s">
        <v>74</v>
      </c>
      <c r="AF1200" t="s">
        <v>12816</v>
      </c>
      <c r="AG1200" t="s">
        <v>12817</v>
      </c>
      <c r="AH1200" t="str">
        <f>HYPERLINK("http://compartments.jensenlab.org/Entity?figures=subcell_cell_%&amp;knowledge=10&amp;textmining=10&amp;experiments=10&amp;predictions=10&amp;type1=9606&amp;type2=-22&amp;id1=ENSP00000255175","link")</f>
        <v>link</v>
      </c>
      <c r="AI1200" t="s">
        <v>65</v>
      </c>
      <c r="AJ1200" t="s">
        <v>3228</v>
      </c>
      <c r="AK1200" t="str">
        <f>HYPERLINK("http://www.proteinatlas.org/Q13530","HPA043993;HPA048116")</f>
        <v>HPA043993;HPA048116</v>
      </c>
      <c r="AM1200">
        <v>10955</v>
      </c>
    </row>
    <row r="1201" spans="1:39" x14ac:dyDescent="0.35">
      <c r="A1201" t="s">
        <v>12818</v>
      </c>
      <c r="B1201" t="str">
        <f>HYPERLINK("http://www.uniprot.org/uniprot/Q13563","Q13563")</f>
        <v>Q13563</v>
      </c>
      <c r="C1201" t="s">
        <v>12819</v>
      </c>
      <c r="D1201" t="s">
        <v>12820</v>
      </c>
      <c r="E1201" t="s">
        <v>39</v>
      </c>
      <c r="F1201" t="s">
        <v>40</v>
      </c>
      <c r="H1201">
        <v>968</v>
      </c>
      <c r="I1201">
        <v>6</v>
      </c>
      <c r="J1201">
        <v>0</v>
      </c>
      <c r="K1201" t="s">
        <v>12821</v>
      </c>
      <c r="L1201" t="s">
        <v>101</v>
      </c>
      <c r="N1201">
        <v>0.76449999999999996</v>
      </c>
      <c r="O1201" s="1">
        <v>1</v>
      </c>
      <c r="P1201" t="s">
        <v>12822</v>
      </c>
      <c r="Q1201" t="s">
        <v>12823</v>
      </c>
      <c r="S1201" t="s">
        <v>45</v>
      </c>
      <c r="T1201" t="s">
        <v>12824</v>
      </c>
      <c r="U1201" t="s">
        <v>12825</v>
      </c>
      <c r="V1201">
        <v>5</v>
      </c>
      <c r="W1201" t="s">
        <v>12826</v>
      </c>
      <c r="X1201" t="s">
        <v>12827</v>
      </c>
      <c r="Z1201" t="s">
        <v>123</v>
      </c>
      <c r="AA1201">
        <v>1</v>
      </c>
      <c r="AB1201" t="s">
        <v>12828</v>
      </c>
      <c r="AC1201" t="s">
        <v>12829</v>
      </c>
      <c r="AD1201" t="s">
        <v>12830</v>
      </c>
      <c r="AE1201" t="s">
        <v>12831</v>
      </c>
      <c r="AF1201" t="s">
        <v>12832</v>
      </c>
      <c r="AG1201" t="s">
        <v>12833</v>
      </c>
      <c r="AH1201" t="str">
        <f>HYPERLINK("http://compartments.jensenlab.org/Entity?figures=subcell_cell_%&amp;knowledge=10&amp;textmining=10&amp;experiments=10&amp;predictions=10&amp;type1=9606&amp;type2=-22&amp;id1=ENSP00000237596","link")</f>
        <v>link</v>
      </c>
      <c r="AI1201" t="s">
        <v>12834</v>
      </c>
      <c r="AJ1201" t="s">
        <v>7966</v>
      </c>
      <c r="AK1201" t="str">
        <f>HYPERLINK("http://www.proteinatlas.org/Q13563","CAB004544;HPA015794;HPA055297")</f>
        <v>CAB004544;HPA015794;HPA055297</v>
      </c>
      <c r="AM1201">
        <v>5311</v>
      </c>
    </row>
    <row r="1202" spans="1:39" x14ac:dyDescent="0.35">
      <c r="A1202" t="s">
        <v>12835</v>
      </c>
      <c r="B1202" t="str">
        <f>HYPERLINK("http://www.uniprot.org/uniprot/Q13585","Q13585")</f>
        <v>Q13585</v>
      </c>
      <c r="C1202" t="s">
        <v>12836</v>
      </c>
      <c r="D1202" t="s">
        <v>12837</v>
      </c>
      <c r="E1202" t="s">
        <v>39</v>
      </c>
      <c r="F1202" t="s">
        <v>55</v>
      </c>
      <c r="H1202">
        <v>617</v>
      </c>
      <c r="I1202">
        <v>7</v>
      </c>
      <c r="J1202">
        <v>0</v>
      </c>
      <c r="K1202" t="s">
        <v>12838</v>
      </c>
      <c r="L1202" t="s">
        <v>57</v>
      </c>
      <c r="M1202" t="s">
        <v>39</v>
      </c>
      <c r="N1202">
        <v>0.65959999999999996</v>
      </c>
      <c r="O1202" s="1">
        <v>2</v>
      </c>
      <c r="P1202" t="s">
        <v>12839</v>
      </c>
      <c r="Q1202" t="s">
        <v>12840</v>
      </c>
      <c r="S1202" t="s">
        <v>166</v>
      </c>
      <c r="T1202" t="s">
        <v>838</v>
      </c>
      <c r="V1202">
        <v>0</v>
      </c>
      <c r="AE1202" t="s">
        <v>74</v>
      </c>
      <c r="AF1202" t="s">
        <v>10070</v>
      </c>
      <c r="AG1202" t="s">
        <v>12841</v>
      </c>
      <c r="AH1202" t="str">
        <f>HYPERLINK("http://compartments.jensenlab.org/Entity?figures=subcell_cell_%&amp;knowledge=10&amp;textmining=10&amp;experiments=10&amp;predictions=10&amp;type1=9606&amp;type2=-22&amp;id1=ENSP00000218316","link")</f>
        <v>link</v>
      </c>
      <c r="AI1202" t="s">
        <v>65</v>
      </c>
      <c r="AJ1202" t="s">
        <v>51</v>
      </c>
      <c r="AK1202" t="str">
        <f>HYPERLINK("http://www.proteinatlas.org/Q13585","HPA049862")</f>
        <v>HPA049862</v>
      </c>
      <c r="AM1202">
        <v>9248</v>
      </c>
    </row>
    <row r="1203" spans="1:39" x14ac:dyDescent="0.35">
      <c r="A1203" t="s">
        <v>12842</v>
      </c>
      <c r="B1203" t="str">
        <f>HYPERLINK("http://www.uniprot.org/uniprot/Q13586","Q13586")</f>
        <v>Q13586</v>
      </c>
      <c r="C1203" t="s">
        <v>12843</v>
      </c>
      <c r="D1203" t="s">
        <v>12844</v>
      </c>
      <c r="E1203" t="s">
        <v>39</v>
      </c>
      <c r="F1203" t="s">
        <v>55</v>
      </c>
      <c r="H1203">
        <v>685</v>
      </c>
      <c r="I1203">
        <v>1</v>
      </c>
      <c r="J1203">
        <v>1</v>
      </c>
      <c r="K1203" t="s">
        <v>12845</v>
      </c>
      <c r="L1203" t="s">
        <v>101</v>
      </c>
      <c r="M1203" t="s">
        <v>39</v>
      </c>
      <c r="N1203">
        <v>0.7732</v>
      </c>
      <c r="O1203" s="1">
        <v>1</v>
      </c>
      <c r="P1203" t="s">
        <v>12846</v>
      </c>
      <c r="Q1203" t="s">
        <v>12847</v>
      </c>
      <c r="S1203" t="s">
        <v>60</v>
      </c>
      <c r="T1203" t="s">
        <v>60</v>
      </c>
      <c r="U1203" t="s">
        <v>12848</v>
      </c>
      <c r="V1203">
        <v>2</v>
      </c>
      <c r="W1203" t="s">
        <v>12849</v>
      </c>
      <c r="X1203" t="s">
        <v>12850</v>
      </c>
      <c r="Y1203" t="s">
        <v>12851</v>
      </c>
      <c r="Z1203" t="s">
        <v>107</v>
      </c>
      <c r="AA1203">
        <v>1</v>
      </c>
      <c r="AB1203" t="s">
        <v>12852</v>
      </c>
      <c r="AC1203">
        <v>171</v>
      </c>
      <c r="AD1203" t="s">
        <v>12853</v>
      </c>
      <c r="AE1203" t="s">
        <v>12854</v>
      </c>
      <c r="AF1203" t="s">
        <v>12855</v>
      </c>
      <c r="AG1203" t="s">
        <v>12856</v>
      </c>
      <c r="AH1203" t="str">
        <f>HYPERLINK("http://compartments.jensenlab.org/Entity?figures=subcell_cell_%&amp;knowledge=10&amp;textmining=10&amp;experiments=10&amp;predictions=10&amp;type1=9606&amp;type2=-22&amp;id1=ENSP00000300737","link")</f>
        <v>link</v>
      </c>
      <c r="AI1203" t="s">
        <v>12857</v>
      </c>
      <c r="AJ1203" t="s">
        <v>7966</v>
      </c>
      <c r="AK1203" t="str">
        <f>HYPERLINK("http://www.proteinatlas.org/Q13586","HPA011088;HPA012123;CAB037128;CAB037288")</f>
        <v>HPA011088;HPA012123;CAB037128;CAB037288</v>
      </c>
      <c r="AM1203">
        <v>6786</v>
      </c>
    </row>
    <row r="1204" spans="1:39" x14ac:dyDescent="0.35">
      <c r="A1204" t="s">
        <v>12858</v>
      </c>
      <c r="B1204" t="str">
        <f>HYPERLINK("http://www.uniprot.org/uniprot/Q13591","Q13591")</f>
        <v>Q13591</v>
      </c>
      <c r="C1204" t="s">
        <v>12859</v>
      </c>
      <c r="D1204" t="s">
        <v>12860</v>
      </c>
      <c r="E1204" t="s">
        <v>39</v>
      </c>
      <c r="F1204" t="s">
        <v>40</v>
      </c>
      <c r="H1204">
        <v>1074</v>
      </c>
      <c r="I1204">
        <v>1</v>
      </c>
      <c r="J1204">
        <v>1</v>
      </c>
      <c r="K1204" t="s">
        <v>12861</v>
      </c>
      <c r="L1204" t="s">
        <v>101</v>
      </c>
      <c r="N1204">
        <v>0.92810000000000004</v>
      </c>
      <c r="O1204" s="1">
        <v>1</v>
      </c>
      <c r="P1204" t="s">
        <v>12862</v>
      </c>
      <c r="Q1204" t="s">
        <v>12863</v>
      </c>
      <c r="S1204" t="s">
        <v>91</v>
      </c>
      <c r="T1204" t="s">
        <v>3379</v>
      </c>
      <c r="U1204" t="s">
        <v>12864</v>
      </c>
      <c r="V1204">
        <v>12</v>
      </c>
      <c r="Y1204" t="s">
        <v>12865</v>
      </c>
      <c r="Z1204" t="s">
        <v>107</v>
      </c>
      <c r="AA1204">
        <v>1</v>
      </c>
      <c r="AB1204" t="s">
        <v>12866</v>
      </c>
      <c r="AC1204">
        <v>147</v>
      </c>
      <c r="AD1204" t="s">
        <v>12867</v>
      </c>
      <c r="AE1204" t="s">
        <v>144</v>
      </c>
      <c r="AF1204" t="s">
        <v>12868</v>
      </c>
      <c r="AG1204" t="s">
        <v>12869</v>
      </c>
      <c r="AH1204" t="str">
        <f>HYPERLINK("http://compartments.jensenlab.org/Entity?figures=subcell_cell_%&amp;knowledge=10&amp;textmining=10&amp;experiments=10&amp;predictions=10&amp;type1=9606&amp;type2=-22&amp;id1=ENSP00000371936","link")</f>
        <v>link</v>
      </c>
      <c r="AJ1204" t="s">
        <v>51</v>
      </c>
      <c r="AK1204" t="str">
        <f>HYPERLINK("http://www.proteinatlas.org/Q13591","HPA004632")</f>
        <v>HPA004632</v>
      </c>
      <c r="AM1204">
        <v>9037</v>
      </c>
    </row>
    <row r="1205" spans="1:39" x14ac:dyDescent="0.35">
      <c r="A1205" t="s">
        <v>12870</v>
      </c>
      <c r="B1205" t="str">
        <f>HYPERLINK("http://www.uniprot.org/uniprot/Q13606","Q13606")</f>
        <v>Q13606</v>
      </c>
      <c r="C1205" t="s">
        <v>12871</v>
      </c>
      <c r="D1205" t="s">
        <v>12872</v>
      </c>
      <c r="E1205" t="s">
        <v>39</v>
      </c>
      <c r="F1205" t="s">
        <v>55</v>
      </c>
      <c r="H1205">
        <v>314</v>
      </c>
      <c r="I1205">
        <v>7</v>
      </c>
      <c r="J1205">
        <v>0</v>
      </c>
      <c r="K1205" t="s">
        <v>12873</v>
      </c>
      <c r="L1205" t="s">
        <v>57</v>
      </c>
      <c r="N1205">
        <v>0.91820000000000002</v>
      </c>
      <c r="O1205" s="1">
        <v>1</v>
      </c>
      <c r="P1205" t="s">
        <v>12874</v>
      </c>
      <c r="Q1205" t="s">
        <v>12875</v>
      </c>
      <c r="S1205" t="s">
        <v>166</v>
      </c>
      <c r="T1205" t="s">
        <v>167</v>
      </c>
      <c r="U1205" t="s">
        <v>12876</v>
      </c>
      <c r="V1205">
        <v>2</v>
      </c>
      <c r="AE1205" t="s">
        <v>74</v>
      </c>
      <c r="AF1205" t="s">
        <v>169</v>
      </c>
      <c r="AG1205" t="s">
        <v>12877</v>
      </c>
      <c r="AH1205" t="str">
        <f>HYPERLINK("http://compartments.jensenlab.org/Entity?figures=subcell_cell_%&amp;knowledge=10&amp;textmining=10&amp;experiments=10&amp;predictions=10&amp;type1=9606&amp;type2=-22&amp;id1=ENSP00000301532","link")</f>
        <v>link</v>
      </c>
      <c r="AI1205" t="s">
        <v>65</v>
      </c>
      <c r="AJ1205" t="s">
        <v>51</v>
      </c>
      <c r="AK1205" t="str">
        <f>HYPERLINK("http://www.proteinatlas.org/Q13606","no")</f>
        <v>no</v>
      </c>
      <c r="AM1205">
        <v>10798</v>
      </c>
    </row>
    <row r="1206" spans="1:39" x14ac:dyDescent="0.35">
      <c r="A1206" t="s">
        <v>12878</v>
      </c>
      <c r="B1206" t="str">
        <f>HYPERLINK("http://www.uniprot.org/uniprot/Q13607","Q13607")</f>
        <v>Q13607</v>
      </c>
      <c r="C1206" t="s">
        <v>12879</v>
      </c>
      <c r="D1206" t="s">
        <v>12880</v>
      </c>
      <c r="E1206" t="s">
        <v>39</v>
      </c>
      <c r="F1206" t="s">
        <v>55</v>
      </c>
      <c r="H1206">
        <v>317</v>
      </c>
      <c r="I1206">
        <v>7</v>
      </c>
      <c r="J1206">
        <v>0</v>
      </c>
      <c r="K1206" t="s">
        <v>12881</v>
      </c>
      <c r="L1206" t="s">
        <v>57</v>
      </c>
      <c r="M1206" t="s">
        <v>39</v>
      </c>
      <c r="N1206">
        <v>0.97160000000000002</v>
      </c>
      <c r="O1206" s="1">
        <v>1</v>
      </c>
      <c r="P1206" t="s">
        <v>12882</v>
      </c>
      <c r="Q1206" t="s">
        <v>12883</v>
      </c>
      <c r="S1206" t="s">
        <v>166</v>
      </c>
      <c r="T1206" t="s">
        <v>167</v>
      </c>
      <c r="U1206" t="s">
        <v>1191</v>
      </c>
      <c r="V1206">
        <v>1</v>
      </c>
      <c r="AE1206" t="s">
        <v>74</v>
      </c>
      <c r="AF1206" t="s">
        <v>169</v>
      </c>
      <c r="AG1206" t="s">
        <v>12884</v>
      </c>
      <c r="AH1206" t="str">
        <f>HYPERLINK("http://compartments.jensenlab.org/Entity?figures=subcell_cell_%&amp;knowledge=10&amp;textmining=10&amp;experiments=10&amp;predictions=10&amp;type1=9606&amp;type2=-22&amp;id1=ENSP00000376633","link")</f>
        <v>link</v>
      </c>
      <c r="AI1206" t="s">
        <v>65</v>
      </c>
      <c r="AJ1206" t="s">
        <v>51</v>
      </c>
      <c r="AK1206" t="str">
        <f>HYPERLINK("http://www.proteinatlas.org/Q13607","no")</f>
        <v>no</v>
      </c>
      <c r="AM1206">
        <v>26211</v>
      </c>
    </row>
    <row r="1207" spans="1:39" x14ac:dyDescent="0.35">
      <c r="A1207" t="s">
        <v>12885</v>
      </c>
      <c r="B1207" t="str">
        <f>HYPERLINK("http://www.uniprot.org/uniprot/Q13621","Q13621")</f>
        <v>Q13621</v>
      </c>
      <c r="C1207" t="s">
        <v>12886</v>
      </c>
      <c r="D1207" t="s">
        <v>12887</v>
      </c>
      <c r="E1207" t="s">
        <v>39</v>
      </c>
      <c r="F1207" t="s">
        <v>40</v>
      </c>
      <c r="H1207">
        <v>1099</v>
      </c>
      <c r="I1207">
        <v>12</v>
      </c>
      <c r="J1207">
        <v>0</v>
      </c>
      <c r="K1207" t="s">
        <v>12888</v>
      </c>
      <c r="L1207" t="s">
        <v>57</v>
      </c>
      <c r="N1207">
        <v>0.84030000000000005</v>
      </c>
      <c r="O1207" s="1">
        <v>1</v>
      </c>
      <c r="P1207" t="s">
        <v>12889</v>
      </c>
      <c r="Q1207" t="s">
        <v>12890</v>
      </c>
      <c r="S1207" t="s">
        <v>45</v>
      </c>
      <c r="T1207" t="s">
        <v>46</v>
      </c>
      <c r="U1207" t="s">
        <v>12891</v>
      </c>
      <c r="V1207">
        <v>2</v>
      </c>
      <c r="AE1207" t="s">
        <v>48</v>
      </c>
      <c r="AF1207" t="s">
        <v>12892</v>
      </c>
      <c r="AG1207" t="s">
        <v>12893</v>
      </c>
      <c r="AH1207" t="str">
        <f>HYPERLINK("http://compartments.jensenlab.org/Entity?figures=subcell_cell_%&amp;knowledge=10&amp;textmining=10&amp;experiments=10&amp;predictions=10&amp;type1=9606&amp;type2=-22&amp;id1=ENSP00000370381","link")</f>
        <v>link</v>
      </c>
      <c r="AJ1207" t="s">
        <v>51</v>
      </c>
      <c r="AK1207" t="str">
        <f>HYPERLINK("http://www.proteinatlas.org/Q13621","HPA014967;HPA018107")</f>
        <v>HPA014967;HPA018107</v>
      </c>
      <c r="AL1207" t="s">
        <v>12894</v>
      </c>
      <c r="AM1207">
        <v>6557</v>
      </c>
    </row>
    <row r="1208" spans="1:39" x14ac:dyDescent="0.35">
      <c r="A1208" t="s">
        <v>12895</v>
      </c>
      <c r="B1208" t="str">
        <f>HYPERLINK("http://www.uniprot.org/uniprot/Q13634","Q13634")</f>
        <v>Q13634</v>
      </c>
      <c r="C1208" t="s">
        <v>12896</v>
      </c>
      <c r="D1208" t="s">
        <v>12897</v>
      </c>
      <c r="E1208" t="s">
        <v>39</v>
      </c>
      <c r="F1208" t="s">
        <v>55</v>
      </c>
      <c r="H1208">
        <v>790</v>
      </c>
      <c r="I1208">
        <v>1</v>
      </c>
      <c r="J1208">
        <v>1</v>
      </c>
      <c r="K1208" t="s">
        <v>12898</v>
      </c>
      <c r="L1208" t="s">
        <v>57</v>
      </c>
      <c r="N1208">
        <v>0.93210000000000004</v>
      </c>
      <c r="O1208" s="1">
        <v>1</v>
      </c>
      <c r="P1208" t="s">
        <v>12899</v>
      </c>
      <c r="Q1208" t="s">
        <v>12900</v>
      </c>
      <c r="S1208" t="s">
        <v>91</v>
      </c>
      <c r="T1208" t="s">
        <v>2622</v>
      </c>
      <c r="U1208" t="s">
        <v>12901</v>
      </c>
      <c r="V1208">
        <v>4</v>
      </c>
      <c r="AE1208" t="s">
        <v>332</v>
      </c>
      <c r="AF1208" t="s">
        <v>10836</v>
      </c>
      <c r="AG1208" t="s">
        <v>12902</v>
      </c>
      <c r="AH1208" t="str">
        <f>HYPERLINK("http://compartments.jensenlab.org/Entity?figures=subcell_cell_%&amp;knowledge=10&amp;textmining=10&amp;experiments=10&amp;predictions=10&amp;type1=9606&amp;type2=-22&amp;id1=ENSP00000274170","link")</f>
        <v>link</v>
      </c>
      <c r="AI1208" t="s">
        <v>65</v>
      </c>
      <c r="AJ1208" t="s">
        <v>51</v>
      </c>
      <c r="AK1208" t="str">
        <f>HYPERLINK("http://www.proteinatlas.org/Q13634","HPA014365")</f>
        <v>HPA014365</v>
      </c>
      <c r="AM1208">
        <v>1016</v>
      </c>
    </row>
    <row r="1209" spans="1:39" x14ac:dyDescent="0.35">
      <c r="A1209" t="s">
        <v>12903</v>
      </c>
      <c r="B1209" t="str">
        <f>HYPERLINK("http://www.uniprot.org/uniprot/Q13635","Q13635")</f>
        <v>Q13635</v>
      </c>
      <c r="C1209" t="s">
        <v>12904</v>
      </c>
      <c r="D1209" t="s">
        <v>12905</v>
      </c>
      <c r="E1209" t="s">
        <v>39</v>
      </c>
      <c r="F1209" t="s">
        <v>40</v>
      </c>
      <c r="H1209">
        <v>1447</v>
      </c>
      <c r="I1209">
        <v>12</v>
      </c>
      <c r="J1209">
        <v>0</v>
      </c>
      <c r="K1209" t="s">
        <v>12906</v>
      </c>
      <c r="L1209" t="s">
        <v>101</v>
      </c>
      <c r="N1209">
        <v>0.86629999999999996</v>
      </c>
      <c r="O1209" s="1">
        <v>1</v>
      </c>
      <c r="P1209" t="s">
        <v>12907</v>
      </c>
      <c r="Q1209" t="s">
        <v>12908</v>
      </c>
      <c r="S1209" t="s">
        <v>166</v>
      </c>
      <c r="T1209" t="s">
        <v>12909</v>
      </c>
      <c r="U1209" t="s">
        <v>12910</v>
      </c>
      <c r="V1209">
        <v>6</v>
      </c>
      <c r="Z1209" t="s">
        <v>123</v>
      </c>
      <c r="AA1209">
        <v>1</v>
      </c>
      <c r="AB1209" t="s">
        <v>12911</v>
      </c>
      <c r="AC1209">
        <v>414</v>
      </c>
      <c r="AD1209" t="s">
        <v>12912</v>
      </c>
      <c r="AE1209" t="s">
        <v>48</v>
      </c>
      <c r="AF1209" t="s">
        <v>12913</v>
      </c>
      <c r="AG1209" t="s">
        <v>12914</v>
      </c>
      <c r="AH1209" t="str">
        <f>HYPERLINK("http://compartments.jensenlab.org/Entity?figures=subcell_cell_%&amp;knowledge=10&amp;textmining=10&amp;experiments=10&amp;predictions=10&amp;type1=9606&amp;type2=-22&amp;id1=ENSP00000332353","link")</f>
        <v>link</v>
      </c>
      <c r="AJ1209" t="s">
        <v>1801</v>
      </c>
      <c r="AK1209" t="str">
        <f>HYPERLINK("http://www.proteinatlas.org/Q13635","CAB013717")</f>
        <v>CAB013717</v>
      </c>
      <c r="AM1209">
        <v>5727</v>
      </c>
    </row>
    <row r="1210" spans="1:39" x14ac:dyDescent="0.35">
      <c r="A1210" t="s">
        <v>12915</v>
      </c>
      <c r="B1210" t="str">
        <f>HYPERLINK("http://www.uniprot.org/uniprot/Q13639","Q13639")</f>
        <v>Q13639</v>
      </c>
      <c r="C1210" t="s">
        <v>12916</v>
      </c>
      <c r="D1210" t="s">
        <v>12917</v>
      </c>
      <c r="E1210" t="s">
        <v>39</v>
      </c>
      <c r="F1210" t="s">
        <v>40</v>
      </c>
      <c r="H1210">
        <v>388</v>
      </c>
      <c r="I1210">
        <v>7</v>
      </c>
      <c r="J1210">
        <v>0</v>
      </c>
      <c r="K1210" t="s">
        <v>12918</v>
      </c>
      <c r="L1210" t="s">
        <v>57</v>
      </c>
      <c r="N1210">
        <v>0.96609999999999996</v>
      </c>
      <c r="O1210" s="1">
        <v>1</v>
      </c>
      <c r="P1210" t="s">
        <v>12919</v>
      </c>
      <c r="Q1210" t="s">
        <v>12920</v>
      </c>
      <c r="S1210" t="s">
        <v>166</v>
      </c>
      <c r="T1210" t="s">
        <v>838</v>
      </c>
      <c r="U1210" t="s">
        <v>12921</v>
      </c>
      <c r="V1210">
        <v>2</v>
      </c>
      <c r="W1210">
        <v>180</v>
      </c>
      <c r="AE1210" t="s">
        <v>8592</v>
      </c>
      <c r="AF1210" t="s">
        <v>12922</v>
      </c>
      <c r="AG1210" t="s">
        <v>12923</v>
      </c>
      <c r="AH1210" t="str">
        <f>HYPERLINK("http://compartments.jensenlab.org/Entity?figures=subcell_cell_%&amp;knowledge=10&amp;textmining=10&amp;experiments=10&amp;predictions=10&amp;type1=9606&amp;type2=-22&amp;id1=ENSP00000367120","link")</f>
        <v>link</v>
      </c>
      <c r="AK1210" t="str">
        <f>HYPERLINK("http://www.proteinatlas.org/Q13639","HPA040591")</f>
        <v>HPA040591</v>
      </c>
      <c r="AL1210" t="s">
        <v>12924</v>
      </c>
      <c r="AM1210">
        <v>3360</v>
      </c>
    </row>
    <row r="1211" spans="1:39" x14ac:dyDescent="0.35">
      <c r="A1211" t="s">
        <v>12925</v>
      </c>
      <c r="B1211" t="str">
        <f>HYPERLINK("http://www.uniprot.org/uniprot/Q13641","Q13641")</f>
        <v>Q13641</v>
      </c>
      <c r="C1211" t="s">
        <v>12926</v>
      </c>
      <c r="D1211" t="s">
        <v>12927</v>
      </c>
      <c r="E1211" t="s">
        <v>39</v>
      </c>
      <c r="F1211" t="s">
        <v>55</v>
      </c>
      <c r="H1211">
        <v>420</v>
      </c>
      <c r="I1211">
        <v>1</v>
      </c>
      <c r="J1211">
        <v>1</v>
      </c>
      <c r="K1211" t="s">
        <v>12928</v>
      </c>
      <c r="L1211" t="s">
        <v>101</v>
      </c>
      <c r="M1211" t="s">
        <v>39</v>
      </c>
      <c r="N1211">
        <v>0.87790000000000001</v>
      </c>
      <c r="O1211" s="1">
        <v>1</v>
      </c>
      <c r="P1211" t="s">
        <v>12929</v>
      </c>
      <c r="Q1211" t="s">
        <v>12930</v>
      </c>
      <c r="S1211" t="s">
        <v>91</v>
      </c>
      <c r="T1211" t="s">
        <v>260</v>
      </c>
      <c r="U1211" t="s">
        <v>12931</v>
      </c>
      <c r="V1211">
        <v>7</v>
      </c>
      <c r="W1211" t="s">
        <v>12932</v>
      </c>
      <c r="Z1211" t="s">
        <v>107</v>
      </c>
      <c r="AA1211">
        <v>15</v>
      </c>
      <c r="AB1211" t="s">
        <v>12933</v>
      </c>
      <c r="AC1211" t="s">
        <v>12934</v>
      </c>
      <c r="AD1211" t="s">
        <v>12935</v>
      </c>
      <c r="AE1211" t="s">
        <v>332</v>
      </c>
      <c r="AF1211" t="s">
        <v>12936</v>
      </c>
      <c r="AG1211" t="s">
        <v>12937</v>
      </c>
      <c r="AH1211" t="str">
        <f>HYPERLINK("http://compartments.jensenlab.org/Entity?figures=subcell_cell_%&amp;knowledge=10&amp;textmining=10&amp;experiments=10&amp;predictions=10&amp;type1=9606&amp;type2=-22&amp;id1=ENSP00000358765","link")</f>
        <v>link</v>
      </c>
      <c r="AJ1211" t="s">
        <v>51</v>
      </c>
      <c r="AK1211" t="str">
        <f>HYPERLINK("http://www.proteinatlas.org/Q13641","HPA010554")</f>
        <v>HPA010554</v>
      </c>
      <c r="AM1211">
        <v>7162</v>
      </c>
    </row>
    <row r="1212" spans="1:39" x14ac:dyDescent="0.35">
      <c r="A1212" t="s">
        <v>12938</v>
      </c>
      <c r="B1212" t="str">
        <f>HYPERLINK("http://www.uniprot.org/uniprot/Q13651","Q13651")</f>
        <v>Q13651</v>
      </c>
      <c r="C1212" t="s">
        <v>12939</v>
      </c>
      <c r="D1212" t="s">
        <v>12940</v>
      </c>
      <c r="E1212" t="s">
        <v>39</v>
      </c>
      <c r="F1212" t="s">
        <v>40</v>
      </c>
      <c r="H1212">
        <v>578</v>
      </c>
      <c r="I1212">
        <v>1</v>
      </c>
      <c r="J1212">
        <v>1</v>
      </c>
      <c r="K1212" t="s">
        <v>12941</v>
      </c>
      <c r="L1212" t="s">
        <v>101</v>
      </c>
      <c r="N1212">
        <v>0.92020000000000002</v>
      </c>
      <c r="O1212" s="1">
        <v>1</v>
      </c>
      <c r="P1212" t="s">
        <v>12942</v>
      </c>
      <c r="Q1212" t="s">
        <v>12943</v>
      </c>
      <c r="R1212" t="s">
        <v>12944</v>
      </c>
      <c r="S1212" t="s">
        <v>166</v>
      </c>
      <c r="T1212" t="s">
        <v>5643</v>
      </c>
      <c r="U1212" t="s">
        <v>12945</v>
      </c>
      <c r="V1212">
        <v>6</v>
      </c>
      <c r="Z1212" t="s">
        <v>107</v>
      </c>
      <c r="AA1212">
        <v>3</v>
      </c>
      <c r="AB1212" t="s">
        <v>12946</v>
      </c>
      <c r="AC1212" t="s">
        <v>12947</v>
      </c>
      <c r="AD1212" t="s">
        <v>12948</v>
      </c>
      <c r="AE1212" t="s">
        <v>144</v>
      </c>
      <c r="AF1212" t="s">
        <v>12949</v>
      </c>
      <c r="AG1212" t="s">
        <v>12950</v>
      </c>
      <c r="AH1212" t="str">
        <f>HYPERLINK("http://compartments.jensenlab.org/Entity?figures=subcell_cell_%&amp;knowledge=10&amp;textmining=10&amp;experiments=10&amp;predictions=10&amp;type1=9606&amp;type2=-22&amp;id1=ENSP00000227752","link")</f>
        <v>link</v>
      </c>
      <c r="AJ1212" t="s">
        <v>51</v>
      </c>
      <c r="AK1212" t="str">
        <f>HYPERLINK("http://www.proteinatlas.org/Q13651","no")</f>
        <v>no</v>
      </c>
      <c r="AM1212">
        <v>3587</v>
      </c>
    </row>
    <row r="1213" spans="1:39" x14ac:dyDescent="0.35">
      <c r="A1213" t="s">
        <v>12951</v>
      </c>
      <c r="B1213" t="str">
        <f>HYPERLINK("http://www.uniprot.org/uniprot/Q13683","Q13683")</f>
        <v>Q13683</v>
      </c>
      <c r="C1213" t="s">
        <v>12952</v>
      </c>
      <c r="D1213" t="s">
        <v>12953</v>
      </c>
      <c r="E1213" t="s">
        <v>39</v>
      </c>
      <c r="F1213" t="s">
        <v>40</v>
      </c>
      <c r="H1213">
        <v>1181</v>
      </c>
      <c r="I1213">
        <v>1</v>
      </c>
      <c r="J1213">
        <v>1</v>
      </c>
      <c r="K1213" t="s">
        <v>12954</v>
      </c>
      <c r="L1213" t="s">
        <v>101</v>
      </c>
      <c r="N1213">
        <v>0.86229999999999996</v>
      </c>
      <c r="O1213" s="1">
        <v>1</v>
      </c>
      <c r="P1213" t="s">
        <v>12955</v>
      </c>
      <c r="Q1213" t="s">
        <v>12956</v>
      </c>
      <c r="S1213" t="s">
        <v>166</v>
      </c>
      <c r="T1213" t="s">
        <v>2763</v>
      </c>
      <c r="U1213" t="s">
        <v>12957</v>
      </c>
      <c r="V1213">
        <v>5</v>
      </c>
      <c r="W1213" t="s">
        <v>12958</v>
      </c>
      <c r="Z1213" t="s">
        <v>107</v>
      </c>
      <c r="AA1213">
        <v>10</v>
      </c>
      <c r="AB1213" t="s">
        <v>12959</v>
      </c>
      <c r="AC1213" t="s">
        <v>12960</v>
      </c>
      <c r="AD1213" t="s">
        <v>12961</v>
      </c>
      <c r="AE1213" t="s">
        <v>144</v>
      </c>
      <c r="AF1213" t="s">
        <v>12962</v>
      </c>
      <c r="AG1213" t="s">
        <v>12963</v>
      </c>
      <c r="AH1213" t="str">
        <f>HYPERLINK("http://compartments.jensenlab.org/Entity?figures=subcell_cell_%&amp;knowledge=10&amp;textmining=10&amp;experiments=10&amp;predictions=10&amp;type1=9606&amp;type2=-22&amp;id1=ENSP00000452387","link")</f>
        <v>link</v>
      </c>
      <c r="AK1213" t="str">
        <f>HYPERLINK("http://www.proteinatlas.org/Q13683","HPA008427")</f>
        <v>HPA008427</v>
      </c>
      <c r="AM1213">
        <v>3679</v>
      </c>
    </row>
    <row r="1214" spans="1:39" x14ac:dyDescent="0.35">
      <c r="A1214" t="s">
        <v>12964</v>
      </c>
      <c r="B1214" t="str">
        <f>HYPERLINK("http://www.uniprot.org/uniprot/Q13705","Q13705")</f>
        <v>Q13705</v>
      </c>
      <c r="C1214" t="s">
        <v>12965</v>
      </c>
      <c r="D1214" t="s">
        <v>12966</v>
      </c>
      <c r="E1214" t="s">
        <v>39</v>
      </c>
      <c r="F1214" t="s">
        <v>55</v>
      </c>
      <c r="H1214">
        <v>512</v>
      </c>
      <c r="I1214">
        <v>1</v>
      </c>
      <c r="J1214">
        <v>1</v>
      </c>
      <c r="K1214" t="s">
        <v>12967</v>
      </c>
      <c r="L1214" t="s">
        <v>101</v>
      </c>
      <c r="M1214" t="s">
        <v>39</v>
      </c>
      <c r="N1214">
        <v>0.8629</v>
      </c>
      <c r="O1214" s="1">
        <v>1</v>
      </c>
      <c r="P1214" t="s">
        <v>12968</v>
      </c>
      <c r="Q1214" t="s">
        <v>12969</v>
      </c>
      <c r="S1214" t="s">
        <v>166</v>
      </c>
      <c r="T1214" t="s">
        <v>7370</v>
      </c>
      <c r="U1214" t="s">
        <v>12970</v>
      </c>
      <c r="V1214">
        <v>2</v>
      </c>
      <c r="W1214" t="s">
        <v>12970</v>
      </c>
      <c r="Z1214" t="s">
        <v>107</v>
      </c>
      <c r="AA1214">
        <v>1</v>
      </c>
      <c r="AB1214" t="s">
        <v>12971</v>
      </c>
      <c r="AC1214">
        <v>65</v>
      </c>
      <c r="AD1214" t="s">
        <v>12972</v>
      </c>
      <c r="AE1214" t="s">
        <v>332</v>
      </c>
      <c r="AF1214" t="s">
        <v>12973</v>
      </c>
      <c r="AG1214" t="s">
        <v>12974</v>
      </c>
      <c r="AH1214" t="str">
        <f>HYPERLINK("http://compartments.jensenlab.org/Entity?figures=subcell_cell_%&amp;knowledge=10&amp;textmining=10&amp;experiments=10&amp;predictions=10&amp;type1=9606&amp;type2=-22&amp;id1=ENSP00000340361","link")</f>
        <v>link</v>
      </c>
      <c r="AI1214" t="s">
        <v>65</v>
      </c>
      <c r="AJ1214" t="s">
        <v>2124</v>
      </c>
      <c r="AK1214" t="str">
        <f>HYPERLINK("http://www.proteinatlas.org/Q13705","CAB025115")</f>
        <v>CAB025115</v>
      </c>
      <c r="AM1214">
        <v>93</v>
      </c>
    </row>
    <row r="1215" spans="1:39" x14ac:dyDescent="0.35">
      <c r="A1215" t="s">
        <v>12975</v>
      </c>
      <c r="B1215" t="str">
        <f>HYPERLINK("http://www.uniprot.org/uniprot/Q13733","Q13733")</f>
        <v>Q13733</v>
      </c>
      <c r="C1215" t="s">
        <v>12976</v>
      </c>
      <c r="D1215" t="s">
        <v>12977</v>
      </c>
      <c r="E1215" t="s">
        <v>39</v>
      </c>
      <c r="F1215" t="s">
        <v>55</v>
      </c>
      <c r="H1215">
        <v>1029</v>
      </c>
      <c r="I1215">
        <v>10</v>
      </c>
      <c r="J1215">
        <v>0</v>
      </c>
      <c r="K1215" t="s">
        <v>12978</v>
      </c>
      <c r="L1215" t="s">
        <v>57</v>
      </c>
      <c r="M1215" t="s">
        <v>39</v>
      </c>
      <c r="N1215">
        <v>0.42549999999999999</v>
      </c>
      <c r="O1215" s="1">
        <v>3</v>
      </c>
      <c r="P1215" t="s">
        <v>12979</v>
      </c>
      <c r="Q1215" t="s">
        <v>12980</v>
      </c>
      <c r="S1215" t="s">
        <v>45</v>
      </c>
      <c r="T1215" t="s">
        <v>3982</v>
      </c>
      <c r="U1215" t="s">
        <v>12981</v>
      </c>
      <c r="V1215">
        <v>0</v>
      </c>
      <c r="AE1215" t="s">
        <v>74</v>
      </c>
      <c r="AF1215" t="s">
        <v>12982</v>
      </c>
      <c r="AG1215" t="s">
        <v>12983</v>
      </c>
      <c r="AH1215" t="str">
        <f>HYPERLINK("http://compartments.jensenlab.org/Entity?figures=subcell_cell_%&amp;knowledge=10&amp;textmining=10&amp;experiments=10&amp;predictions=10&amp;type1=9606&amp;type2=-22&amp;id1=ENSP00000357060","link")</f>
        <v>link</v>
      </c>
      <c r="AI1215" t="s">
        <v>65</v>
      </c>
      <c r="AJ1215" t="s">
        <v>51</v>
      </c>
      <c r="AK1215" t="str">
        <f>HYPERLINK("http://www.proteinatlas.org/Q13733","CAB033628")</f>
        <v>CAB033628</v>
      </c>
      <c r="AM1215">
        <v>480</v>
      </c>
    </row>
    <row r="1216" spans="1:39" x14ac:dyDescent="0.35">
      <c r="A1216" t="s">
        <v>12984</v>
      </c>
      <c r="B1216" t="str">
        <f>HYPERLINK("http://www.uniprot.org/uniprot/Q13740","Q13740")</f>
        <v>Q13740</v>
      </c>
      <c r="C1216" t="s">
        <v>12985</v>
      </c>
      <c r="D1216" t="s">
        <v>12986</v>
      </c>
      <c r="E1216" t="s">
        <v>39</v>
      </c>
      <c r="F1216" t="s">
        <v>40</v>
      </c>
      <c r="H1216">
        <v>583</v>
      </c>
      <c r="I1216">
        <v>1</v>
      </c>
      <c r="J1216">
        <v>1</v>
      </c>
      <c r="K1216" t="s">
        <v>12987</v>
      </c>
      <c r="L1216" t="s">
        <v>101</v>
      </c>
      <c r="N1216">
        <v>0.94410000000000005</v>
      </c>
      <c r="O1216" s="1">
        <v>1</v>
      </c>
      <c r="P1216" t="s">
        <v>12988</v>
      </c>
      <c r="Q1216" t="s">
        <v>12989</v>
      </c>
      <c r="R1216" t="s">
        <v>12990</v>
      </c>
      <c r="S1216" t="s">
        <v>60</v>
      </c>
      <c r="T1216" t="s">
        <v>60</v>
      </c>
      <c r="U1216" t="s">
        <v>12991</v>
      </c>
      <c r="V1216">
        <v>9</v>
      </c>
      <c r="W1216" t="s">
        <v>12992</v>
      </c>
      <c r="Z1216" t="s">
        <v>107</v>
      </c>
      <c r="AA1216">
        <v>65</v>
      </c>
      <c r="AB1216" t="s">
        <v>12993</v>
      </c>
      <c r="AC1216" t="s">
        <v>12991</v>
      </c>
      <c r="AD1216" t="s">
        <v>12994</v>
      </c>
      <c r="AE1216" t="s">
        <v>1434</v>
      </c>
      <c r="AF1216" t="s">
        <v>12995</v>
      </c>
      <c r="AG1216" t="s">
        <v>12996</v>
      </c>
      <c r="AH1216" t="str">
        <f>HYPERLINK("http://compartments.jensenlab.org/Entity?figures=subcell_cell_%&amp;knowledge=10&amp;textmining=10&amp;experiments=10&amp;predictions=10&amp;type1=9606&amp;type2=-22&amp;id1=ENSP00000305988","link")</f>
        <v>link</v>
      </c>
      <c r="AJ1216" t="s">
        <v>51</v>
      </c>
      <c r="AK1216" t="str">
        <f>HYPERLINK("http://www.proteinatlas.org/Q13740","CAB002148;HPA010926")</f>
        <v>CAB002148;HPA010926</v>
      </c>
      <c r="AM1216">
        <v>214</v>
      </c>
    </row>
    <row r="1217" spans="1:39" x14ac:dyDescent="0.35">
      <c r="A1217" t="s">
        <v>12997</v>
      </c>
      <c r="B1217" t="str">
        <f>HYPERLINK("http://www.uniprot.org/uniprot/Q13797","Q13797")</f>
        <v>Q13797</v>
      </c>
      <c r="C1217" t="s">
        <v>12998</v>
      </c>
      <c r="D1217" t="s">
        <v>12999</v>
      </c>
      <c r="E1217" t="s">
        <v>39</v>
      </c>
      <c r="F1217" t="s">
        <v>40</v>
      </c>
      <c r="H1217">
        <v>1035</v>
      </c>
      <c r="I1217">
        <v>1</v>
      </c>
      <c r="J1217">
        <v>1</v>
      </c>
      <c r="K1217" t="s">
        <v>13000</v>
      </c>
      <c r="L1217" t="s">
        <v>101</v>
      </c>
      <c r="N1217">
        <v>0.83630000000000004</v>
      </c>
      <c r="O1217" s="1">
        <v>1</v>
      </c>
      <c r="P1217" t="s">
        <v>13001</v>
      </c>
      <c r="Q1217" t="s">
        <v>13002</v>
      </c>
      <c r="S1217" t="s">
        <v>166</v>
      </c>
      <c r="T1217" t="s">
        <v>2763</v>
      </c>
      <c r="U1217" t="s">
        <v>13003</v>
      </c>
      <c r="V1217">
        <v>11</v>
      </c>
      <c r="Z1217" t="s">
        <v>107</v>
      </c>
      <c r="AA1217">
        <v>3</v>
      </c>
      <c r="AB1217" t="s">
        <v>13004</v>
      </c>
      <c r="AC1217" t="s">
        <v>13005</v>
      </c>
      <c r="AD1217" t="s">
        <v>13006</v>
      </c>
      <c r="AE1217" t="s">
        <v>144</v>
      </c>
      <c r="AF1217" t="s">
        <v>13007</v>
      </c>
      <c r="AG1217" t="s">
        <v>13008</v>
      </c>
      <c r="AH1217" t="str">
        <f>HYPERLINK("http://compartments.jensenlab.org/Entity?figures=subcell_cell_%&amp;knowledge=10&amp;textmining=10&amp;experiments=10&amp;predictions=10&amp;type1=9606&amp;type2=-22&amp;id1=ENSP00000264741","link")</f>
        <v>link</v>
      </c>
      <c r="AJ1217" t="s">
        <v>51</v>
      </c>
      <c r="AK1217" t="str">
        <f>HYPERLINK("http://www.proteinatlas.org/Q13797","HPA030609")</f>
        <v>HPA030609</v>
      </c>
      <c r="AM1217">
        <v>3680</v>
      </c>
    </row>
    <row r="1218" spans="1:39" x14ac:dyDescent="0.35">
      <c r="A1218" t="s">
        <v>13009</v>
      </c>
      <c r="B1218" t="str">
        <f>HYPERLINK("http://www.uniprot.org/uniprot/Q13873","Q13873")</f>
        <v>Q13873</v>
      </c>
      <c r="C1218" t="s">
        <v>13010</v>
      </c>
      <c r="D1218" t="s">
        <v>13011</v>
      </c>
      <c r="E1218" t="s">
        <v>39</v>
      </c>
      <c r="F1218" t="s">
        <v>40</v>
      </c>
      <c r="H1218">
        <v>1038</v>
      </c>
      <c r="I1218">
        <v>1</v>
      </c>
      <c r="J1218">
        <v>1</v>
      </c>
      <c r="K1218" t="s">
        <v>13012</v>
      </c>
      <c r="L1218" t="s">
        <v>101</v>
      </c>
      <c r="N1218">
        <v>0.86829999999999996</v>
      </c>
      <c r="O1218" s="1">
        <v>1</v>
      </c>
      <c r="P1218" t="s">
        <v>13013</v>
      </c>
      <c r="Q1218" t="s">
        <v>13014</v>
      </c>
      <c r="S1218" t="s">
        <v>166</v>
      </c>
      <c r="T1218" t="s">
        <v>7370</v>
      </c>
      <c r="U1218" t="s">
        <v>13015</v>
      </c>
      <c r="V1218">
        <v>3</v>
      </c>
      <c r="W1218" t="s">
        <v>13015</v>
      </c>
      <c r="X1218">
        <v>102</v>
      </c>
      <c r="Y1218">
        <v>13</v>
      </c>
      <c r="Z1218" t="s">
        <v>107</v>
      </c>
      <c r="AA1218">
        <v>1</v>
      </c>
      <c r="AB1218" t="s">
        <v>13016</v>
      </c>
      <c r="AC1218">
        <v>55</v>
      </c>
      <c r="AD1218" t="s">
        <v>13017</v>
      </c>
      <c r="AE1218" t="s">
        <v>144</v>
      </c>
      <c r="AF1218" t="s">
        <v>13018</v>
      </c>
      <c r="AG1218" t="s">
        <v>13019</v>
      </c>
      <c r="AH1218" t="str">
        <f>HYPERLINK("http://compartments.jensenlab.org/Entity?figures=subcell_cell_%&amp;knowledge=10&amp;textmining=10&amp;experiments=10&amp;predictions=10&amp;type1=9606&amp;type2=-22&amp;id1=ENSP00000363708","link")</f>
        <v>link</v>
      </c>
      <c r="AJ1218" t="s">
        <v>2124</v>
      </c>
      <c r="AK1218" t="str">
        <f>HYPERLINK("http://www.proteinatlas.org/Q13873","HPA017385;HPA049014")</f>
        <v>HPA017385;HPA049014</v>
      </c>
      <c r="AM1218">
        <v>659</v>
      </c>
    </row>
    <row r="1219" spans="1:39" x14ac:dyDescent="0.35">
      <c r="A1219" t="s">
        <v>13020</v>
      </c>
      <c r="B1219" t="str">
        <f>HYPERLINK("http://www.uniprot.org/uniprot/Q13936","Q13936")</f>
        <v>Q13936</v>
      </c>
      <c r="C1219" t="s">
        <v>13021</v>
      </c>
      <c r="D1219" t="s">
        <v>13022</v>
      </c>
      <c r="E1219" t="s">
        <v>39</v>
      </c>
      <c r="F1219" t="s">
        <v>40</v>
      </c>
      <c r="H1219">
        <v>2221</v>
      </c>
      <c r="I1219">
        <v>24</v>
      </c>
      <c r="J1219">
        <v>0</v>
      </c>
      <c r="K1219" t="s">
        <v>13023</v>
      </c>
      <c r="L1219" t="s">
        <v>57</v>
      </c>
      <c r="N1219">
        <v>0.66869999999999996</v>
      </c>
      <c r="O1219" s="1">
        <v>2</v>
      </c>
      <c r="P1219" t="s">
        <v>13024</v>
      </c>
      <c r="S1219" t="s">
        <v>45</v>
      </c>
      <c r="T1219" t="s">
        <v>1841</v>
      </c>
      <c r="U1219" t="s">
        <v>13025</v>
      </c>
      <c r="V1219">
        <v>4</v>
      </c>
      <c r="X1219" t="s">
        <v>13026</v>
      </c>
      <c r="Y1219">
        <v>506</v>
      </c>
      <c r="AE1219" t="s">
        <v>13027</v>
      </c>
      <c r="AF1219" t="s">
        <v>13028</v>
      </c>
      <c r="AG1219" t="s">
        <v>13029</v>
      </c>
      <c r="AK1219" t="str">
        <f>HYPERLINK("http://www.proteinatlas.org/Q13936","HPA039796")</f>
        <v>HPA039796</v>
      </c>
      <c r="AL1219" t="s">
        <v>13030</v>
      </c>
      <c r="AM1219">
        <v>775</v>
      </c>
    </row>
    <row r="1220" spans="1:39" x14ac:dyDescent="0.35">
      <c r="A1220" t="s">
        <v>13031</v>
      </c>
      <c r="B1220" t="str">
        <f>HYPERLINK("http://www.uniprot.org/uniprot/Q14002","Q14002")</f>
        <v>Q14002</v>
      </c>
      <c r="C1220" t="s">
        <v>13032</v>
      </c>
      <c r="D1220" t="s">
        <v>13033</v>
      </c>
      <c r="E1220" t="s">
        <v>39</v>
      </c>
      <c r="F1220" t="s">
        <v>239</v>
      </c>
      <c r="H1220">
        <v>265</v>
      </c>
      <c r="I1220">
        <v>0</v>
      </c>
      <c r="J1220">
        <v>1</v>
      </c>
      <c r="K1220" t="s">
        <v>13034</v>
      </c>
      <c r="L1220" t="s">
        <v>57</v>
      </c>
      <c r="N1220">
        <v>0.75649999999999995</v>
      </c>
      <c r="O1220" s="1" t="s">
        <v>997</v>
      </c>
      <c r="P1220" t="s">
        <v>13035</v>
      </c>
      <c r="Q1220" t="s">
        <v>13036</v>
      </c>
      <c r="S1220" t="s">
        <v>91</v>
      </c>
      <c r="T1220" t="s">
        <v>555</v>
      </c>
      <c r="U1220" t="s">
        <v>13037</v>
      </c>
      <c r="V1220">
        <v>7</v>
      </c>
      <c r="W1220" t="s">
        <v>13037</v>
      </c>
      <c r="AE1220" t="s">
        <v>243</v>
      </c>
      <c r="AF1220" t="s">
        <v>13038</v>
      </c>
      <c r="AG1220" t="s">
        <v>13039</v>
      </c>
      <c r="AH1220" t="str">
        <f>HYPERLINK("http://compartments.jensenlab.org/Entity?figures=subcell_cell_%&amp;knowledge=10&amp;textmining=10&amp;experiments=10&amp;predictions=10&amp;type1=9606&amp;type2=-22&amp;id1=ENSP00000006724","link")</f>
        <v>link</v>
      </c>
      <c r="AI1220" t="s">
        <v>65</v>
      </c>
      <c r="AJ1220" t="s">
        <v>51</v>
      </c>
      <c r="AK1220" t="str">
        <f>HYPERLINK("http://www.proteinatlas.org/Q14002","HPA069621")</f>
        <v>HPA069621</v>
      </c>
      <c r="AM1220">
        <v>1087</v>
      </c>
    </row>
    <row r="1221" spans="1:39" x14ac:dyDescent="0.35">
      <c r="A1221" t="s">
        <v>13040</v>
      </c>
      <c r="B1221" t="str">
        <f>HYPERLINK("http://www.uniprot.org/uniprot/Q14108","Q14108")</f>
        <v>Q14108</v>
      </c>
      <c r="C1221" t="s">
        <v>13041</v>
      </c>
      <c r="D1221" t="s">
        <v>13042</v>
      </c>
      <c r="E1221" t="s">
        <v>39</v>
      </c>
      <c r="F1221" t="s">
        <v>40</v>
      </c>
      <c r="H1221">
        <v>478</v>
      </c>
      <c r="I1221">
        <v>2</v>
      </c>
      <c r="J1221">
        <v>0</v>
      </c>
      <c r="K1221" t="s">
        <v>13043</v>
      </c>
      <c r="L1221" t="s">
        <v>101</v>
      </c>
      <c r="N1221">
        <v>0.68259999999999998</v>
      </c>
      <c r="O1221" s="1">
        <v>2</v>
      </c>
      <c r="P1221" t="s">
        <v>13044</v>
      </c>
      <c r="Q1221" t="s">
        <v>13045</v>
      </c>
      <c r="S1221" t="s">
        <v>166</v>
      </c>
      <c r="T1221" t="s">
        <v>5946</v>
      </c>
      <c r="U1221" t="s">
        <v>13046</v>
      </c>
      <c r="V1221">
        <v>10</v>
      </c>
      <c r="W1221" t="s">
        <v>13046</v>
      </c>
      <c r="Z1221" t="s">
        <v>123</v>
      </c>
      <c r="AA1221">
        <v>30</v>
      </c>
      <c r="AB1221" t="s">
        <v>13047</v>
      </c>
      <c r="AC1221" t="s">
        <v>13048</v>
      </c>
      <c r="AD1221" t="s">
        <v>13049</v>
      </c>
      <c r="AE1221" t="s">
        <v>2218</v>
      </c>
      <c r="AF1221" t="s">
        <v>13050</v>
      </c>
      <c r="AG1221" t="s">
        <v>13051</v>
      </c>
      <c r="AH1221" t="str">
        <f>HYPERLINK("http://compartments.jensenlab.org/Entity?figures=subcell_cell_%&amp;knowledge=10&amp;textmining=10&amp;experiments=10&amp;predictions=10&amp;type1=9606&amp;type2=-22&amp;id1=ENSP00000264896","link")</f>
        <v>link</v>
      </c>
      <c r="AI1221" t="s">
        <v>1487</v>
      </c>
      <c r="AJ1221" t="s">
        <v>2393</v>
      </c>
      <c r="AK1221" t="str">
        <f>HYPERLINK("http://www.proteinatlas.org/Q14108","CAB015415;HPA018014")</f>
        <v>CAB015415;HPA018014</v>
      </c>
      <c r="AM1221">
        <v>950</v>
      </c>
    </row>
    <row r="1222" spans="1:39" x14ac:dyDescent="0.35">
      <c r="A1222" t="s">
        <v>13052</v>
      </c>
      <c r="B1222" t="str">
        <f>HYPERLINK("http://www.uniprot.org/uniprot/Q14114","Q14114")</f>
        <v>Q14114</v>
      </c>
      <c r="C1222" t="s">
        <v>13053</v>
      </c>
      <c r="D1222" t="s">
        <v>13054</v>
      </c>
      <c r="E1222" t="s">
        <v>39</v>
      </c>
      <c r="F1222" t="s">
        <v>40</v>
      </c>
      <c r="H1222">
        <v>963</v>
      </c>
      <c r="I1222">
        <v>1</v>
      </c>
      <c r="J1222">
        <v>1</v>
      </c>
      <c r="K1222" t="s">
        <v>13055</v>
      </c>
      <c r="L1222" t="s">
        <v>57</v>
      </c>
      <c r="N1222">
        <v>0.97599999999999998</v>
      </c>
      <c r="O1222" s="1">
        <v>1</v>
      </c>
      <c r="P1222" t="s">
        <v>13056</v>
      </c>
      <c r="Q1222" t="s">
        <v>13057</v>
      </c>
      <c r="S1222" t="s">
        <v>166</v>
      </c>
      <c r="T1222" t="s">
        <v>2518</v>
      </c>
      <c r="U1222" t="s">
        <v>13058</v>
      </c>
      <c r="V1222">
        <v>6</v>
      </c>
      <c r="W1222" t="s">
        <v>13058</v>
      </c>
      <c r="Y1222" t="s">
        <v>13059</v>
      </c>
      <c r="AE1222" t="s">
        <v>1250</v>
      </c>
      <c r="AF1222" t="s">
        <v>13060</v>
      </c>
      <c r="AG1222" t="s">
        <v>13061</v>
      </c>
      <c r="AH1222" t="str">
        <f>HYPERLINK("http://compartments.jensenlab.org/Entity?figures=subcell_cell_%&amp;knowledge=10&amp;textmining=10&amp;experiments=10&amp;predictions=10&amp;type1=9606&amp;type2=-22&amp;id1=ENSP00000303634","link")</f>
        <v>link</v>
      </c>
      <c r="AI1222" t="s">
        <v>65</v>
      </c>
      <c r="AJ1222" t="s">
        <v>902</v>
      </c>
      <c r="AK1222" t="str">
        <f>HYPERLINK("http://www.proteinatlas.org/Q14114","no")</f>
        <v>no</v>
      </c>
      <c r="AM1222">
        <v>7804</v>
      </c>
    </row>
    <row r="1223" spans="1:39" x14ac:dyDescent="0.35">
      <c r="A1223" t="s">
        <v>13062</v>
      </c>
      <c r="B1223" t="str">
        <f>HYPERLINK("http://www.uniprot.org/uniprot/Q14118","Q14118")</f>
        <v>Q14118</v>
      </c>
      <c r="C1223" t="s">
        <v>13063</v>
      </c>
      <c r="D1223" t="s">
        <v>13064</v>
      </c>
      <c r="E1223" t="s">
        <v>39</v>
      </c>
      <c r="F1223" t="s">
        <v>55</v>
      </c>
      <c r="H1223">
        <v>895</v>
      </c>
      <c r="I1223">
        <v>1</v>
      </c>
      <c r="J1223">
        <v>1</v>
      </c>
      <c r="K1223" t="s">
        <v>13065</v>
      </c>
      <c r="L1223" t="s">
        <v>101</v>
      </c>
      <c r="M1223" t="s">
        <v>39</v>
      </c>
      <c r="N1223">
        <v>0.96830000000000005</v>
      </c>
      <c r="O1223" s="1">
        <v>1</v>
      </c>
      <c r="P1223" t="s">
        <v>13066</v>
      </c>
      <c r="Q1223" t="s">
        <v>13067</v>
      </c>
      <c r="S1223" t="s">
        <v>60</v>
      </c>
      <c r="T1223" t="s">
        <v>60</v>
      </c>
      <c r="U1223" t="s">
        <v>13068</v>
      </c>
      <c r="V1223">
        <v>4</v>
      </c>
      <c r="W1223" t="s">
        <v>13068</v>
      </c>
      <c r="X1223" t="s">
        <v>13069</v>
      </c>
      <c r="Y1223">
        <v>107</v>
      </c>
      <c r="Z1223" t="s">
        <v>107</v>
      </c>
      <c r="AA1223">
        <v>4</v>
      </c>
      <c r="AB1223" t="s">
        <v>13070</v>
      </c>
      <c r="AC1223" t="s">
        <v>13071</v>
      </c>
      <c r="AD1223" t="s">
        <v>13072</v>
      </c>
      <c r="AE1223" t="s">
        <v>13073</v>
      </c>
      <c r="AF1223" t="s">
        <v>13074</v>
      </c>
      <c r="AG1223" t="s">
        <v>13075</v>
      </c>
      <c r="AH1223" t="str">
        <f>HYPERLINK("http://compartments.jensenlab.org/Entity?figures=subcell_cell_%&amp;knowledge=10&amp;textmining=10&amp;experiments=10&amp;predictions=10&amp;type1=9606&amp;type2=-22&amp;id1=ENSP00000312435","link")</f>
        <v>link</v>
      </c>
      <c r="AI1223" t="s">
        <v>13076</v>
      </c>
      <c r="AK1223" t="str">
        <f>HYPERLINK("http://www.proteinatlas.org/Q14118","CAB001960;CAB016353")</f>
        <v>CAB001960;CAB016353</v>
      </c>
      <c r="AM1223">
        <v>1605</v>
      </c>
    </row>
    <row r="1224" spans="1:39" x14ac:dyDescent="0.35">
      <c r="A1224" t="s">
        <v>13077</v>
      </c>
      <c r="B1224" t="str">
        <f>HYPERLINK("http://www.uniprot.org/uniprot/Q14126","Q14126")</f>
        <v>Q14126</v>
      </c>
      <c r="C1224" t="s">
        <v>13078</v>
      </c>
      <c r="D1224" t="s">
        <v>13079</v>
      </c>
      <c r="E1224" t="s">
        <v>39</v>
      </c>
      <c r="F1224" t="s">
        <v>55</v>
      </c>
      <c r="H1224">
        <v>1118</v>
      </c>
      <c r="I1224">
        <v>1</v>
      </c>
      <c r="J1224">
        <v>1</v>
      </c>
      <c r="K1224" t="s">
        <v>13080</v>
      </c>
      <c r="L1224" t="s">
        <v>101</v>
      </c>
      <c r="M1224" t="s">
        <v>39</v>
      </c>
      <c r="N1224">
        <v>0.91459999999999997</v>
      </c>
      <c r="O1224" s="1">
        <v>1</v>
      </c>
      <c r="P1224" t="s">
        <v>13081</v>
      </c>
      <c r="Q1224" t="s">
        <v>13082</v>
      </c>
      <c r="S1224" t="s">
        <v>91</v>
      </c>
      <c r="T1224" t="s">
        <v>8359</v>
      </c>
      <c r="U1224" t="s">
        <v>13083</v>
      </c>
      <c r="V1224">
        <v>5</v>
      </c>
      <c r="Z1224" t="s">
        <v>107</v>
      </c>
      <c r="AA1224">
        <v>7</v>
      </c>
      <c r="AB1224" t="s">
        <v>13084</v>
      </c>
      <c r="AC1224" t="s">
        <v>13085</v>
      </c>
      <c r="AD1224" t="s">
        <v>13086</v>
      </c>
      <c r="AE1224" t="s">
        <v>8361</v>
      </c>
      <c r="AF1224" t="s">
        <v>13087</v>
      </c>
      <c r="AG1224" t="s">
        <v>13088</v>
      </c>
      <c r="AH1224" t="str">
        <f>HYPERLINK("http://compartments.jensenlab.org/Entity?figures=subcell_cell_%&amp;knowledge=10&amp;textmining=10&amp;experiments=10&amp;predictions=10&amp;type1=9606&amp;type2=-22&amp;id1=ENSP00000261590","link")</f>
        <v>link</v>
      </c>
      <c r="AI1224" t="s">
        <v>65</v>
      </c>
      <c r="AJ1224" t="s">
        <v>51</v>
      </c>
      <c r="AK1224" t="str">
        <f>HYPERLINK("http://www.proteinatlas.org/Q14126","HPA004896;CAB025122")</f>
        <v>HPA004896;CAB025122</v>
      </c>
      <c r="AM1224">
        <v>1829</v>
      </c>
    </row>
    <row r="1225" spans="1:39" x14ac:dyDescent="0.35">
      <c r="A1225" t="s">
        <v>13089</v>
      </c>
      <c r="B1225" t="str">
        <f>HYPERLINK("http://www.uniprot.org/uniprot/Q14162","Q14162")</f>
        <v>Q14162</v>
      </c>
      <c r="C1225" t="s">
        <v>13090</v>
      </c>
      <c r="D1225" t="s">
        <v>13091</v>
      </c>
      <c r="E1225" t="s">
        <v>39</v>
      </c>
      <c r="F1225" t="s">
        <v>40</v>
      </c>
      <c r="H1225">
        <v>830</v>
      </c>
      <c r="I1225">
        <v>1</v>
      </c>
      <c r="J1225">
        <v>1</v>
      </c>
      <c r="K1225" t="s">
        <v>13092</v>
      </c>
      <c r="L1225" t="s">
        <v>57</v>
      </c>
      <c r="N1225">
        <v>0.82440000000000002</v>
      </c>
      <c r="O1225" s="1">
        <v>1</v>
      </c>
      <c r="P1225" t="s">
        <v>13093</v>
      </c>
      <c r="Q1225" t="s">
        <v>13094</v>
      </c>
      <c r="S1225" t="s">
        <v>166</v>
      </c>
      <c r="T1225" t="s">
        <v>205</v>
      </c>
      <c r="U1225" t="s">
        <v>13095</v>
      </c>
      <c r="V1225">
        <v>3</v>
      </c>
      <c r="AE1225" t="s">
        <v>144</v>
      </c>
      <c r="AF1225" t="s">
        <v>13096</v>
      </c>
      <c r="AG1225" t="s">
        <v>13097</v>
      </c>
      <c r="AH1225" t="str">
        <f>HYPERLINK("http://compartments.jensenlab.org/Entity?figures=subcell_cell_%&amp;knowledge=10&amp;textmining=10&amp;experiments=10&amp;predictions=10&amp;type1=9606&amp;type2=-22&amp;id1=ENSP00000263071","link")</f>
        <v>link</v>
      </c>
      <c r="AJ1225" t="s">
        <v>51</v>
      </c>
      <c r="AK1225" t="str">
        <f>HYPERLINK("http://www.proteinatlas.org/Q14162","HPA035108")</f>
        <v>HPA035108</v>
      </c>
      <c r="AM1225">
        <v>8578</v>
      </c>
    </row>
    <row r="1226" spans="1:39" x14ac:dyDescent="0.35">
      <c r="A1226" t="s">
        <v>13098</v>
      </c>
      <c r="B1226" t="str">
        <f>HYPERLINK("http://www.uniprot.org/uniprot/Q14210","Q14210")</f>
        <v>Q14210</v>
      </c>
      <c r="C1226" t="s">
        <v>13099</v>
      </c>
      <c r="D1226" t="s">
        <v>13100</v>
      </c>
      <c r="E1226" t="s">
        <v>39</v>
      </c>
      <c r="F1226" t="s">
        <v>239</v>
      </c>
      <c r="H1226">
        <v>128</v>
      </c>
      <c r="I1226">
        <v>0</v>
      </c>
      <c r="J1226">
        <v>1</v>
      </c>
      <c r="K1226" t="s">
        <v>13101</v>
      </c>
      <c r="L1226" t="s">
        <v>57</v>
      </c>
      <c r="N1226">
        <v>0.39119999999999999</v>
      </c>
      <c r="O1226" s="1"/>
      <c r="P1226" t="s">
        <v>13102</v>
      </c>
      <c r="Q1226" t="s">
        <v>13103</v>
      </c>
      <c r="S1226" t="s">
        <v>60</v>
      </c>
      <c r="T1226" t="s">
        <v>60</v>
      </c>
      <c r="V1226">
        <v>0</v>
      </c>
      <c r="AE1226" t="s">
        <v>243</v>
      </c>
      <c r="AF1226" t="s">
        <v>13104</v>
      </c>
      <c r="AG1226" t="s">
        <v>13105</v>
      </c>
      <c r="AH1226" t="str">
        <f>HYPERLINK("http://compartments.jensenlab.org/Entity?figures=subcell_cell_%&amp;knowledge=10&amp;textmining=10&amp;experiments=10&amp;predictions=10&amp;type1=9606&amp;type2=-22&amp;id1=ENSP00000301263","link")</f>
        <v>link</v>
      </c>
      <c r="AI1226" t="s">
        <v>65</v>
      </c>
      <c r="AJ1226" t="s">
        <v>51</v>
      </c>
      <c r="AK1226" t="str">
        <f>HYPERLINK("http://www.proteinatlas.org/Q14210","HPA024755")</f>
        <v>HPA024755</v>
      </c>
      <c r="AM1226">
        <v>8581</v>
      </c>
    </row>
    <row r="1227" spans="1:39" x14ac:dyDescent="0.35">
      <c r="A1227" t="s">
        <v>13106</v>
      </c>
      <c r="B1227" t="str">
        <f>HYPERLINK("http://www.uniprot.org/uniprot/Q14242","Q14242")</f>
        <v>Q14242</v>
      </c>
      <c r="C1227" t="s">
        <v>13107</v>
      </c>
      <c r="D1227" t="s">
        <v>13108</v>
      </c>
      <c r="E1227" t="s">
        <v>39</v>
      </c>
      <c r="F1227" t="s">
        <v>40</v>
      </c>
      <c r="H1227">
        <v>412</v>
      </c>
      <c r="I1227">
        <v>1</v>
      </c>
      <c r="J1227">
        <v>1</v>
      </c>
      <c r="K1227" t="s">
        <v>13109</v>
      </c>
      <c r="L1227" t="s">
        <v>101</v>
      </c>
      <c r="N1227">
        <v>0.86029999999999995</v>
      </c>
      <c r="O1227" s="1">
        <v>1</v>
      </c>
      <c r="P1227" t="s">
        <v>13110</v>
      </c>
      <c r="Q1227" t="s">
        <v>13111</v>
      </c>
      <c r="R1227" t="s">
        <v>13112</v>
      </c>
      <c r="S1227" t="s">
        <v>60</v>
      </c>
      <c r="T1227" t="s">
        <v>60</v>
      </c>
      <c r="U1227" t="s">
        <v>13113</v>
      </c>
      <c r="V1227">
        <v>3</v>
      </c>
      <c r="W1227">
        <v>65</v>
      </c>
      <c r="Y1227">
        <v>21</v>
      </c>
      <c r="Z1227" t="s">
        <v>107</v>
      </c>
      <c r="AA1227">
        <v>6</v>
      </c>
      <c r="AB1227" t="s">
        <v>13114</v>
      </c>
      <c r="AC1227">
        <v>302</v>
      </c>
      <c r="AD1227" t="s">
        <v>13115</v>
      </c>
      <c r="AE1227" t="s">
        <v>144</v>
      </c>
      <c r="AF1227" t="s">
        <v>13116</v>
      </c>
      <c r="AG1227" t="s">
        <v>13117</v>
      </c>
      <c r="AH1227" t="str">
        <f>HYPERLINK("http://compartments.jensenlab.org/Entity?figures=subcell_cell_%&amp;knowledge=10&amp;textmining=10&amp;experiments=10&amp;predictions=10&amp;type1=9606&amp;type2=-22&amp;id1=ENSP00000373614","link")</f>
        <v>link</v>
      </c>
      <c r="AJ1227" t="s">
        <v>51</v>
      </c>
      <c r="AK1227" t="str">
        <f>HYPERLINK("http://www.proteinatlas.org/Q14242","CAB002431")</f>
        <v>CAB002431</v>
      </c>
      <c r="AM1227">
        <v>6404</v>
      </c>
    </row>
    <row r="1228" spans="1:39" x14ac:dyDescent="0.35">
      <c r="A1228" t="s">
        <v>13118</v>
      </c>
      <c r="B1228" t="str">
        <f>HYPERLINK("http://www.uniprot.org/uniprot/Q14246","Q14246")</f>
        <v>Q14246</v>
      </c>
      <c r="C1228" t="s">
        <v>13119</v>
      </c>
      <c r="D1228" t="s">
        <v>13120</v>
      </c>
      <c r="E1228" t="s">
        <v>39</v>
      </c>
      <c r="F1228" t="s">
        <v>55</v>
      </c>
      <c r="H1228">
        <v>886</v>
      </c>
      <c r="I1228">
        <v>7</v>
      </c>
      <c r="J1228">
        <v>1</v>
      </c>
      <c r="K1228" t="s">
        <v>13121</v>
      </c>
      <c r="L1228" t="s">
        <v>57</v>
      </c>
      <c r="M1228" t="s">
        <v>39</v>
      </c>
      <c r="N1228">
        <v>0.97870000000000001</v>
      </c>
      <c r="O1228" s="1">
        <v>1</v>
      </c>
      <c r="P1228" t="s">
        <v>13122</v>
      </c>
      <c r="Q1228" t="s">
        <v>13123</v>
      </c>
      <c r="S1228" t="s">
        <v>166</v>
      </c>
      <c r="T1228" t="s">
        <v>1149</v>
      </c>
      <c r="U1228" t="s">
        <v>13124</v>
      </c>
      <c r="V1228">
        <v>13</v>
      </c>
      <c r="W1228" t="s">
        <v>13124</v>
      </c>
      <c r="Y1228">
        <v>771</v>
      </c>
      <c r="AE1228" t="s">
        <v>74</v>
      </c>
      <c r="AF1228" t="s">
        <v>13125</v>
      </c>
      <c r="AG1228" t="s">
        <v>13126</v>
      </c>
      <c r="AH1228" t="str">
        <f>HYPERLINK("http://compartments.jensenlab.org/Entity?figures=subcell_cell_%&amp;knowledge=10&amp;textmining=10&amp;experiments=10&amp;predictions=10&amp;type1=9606&amp;type2=-22&amp;id1=ENSP00000311545","link")</f>
        <v>link</v>
      </c>
      <c r="AI1228" t="s">
        <v>65</v>
      </c>
      <c r="AJ1228" t="s">
        <v>51</v>
      </c>
      <c r="AK1228" t="str">
        <f>HYPERLINK("http://www.proteinatlas.org/Q14246","HPA052809")</f>
        <v>HPA052809</v>
      </c>
      <c r="AM1228">
        <v>2015</v>
      </c>
    </row>
    <row r="1229" spans="1:39" x14ac:dyDescent="0.35">
      <c r="A1229" t="s">
        <v>13127</v>
      </c>
      <c r="B1229" t="str">
        <f>HYPERLINK("http://www.uniprot.org/uniprot/Q14330","Q14330")</f>
        <v>Q14330</v>
      </c>
      <c r="C1229" t="s">
        <v>13128</v>
      </c>
      <c r="D1229" t="s">
        <v>13129</v>
      </c>
      <c r="E1229" t="s">
        <v>39</v>
      </c>
      <c r="F1229" t="s">
        <v>55</v>
      </c>
      <c r="H1229">
        <v>331</v>
      </c>
      <c r="I1229">
        <v>7</v>
      </c>
      <c r="J1229">
        <v>0</v>
      </c>
      <c r="K1229" t="s">
        <v>13130</v>
      </c>
      <c r="L1229" t="s">
        <v>57</v>
      </c>
      <c r="M1229" t="s">
        <v>39</v>
      </c>
      <c r="N1229">
        <v>0.95930000000000004</v>
      </c>
      <c r="O1229" s="1">
        <v>1</v>
      </c>
      <c r="P1229" t="s">
        <v>13131</v>
      </c>
      <c r="Q1229" t="s">
        <v>13132</v>
      </c>
      <c r="S1229" t="s">
        <v>166</v>
      </c>
      <c r="T1229" t="s">
        <v>838</v>
      </c>
      <c r="U1229" t="s">
        <v>13133</v>
      </c>
      <c r="V1229">
        <v>2</v>
      </c>
      <c r="AE1229" t="s">
        <v>74</v>
      </c>
      <c r="AF1229" t="s">
        <v>1913</v>
      </c>
      <c r="AG1229" t="s">
        <v>13134</v>
      </c>
      <c r="AH1229" t="str">
        <f>HYPERLINK("http://compartments.jensenlab.org/Entity?figures=subcell_cell_%&amp;knowledge=10&amp;textmining=10&amp;experiments=10&amp;predictions=10&amp;type1=9606&amp;type2=-22&amp;id1=ENSP00000343428","link")</f>
        <v>link</v>
      </c>
      <c r="AI1229" t="s">
        <v>65</v>
      </c>
      <c r="AJ1229" t="s">
        <v>51</v>
      </c>
      <c r="AK1229" t="str">
        <f>HYPERLINK("http://www.proteinatlas.org/Q14330","HPA013873")</f>
        <v>HPA013873</v>
      </c>
      <c r="AL1229" t="s">
        <v>9928</v>
      </c>
      <c r="AM1229">
        <v>2841</v>
      </c>
    </row>
    <row r="1230" spans="1:39" x14ac:dyDescent="0.35">
      <c r="A1230" t="s">
        <v>13135</v>
      </c>
      <c r="B1230" t="str">
        <f>HYPERLINK("http://www.uniprot.org/uniprot/Q14332","Q14332")</f>
        <v>Q14332</v>
      </c>
      <c r="C1230" t="s">
        <v>13136</v>
      </c>
      <c r="D1230" t="s">
        <v>13137</v>
      </c>
      <c r="E1230" t="s">
        <v>39</v>
      </c>
      <c r="F1230" t="s">
        <v>40</v>
      </c>
      <c r="H1230">
        <v>565</v>
      </c>
      <c r="I1230">
        <v>7</v>
      </c>
      <c r="J1230">
        <v>1</v>
      </c>
      <c r="K1230" t="s">
        <v>13138</v>
      </c>
      <c r="L1230" t="s">
        <v>57</v>
      </c>
      <c r="N1230">
        <v>0.85629999999999995</v>
      </c>
      <c r="O1230" s="1">
        <v>1</v>
      </c>
      <c r="P1230" t="s">
        <v>13139</v>
      </c>
      <c r="Q1230" t="s">
        <v>13140</v>
      </c>
      <c r="S1230" t="s">
        <v>166</v>
      </c>
      <c r="T1230" t="s">
        <v>827</v>
      </c>
      <c r="U1230" t="s">
        <v>13141</v>
      </c>
      <c r="V1230">
        <v>2</v>
      </c>
      <c r="X1230" t="s">
        <v>13142</v>
      </c>
      <c r="AE1230" t="s">
        <v>1863</v>
      </c>
      <c r="AF1230" t="s">
        <v>830</v>
      </c>
      <c r="AG1230" t="s">
        <v>13143</v>
      </c>
      <c r="AH1230" t="str">
        <f>HYPERLINK("http://compartments.jensenlab.org/Entity?figures=subcell_cell_%&amp;knowledge=10&amp;textmining=10&amp;experiments=10&amp;predictions=10&amp;type1=9606&amp;type2=-22&amp;id1=ENSP00000323901","link")</f>
        <v>link</v>
      </c>
      <c r="AI1230" t="s">
        <v>65</v>
      </c>
      <c r="AJ1230" t="s">
        <v>2124</v>
      </c>
      <c r="AK1230" t="str">
        <f>HYPERLINK("http://www.proteinatlas.org/Q14332","HPA057667")</f>
        <v>HPA057667</v>
      </c>
      <c r="AM1230">
        <v>2535</v>
      </c>
    </row>
    <row r="1231" spans="1:39" x14ac:dyDescent="0.35">
      <c r="A1231" t="s">
        <v>13144</v>
      </c>
      <c r="B1231" t="str">
        <f>HYPERLINK("http://www.uniprot.org/uniprot/Q14392","Q14392")</f>
        <v>Q14392</v>
      </c>
      <c r="C1231" t="s">
        <v>13145</v>
      </c>
      <c r="D1231" t="s">
        <v>13146</v>
      </c>
      <c r="E1231" t="s">
        <v>39</v>
      </c>
      <c r="F1231" t="s">
        <v>40</v>
      </c>
      <c r="H1231">
        <v>662</v>
      </c>
      <c r="I1231">
        <v>1</v>
      </c>
      <c r="J1231">
        <v>1</v>
      </c>
      <c r="K1231" t="s">
        <v>13147</v>
      </c>
      <c r="L1231" t="s">
        <v>101</v>
      </c>
      <c r="N1231">
        <v>0.64070000000000005</v>
      </c>
      <c r="O1231" s="1">
        <v>2</v>
      </c>
      <c r="P1231" t="s">
        <v>13148</v>
      </c>
      <c r="Q1231" t="s">
        <v>13149</v>
      </c>
      <c r="S1231" t="s">
        <v>91</v>
      </c>
      <c r="T1231" t="s">
        <v>260</v>
      </c>
      <c r="U1231" t="s">
        <v>13150</v>
      </c>
      <c r="V1231">
        <v>5</v>
      </c>
      <c r="Z1231" t="s">
        <v>107</v>
      </c>
      <c r="AA1231">
        <v>3</v>
      </c>
      <c r="AB1231" t="s">
        <v>13151</v>
      </c>
      <c r="AC1231" t="s">
        <v>13152</v>
      </c>
      <c r="AD1231" t="s">
        <v>13153</v>
      </c>
      <c r="AE1231" t="s">
        <v>144</v>
      </c>
      <c r="AF1231" t="s">
        <v>529</v>
      </c>
      <c r="AG1231" t="s">
        <v>13154</v>
      </c>
      <c r="AH1231" t="str">
        <f>HYPERLINK("http://compartments.jensenlab.org/Entity?figures=subcell_cell_%&amp;knowledge=10&amp;textmining=10&amp;experiments=10&amp;predictions=10&amp;type1=9606&amp;type2=-22&amp;id1=ENSP00000260061","link")</f>
        <v>link</v>
      </c>
      <c r="AJ1231" t="s">
        <v>51</v>
      </c>
      <c r="AK1231" t="str">
        <f>HYPERLINK("http://www.proteinatlas.org/Q14392","HPA065439")</f>
        <v>HPA065439</v>
      </c>
      <c r="AM1231">
        <v>2615</v>
      </c>
    </row>
    <row r="1232" spans="1:39" x14ac:dyDescent="0.35">
      <c r="A1232" t="s">
        <v>13155</v>
      </c>
      <c r="B1232" t="str">
        <f>HYPERLINK("http://www.uniprot.org/uniprot/Q14416","Q14416")</f>
        <v>Q14416</v>
      </c>
      <c r="C1232" t="s">
        <v>13156</v>
      </c>
      <c r="D1232" t="s">
        <v>13157</v>
      </c>
      <c r="E1232" t="s">
        <v>39</v>
      </c>
      <c r="F1232" t="s">
        <v>40</v>
      </c>
      <c r="H1232">
        <v>872</v>
      </c>
      <c r="I1232">
        <v>7</v>
      </c>
      <c r="J1232">
        <v>1</v>
      </c>
      <c r="K1232" t="s">
        <v>13158</v>
      </c>
      <c r="L1232" t="s">
        <v>57</v>
      </c>
      <c r="N1232">
        <v>0.86829999999999996</v>
      </c>
      <c r="O1232" s="1">
        <v>1</v>
      </c>
      <c r="P1232" t="s">
        <v>13159</v>
      </c>
      <c r="Q1232" t="s">
        <v>13160</v>
      </c>
      <c r="S1232" t="s">
        <v>166</v>
      </c>
      <c r="T1232" t="s">
        <v>874</v>
      </c>
      <c r="U1232" t="s">
        <v>13161</v>
      </c>
      <c r="V1232">
        <v>5</v>
      </c>
      <c r="W1232" t="s">
        <v>13162</v>
      </c>
      <c r="AE1232" t="s">
        <v>13163</v>
      </c>
      <c r="AF1232" t="s">
        <v>13164</v>
      </c>
      <c r="AG1232" t="s">
        <v>13165</v>
      </c>
      <c r="AH1232" t="str">
        <f>HYPERLINK("http://compartments.jensenlab.org/Entity?figures=subcell_cell_%&amp;knowledge=10&amp;textmining=10&amp;experiments=10&amp;predictions=10&amp;type1=9606&amp;type2=-22&amp;id1=ENSP00000378492","link")</f>
        <v>link</v>
      </c>
      <c r="AI1232" t="s">
        <v>65</v>
      </c>
      <c r="AJ1232" t="s">
        <v>113</v>
      </c>
      <c r="AK1232" t="str">
        <f>HYPERLINK("http://www.proteinatlas.org/Q14416","no")</f>
        <v>no</v>
      </c>
      <c r="AM1232">
        <v>2912</v>
      </c>
    </row>
    <row r="1233" spans="1:39" x14ac:dyDescent="0.35">
      <c r="A1233" t="s">
        <v>13166</v>
      </c>
      <c r="B1233" t="str">
        <f>HYPERLINK("http://www.uniprot.org/uniprot/Q14439","Q14439")</f>
        <v>Q14439</v>
      </c>
      <c r="C1233" t="s">
        <v>13167</v>
      </c>
      <c r="D1233" t="s">
        <v>13168</v>
      </c>
      <c r="E1233" t="s">
        <v>39</v>
      </c>
      <c r="F1233" t="s">
        <v>55</v>
      </c>
      <c r="H1233">
        <v>515</v>
      </c>
      <c r="I1233">
        <v>7</v>
      </c>
      <c r="J1233">
        <v>0</v>
      </c>
      <c r="K1233" t="s">
        <v>13169</v>
      </c>
      <c r="L1233" t="s">
        <v>101</v>
      </c>
      <c r="M1233" t="s">
        <v>39</v>
      </c>
      <c r="N1233">
        <v>0.90269999999999995</v>
      </c>
      <c r="O1233" s="1">
        <v>1</v>
      </c>
      <c r="P1233" t="s">
        <v>13170</v>
      </c>
      <c r="Q1233" t="s">
        <v>13171</v>
      </c>
      <c r="S1233" t="s">
        <v>166</v>
      </c>
      <c r="T1233" t="s">
        <v>838</v>
      </c>
      <c r="U1233" t="s">
        <v>13172</v>
      </c>
      <c r="V1233">
        <v>4</v>
      </c>
      <c r="W1233">
        <v>210</v>
      </c>
      <c r="Z1233" t="s">
        <v>107</v>
      </c>
      <c r="AA1233">
        <v>1</v>
      </c>
      <c r="AB1233" t="s">
        <v>13173</v>
      </c>
      <c r="AC1233" t="s">
        <v>13174</v>
      </c>
      <c r="AD1233" t="s">
        <v>13175</v>
      </c>
      <c r="AE1233" t="s">
        <v>74</v>
      </c>
      <c r="AF1233" t="s">
        <v>13176</v>
      </c>
      <c r="AG1233" t="s">
        <v>13177</v>
      </c>
      <c r="AH1233" t="str">
        <f>HYPERLINK("http://compartments.jensenlab.org/Entity?figures=subcell_cell_%&amp;knowledge=10&amp;textmining=10&amp;experiments=10&amp;predictions=10&amp;type1=9606&amp;type2=-22&amp;id1=ENSP00000453076","link")</f>
        <v>link</v>
      </c>
      <c r="AK1233" t="str">
        <f>HYPERLINK("http://www.proteinatlas.org/Q14439","HPA039943;HPA039979")</f>
        <v>HPA039943;HPA039979</v>
      </c>
      <c r="AM1233">
        <v>11245</v>
      </c>
    </row>
    <row r="1234" spans="1:39" x14ac:dyDescent="0.35">
      <c r="A1234" t="s">
        <v>13178</v>
      </c>
      <c r="B1234" t="str">
        <f>HYPERLINK("http://www.uniprot.org/uniprot/Q14500","Q14500")</f>
        <v>Q14500</v>
      </c>
      <c r="C1234" t="s">
        <v>13179</v>
      </c>
      <c r="D1234" t="s">
        <v>13180</v>
      </c>
      <c r="E1234" t="s">
        <v>39</v>
      </c>
      <c r="F1234" t="s">
        <v>55</v>
      </c>
      <c r="H1234">
        <v>433</v>
      </c>
      <c r="I1234">
        <v>2</v>
      </c>
      <c r="J1234">
        <v>0</v>
      </c>
      <c r="K1234" t="s">
        <v>13181</v>
      </c>
      <c r="L1234" t="s">
        <v>57</v>
      </c>
      <c r="M1234" t="s">
        <v>39</v>
      </c>
      <c r="N1234">
        <v>0.3609</v>
      </c>
      <c r="O1234" s="1"/>
      <c r="P1234" t="s">
        <v>13182</v>
      </c>
      <c r="Q1234" t="s">
        <v>13183</v>
      </c>
      <c r="S1234" t="s">
        <v>45</v>
      </c>
      <c r="T1234" t="s">
        <v>9870</v>
      </c>
      <c r="V1234">
        <v>0</v>
      </c>
      <c r="AE1234" t="s">
        <v>1863</v>
      </c>
      <c r="AF1234" t="s">
        <v>13184</v>
      </c>
      <c r="AG1234" t="s">
        <v>13185</v>
      </c>
      <c r="AH1234" t="str">
        <f>HYPERLINK("http://compartments.jensenlab.org/Entity?figures=subcell_cell_%&amp;knowledge=10&amp;textmining=10&amp;experiments=10&amp;predictions=10&amp;type1=9606&amp;type2=-22&amp;id1=ENSP00000328150","link")</f>
        <v>link</v>
      </c>
      <c r="AI1234" t="s">
        <v>65</v>
      </c>
      <c r="AJ1234" t="s">
        <v>51</v>
      </c>
      <c r="AK1234" t="str">
        <f>HYPERLINK("http://www.proteinatlas.org/Q14500","HPA027021")</f>
        <v>HPA027021</v>
      </c>
      <c r="AL1234" t="s">
        <v>13186</v>
      </c>
      <c r="AM1234">
        <v>3768</v>
      </c>
    </row>
    <row r="1235" spans="1:39" x14ac:dyDescent="0.35">
      <c r="A1235" t="s">
        <v>13187</v>
      </c>
      <c r="B1235" t="str">
        <f>HYPERLINK("http://www.uniprot.org/uniprot/Q14517","Q14517")</f>
        <v>Q14517</v>
      </c>
      <c r="C1235" t="s">
        <v>13188</v>
      </c>
      <c r="D1235" t="s">
        <v>13189</v>
      </c>
      <c r="E1235" t="s">
        <v>39</v>
      </c>
      <c r="F1235" t="s">
        <v>55</v>
      </c>
      <c r="H1235">
        <v>4588</v>
      </c>
      <c r="I1235">
        <v>1</v>
      </c>
      <c r="J1235">
        <v>1</v>
      </c>
      <c r="K1235" t="s">
        <v>13190</v>
      </c>
      <c r="L1235" t="s">
        <v>101</v>
      </c>
      <c r="M1235" t="s">
        <v>39</v>
      </c>
      <c r="N1235">
        <v>0.96020000000000005</v>
      </c>
      <c r="O1235" s="1">
        <v>1</v>
      </c>
      <c r="P1235" t="s">
        <v>13191</v>
      </c>
      <c r="Q1235" t="s">
        <v>13192</v>
      </c>
      <c r="S1235" t="s">
        <v>91</v>
      </c>
      <c r="T1235" t="s">
        <v>216</v>
      </c>
      <c r="U1235" t="s">
        <v>13193</v>
      </c>
      <c r="V1235">
        <v>28</v>
      </c>
      <c r="W1235" t="s">
        <v>13194</v>
      </c>
      <c r="Z1235" t="s">
        <v>107</v>
      </c>
      <c r="AA1235">
        <v>10</v>
      </c>
      <c r="AB1235" t="s">
        <v>13195</v>
      </c>
      <c r="AC1235" t="s">
        <v>13196</v>
      </c>
      <c r="AD1235" t="s">
        <v>13197</v>
      </c>
      <c r="AE1235" t="s">
        <v>13198</v>
      </c>
      <c r="AF1235" t="s">
        <v>13199</v>
      </c>
      <c r="AG1235" t="s">
        <v>13200</v>
      </c>
      <c r="AH1235" t="str">
        <f>HYPERLINK("http://compartments.jensenlab.org/Entity?figures=subcell_cell_%&amp;knowledge=10&amp;textmining=10&amp;experiments=10&amp;predictions=10&amp;type1=9606&amp;type2=-22&amp;id1=ENSP00000406229","link")</f>
        <v>link</v>
      </c>
      <c r="AI1235" t="s">
        <v>7719</v>
      </c>
      <c r="AJ1235" t="s">
        <v>2873</v>
      </c>
      <c r="AK1235" t="str">
        <f>HYPERLINK("http://www.proteinatlas.org/Q14517","HPA001869;HPA023882")</f>
        <v>HPA001869;HPA023882</v>
      </c>
      <c r="AM1235">
        <v>2195</v>
      </c>
    </row>
    <row r="1236" spans="1:39" x14ac:dyDescent="0.35">
      <c r="A1236" t="s">
        <v>13201</v>
      </c>
      <c r="B1236" t="str">
        <f>HYPERLINK("http://www.uniprot.org/uniprot/Q14524","Q14524")</f>
        <v>Q14524</v>
      </c>
      <c r="C1236" t="s">
        <v>13202</v>
      </c>
      <c r="D1236" t="s">
        <v>13203</v>
      </c>
      <c r="E1236" t="s">
        <v>39</v>
      </c>
      <c r="F1236" t="s">
        <v>40</v>
      </c>
      <c r="H1236">
        <v>2016</v>
      </c>
      <c r="I1236">
        <v>24</v>
      </c>
      <c r="J1236">
        <v>0</v>
      </c>
      <c r="K1236" t="s">
        <v>13204</v>
      </c>
      <c r="L1236" t="s">
        <v>57</v>
      </c>
      <c r="N1236">
        <v>0.76049999999999995</v>
      </c>
      <c r="O1236" s="1">
        <v>1</v>
      </c>
      <c r="P1236" t="s">
        <v>13205</v>
      </c>
      <c r="Q1236" t="s">
        <v>13206</v>
      </c>
      <c r="S1236" t="s">
        <v>45</v>
      </c>
      <c r="T1236" t="s">
        <v>8727</v>
      </c>
      <c r="U1236" t="s">
        <v>13207</v>
      </c>
      <c r="V1236">
        <v>14</v>
      </c>
      <c r="W1236" t="s">
        <v>13208</v>
      </c>
      <c r="AE1236" t="s">
        <v>48</v>
      </c>
      <c r="AF1236" t="s">
        <v>13209</v>
      </c>
      <c r="AG1236" t="s">
        <v>13210</v>
      </c>
      <c r="AH1236" t="str">
        <f>HYPERLINK("http://compartments.jensenlab.org/Entity?figures=subcell_cell_%&amp;knowledge=10&amp;textmining=10&amp;experiments=10&amp;predictions=10&amp;type1=9606&amp;type2=-22&amp;id1=ENSP00000328968","link")</f>
        <v>link</v>
      </c>
      <c r="AJ1236" t="s">
        <v>51</v>
      </c>
      <c r="AK1236" t="str">
        <f>HYPERLINK("http://www.proteinatlas.org/Q14524","no")</f>
        <v>no</v>
      </c>
      <c r="AL1236" t="s">
        <v>13211</v>
      </c>
      <c r="AM1236">
        <v>6331</v>
      </c>
    </row>
    <row r="1237" spans="1:39" x14ac:dyDescent="0.35">
      <c r="A1237" t="s">
        <v>13212</v>
      </c>
      <c r="B1237" t="str">
        <f>HYPERLINK("http://www.uniprot.org/uniprot/Q14542","Q14542")</f>
        <v>Q14542</v>
      </c>
      <c r="C1237" t="s">
        <v>13213</v>
      </c>
      <c r="D1237" t="s">
        <v>13214</v>
      </c>
      <c r="E1237" t="s">
        <v>39</v>
      </c>
      <c r="F1237" t="s">
        <v>55</v>
      </c>
      <c r="H1237">
        <v>456</v>
      </c>
      <c r="I1237">
        <v>11</v>
      </c>
      <c r="J1237">
        <v>0</v>
      </c>
      <c r="K1237" t="s">
        <v>13215</v>
      </c>
      <c r="L1237" t="s">
        <v>118</v>
      </c>
      <c r="M1237" t="s">
        <v>39</v>
      </c>
      <c r="N1237">
        <v>0.83069999999999999</v>
      </c>
      <c r="O1237" s="1">
        <v>1</v>
      </c>
      <c r="P1237" t="s">
        <v>13216</v>
      </c>
      <c r="Q1237" t="s">
        <v>13217</v>
      </c>
      <c r="S1237" t="s">
        <v>45</v>
      </c>
      <c r="T1237" t="s">
        <v>13218</v>
      </c>
      <c r="U1237" t="s">
        <v>13219</v>
      </c>
      <c r="V1237">
        <v>2</v>
      </c>
      <c r="W1237" t="s">
        <v>13220</v>
      </c>
      <c r="Z1237" t="s">
        <v>107</v>
      </c>
      <c r="AA1237">
        <v>1</v>
      </c>
      <c r="AB1237" t="s">
        <v>13221</v>
      </c>
      <c r="AC1237">
        <v>48</v>
      </c>
      <c r="AD1237" t="s">
        <v>13222</v>
      </c>
      <c r="AE1237" t="s">
        <v>13223</v>
      </c>
      <c r="AF1237" t="s">
        <v>13224</v>
      </c>
      <c r="AG1237" t="s">
        <v>13225</v>
      </c>
      <c r="AH1237" t="str">
        <f>HYPERLINK("http://compartments.jensenlab.org/Entity?figures=subcell_cell_%&amp;knowledge=10&amp;textmining=10&amp;experiments=10&amp;predictions=10&amp;type1=9606&amp;type2=-22&amp;id1=ENSP00000350024","link")</f>
        <v>link</v>
      </c>
      <c r="AI1237" t="s">
        <v>7719</v>
      </c>
      <c r="AJ1237" t="s">
        <v>2873</v>
      </c>
      <c r="AK1237" t="str">
        <f>HYPERLINK("http://www.proteinatlas.org/Q14542","HPA018168")</f>
        <v>HPA018168</v>
      </c>
      <c r="AM1237">
        <v>3177</v>
      </c>
    </row>
    <row r="1238" spans="1:39" x14ac:dyDescent="0.35">
      <c r="A1238" t="s">
        <v>13226</v>
      </c>
      <c r="B1238" t="str">
        <f>HYPERLINK("http://www.uniprot.org/uniprot/Q14574","Q14574")</f>
        <v>Q14574</v>
      </c>
      <c r="C1238" t="s">
        <v>13227</v>
      </c>
      <c r="D1238" t="s">
        <v>13228</v>
      </c>
      <c r="E1238" t="s">
        <v>39</v>
      </c>
      <c r="F1238" t="s">
        <v>40</v>
      </c>
      <c r="H1238">
        <v>896</v>
      </c>
      <c r="I1238">
        <v>1</v>
      </c>
      <c r="J1238">
        <v>1</v>
      </c>
      <c r="K1238" t="s">
        <v>13229</v>
      </c>
      <c r="L1238" t="s">
        <v>57</v>
      </c>
      <c r="N1238">
        <v>0.99</v>
      </c>
      <c r="O1238" s="1">
        <v>1</v>
      </c>
      <c r="P1238" t="s">
        <v>13230</v>
      </c>
      <c r="Q1238" t="s">
        <v>13231</v>
      </c>
      <c r="S1238" t="s">
        <v>91</v>
      </c>
      <c r="T1238" t="s">
        <v>8359</v>
      </c>
      <c r="U1238" t="s">
        <v>13232</v>
      </c>
      <c r="V1238">
        <v>5</v>
      </c>
      <c r="W1238" t="s">
        <v>13232</v>
      </c>
      <c r="AE1238" t="s">
        <v>8361</v>
      </c>
      <c r="AF1238" t="s">
        <v>13233</v>
      </c>
      <c r="AG1238" t="s">
        <v>13234</v>
      </c>
      <c r="AH1238" t="str">
        <f>HYPERLINK("http://compartments.jensenlab.org/Entity?figures=subcell_cell_%&amp;knowledge=10&amp;textmining=10&amp;experiments=10&amp;predictions=10&amp;type1=9606&amp;type2=-22&amp;id1=ENSP00000353608","link")</f>
        <v>link</v>
      </c>
      <c r="AI1238" t="s">
        <v>65</v>
      </c>
      <c r="AJ1238" t="s">
        <v>1767</v>
      </c>
      <c r="AK1238" t="str">
        <f>HYPERLINK("http://www.proteinatlas.org/Q14574","CAB037328;HPA049265")</f>
        <v>CAB037328;HPA049265</v>
      </c>
      <c r="AM1238">
        <v>1825</v>
      </c>
    </row>
    <row r="1239" spans="1:39" x14ac:dyDescent="0.35">
      <c r="A1239" t="s">
        <v>13235</v>
      </c>
      <c r="B1239" t="str">
        <f>HYPERLINK("http://www.uniprot.org/uniprot/Q14626","Q14626")</f>
        <v>Q14626</v>
      </c>
      <c r="C1239" t="s">
        <v>13236</v>
      </c>
      <c r="D1239" t="s">
        <v>13237</v>
      </c>
      <c r="E1239" t="s">
        <v>39</v>
      </c>
      <c r="F1239" t="s">
        <v>40</v>
      </c>
      <c r="H1239">
        <v>422</v>
      </c>
      <c r="I1239">
        <v>1</v>
      </c>
      <c r="J1239">
        <v>1</v>
      </c>
      <c r="K1239" t="s">
        <v>13238</v>
      </c>
      <c r="L1239" t="s">
        <v>57</v>
      </c>
      <c r="N1239">
        <v>0.86429999999999996</v>
      </c>
      <c r="O1239" s="1">
        <v>1</v>
      </c>
      <c r="P1239" t="s">
        <v>13239</v>
      </c>
      <c r="Q1239" t="s">
        <v>13240</v>
      </c>
      <c r="S1239" t="s">
        <v>166</v>
      </c>
      <c r="T1239" t="s">
        <v>3171</v>
      </c>
      <c r="U1239" t="s">
        <v>13241</v>
      </c>
      <c r="V1239">
        <v>2</v>
      </c>
      <c r="W1239">
        <v>194</v>
      </c>
      <c r="Y1239">
        <v>304</v>
      </c>
      <c r="AE1239" t="s">
        <v>144</v>
      </c>
      <c r="AF1239" t="s">
        <v>13242</v>
      </c>
      <c r="AG1239" t="s">
        <v>13243</v>
      </c>
      <c r="AH1239" t="str">
        <f>HYPERLINK("http://compartments.jensenlab.org/Entity?figures=subcell_cell_%&amp;knowledge=10&amp;textmining=10&amp;experiments=10&amp;predictions=10&amp;type1=9606&amp;type2=-22&amp;id1=ENSP00000326500","link")</f>
        <v>link</v>
      </c>
      <c r="AJ1239" t="s">
        <v>51</v>
      </c>
      <c r="AK1239" t="str">
        <f>HYPERLINK("http://www.proteinatlas.org/Q14626","HPA013162;CAB032830;HPA036652")</f>
        <v>HPA013162;CAB032830;HPA036652</v>
      </c>
      <c r="AL1239" t="s">
        <v>13244</v>
      </c>
      <c r="AM1239">
        <v>3590</v>
      </c>
    </row>
    <row r="1240" spans="1:39" x14ac:dyDescent="0.35">
      <c r="A1240" t="s">
        <v>13245</v>
      </c>
      <c r="B1240" t="str">
        <f>HYPERLINK("http://www.uniprot.org/uniprot/Q14627","Q14627")</f>
        <v>Q14627</v>
      </c>
      <c r="C1240" t="s">
        <v>13246</v>
      </c>
      <c r="D1240" t="s">
        <v>13247</v>
      </c>
      <c r="E1240" t="s">
        <v>39</v>
      </c>
      <c r="F1240" t="s">
        <v>40</v>
      </c>
      <c r="H1240">
        <v>380</v>
      </c>
      <c r="I1240">
        <v>1</v>
      </c>
      <c r="J1240">
        <v>1</v>
      </c>
      <c r="K1240" t="s">
        <v>13248</v>
      </c>
      <c r="L1240" t="s">
        <v>101</v>
      </c>
      <c r="N1240">
        <v>0.8024</v>
      </c>
      <c r="O1240" s="1">
        <v>1</v>
      </c>
      <c r="P1240" t="s">
        <v>13249</v>
      </c>
      <c r="Q1240" t="s">
        <v>13250</v>
      </c>
      <c r="R1240" t="s">
        <v>13251</v>
      </c>
      <c r="S1240" t="s">
        <v>166</v>
      </c>
      <c r="T1240" t="s">
        <v>3171</v>
      </c>
      <c r="U1240" t="s">
        <v>13252</v>
      </c>
      <c r="V1240">
        <v>4</v>
      </c>
      <c r="W1240" t="s">
        <v>13252</v>
      </c>
      <c r="Y1240">
        <v>322</v>
      </c>
      <c r="Z1240" t="s">
        <v>107</v>
      </c>
      <c r="AA1240">
        <v>9</v>
      </c>
      <c r="AB1240" t="s">
        <v>13253</v>
      </c>
      <c r="AC1240" t="s">
        <v>13254</v>
      </c>
      <c r="AD1240" t="s">
        <v>13255</v>
      </c>
      <c r="AE1240" t="s">
        <v>144</v>
      </c>
      <c r="AF1240" t="s">
        <v>13256</v>
      </c>
      <c r="AG1240" t="s">
        <v>13257</v>
      </c>
      <c r="AH1240" t="str">
        <f>HYPERLINK("http://compartments.jensenlab.org/Entity?figures=subcell_cell_%&amp;knowledge=10&amp;textmining=10&amp;experiments=10&amp;predictions=10&amp;type1=9606&amp;type2=-22&amp;id1=ENSP00000243213","link")</f>
        <v>link</v>
      </c>
      <c r="AJ1240" t="s">
        <v>902</v>
      </c>
      <c r="AK1240" t="str">
        <f>HYPERLINK("http://www.proteinatlas.org/Q14627","HPA055552")</f>
        <v>HPA055552</v>
      </c>
      <c r="AM1240">
        <v>3598</v>
      </c>
    </row>
    <row r="1241" spans="1:39" x14ac:dyDescent="0.35">
      <c r="A1241" t="s">
        <v>13258</v>
      </c>
      <c r="B1241" t="str">
        <f>HYPERLINK("http://www.uniprot.org/uniprot/Q14714","Q14714")</f>
        <v>Q14714</v>
      </c>
      <c r="C1241" t="s">
        <v>13259</v>
      </c>
      <c r="D1241" t="s">
        <v>13260</v>
      </c>
      <c r="E1241" t="s">
        <v>39</v>
      </c>
      <c r="F1241" t="s">
        <v>40</v>
      </c>
      <c r="H1241">
        <v>243</v>
      </c>
      <c r="I1241">
        <v>4</v>
      </c>
      <c r="J1241">
        <v>0</v>
      </c>
      <c r="K1241" t="s">
        <v>13261</v>
      </c>
      <c r="L1241" t="s">
        <v>57</v>
      </c>
      <c r="N1241">
        <v>0.58679999999999999</v>
      </c>
      <c r="O1241" s="1">
        <v>2</v>
      </c>
      <c r="P1241" t="s">
        <v>13262</v>
      </c>
      <c r="Q1241" t="s">
        <v>13263</v>
      </c>
      <c r="S1241" t="s">
        <v>60</v>
      </c>
      <c r="T1241" t="s">
        <v>60</v>
      </c>
      <c r="V1241">
        <v>0</v>
      </c>
      <c r="AE1241" t="s">
        <v>13264</v>
      </c>
      <c r="AF1241" t="s">
        <v>13265</v>
      </c>
      <c r="AG1241" t="s">
        <v>13266</v>
      </c>
      <c r="AH1241" t="str">
        <f>HYPERLINK("http://compartments.jensenlab.org/Entity?figures=subcell_cell_%&amp;knowledge=10&amp;textmining=10&amp;experiments=10&amp;predictions=10&amp;type1=9606&amp;type2=-22&amp;id1=ENSP00000242729","link")</f>
        <v>link</v>
      </c>
      <c r="AK1241" t="str">
        <f>HYPERLINK("http://www.proteinatlas.org/Q14714","no")</f>
        <v>no</v>
      </c>
      <c r="AM1241">
        <v>8082</v>
      </c>
    </row>
    <row r="1242" spans="1:39" x14ac:dyDescent="0.35">
      <c r="A1242" t="s">
        <v>13267</v>
      </c>
      <c r="B1242" t="str">
        <f>HYPERLINK("http://www.uniprot.org/uniprot/Q14773","Q14773")</f>
        <v>Q14773</v>
      </c>
      <c r="C1242" t="s">
        <v>13268</v>
      </c>
      <c r="D1242" t="s">
        <v>13269</v>
      </c>
      <c r="E1242" t="s">
        <v>39</v>
      </c>
      <c r="F1242" t="s">
        <v>40</v>
      </c>
      <c r="H1242">
        <v>271</v>
      </c>
      <c r="I1242">
        <v>1</v>
      </c>
      <c r="J1242">
        <v>1</v>
      </c>
      <c r="K1242" t="s">
        <v>13270</v>
      </c>
      <c r="L1242" t="s">
        <v>57</v>
      </c>
      <c r="N1242">
        <v>0.77639999999999998</v>
      </c>
      <c r="O1242" s="1">
        <v>1</v>
      </c>
      <c r="P1242" t="s">
        <v>13271</v>
      </c>
      <c r="Q1242" t="s">
        <v>13272</v>
      </c>
      <c r="R1242" t="s">
        <v>13273</v>
      </c>
      <c r="S1242" t="s">
        <v>60</v>
      </c>
      <c r="T1242" t="s">
        <v>60</v>
      </c>
      <c r="U1242" t="s">
        <v>13274</v>
      </c>
      <c r="V1242">
        <v>4</v>
      </c>
      <c r="W1242" t="s">
        <v>13274</v>
      </c>
      <c r="AE1242" t="s">
        <v>1250</v>
      </c>
      <c r="AF1242" t="s">
        <v>13275</v>
      </c>
      <c r="AG1242" t="s">
        <v>13276</v>
      </c>
      <c r="AH1242" t="str">
        <f>HYPERLINK("http://compartments.jensenlab.org/Entity?figures=subcell_cell_%&amp;knowledge=10&amp;textmining=10&amp;experiments=10&amp;predictions=10&amp;type1=9606&amp;type2=-22&amp;id1=ENSP00000370147","link")</f>
        <v>link</v>
      </c>
      <c r="AK1242" t="str">
        <f>HYPERLINK("http://www.proteinatlas.org/Q14773","no")</f>
        <v>no</v>
      </c>
      <c r="AM1242">
        <v>3386</v>
      </c>
    </row>
    <row r="1243" spans="1:39" x14ac:dyDescent="0.35">
      <c r="A1243" t="s">
        <v>13277</v>
      </c>
      <c r="B1243" t="str">
        <f>HYPERLINK("http://www.uniprot.org/uniprot/Q14831","Q14831")</f>
        <v>Q14831</v>
      </c>
      <c r="C1243" t="s">
        <v>13278</v>
      </c>
      <c r="D1243" t="s">
        <v>13279</v>
      </c>
      <c r="E1243" t="s">
        <v>39</v>
      </c>
      <c r="F1243" t="s">
        <v>55</v>
      </c>
      <c r="H1243">
        <v>915</v>
      </c>
      <c r="I1243">
        <v>7</v>
      </c>
      <c r="J1243">
        <v>1</v>
      </c>
      <c r="K1243" t="s">
        <v>13280</v>
      </c>
      <c r="L1243" t="s">
        <v>57</v>
      </c>
      <c r="N1243">
        <v>0.91620000000000001</v>
      </c>
      <c r="O1243" s="1">
        <v>1</v>
      </c>
      <c r="P1243" t="s">
        <v>13281</v>
      </c>
      <c r="Q1243" t="s">
        <v>13282</v>
      </c>
      <c r="S1243" t="s">
        <v>166</v>
      </c>
      <c r="T1243" t="s">
        <v>874</v>
      </c>
      <c r="U1243" t="s">
        <v>13283</v>
      </c>
      <c r="V1243">
        <v>4</v>
      </c>
      <c r="W1243" t="s">
        <v>13284</v>
      </c>
      <c r="AE1243" t="s">
        <v>74</v>
      </c>
      <c r="AF1243" t="s">
        <v>13285</v>
      </c>
      <c r="AG1243" t="s">
        <v>13286</v>
      </c>
      <c r="AH1243" t="str">
        <f>HYPERLINK("http://compartments.jensenlab.org/Entity?figures=subcell_cell_%&amp;knowledge=10&amp;textmining=10&amp;experiments=10&amp;predictions=10&amp;type1=9606&amp;type2=-22&amp;id1=ENSP00000350348","link")</f>
        <v>link</v>
      </c>
      <c r="AI1243" t="s">
        <v>65</v>
      </c>
      <c r="AJ1243" t="s">
        <v>51</v>
      </c>
      <c r="AK1243" t="str">
        <f>HYPERLINK("http://www.proteinatlas.org/Q14831","HPA036659")</f>
        <v>HPA036659</v>
      </c>
      <c r="AM1243">
        <v>2917</v>
      </c>
    </row>
    <row r="1244" spans="1:39" x14ac:dyDescent="0.35">
      <c r="A1244" t="s">
        <v>13287</v>
      </c>
      <c r="B1244" t="str">
        <f>HYPERLINK("http://www.uniprot.org/uniprot/Q14832","Q14832")</f>
        <v>Q14832</v>
      </c>
      <c r="C1244" t="s">
        <v>13288</v>
      </c>
      <c r="D1244" t="s">
        <v>13289</v>
      </c>
      <c r="E1244" t="s">
        <v>39</v>
      </c>
      <c r="F1244" t="s">
        <v>40</v>
      </c>
      <c r="H1244">
        <v>879</v>
      </c>
      <c r="I1244">
        <v>7</v>
      </c>
      <c r="J1244">
        <v>1</v>
      </c>
      <c r="K1244" t="s">
        <v>13290</v>
      </c>
      <c r="L1244" t="s">
        <v>57</v>
      </c>
      <c r="N1244">
        <v>0.94810000000000005</v>
      </c>
      <c r="O1244" s="1">
        <v>1</v>
      </c>
      <c r="P1244" t="s">
        <v>13291</v>
      </c>
      <c r="Q1244" t="s">
        <v>13292</v>
      </c>
      <c r="S1244" t="s">
        <v>166</v>
      </c>
      <c r="T1244" t="s">
        <v>874</v>
      </c>
      <c r="U1244" t="s">
        <v>13293</v>
      </c>
      <c r="V1244">
        <v>4</v>
      </c>
      <c r="W1244" t="s">
        <v>13294</v>
      </c>
      <c r="AE1244" t="s">
        <v>74</v>
      </c>
      <c r="AF1244" t="s">
        <v>8254</v>
      </c>
      <c r="AG1244" t="s">
        <v>13295</v>
      </c>
      <c r="AH1244" t="str">
        <f>HYPERLINK("http://compartments.jensenlab.org/Entity?figures=subcell_cell_%&amp;knowledge=10&amp;textmining=10&amp;experiments=10&amp;predictions=10&amp;type1=9606&amp;type2=-22&amp;id1=ENSP00000355316","link")</f>
        <v>link</v>
      </c>
      <c r="AI1244" t="s">
        <v>65</v>
      </c>
      <c r="AJ1244" t="s">
        <v>1811</v>
      </c>
      <c r="AK1244" t="str">
        <f>HYPERLINK("http://www.proteinatlas.org/Q14832","HPA045227")</f>
        <v>HPA045227</v>
      </c>
      <c r="AM1244">
        <v>2913</v>
      </c>
    </row>
    <row r="1245" spans="1:39" x14ac:dyDescent="0.35">
      <c r="A1245" t="s">
        <v>13296</v>
      </c>
      <c r="B1245" t="str">
        <f>HYPERLINK("http://www.uniprot.org/uniprot/Q14833","Q14833")</f>
        <v>Q14833</v>
      </c>
      <c r="C1245" t="s">
        <v>13297</v>
      </c>
      <c r="D1245" t="s">
        <v>13298</v>
      </c>
      <c r="E1245" t="s">
        <v>39</v>
      </c>
      <c r="F1245" t="s">
        <v>40</v>
      </c>
      <c r="H1245">
        <v>912</v>
      </c>
      <c r="I1245">
        <v>7</v>
      </c>
      <c r="J1245">
        <v>1</v>
      </c>
      <c r="K1245" t="s">
        <v>13299</v>
      </c>
      <c r="L1245" t="s">
        <v>57</v>
      </c>
      <c r="N1245">
        <v>0.90820000000000001</v>
      </c>
      <c r="O1245" s="1">
        <v>1</v>
      </c>
      <c r="P1245" t="s">
        <v>13300</v>
      </c>
      <c r="Q1245" t="s">
        <v>13301</v>
      </c>
      <c r="S1245" t="s">
        <v>166</v>
      </c>
      <c r="T1245" t="s">
        <v>874</v>
      </c>
      <c r="U1245" t="s">
        <v>13302</v>
      </c>
      <c r="V1245">
        <v>5</v>
      </c>
      <c r="W1245" t="s">
        <v>13303</v>
      </c>
      <c r="AE1245" t="s">
        <v>74</v>
      </c>
      <c r="AF1245" t="s">
        <v>7150</v>
      </c>
      <c r="AG1245" t="s">
        <v>13304</v>
      </c>
      <c r="AH1245" t="str">
        <f>HYPERLINK("http://compartments.jensenlab.org/Entity?figures=subcell_cell_%&amp;knowledge=10&amp;textmining=10&amp;experiments=10&amp;predictions=10&amp;type1=9606&amp;type2=-22&amp;id1=ENSP00000440556","link")</f>
        <v>link</v>
      </c>
      <c r="AK1245" t="str">
        <f>HYPERLINK("http://www.proteinatlas.org/Q14833","CAB022096")</f>
        <v>CAB022096</v>
      </c>
      <c r="AM1245">
        <v>2914</v>
      </c>
    </row>
    <row r="1246" spans="1:39" x14ac:dyDescent="0.35">
      <c r="A1246" t="s">
        <v>13305</v>
      </c>
      <c r="B1246" t="str">
        <f>HYPERLINK("http://www.uniprot.org/uniprot/Q14916","Q14916")</f>
        <v>Q14916</v>
      </c>
      <c r="C1246" t="s">
        <v>13306</v>
      </c>
      <c r="D1246" t="s">
        <v>13307</v>
      </c>
      <c r="E1246" t="s">
        <v>39</v>
      </c>
      <c r="F1246" t="s">
        <v>40</v>
      </c>
      <c r="H1246">
        <v>467</v>
      </c>
      <c r="I1246">
        <v>11</v>
      </c>
      <c r="J1246">
        <v>0</v>
      </c>
      <c r="K1246" t="s">
        <v>13308</v>
      </c>
      <c r="L1246" t="s">
        <v>42</v>
      </c>
      <c r="N1246">
        <v>0.94210000000000005</v>
      </c>
      <c r="O1246" s="1">
        <v>1</v>
      </c>
      <c r="P1246" t="s">
        <v>13309</v>
      </c>
      <c r="Q1246" t="s">
        <v>13310</v>
      </c>
      <c r="S1246" t="s">
        <v>45</v>
      </c>
      <c r="T1246" t="s">
        <v>13311</v>
      </c>
      <c r="U1246" t="s">
        <v>13312</v>
      </c>
      <c r="V1246">
        <v>4</v>
      </c>
      <c r="W1246" t="s">
        <v>13313</v>
      </c>
      <c r="AE1246" t="s">
        <v>48</v>
      </c>
      <c r="AF1246" t="s">
        <v>13314</v>
      </c>
      <c r="AG1246" t="s">
        <v>13315</v>
      </c>
      <c r="AH1246" t="str">
        <f>HYPERLINK("http://compartments.jensenlab.org/Entity?figures=subcell_cell_%&amp;knowledge=10&amp;textmining=10&amp;experiments=10&amp;predictions=10&amp;type1=9606&amp;type2=-22&amp;id1=ENSP00000244527","link")</f>
        <v>link</v>
      </c>
      <c r="AJ1246" t="s">
        <v>51</v>
      </c>
      <c r="AK1246" t="str">
        <f>HYPERLINK("http://www.proteinatlas.org/Q14916","no")</f>
        <v>no</v>
      </c>
      <c r="AM1246">
        <v>6568</v>
      </c>
    </row>
    <row r="1247" spans="1:39" x14ac:dyDescent="0.35">
      <c r="A1247" t="s">
        <v>13316</v>
      </c>
      <c r="B1247" t="str">
        <f>HYPERLINK("http://www.uniprot.org/uniprot/Q14943","Q14943")</f>
        <v>Q14943</v>
      </c>
      <c r="C1247" t="s">
        <v>13317</v>
      </c>
      <c r="D1247" t="s">
        <v>13318</v>
      </c>
      <c r="E1247" t="s">
        <v>39</v>
      </c>
      <c r="F1247" t="s">
        <v>40</v>
      </c>
      <c r="H1247">
        <v>387</v>
      </c>
      <c r="I1247">
        <v>1</v>
      </c>
      <c r="J1247">
        <v>1</v>
      </c>
      <c r="K1247" t="s">
        <v>13319</v>
      </c>
      <c r="L1247" t="s">
        <v>57</v>
      </c>
      <c r="N1247">
        <v>0.89219999999999999</v>
      </c>
      <c r="O1247" s="1">
        <v>1</v>
      </c>
      <c r="P1247" t="s">
        <v>13320</v>
      </c>
      <c r="Q1247" t="s">
        <v>13321</v>
      </c>
      <c r="S1247" t="s">
        <v>166</v>
      </c>
      <c r="T1247" t="s">
        <v>9489</v>
      </c>
      <c r="U1247" t="s">
        <v>9520</v>
      </c>
      <c r="V1247">
        <v>4</v>
      </c>
      <c r="W1247" t="s">
        <v>13322</v>
      </c>
      <c r="AE1247" t="s">
        <v>332</v>
      </c>
      <c r="AF1247" t="s">
        <v>13323</v>
      </c>
      <c r="AG1247" t="s">
        <v>13324</v>
      </c>
      <c r="AH1247" t="str">
        <f>HYPERLINK("http://compartments.jensenlab.org/Entity?figures=subcell_cell_%&amp;knowledge=10&amp;textmining=10&amp;experiments=10&amp;predictions=10&amp;type1=9606&amp;type2=-22&amp;id1=ENSP00000484010","link")</f>
        <v>link</v>
      </c>
      <c r="AK1247" t="str">
        <f>HYPERLINK("http://www.proteinatlas.org/Q14943","no")</f>
        <v>no</v>
      </c>
      <c r="AM1247">
        <v>3813</v>
      </c>
    </row>
    <row r="1248" spans="1:39" x14ac:dyDescent="0.35">
      <c r="A1248" t="s">
        <v>13325</v>
      </c>
      <c r="B1248" t="str">
        <f>HYPERLINK("http://www.uniprot.org/uniprot/Q14952","Q14952")</f>
        <v>Q14952</v>
      </c>
      <c r="C1248" t="s">
        <v>13326</v>
      </c>
      <c r="D1248" t="s">
        <v>13327</v>
      </c>
      <c r="E1248" t="s">
        <v>39</v>
      </c>
      <c r="F1248" t="s">
        <v>40</v>
      </c>
      <c r="H1248">
        <v>304</v>
      </c>
      <c r="I1248">
        <v>1</v>
      </c>
      <c r="J1248">
        <v>1</v>
      </c>
      <c r="K1248" t="s">
        <v>9537</v>
      </c>
      <c r="L1248" t="s">
        <v>57</v>
      </c>
      <c r="N1248">
        <v>0.96209999999999996</v>
      </c>
      <c r="O1248" s="1">
        <v>1</v>
      </c>
      <c r="P1248" t="s">
        <v>13328</v>
      </c>
      <c r="Q1248" t="s">
        <v>13329</v>
      </c>
      <c r="S1248" t="s">
        <v>166</v>
      </c>
      <c r="T1248" t="s">
        <v>9489</v>
      </c>
      <c r="U1248" t="s">
        <v>13330</v>
      </c>
      <c r="V1248">
        <v>3</v>
      </c>
      <c r="W1248" t="s">
        <v>13331</v>
      </c>
      <c r="AE1248" t="s">
        <v>332</v>
      </c>
      <c r="AF1248" t="s">
        <v>13332</v>
      </c>
      <c r="AG1248" t="s">
        <v>13333</v>
      </c>
      <c r="AH1248" t="str">
        <f>HYPERLINK("http://compartments.jensenlab.org/Entity?figures=subcell_cell_%&amp;knowledge=10&amp;textmining=10&amp;experiments=10&amp;predictions=10&amp;type1=9606&amp;type2=-22&amp;id1=ENSP00000479108","link")</f>
        <v>link</v>
      </c>
      <c r="AK1248" t="str">
        <f>HYPERLINK("http://www.proteinatlas.org/Q14952","no")</f>
        <v>no</v>
      </c>
      <c r="AM1248">
        <v>3808</v>
      </c>
    </row>
    <row r="1249" spans="1:39" x14ac:dyDescent="0.35">
      <c r="A1249" t="s">
        <v>13334</v>
      </c>
      <c r="B1249" t="str">
        <f>HYPERLINK("http://www.uniprot.org/uniprot/Q14953","Q14953")</f>
        <v>Q14953</v>
      </c>
      <c r="C1249" t="s">
        <v>13335</v>
      </c>
      <c r="D1249" t="s">
        <v>13336</v>
      </c>
      <c r="E1249" t="s">
        <v>39</v>
      </c>
      <c r="F1249" t="s">
        <v>40</v>
      </c>
      <c r="H1249">
        <v>304</v>
      </c>
      <c r="I1249">
        <v>1</v>
      </c>
      <c r="J1249">
        <v>1</v>
      </c>
      <c r="K1249" t="s">
        <v>9537</v>
      </c>
      <c r="L1249" t="s">
        <v>57</v>
      </c>
      <c r="N1249">
        <v>0.96409999999999996</v>
      </c>
      <c r="O1249" s="1">
        <v>1</v>
      </c>
      <c r="R1249" t="s">
        <v>13337</v>
      </c>
      <c r="S1249" t="s">
        <v>166</v>
      </c>
      <c r="T1249" t="s">
        <v>9489</v>
      </c>
      <c r="U1249" t="s">
        <v>13338</v>
      </c>
      <c r="V1249">
        <v>4</v>
      </c>
      <c r="W1249" t="s">
        <v>13331</v>
      </c>
      <c r="AE1249" t="s">
        <v>332</v>
      </c>
      <c r="AF1249" t="s">
        <v>13332</v>
      </c>
      <c r="AG1249" t="s">
        <v>13339</v>
      </c>
      <c r="AK1249" t="str">
        <f>HYPERLINK("http://www.proteinatlas.org/Q14953","no")</f>
        <v>no</v>
      </c>
    </row>
    <row r="1250" spans="1:39" x14ac:dyDescent="0.35">
      <c r="A1250" t="s">
        <v>13340</v>
      </c>
      <c r="B1250" t="str">
        <f>HYPERLINK("http://www.uniprot.org/uniprot/Q14954","Q14954")</f>
        <v>Q14954</v>
      </c>
      <c r="C1250" t="s">
        <v>13341</v>
      </c>
      <c r="D1250" t="s">
        <v>13342</v>
      </c>
      <c r="E1250" t="s">
        <v>39</v>
      </c>
      <c r="F1250" t="s">
        <v>40</v>
      </c>
      <c r="H1250">
        <v>304</v>
      </c>
      <c r="I1250">
        <v>1</v>
      </c>
      <c r="J1250">
        <v>1</v>
      </c>
      <c r="K1250" t="s">
        <v>9537</v>
      </c>
      <c r="L1250" t="s">
        <v>57</v>
      </c>
      <c r="N1250">
        <v>0.88019999999999998</v>
      </c>
      <c r="O1250" s="1">
        <v>1</v>
      </c>
      <c r="R1250" t="s">
        <v>13343</v>
      </c>
      <c r="S1250" t="s">
        <v>166</v>
      </c>
      <c r="T1250" t="s">
        <v>9489</v>
      </c>
      <c r="U1250" t="s">
        <v>13344</v>
      </c>
      <c r="V1250">
        <v>4</v>
      </c>
      <c r="X1250">
        <v>230</v>
      </c>
      <c r="AE1250" t="s">
        <v>332</v>
      </c>
      <c r="AF1250" t="s">
        <v>13323</v>
      </c>
      <c r="AG1250" t="s">
        <v>13345</v>
      </c>
      <c r="AK1250" t="str">
        <f>HYPERLINK("http://www.proteinatlas.org/Q14954","no")</f>
        <v>no</v>
      </c>
      <c r="AM1250">
        <v>3806</v>
      </c>
    </row>
    <row r="1251" spans="1:39" x14ac:dyDescent="0.35">
      <c r="A1251" t="s">
        <v>13346</v>
      </c>
      <c r="B1251" t="str">
        <f>HYPERLINK("http://www.uniprot.org/uniprot/Q14956","Q14956")</f>
        <v>Q14956</v>
      </c>
      <c r="C1251" t="s">
        <v>13347</v>
      </c>
      <c r="D1251" t="s">
        <v>13348</v>
      </c>
      <c r="E1251" t="s">
        <v>39</v>
      </c>
      <c r="F1251" t="s">
        <v>55</v>
      </c>
      <c r="H1251">
        <v>572</v>
      </c>
      <c r="I1251">
        <v>1</v>
      </c>
      <c r="J1251">
        <v>1</v>
      </c>
      <c r="K1251" t="s">
        <v>13349</v>
      </c>
      <c r="L1251" t="s">
        <v>101</v>
      </c>
      <c r="M1251" t="s">
        <v>39</v>
      </c>
      <c r="N1251">
        <v>0.75560000000000005</v>
      </c>
      <c r="O1251" s="1">
        <v>1</v>
      </c>
      <c r="P1251" t="s">
        <v>13350</v>
      </c>
      <c r="Q1251" t="s">
        <v>13351</v>
      </c>
      <c r="S1251" t="s">
        <v>60</v>
      </c>
      <c r="T1251" t="s">
        <v>60</v>
      </c>
      <c r="U1251" t="s">
        <v>13352</v>
      </c>
      <c r="V1251">
        <v>12</v>
      </c>
      <c r="W1251" t="s">
        <v>13352</v>
      </c>
      <c r="Y1251" t="s">
        <v>13353</v>
      </c>
      <c r="Z1251" t="s">
        <v>107</v>
      </c>
      <c r="AA1251">
        <v>9</v>
      </c>
      <c r="AB1251" t="s">
        <v>13354</v>
      </c>
      <c r="AC1251" t="s">
        <v>13355</v>
      </c>
      <c r="AD1251" t="s">
        <v>13356</v>
      </c>
      <c r="AE1251" t="s">
        <v>8766</v>
      </c>
      <c r="AF1251" t="s">
        <v>13357</v>
      </c>
      <c r="AG1251" t="s">
        <v>13358</v>
      </c>
      <c r="AH1251" t="str">
        <f>HYPERLINK("http://compartments.jensenlab.org/Entity?figures=subcell_cell_%&amp;knowledge=10&amp;textmining=10&amp;experiments=10&amp;predictions=10&amp;type1=9606&amp;type2=-22&amp;id1=ENSP00000371420","link")</f>
        <v>link</v>
      </c>
      <c r="AJ1251" t="s">
        <v>51</v>
      </c>
      <c r="AK1251" t="str">
        <f>HYPERLINK("http://www.proteinatlas.org/Q14956","CAB026224;HPA044969")</f>
        <v>CAB026224;HPA044969</v>
      </c>
      <c r="AM1251">
        <v>10457</v>
      </c>
    </row>
    <row r="1252" spans="1:39" x14ac:dyDescent="0.35">
      <c r="A1252" t="s">
        <v>13359</v>
      </c>
      <c r="B1252" t="str">
        <f>HYPERLINK("http://www.uniprot.org/uniprot/Q14957","Q14957")</f>
        <v>Q14957</v>
      </c>
      <c r="C1252" t="s">
        <v>13360</v>
      </c>
      <c r="D1252" t="s">
        <v>13361</v>
      </c>
      <c r="E1252" t="s">
        <v>39</v>
      </c>
      <c r="F1252" t="s">
        <v>40</v>
      </c>
      <c r="H1252">
        <v>1233</v>
      </c>
      <c r="I1252">
        <v>3</v>
      </c>
      <c r="J1252">
        <v>1</v>
      </c>
      <c r="K1252" t="s">
        <v>13362</v>
      </c>
      <c r="L1252" t="s">
        <v>57</v>
      </c>
      <c r="N1252">
        <v>0.95609999999999995</v>
      </c>
      <c r="O1252" s="1">
        <v>1</v>
      </c>
      <c r="P1252" t="s">
        <v>13363</v>
      </c>
      <c r="Q1252" t="s">
        <v>13364</v>
      </c>
      <c r="S1252" t="s">
        <v>45</v>
      </c>
      <c r="T1252" t="s">
        <v>1554</v>
      </c>
      <c r="U1252" t="s">
        <v>13365</v>
      </c>
      <c r="V1252">
        <v>5</v>
      </c>
      <c r="W1252" t="s">
        <v>13366</v>
      </c>
      <c r="Y1252">
        <v>604</v>
      </c>
      <c r="AE1252" t="s">
        <v>619</v>
      </c>
      <c r="AF1252" t="s">
        <v>2143</v>
      </c>
      <c r="AG1252" t="s">
        <v>13367</v>
      </c>
      <c r="AH1252" t="str">
        <f>HYPERLINK("http://compartments.jensenlab.org/Entity?figures=subcell_cell_%&amp;knowledge=10&amp;textmining=10&amp;experiments=10&amp;predictions=10&amp;type1=9606&amp;type2=-22&amp;id1=ENSP00000293190","link")</f>
        <v>link</v>
      </c>
      <c r="AI1252" t="s">
        <v>65</v>
      </c>
      <c r="AJ1252" t="s">
        <v>1649</v>
      </c>
      <c r="AK1252" t="str">
        <f>HYPERLINK("http://www.proteinatlas.org/Q14957","HPA041666")</f>
        <v>HPA041666</v>
      </c>
      <c r="AL1252" t="s">
        <v>13368</v>
      </c>
      <c r="AM1252">
        <v>2905</v>
      </c>
    </row>
    <row r="1253" spans="1:39" x14ac:dyDescent="0.35">
      <c r="A1253" t="s">
        <v>13369</v>
      </c>
      <c r="B1253" t="str">
        <f>HYPERLINK("http://www.uniprot.org/uniprot/Q14973","Q14973")</f>
        <v>Q14973</v>
      </c>
      <c r="C1253" t="s">
        <v>13370</v>
      </c>
      <c r="D1253" t="s">
        <v>13371</v>
      </c>
      <c r="E1253" t="s">
        <v>39</v>
      </c>
      <c r="F1253" t="s">
        <v>40</v>
      </c>
      <c r="H1253">
        <v>349</v>
      </c>
      <c r="I1253">
        <v>9</v>
      </c>
      <c r="J1253">
        <v>0</v>
      </c>
      <c r="K1253" t="s">
        <v>13372</v>
      </c>
      <c r="L1253" t="s">
        <v>42</v>
      </c>
      <c r="N1253">
        <v>0.71860000000000002</v>
      </c>
      <c r="O1253" s="1">
        <v>2</v>
      </c>
      <c r="P1253" t="s">
        <v>13373</v>
      </c>
      <c r="Q1253" t="s">
        <v>13374</v>
      </c>
      <c r="S1253" t="s">
        <v>45</v>
      </c>
      <c r="T1253" t="s">
        <v>4679</v>
      </c>
      <c r="U1253" t="s">
        <v>13375</v>
      </c>
      <c r="V1253">
        <v>2</v>
      </c>
      <c r="W1253" t="s">
        <v>13376</v>
      </c>
      <c r="AE1253" t="s">
        <v>48</v>
      </c>
      <c r="AF1253" t="s">
        <v>10588</v>
      </c>
      <c r="AG1253" t="s">
        <v>13377</v>
      </c>
      <c r="AH1253" t="str">
        <f>HYPERLINK("http://compartments.jensenlab.org/Entity?figures=subcell_cell_%&amp;knowledge=10&amp;textmining=10&amp;experiments=10&amp;predictions=10&amp;type1=9606&amp;type2=-22&amp;id1=ENSP00000216540","link")</f>
        <v>link</v>
      </c>
      <c r="AJ1253" t="s">
        <v>51</v>
      </c>
      <c r="AK1253" t="str">
        <f>HYPERLINK("http://www.proteinatlas.org/Q14973","HPA042727")</f>
        <v>HPA042727</v>
      </c>
      <c r="AM1253">
        <v>6554</v>
      </c>
    </row>
    <row r="1254" spans="1:39" x14ac:dyDescent="0.35">
      <c r="A1254" t="s">
        <v>13378</v>
      </c>
      <c r="B1254" t="str">
        <f>HYPERLINK("http://www.uniprot.org/uniprot/Q14982","Q14982")</f>
        <v>Q14982</v>
      </c>
      <c r="C1254" t="s">
        <v>13379</v>
      </c>
      <c r="D1254" t="s">
        <v>13380</v>
      </c>
      <c r="E1254" t="s">
        <v>39</v>
      </c>
      <c r="F1254" t="s">
        <v>239</v>
      </c>
      <c r="H1254">
        <v>345</v>
      </c>
      <c r="I1254">
        <v>0</v>
      </c>
      <c r="J1254">
        <v>1</v>
      </c>
      <c r="K1254" t="s">
        <v>13381</v>
      </c>
      <c r="L1254" t="s">
        <v>996</v>
      </c>
      <c r="N1254">
        <v>0.78039999999999998</v>
      </c>
      <c r="O1254" s="1" t="s">
        <v>997</v>
      </c>
      <c r="P1254" t="s">
        <v>13382</v>
      </c>
      <c r="Q1254" t="s">
        <v>13383</v>
      </c>
      <c r="S1254" t="s">
        <v>60</v>
      </c>
      <c r="T1254" t="s">
        <v>60</v>
      </c>
      <c r="U1254" t="s">
        <v>13384</v>
      </c>
      <c r="V1254">
        <v>6</v>
      </c>
      <c r="W1254" t="s">
        <v>13384</v>
      </c>
      <c r="Z1254" t="s">
        <v>107</v>
      </c>
      <c r="AA1254">
        <v>2</v>
      </c>
      <c r="AB1254" t="s">
        <v>13385</v>
      </c>
      <c r="AC1254" t="s">
        <v>13386</v>
      </c>
      <c r="AD1254" t="s">
        <v>13387</v>
      </c>
      <c r="AE1254" t="s">
        <v>243</v>
      </c>
      <c r="AF1254" t="s">
        <v>13388</v>
      </c>
      <c r="AG1254" t="s">
        <v>13389</v>
      </c>
      <c r="AH1254" t="str">
        <f>HYPERLINK("http://compartments.jensenlab.org/Entity?figures=subcell_cell_%&amp;knowledge=10&amp;textmining=10&amp;experiments=10&amp;predictions=10&amp;type1=9606&amp;type2=-22&amp;id1=ENSP00000330862","link")</f>
        <v>link</v>
      </c>
      <c r="AI1254" t="s">
        <v>65</v>
      </c>
      <c r="AJ1254" t="s">
        <v>51</v>
      </c>
      <c r="AK1254" t="str">
        <f>HYPERLINK("http://www.proteinatlas.org/Q14982","no")</f>
        <v>no</v>
      </c>
      <c r="AM1254">
        <v>4978</v>
      </c>
    </row>
    <row r="1255" spans="1:39" x14ac:dyDescent="0.35">
      <c r="A1255" t="s">
        <v>13390</v>
      </c>
      <c r="B1255" t="str">
        <f>HYPERLINK("http://www.uniprot.org/uniprot/Q14C87","Q14C87")</f>
        <v>Q14C87</v>
      </c>
      <c r="C1255" t="s">
        <v>13391</v>
      </c>
      <c r="D1255" t="s">
        <v>13392</v>
      </c>
      <c r="E1255" t="s">
        <v>39</v>
      </c>
      <c r="F1255" t="s">
        <v>40</v>
      </c>
      <c r="H1255">
        <v>1099</v>
      </c>
      <c r="I1255">
        <v>1</v>
      </c>
      <c r="J1255">
        <v>1</v>
      </c>
      <c r="K1255" t="s">
        <v>13393</v>
      </c>
      <c r="L1255" t="s">
        <v>57</v>
      </c>
      <c r="N1255">
        <v>0.94610000000000005</v>
      </c>
      <c r="O1255" s="1">
        <v>1</v>
      </c>
      <c r="P1255" t="s">
        <v>13394</v>
      </c>
      <c r="Q1255" t="s">
        <v>13395</v>
      </c>
      <c r="S1255" t="s">
        <v>91</v>
      </c>
      <c r="T1255" t="s">
        <v>13396</v>
      </c>
      <c r="U1255" t="s">
        <v>13397</v>
      </c>
      <c r="V1255">
        <v>6</v>
      </c>
      <c r="Y1255">
        <v>10</v>
      </c>
      <c r="AE1255" t="s">
        <v>144</v>
      </c>
      <c r="AF1255" t="s">
        <v>13398</v>
      </c>
      <c r="AG1255" t="s">
        <v>13399</v>
      </c>
      <c r="AH1255" t="str">
        <f>HYPERLINK("http://compartments.jensenlab.org/Entity?figures=subcell_cell_%&amp;knowledge=10&amp;textmining=10&amp;experiments=10&amp;predictions=10&amp;type1=9606&amp;type2=-22&amp;id1=ENSP00000408581","link")</f>
        <v>link</v>
      </c>
      <c r="AJ1255" t="s">
        <v>51</v>
      </c>
      <c r="AK1255" t="str">
        <f>HYPERLINK("http://www.proteinatlas.org/Q14C87","HPA010739")</f>
        <v>HPA010739</v>
      </c>
      <c r="AM1255">
        <v>121256</v>
      </c>
    </row>
    <row r="1256" spans="1:39" x14ac:dyDescent="0.35">
      <c r="A1256" t="s">
        <v>13400</v>
      </c>
      <c r="B1256" t="str">
        <f>HYPERLINK("http://www.uniprot.org/uniprot/Q14CN2","Q14CN2")</f>
        <v>Q14CN2</v>
      </c>
      <c r="C1256" t="s">
        <v>13401</v>
      </c>
      <c r="D1256" t="s">
        <v>13402</v>
      </c>
      <c r="E1256" t="s">
        <v>39</v>
      </c>
      <c r="F1256" t="s">
        <v>40</v>
      </c>
      <c r="H1256">
        <v>919</v>
      </c>
      <c r="I1256">
        <v>1</v>
      </c>
      <c r="J1256">
        <v>1</v>
      </c>
      <c r="K1256" t="s">
        <v>13403</v>
      </c>
      <c r="L1256" t="s">
        <v>42</v>
      </c>
      <c r="N1256">
        <v>0.72850000000000004</v>
      </c>
      <c r="O1256" s="1">
        <v>2</v>
      </c>
      <c r="P1256" t="s">
        <v>13404</v>
      </c>
      <c r="Q1256" t="s">
        <v>13405</v>
      </c>
      <c r="S1256" t="s">
        <v>60</v>
      </c>
      <c r="T1256" t="s">
        <v>60</v>
      </c>
      <c r="U1256" t="s">
        <v>13406</v>
      </c>
      <c r="V1256">
        <v>10</v>
      </c>
      <c r="W1256" t="s">
        <v>13406</v>
      </c>
      <c r="X1256">
        <v>878</v>
      </c>
      <c r="AE1256" t="s">
        <v>13407</v>
      </c>
      <c r="AF1256" t="s">
        <v>13408</v>
      </c>
      <c r="AG1256" t="s">
        <v>13409</v>
      </c>
      <c r="AH1256" t="str">
        <f>HYPERLINK("http://compartments.jensenlab.org/Entity?figures=subcell_cell_%&amp;knowledge=10&amp;textmining=10&amp;experiments=10&amp;predictions=10&amp;type1=9606&amp;type2=-22&amp;id1=ENSP00000359594","link")</f>
        <v>link</v>
      </c>
      <c r="AI1256" t="s">
        <v>65</v>
      </c>
      <c r="AJ1256" t="s">
        <v>902</v>
      </c>
      <c r="AK1256" t="str">
        <f>HYPERLINK("http://www.proteinatlas.org/Q14CN2","HPA017045")</f>
        <v>HPA017045</v>
      </c>
      <c r="AM1256">
        <v>22802</v>
      </c>
    </row>
    <row r="1257" spans="1:39" x14ac:dyDescent="0.35">
      <c r="A1257" t="s">
        <v>13410</v>
      </c>
      <c r="B1257" t="str">
        <f>HYPERLINK("http://www.uniprot.org/uniprot/Q14CZ8","Q14CZ8")</f>
        <v>Q14CZ8</v>
      </c>
      <c r="C1257" t="s">
        <v>13411</v>
      </c>
      <c r="D1257" t="s">
        <v>13412</v>
      </c>
      <c r="E1257" t="s">
        <v>39</v>
      </c>
      <c r="F1257" t="s">
        <v>40</v>
      </c>
      <c r="H1257">
        <v>416</v>
      </c>
      <c r="I1257">
        <v>1</v>
      </c>
      <c r="J1257">
        <v>1</v>
      </c>
      <c r="K1257" t="s">
        <v>13413</v>
      </c>
      <c r="L1257" t="s">
        <v>101</v>
      </c>
      <c r="N1257">
        <v>0.95609999999999995</v>
      </c>
      <c r="O1257" s="1">
        <v>1</v>
      </c>
      <c r="P1257" t="s">
        <v>13414</v>
      </c>
      <c r="Q1257" t="s">
        <v>13415</v>
      </c>
      <c r="S1257" t="s">
        <v>60</v>
      </c>
      <c r="T1257" t="s">
        <v>60</v>
      </c>
      <c r="U1257" t="s">
        <v>13416</v>
      </c>
      <c r="V1257">
        <v>6</v>
      </c>
      <c r="Z1257" t="s">
        <v>107</v>
      </c>
      <c r="AA1257">
        <v>2</v>
      </c>
      <c r="AB1257" t="s">
        <v>13417</v>
      </c>
      <c r="AC1257" t="s">
        <v>13418</v>
      </c>
      <c r="AD1257" t="s">
        <v>13419</v>
      </c>
      <c r="AE1257" t="s">
        <v>13420</v>
      </c>
      <c r="AF1257" t="s">
        <v>13421</v>
      </c>
      <c r="AG1257" t="s">
        <v>13422</v>
      </c>
      <c r="AH1257" t="str">
        <f>HYPERLINK("http://compartments.jensenlab.org/Entity?figures=subcell_cell_%&amp;knowledge=10&amp;textmining=10&amp;experiments=10&amp;predictions=10&amp;type1=9606&amp;type2=-22&amp;id1=ENSP00000298251","link")</f>
        <v>link</v>
      </c>
      <c r="AJ1257" t="s">
        <v>2124</v>
      </c>
      <c r="AK1257" t="str">
        <f>HYPERLINK("http://www.proteinatlas.org/Q14CZ8","CAB025486")</f>
        <v>CAB025486</v>
      </c>
      <c r="AM1257">
        <v>220296</v>
      </c>
    </row>
    <row r="1258" spans="1:39" x14ac:dyDescent="0.35">
      <c r="A1258" t="s">
        <v>13423</v>
      </c>
      <c r="B1258" t="str">
        <f>HYPERLINK("http://www.uniprot.org/uniprot/Q14DG7","Q14DG7")</f>
        <v>Q14DG7</v>
      </c>
      <c r="C1258" t="s">
        <v>13424</v>
      </c>
      <c r="D1258" t="s">
        <v>13425</v>
      </c>
      <c r="E1258" t="s">
        <v>39</v>
      </c>
      <c r="F1258" t="s">
        <v>40</v>
      </c>
      <c r="H1258">
        <v>1078</v>
      </c>
      <c r="I1258">
        <v>1</v>
      </c>
      <c r="J1258">
        <v>0</v>
      </c>
      <c r="K1258" t="s">
        <v>13426</v>
      </c>
      <c r="L1258" t="s">
        <v>101</v>
      </c>
      <c r="N1258">
        <v>0.62280000000000002</v>
      </c>
      <c r="O1258" s="1">
        <v>2</v>
      </c>
      <c r="P1258" t="s">
        <v>13427</v>
      </c>
      <c r="Q1258" t="s">
        <v>13428</v>
      </c>
      <c r="S1258" t="s">
        <v>91</v>
      </c>
      <c r="T1258" t="s">
        <v>13396</v>
      </c>
      <c r="U1258" t="s">
        <v>13429</v>
      </c>
      <c r="V1258">
        <v>7</v>
      </c>
      <c r="Z1258" t="s">
        <v>123</v>
      </c>
      <c r="AA1258">
        <v>3</v>
      </c>
      <c r="AB1258" t="s">
        <v>13430</v>
      </c>
      <c r="AC1258" t="s">
        <v>13431</v>
      </c>
      <c r="AD1258" t="s">
        <v>13432</v>
      </c>
      <c r="AE1258" t="s">
        <v>144</v>
      </c>
      <c r="AF1258" t="s">
        <v>472</v>
      </c>
      <c r="AG1258" t="s">
        <v>13433</v>
      </c>
      <c r="AH1258" t="str">
        <f>HYPERLINK("http://compartments.jensenlab.org/Entity?figures=subcell_cell_%&amp;knowledge=10&amp;textmining=10&amp;experiments=10&amp;predictions=10&amp;type1=9606&amp;type2=-22&amp;id1=ENSP00000299308","link")</f>
        <v>link</v>
      </c>
      <c r="AJ1258" t="s">
        <v>51</v>
      </c>
      <c r="AK1258" t="str">
        <f>HYPERLINK("http://www.proteinatlas.org/Q14DG7","HPA035661;HPA035662")</f>
        <v>HPA035661;HPA035662</v>
      </c>
      <c r="AM1258">
        <v>114795</v>
      </c>
    </row>
    <row r="1259" spans="1:39" x14ac:dyDescent="0.35">
      <c r="A1259" t="s">
        <v>13434</v>
      </c>
      <c r="B1259" t="str">
        <f>HYPERLINK("http://www.uniprot.org/uniprot/Q15043","Q15043")</f>
        <v>Q15043</v>
      </c>
      <c r="C1259" t="s">
        <v>13435</v>
      </c>
      <c r="D1259" t="s">
        <v>13436</v>
      </c>
      <c r="E1259" t="s">
        <v>39</v>
      </c>
      <c r="F1259" t="s">
        <v>55</v>
      </c>
      <c r="H1259">
        <v>492</v>
      </c>
      <c r="I1259">
        <v>6</v>
      </c>
      <c r="J1259">
        <v>1</v>
      </c>
      <c r="K1259" t="s">
        <v>13437</v>
      </c>
      <c r="L1259" t="s">
        <v>101</v>
      </c>
      <c r="M1259" t="s">
        <v>39</v>
      </c>
      <c r="N1259">
        <v>0.9194</v>
      </c>
      <c r="O1259" s="1">
        <v>1</v>
      </c>
      <c r="P1259" t="s">
        <v>13438</v>
      </c>
      <c r="Q1259" t="s">
        <v>13439</v>
      </c>
      <c r="U1259" t="s">
        <v>13440</v>
      </c>
      <c r="V1259">
        <v>3</v>
      </c>
      <c r="W1259">
        <v>77</v>
      </c>
      <c r="Z1259" t="s">
        <v>107</v>
      </c>
      <c r="AA1259">
        <v>16</v>
      </c>
      <c r="AB1259" t="s">
        <v>13441</v>
      </c>
      <c r="AC1259" t="s">
        <v>13440</v>
      </c>
      <c r="AD1259" t="s">
        <v>13442</v>
      </c>
      <c r="AE1259" t="s">
        <v>13443</v>
      </c>
      <c r="AF1259" t="s">
        <v>13444</v>
      </c>
      <c r="AG1259" t="s">
        <v>13445</v>
      </c>
      <c r="AH1259" t="str">
        <f>HYPERLINK("http://compartments.jensenlab.org/Entity?figures=subcell_cell_%&amp;knowledge=10&amp;textmining=10&amp;experiments=10&amp;predictions=10&amp;type1=9606&amp;type2=-22&amp;id1=ENSP00000289952","link")</f>
        <v>link</v>
      </c>
      <c r="AI1259" t="s">
        <v>65</v>
      </c>
      <c r="AJ1259" t="s">
        <v>981</v>
      </c>
      <c r="AK1259" t="str">
        <f>HYPERLINK("http://www.proteinatlas.org/Q15043","HPA016508")</f>
        <v>HPA016508</v>
      </c>
      <c r="AM1259">
        <v>23516</v>
      </c>
    </row>
    <row r="1260" spans="1:39" x14ac:dyDescent="0.35">
      <c r="A1260" t="s">
        <v>13446</v>
      </c>
      <c r="B1260" t="str">
        <f>HYPERLINK("http://www.uniprot.org/uniprot/Q15077","Q15077")</f>
        <v>Q15077</v>
      </c>
      <c r="C1260" t="s">
        <v>13447</v>
      </c>
      <c r="D1260" t="s">
        <v>13448</v>
      </c>
      <c r="E1260" t="s">
        <v>39</v>
      </c>
      <c r="F1260" t="s">
        <v>55</v>
      </c>
      <c r="H1260">
        <v>328</v>
      </c>
      <c r="I1260">
        <v>7</v>
      </c>
      <c r="J1260">
        <v>0</v>
      </c>
      <c r="K1260" t="s">
        <v>13449</v>
      </c>
      <c r="L1260" t="s">
        <v>57</v>
      </c>
      <c r="M1260" t="s">
        <v>39</v>
      </c>
      <c r="N1260">
        <v>0.90159999999999996</v>
      </c>
      <c r="O1260" s="1">
        <v>1</v>
      </c>
      <c r="P1260" t="s">
        <v>13450</v>
      </c>
      <c r="Q1260" t="s">
        <v>13451</v>
      </c>
      <c r="S1260" t="s">
        <v>166</v>
      </c>
      <c r="T1260" t="s">
        <v>838</v>
      </c>
      <c r="U1260" t="s">
        <v>13452</v>
      </c>
      <c r="V1260">
        <v>2</v>
      </c>
      <c r="W1260" t="s">
        <v>13452</v>
      </c>
      <c r="AE1260" t="s">
        <v>74</v>
      </c>
      <c r="AF1260" t="s">
        <v>8274</v>
      </c>
      <c r="AG1260" t="s">
        <v>13453</v>
      </c>
      <c r="AH1260" t="str">
        <f>HYPERLINK("http://compartments.jensenlab.org/Entity?figures=subcell_cell_%&amp;knowledge=10&amp;textmining=10&amp;experiments=10&amp;predictions=10&amp;type1=9606&amp;type2=-22&amp;id1=ENSP00000309771","link")</f>
        <v>link</v>
      </c>
      <c r="AI1260" t="s">
        <v>65</v>
      </c>
      <c r="AJ1260" t="s">
        <v>51</v>
      </c>
      <c r="AK1260" t="str">
        <f>HYPERLINK("http://www.proteinatlas.org/Q15077","CAB022740")</f>
        <v>CAB022740</v>
      </c>
      <c r="AM1260">
        <v>5031</v>
      </c>
    </row>
    <row r="1261" spans="1:39" x14ac:dyDescent="0.35">
      <c r="A1261" t="s">
        <v>13454</v>
      </c>
      <c r="B1261" t="str">
        <f>HYPERLINK("http://www.uniprot.org/uniprot/Q15109","Q15109")</f>
        <v>Q15109</v>
      </c>
      <c r="C1261" t="s">
        <v>13455</v>
      </c>
      <c r="D1261" t="s">
        <v>13456</v>
      </c>
      <c r="E1261" t="s">
        <v>39</v>
      </c>
      <c r="F1261" t="s">
        <v>40</v>
      </c>
      <c r="H1261">
        <v>404</v>
      </c>
      <c r="I1261">
        <v>1</v>
      </c>
      <c r="J1261">
        <v>1</v>
      </c>
      <c r="K1261" t="s">
        <v>13457</v>
      </c>
      <c r="L1261" t="s">
        <v>57</v>
      </c>
      <c r="N1261">
        <v>0.87619999999999998</v>
      </c>
      <c r="O1261" s="1">
        <v>1</v>
      </c>
      <c r="P1261" t="s">
        <v>13458</v>
      </c>
      <c r="Q1261" t="s">
        <v>13459</v>
      </c>
      <c r="S1261" t="s">
        <v>166</v>
      </c>
      <c r="T1261" t="s">
        <v>3629</v>
      </c>
      <c r="U1261" t="s">
        <v>13460</v>
      </c>
      <c r="V1261">
        <v>2</v>
      </c>
      <c r="W1261" t="s">
        <v>13460</v>
      </c>
      <c r="X1261">
        <v>329</v>
      </c>
      <c r="AE1261" t="s">
        <v>5965</v>
      </c>
      <c r="AF1261" t="s">
        <v>13461</v>
      </c>
      <c r="AG1261" t="s">
        <v>13462</v>
      </c>
      <c r="AH1261" t="str">
        <f>HYPERLINK("http://compartments.jensenlab.org/Entity?figures=subcell_cell_%&amp;knowledge=10&amp;textmining=10&amp;experiments=10&amp;predictions=10&amp;type1=9606&amp;type2=-22&amp;id1=ENSP00000364217","link")</f>
        <v>link</v>
      </c>
      <c r="AK1261" t="str">
        <f>HYPERLINK("http://www.proteinatlas.org/Q15109","CAB011682")</f>
        <v>CAB011682</v>
      </c>
      <c r="AM1261">
        <v>177</v>
      </c>
    </row>
    <row r="1262" spans="1:39" x14ac:dyDescent="0.35">
      <c r="A1262" t="s">
        <v>13463</v>
      </c>
      <c r="B1262" t="str">
        <f>HYPERLINK("http://www.uniprot.org/uniprot/Q15116","Q15116")</f>
        <v>Q15116</v>
      </c>
      <c r="C1262" t="s">
        <v>13464</v>
      </c>
      <c r="D1262" t="s">
        <v>13465</v>
      </c>
      <c r="E1262" t="s">
        <v>39</v>
      </c>
      <c r="F1262" t="s">
        <v>40</v>
      </c>
      <c r="H1262">
        <v>288</v>
      </c>
      <c r="I1262">
        <v>1</v>
      </c>
      <c r="J1262">
        <v>1</v>
      </c>
      <c r="K1262" t="s">
        <v>13466</v>
      </c>
      <c r="L1262" t="s">
        <v>101</v>
      </c>
      <c r="N1262">
        <v>0.95209999999999995</v>
      </c>
      <c r="O1262" s="1">
        <v>1</v>
      </c>
      <c r="P1262" t="s">
        <v>13467</v>
      </c>
      <c r="Q1262" t="s">
        <v>13468</v>
      </c>
      <c r="R1262" t="s">
        <v>13469</v>
      </c>
      <c r="S1262" t="s">
        <v>60</v>
      </c>
      <c r="T1262" t="s">
        <v>60</v>
      </c>
      <c r="U1262" t="s">
        <v>13470</v>
      </c>
      <c r="V1262">
        <v>4</v>
      </c>
      <c r="W1262" t="s">
        <v>13470</v>
      </c>
      <c r="X1262" t="s">
        <v>13471</v>
      </c>
      <c r="Z1262" t="s">
        <v>107</v>
      </c>
      <c r="AA1262">
        <v>2</v>
      </c>
      <c r="AB1262" t="s">
        <v>13472</v>
      </c>
      <c r="AC1262" t="s">
        <v>13473</v>
      </c>
      <c r="AD1262" t="s">
        <v>13474</v>
      </c>
      <c r="AE1262" t="s">
        <v>144</v>
      </c>
      <c r="AF1262" t="s">
        <v>13475</v>
      </c>
      <c r="AG1262" t="s">
        <v>13476</v>
      </c>
      <c r="AH1262" t="str">
        <f>HYPERLINK("http://compartments.jensenlab.org/Entity?figures=subcell_cell_%&amp;knowledge=10&amp;textmining=10&amp;experiments=10&amp;predictions=10&amp;type1=9606&amp;type2=-22&amp;id1=ENSP00000335062","link")</f>
        <v>link</v>
      </c>
      <c r="AJ1262" t="s">
        <v>51</v>
      </c>
      <c r="AK1262" t="str">
        <f>HYPERLINK("http://www.proteinatlas.org/Q15116","HPA035981;CAB038418")</f>
        <v>HPA035981;CAB038418</v>
      </c>
      <c r="AM1262">
        <v>5133</v>
      </c>
    </row>
    <row r="1263" spans="1:39" x14ac:dyDescent="0.35">
      <c r="A1263" t="s">
        <v>13477</v>
      </c>
      <c r="B1263" t="str">
        <f>HYPERLINK("http://www.uniprot.org/uniprot/Q15125","Q15125")</f>
        <v>Q15125</v>
      </c>
      <c r="C1263" t="s">
        <v>13478</v>
      </c>
      <c r="D1263" t="s">
        <v>13479</v>
      </c>
      <c r="E1263" t="s">
        <v>39</v>
      </c>
      <c r="F1263" t="s">
        <v>40</v>
      </c>
      <c r="H1263">
        <v>230</v>
      </c>
      <c r="I1263">
        <v>5</v>
      </c>
      <c r="J1263">
        <v>0</v>
      </c>
      <c r="K1263" t="s">
        <v>13480</v>
      </c>
      <c r="L1263" t="s">
        <v>42</v>
      </c>
      <c r="N1263">
        <v>0.67269999999999996</v>
      </c>
      <c r="O1263" s="1">
        <v>2</v>
      </c>
      <c r="P1263" t="s">
        <v>13481</v>
      </c>
      <c r="Q1263" t="s">
        <v>13482</v>
      </c>
      <c r="S1263" t="s">
        <v>947</v>
      </c>
      <c r="T1263" t="s">
        <v>8965</v>
      </c>
      <c r="U1263">
        <v>116</v>
      </c>
      <c r="V1263">
        <v>1</v>
      </c>
      <c r="W1263">
        <v>116</v>
      </c>
      <c r="AE1263" t="s">
        <v>977</v>
      </c>
      <c r="AF1263" t="s">
        <v>13483</v>
      </c>
      <c r="AG1263" t="s">
        <v>13484</v>
      </c>
      <c r="AH1263" t="str">
        <f>HYPERLINK("http://compartments.jensenlab.org/Entity?figures=subcell_cell_%&amp;knowledge=10&amp;textmining=10&amp;experiments=10&amp;predictions=10&amp;type1=9606&amp;type2=-22&amp;id1=ENSP00000417052","link")</f>
        <v>link</v>
      </c>
      <c r="AI1263" t="s">
        <v>980</v>
      </c>
      <c r="AJ1263" t="s">
        <v>345</v>
      </c>
      <c r="AK1263" t="str">
        <f>HYPERLINK("http://www.proteinatlas.org/Q15125","HPA003130")</f>
        <v>HPA003130</v>
      </c>
      <c r="AM1263">
        <v>10682</v>
      </c>
    </row>
    <row r="1264" spans="1:39" x14ac:dyDescent="0.35">
      <c r="A1264" t="s">
        <v>13485</v>
      </c>
      <c r="B1264" t="str">
        <f>HYPERLINK("http://www.uniprot.org/uniprot/Q15223","Q15223")</f>
        <v>Q15223</v>
      </c>
      <c r="C1264" t="s">
        <v>13486</v>
      </c>
      <c r="D1264" t="s">
        <v>13487</v>
      </c>
      <c r="E1264" t="s">
        <v>39</v>
      </c>
      <c r="F1264" t="s">
        <v>55</v>
      </c>
      <c r="H1264">
        <v>517</v>
      </c>
      <c r="I1264">
        <v>1</v>
      </c>
      <c r="J1264">
        <v>1</v>
      </c>
      <c r="K1264" t="s">
        <v>13488</v>
      </c>
      <c r="L1264" t="s">
        <v>101</v>
      </c>
      <c r="M1264" t="s">
        <v>39</v>
      </c>
      <c r="N1264">
        <v>0.98399999999999999</v>
      </c>
      <c r="O1264" s="1">
        <v>1</v>
      </c>
      <c r="P1264" t="s">
        <v>13489</v>
      </c>
      <c r="Q1264" t="s">
        <v>13490</v>
      </c>
      <c r="R1264" t="s">
        <v>13491</v>
      </c>
      <c r="S1264" t="s">
        <v>166</v>
      </c>
      <c r="T1264" t="s">
        <v>5627</v>
      </c>
      <c r="U1264" t="s">
        <v>13492</v>
      </c>
      <c r="V1264">
        <v>8</v>
      </c>
      <c r="W1264" t="s">
        <v>13493</v>
      </c>
      <c r="X1264" t="s">
        <v>13494</v>
      </c>
      <c r="Z1264" t="s">
        <v>107</v>
      </c>
      <c r="AA1264">
        <v>11</v>
      </c>
      <c r="AB1264" t="s">
        <v>13495</v>
      </c>
      <c r="AC1264" t="s">
        <v>13496</v>
      </c>
      <c r="AD1264" t="s">
        <v>13497</v>
      </c>
      <c r="AE1264" t="s">
        <v>13498</v>
      </c>
      <c r="AF1264" t="s">
        <v>13499</v>
      </c>
      <c r="AG1264" t="s">
        <v>13500</v>
      </c>
      <c r="AH1264" t="str">
        <f>HYPERLINK("http://compartments.jensenlab.org/Entity?figures=subcell_cell_%&amp;knowledge=10&amp;textmining=10&amp;experiments=10&amp;predictions=10&amp;type1=9606&amp;type2=-22&amp;id1=ENSP00000264025","link")</f>
        <v>link</v>
      </c>
      <c r="AI1264" t="s">
        <v>1058</v>
      </c>
      <c r="AJ1264" t="s">
        <v>902</v>
      </c>
      <c r="AK1264" t="str">
        <f>HYPERLINK("http://www.proteinatlas.org/Q15223","CAB016135;HPA026846")</f>
        <v>CAB016135;HPA026846</v>
      </c>
      <c r="AM1264">
        <v>5818</v>
      </c>
    </row>
    <row r="1265" spans="1:39" x14ac:dyDescent="0.35">
      <c r="A1265" t="s">
        <v>13501</v>
      </c>
      <c r="B1265" t="str">
        <f>HYPERLINK("http://www.uniprot.org/uniprot/Q15256","Q15256")</f>
        <v>Q15256</v>
      </c>
      <c r="C1265" t="s">
        <v>13502</v>
      </c>
      <c r="D1265" t="s">
        <v>13503</v>
      </c>
      <c r="E1265" t="s">
        <v>39</v>
      </c>
      <c r="F1265" t="s">
        <v>40</v>
      </c>
      <c r="H1265">
        <v>657</v>
      </c>
      <c r="I1265">
        <v>1</v>
      </c>
      <c r="J1265">
        <v>1</v>
      </c>
      <c r="K1265" t="s">
        <v>13504</v>
      </c>
      <c r="L1265" t="s">
        <v>57</v>
      </c>
      <c r="N1265">
        <v>0.72060000000000002</v>
      </c>
      <c r="O1265" s="1">
        <v>2</v>
      </c>
      <c r="P1265" t="s">
        <v>13505</v>
      </c>
      <c r="Q1265" t="s">
        <v>13506</v>
      </c>
      <c r="S1265" t="s">
        <v>166</v>
      </c>
      <c r="T1265" t="s">
        <v>1161</v>
      </c>
      <c r="U1265" t="s">
        <v>13507</v>
      </c>
      <c r="V1265">
        <v>1</v>
      </c>
      <c r="W1265" t="s">
        <v>13507</v>
      </c>
      <c r="X1265">
        <v>320</v>
      </c>
      <c r="AE1265" t="s">
        <v>13508</v>
      </c>
      <c r="AF1265" t="s">
        <v>13509</v>
      </c>
      <c r="AG1265" t="s">
        <v>13510</v>
      </c>
      <c r="AH1265" t="str">
        <f>HYPERLINK("http://compartments.jensenlab.org/Entity?figures=subcell_cell_%&amp;knowledge=10&amp;textmining=10&amp;experiments=10&amp;predictions=10&amp;type1=9606&amp;type2=-22&amp;id1=ENSP00000283228","link")</f>
        <v>link</v>
      </c>
      <c r="AI1265" t="s">
        <v>65</v>
      </c>
      <c r="AJ1265" t="s">
        <v>8448</v>
      </c>
      <c r="AK1265" t="str">
        <f>HYPERLINK("http://www.proteinatlas.org/Q15256","CAB011461;HPA011851")</f>
        <v>CAB011461;HPA011851</v>
      </c>
      <c r="AM1265">
        <v>5801</v>
      </c>
    </row>
    <row r="1266" spans="1:39" x14ac:dyDescent="0.35">
      <c r="A1266" t="s">
        <v>13511</v>
      </c>
      <c r="B1266" t="str">
        <f>HYPERLINK("http://www.uniprot.org/uniprot/Q15262","Q15262")</f>
        <v>Q15262</v>
      </c>
      <c r="C1266" t="s">
        <v>13512</v>
      </c>
      <c r="D1266" t="s">
        <v>13513</v>
      </c>
      <c r="E1266" t="s">
        <v>39</v>
      </c>
      <c r="F1266" t="s">
        <v>55</v>
      </c>
      <c r="H1266">
        <v>1439</v>
      </c>
      <c r="I1266">
        <v>1</v>
      </c>
      <c r="J1266">
        <v>1</v>
      </c>
      <c r="K1266" t="s">
        <v>13514</v>
      </c>
      <c r="L1266" t="s">
        <v>101</v>
      </c>
      <c r="M1266" t="s">
        <v>39</v>
      </c>
      <c r="N1266">
        <v>0.98939999999999995</v>
      </c>
      <c r="O1266" s="1">
        <v>1</v>
      </c>
      <c r="P1266" t="s">
        <v>13515</v>
      </c>
      <c r="Q1266" t="s">
        <v>13516</v>
      </c>
      <c r="S1266" t="s">
        <v>166</v>
      </c>
      <c r="T1266" t="s">
        <v>1161</v>
      </c>
      <c r="U1266" t="s">
        <v>13517</v>
      </c>
      <c r="V1266">
        <v>12</v>
      </c>
      <c r="W1266" t="s">
        <v>13517</v>
      </c>
      <c r="Z1266" t="s">
        <v>107</v>
      </c>
      <c r="AA1266">
        <v>9</v>
      </c>
      <c r="AB1266" t="s">
        <v>13518</v>
      </c>
      <c r="AC1266" t="s">
        <v>13519</v>
      </c>
      <c r="AD1266" t="s">
        <v>13520</v>
      </c>
      <c r="AE1266" t="s">
        <v>13521</v>
      </c>
      <c r="AF1266" t="s">
        <v>13522</v>
      </c>
      <c r="AG1266" t="s">
        <v>13523</v>
      </c>
      <c r="AH1266" t="str">
        <f>HYPERLINK("http://compartments.jensenlab.org/Entity?figures=subcell_cell_%&amp;knowledge=10&amp;textmining=10&amp;experiments=10&amp;predictions=10&amp;type1=9606&amp;type2=-22&amp;id1=ENSP00000357198","link")</f>
        <v>link</v>
      </c>
      <c r="AK1266" t="str">
        <f>HYPERLINK("http://www.proteinatlas.org/Q15262","HPA054822")</f>
        <v>HPA054822</v>
      </c>
      <c r="AM1266">
        <v>5796</v>
      </c>
    </row>
    <row r="1267" spans="1:39" x14ac:dyDescent="0.35">
      <c r="A1267" t="s">
        <v>13524</v>
      </c>
      <c r="B1267" t="str">
        <f>HYPERLINK("http://www.uniprot.org/uniprot/Q15303","Q15303")</f>
        <v>Q15303</v>
      </c>
      <c r="C1267" t="s">
        <v>13525</v>
      </c>
      <c r="D1267" t="s">
        <v>13526</v>
      </c>
      <c r="E1267" t="s">
        <v>39</v>
      </c>
      <c r="F1267" t="s">
        <v>40</v>
      </c>
      <c r="H1267">
        <v>1308</v>
      </c>
      <c r="I1267">
        <v>1</v>
      </c>
      <c r="J1267">
        <v>1</v>
      </c>
      <c r="K1267" t="s">
        <v>13527</v>
      </c>
      <c r="L1267" t="s">
        <v>57</v>
      </c>
      <c r="N1267">
        <v>0.996</v>
      </c>
      <c r="O1267" s="1">
        <v>1</v>
      </c>
      <c r="P1267" t="s">
        <v>13528</v>
      </c>
      <c r="Q1267" t="s">
        <v>13529</v>
      </c>
      <c r="S1267" t="s">
        <v>166</v>
      </c>
      <c r="T1267" t="s">
        <v>3537</v>
      </c>
      <c r="U1267" t="s">
        <v>13530</v>
      </c>
      <c r="V1267">
        <v>11</v>
      </c>
      <c r="W1267" t="s">
        <v>13531</v>
      </c>
      <c r="X1267" t="s">
        <v>13532</v>
      </c>
      <c r="AE1267" t="s">
        <v>13533</v>
      </c>
      <c r="AF1267" t="s">
        <v>13534</v>
      </c>
      <c r="AG1267" t="s">
        <v>13535</v>
      </c>
      <c r="AH1267" t="str">
        <f>HYPERLINK("http://compartments.jensenlab.org/Entity?figures=subcell_cell_%&amp;knowledge=10&amp;textmining=10&amp;experiments=10&amp;predictions=10&amp;type1=9606&amp;type2=-22&amp;id1=ENSP00000342235","link")</f>
        <v>link</v>
      </c>
      <c r="AI1267" t="s">
        <v>13536</v>
      </c>
      <c r="AJ1267" t="s">
        <v>13537</v>
      </c>
      <c r="AK1267" t="str">
        <f>HYPERLINK("http://www.proteinatlas.org/Q15303","CAB000276;HPA012016;CAB025522")</f>
        <v>CAB000276;HPA012016;CAB025522</v>
      </c>
      <c r="AL1267" t="s">
        <v>13538</v>
      </c>
      <c r="AM1267">
        <v>2066</v>
      </c>
    </row>
    <row r="1268" spans="1:39" x14ac:dyDescent="0.35">
      <c r="A1268" t="s">
        <v>13539</v>
      </c>
      <c r="B1268" t="str">
        <f>HYPERLINK("http://www.uniprot.org/uniprot/Q15375","Q15375")</f>
        <v>Q15375</v>
      </c>
      <c r="C1268" t="s">
        <v>13540</v>
      </c>
      <c r="D1268" t="s">
        <v>13541</v>
      </c>
      <c r="E1268" t="s">
        <v>39</v>
      </c>
      <c r="F1268" t="s">
        <v>40</v>
      </c>
      <c r="H1268">
        <v>998</v>
      </c>
      <c r="I1268">
        <v>1</v>
      </c>
      <c r="J1268">
        <v>1</v>
      </c>
      <c r="K1268" t="s">
        <v>13542</v>
      </c>
      <c r="L1268" t="s">
        <v>57</v>
      </c>
      <c r="N1268">
        <v>0.97209999999999996</v>
      </c>
      <c r="O1268" s="1">
        <v>1</v>
      </c>
      <c r="P1268" t="s">
        <v>13543</v>
      </c>
      <c r="Q1268" t="s">
        <v>13544</v>
      </c>
      <c r="S1268" t="s">
        <v>166</v>
      </c>
      <c r="T1268" t="s">
        <v>1432</v>
      </c>
      <c r="U1268" t="s">
        <v>13545</v>
      </c>
      <c r="V1268">
        <v>4</v>
      </c>
      <c r="W1268" t="s">
        <v>13546</v>
      </c>
      <c r="AE1268" t="s">
        <v>332</v>
      </c>
      <c r="AF1268" t="s">
        <v>13547</v>
      </c>
      <c r="AG1268" t="s">
        <v>13548</v>
      </c>
      <c r="AH1268" t="str">
        <f>HYPERLINK("http://compartments.jensenlab.org/Entity?figures=subcell_cell_%&amp;knowledge=10&amp;textmining=10&amp;experiments=10&amp;predictions=10&amp;type1=9606&amp;type2=-22&amp;id1=ENSP00000358309","link")</f>
        <v>link</v>
      </c>
      <c r="AK1268" t="str">
        <f>HYPERLINK("http://www.proteinatlas.org/Q15375","CAB010496")</f>
        <v>CAB010496</v>
      </c>
      <c r="AM1268">
        <v>2045</v>
      </c>
    </row>
    <row r="1269" spans="1:39" x14ac:dyDescent="0.35">
      <c r="A1269" t="s">
        <v>13549</v>
      </c>
      <c r="B1269" t="str">
        <f>HYPERLINK("http://www.uniprot.org/uniprot/Q15391","Q15391")</f>
        <v>Q15391</v>
      </c>
      <c r="C1269" t="s">
        <v>13550</v>
      </c>
      <c r="D1269" t="s">
        <v>13551</v>
      </c>
      <c r="E1269" t="s">
        <v>39</v>
      </c>
      <c r="F1269" t="s">
        <v>55</v>
      </c>
      <c r="H1269">
        <v>338</v>
      </c>
      <c r="I1269">
        <v>7</v>
      </c>
      <c r="J1269">
        <v>0</v>
      </c>
      <c r="K1269" t="s">
        <v>13552</v>
      </c>
      <c r="L1269" t="s">
        <v>57</v>
      </c>
      <c r="M1269" t="s">
        <v>39</v>
      </c>
      <c r="N1269">
        <v>0.83579999999999999</v>
      </c>
      <c r="O1269" s="1">
        <v>1</v>
      </c>
      <c r="P1269" t="s">
        <v>13553</v>
      </c>
      <c r="Q1269" t="s">
        <v>13554</v>
      </c>
      <c r="S1269" t="s">
        <v>166</v>
      </c>
      <c r="T1269" t="s">
        <v>838</v>
      </c>
      <c r="U1269" t="s">
        <v>13555</v>
      </c>
      <c r="V1269">
        <v>2</v>
      </c>
      <c r="AE1269" t="s">
        <v>74</v>
      </c>
      <c r="AF1269" t="s">
        <v>9153</v>
      </c>
      <c r="AG1269" t="s">
        <v>13556</v>
      </c>
      <c r="AH1269" t="str">
        <f>HYPERLINK("http://compartments.jensenlab.org/Entity?figures=subcell_cell_%&amp;knowledge=10&amp;textmining=10&amp;experiments=10&amp;predictions=10&amp;type1=9606&amp;type2=-22&amp;id1=ENSP00000308361","link")</f>
        <v>link</v>
      </c>
      <c r="AI1269" t="s">
        <v>65</v>
      </c>
      <c r="AJ1269" t="s">
        <v>51</v>
      </c>
      <c r="AK1269" t="str">
        <f>HYPERLINK("http://www.proteinatlas.org/Q15391","CAB022646;HPA030398")</f>
        <v>CAB022646;HPA030398</v>
      </c>
      <c r="AM1269">
        <v>9934</v>
      </c>
    </row>
    <row r="1270" spans="1:39" x14ac:dyDescent="0.35">
      <c r="A1270" t="s">
        <v>13557</v>
      </c>
      <c r="B1270" t="str">
        <f>HYPERLINK("http://www.uniprot.org/uniprot/Q15399","Q15399")</f>
        <v>Q15399</v>
      </c>
      <c r="C1270" t="s">
        <v>13558</v>
      </c>
      <c r="D1270" t="s">
        <v>13559</v>
      </c>
      <c r="E1270" t="s">
        <v>39</v>
      </c>
      <c r="F1270" t="s">
        <v>55</v>
      </c>
      <c r="H1270">
        <v>786</v>
      </c>
      <c r="I1270">
        <v>1</v>
      </c>
      <c r="J1270">
        <v>1</v>
      </c>
      <c r="K1270" t="s">
        <v>13560</v>
      </c>
      <c r="L1270" t="s">
        <v>101</v>
      </c>
      <c r="M1270" t="s">
        <v>39</v>
      </c>
      <c r="N1270">
        <v>0.86890000000000001</v>
      </c>
      <c r="O1270" s="1">
        <v>1</v>
      </c>
      <c r="P1270" t="s">
        <v>13561</v>
      </c>
      <c r="Q1270" t="s">
        <v>13562</v>
      </c>
      <c r="R1270" t="s">
        <v>13563</v>
      </c>
      <c r="S1270" t="s">
        <v>166</v>
      </c>
      <c r="T1270" t="s">
        <v>848</v>
      </c>
      <c r="U1270" t="s">
        <v>13564</v>
      </c>
      <c r="V1270">
        <v>7</v>
      </c>
      <c r="W1270" t="s">
        <v>13565</v>
      </c>
      <c r="Z1270" t="s">
        <v>107</v>
      </c>
      <c r="AA1270">
        <v>1</v>
      </c>
      <c r="AB1270" t="s">
        <v>13566</v>
      </c>
      <c r="AC1270">
        <v>163</v>
      </c>
      <c r="AD1270" t="s">
        <v>13567</v>
      </c>
      <c r="AE1270" t="s">
        <v>13568</v>
      </c>
      <c r="AF1270" t="s">
        <v>13569</v>
      </c>
      <c r="AG1270" t="s">
        <v>13570</v>
      </c>
      <c r="AH1270" t="str">
        <f>HYPERLINK("http://compartments.jensenlab.org/Entity?figures=subcell_cell_%&amp;knowledge=10&amp;textmining=10&amp;experiments=10&amp;predictions=10&amp;type1=9606&amp;type2=-22&amp;id1=ENSP00000354932","link")</f>
        <v>link</v>
      </c>
      <c r="AI1270" t="s">
        <v>65</v>
      </c>
      <c r="AJ1270" t="s">
        <v>51</v>
      </c>
      <c r="AK1270" t="str">
        <f>HYPERLINK("http://www.proteinatlas.org/Q15399","no")</f>
        <v>no</v>
      </c>
      <c r="AM1270">
        <v>7096</v>
      </c>
    </row>
    <row r="1271" spans="1:39" x14ac:dyDescent="0.35">
      <c r="A1271" t="s">
        <v>13571</v>
      </c>
      <c r="B1271" t="str">
        <f>HYPERLINK("http://www.uniprot.org/uniprot/Q15612","Q15612")</f>
        <v>Q15612</v>
      </c>
      <c r="C1271" t="s">
        <v>13572</v>
      </c>
      <c r="D1271" t="s">
        <v>13573</v>
      </c>
      <c r="E1271" t="s">
        <v>39</v>
      </c>
      <c r="F1271" t="s">
        <v>40</v>
      </c>
      <c r="H1271">
        <v>314</v>
      </c>
      <c r="I1271">
        <v>7</v>
      </c>
      <c r="J1271">
        <v>0</v>
      </c>
      <c r="K1271" t="s">
        <v>13574</v>
      </c>
      <c r="L1271" t="s">
        <v>57</v>
      </c>
      <c r="N1271">
        <v>0.96409999999999996</v>
      </c>
      <c r="O1271" s="1">
        <v>1</v>
      </c>
      <c r="P1271" t="s">
        <v>13575</v>
      </c>
      <c r="Q1271" t="s">
        <v>13576</v>
      </c>
      <c r="S1271" t="s">
        <v>166</v>
      </c>
      <c r="T1271" t="s">
        <v>167</v>
      </c>
      <c r="U1271" t="s">
        <v>13577</v>
      </c>
      <c r="V1271">
        <v>1</v>
      </c>
      <c r="AE1271" t="s">
        <v>74</v>
      </c>
      <c r="AF1271" t="s">
        <v>169</v>
      </c>
      <c r="AG1271" t="s">
        <v>13578</v>
      </c>
      <c r="AH1271" t="str">
        <f>HYPERLINK("http://compartments.jensenlab.org/Entity?figures=subcell_cell_%&amp;knowledge=10&amp;textmining=10&amp;experiments=10&amp;predictions=10&amp;type1=9606&amp;type2=-22&amp;id1=ENSP00000297913","link")</f>
        <v>link</v>
      </c>
      <c r="AI1271" t="s">
        <v>65</v>
      </c>
      <c r="AJ1271" t="s">
        <v>2124</v>
      </c>
      <c r="AK1271" t="str">
        <f>HYPERLINK("http://www.proteinatlas.org/Q15612","HPA044828")</f>
        <v>HPA044828</v>
      </c>
      <c r="AM1271">
        <v>158131</v>
      </c>
    </row>
    <row r="1272" spans="1:39" x14ac:dyDescent="0.35">
      <c r="A1272" t="s">
        <v>13579</v>
      </c>
      <c r="B1272" t="str">
        <f>HYPERLINK("http://www.uniprot.org/uniprot/Q15614","Q15614")</f>
        <v>Q15614</v>
      </c>
      <c r="C1272" t="s">
        <v>13580</v>
      </c>
      <c r="D1272" t="s">
        <v>13581</v>
      </c>
      <c r="E1272" t="s">
        <v>39</v>
      </c>
      <c r="F1272" t="s">
        <v>40</v>
      </c>
      <c r="H1272">
        <v>310</v>
      </c>
      <c r="I1272">
        <v>7</v>
      </c>
      <c r="J1272">
        <v>0</v>
      </c>
      <c r="K1272" t="s">
        <v>13582</v>
      </c>
      <c r="L1272" t="s">
        <v>57</v>
      </c>
      <c r="N1272">
        <v>0.98199999999999998</v>
      </c>
      <c r="O1272" s="1">
        <v>1</v>
      </c>
      <c r="S1272" t="s">
        <v>166</v>
      </c>
      <c r="T1272" t="s">
        <v>167</v>
      </c>
      <c r="U1272">
        <v>5</v>
      </c>
      <c r="V1272">
        <v>1</v>
      </c>
      <c r="AE1272" t="s">
        <v>74</v>
      </c>
      <c r="AF1272" t="s">
        <v>169</v>
      </c>
      <c r="AG1272" t="s">
        <v>13583</v>
      </c>
      <c r="AK1272" t="str">
        <f>HYPERLINK("http://www.proteinatlas.org/Q15614","no")</f>
        <v>no</v>
      </c>
    </row>
    <row r="1273" spans="1:39" x14ac:dyDescent="0.35">
      <c r="A1273" t="s">
        <v>13584</v>
      </c>
      <c r="B1273" t="str">
        <f>HYPERLINK("http://www.uniprot.org/uniprot/Q15615","Q15615")</f>
        <v>Q15615</v>
      </c>
      <c r="C1273" t="s">
        <v>13585</v>
      </c>
      <c r="D1273" t="s">
        <v>13586</v>
      </c>
      <c r="E1273" t="s">
        <v>39</v>
      </c>
      <c r="F1273" t="s">
        <v>55</v>
      </c>
      <c r="H1273">
        <v>310</v>
      </c>
      <c r="I1273">
        <v>7</v>
      </c>
      <c r="J1273">
        <v>0</v>
      </c>
      <c r="K1273" t="s">
        <v>13587</v>
      </c>
      <c r="L1273" t="s">
        <v>57</v>
      </c>
      <c r="M1273" t="s">
        <v>39</v>
      </c>
      <c r="N1273">
        <v>1</v>
      </c>
      <c r="O1273" s="1">
        <v>1</v>
      </c>
      <c r="P1273" t="s">
        <v>13588</v>
      </c>
      <c r="Q1273" t="s">
        <v>13589</v>
      </c>
      <c r="S1273" t="s">
        <v>166</v>
      </c>
      <c r="T1273" t="s">
        <v>167</v>
      </c>
      <c r="U1273">
        <v>5</v>
      </c>
      <c r="V1273">
        <v>1</v>
      </c>
      <c r="AE1273" t="s">
        <v>74</v>
      </c>
      <c r="AF1273" t="s">
        <v>169</v>
      </c>
      <c r="AG1273" t="s">
        <v>13590</v>
      </c>
      <c r="AH1273" t="str">
        <f>HYPERLINK("http://compartments.jensenlab.org/Entity?figures=subcell_cell_%&amp;knowledge=10&amp;textmining=10&amp;experiments=10&amp;predictions=10&amp;type1=9606&amp;type2=-22&amp;id1=ENSP00000365451","link")</f>
        <v>link</v>
      </c>
      <c r="AI1273" t="s">
        <v>65</v>
      </c>
      <c r="AJ1273" t="s">
        <v>51</v>
      </c>
      <c r="AK1273" t="str">
        <f>HYPERLINK("http://www.proteinatlas.org/Q15615","no")</f>
        <v>no</v>
      </c>
      <c r="AM1273">
        <v>26689</v>
      </c>
    </row>
    <row r="1274" spans="1:39" x14ac:dyDescent="0.35">
      <c r="A1274" t="s">
        <v>13591</v>
      </c>
      <c r="B1274" t="str">
        <f>HYPERLINK("http://www.uniprot.org/uniprot/Q15617","Q15617")</f>
        <v>Q15617</v>
      </c>
      <c r="C1274" t="s">
        <v>13592</v>
      </c>
      <c r="D1274" t="s">
        <v>13593</v>
      </c>
      <c r="E1274" t="s">
        <v>39</v>
      </c>
      <c r="F1274" t="s">
        <v>40</v>
      </c>
      <c r="H1274">
        <v>311</v>
      </c>
      <c r="I1274">
        <v>7</v>
      </c>
      <c r="J1274">
        <v>0</v>
      </c>
      <c r="K1274" t="s">
        <v>13594</v>
      </c>
      <c r="L1274" t="s">
        <v>57</v>
      </c>
      <c r="N1274">
        <v>0.98399999999999999</v>
      </c>
      <c r="O1274" s="1">
        <v>1</v>
      </c>
      <c r="P1274" t="s">
        <v>13595</v>
      </c>
      <c r="Q1274" t="s">
        <v>13596</v>
      </c>
      <c r="S1274" t="s">
        <v>166</v>
      </c>
      <c r="T1274" t="s">
        <v>167</v>
      </c>
      <c r="U1274" t="s">
        <v>13597</v>
      </c>
      <c r="V1274">
        <v>2</v>
      </c>
      <c r="AE1274" t="s">
        <v>74</v>
      </c>
      <c r="AF1274" t="s">
        <v>169</v>
      </c>
      <c r="AG1274" t="s">
        <v>13598</v>
      </c>
      <c r="AH1274" t="str">
        <f>HYPERLINK("http://compartments.jensenlab.org/Entity?figures=subcell_cell_%&amp;knowledge=10&amp;textmining=10&amp;experiments=10&amp;predictions=10&amp;type1=9606&amp;type2=-22&amp;id1=ENSP00000476313","link")</f>
        <v>link</v>
      </c>
      <c r="AK1274" t="str">
        <f>HYPERLINK("http://www.proteinatlas.org/Q15617","no")</f>
        <v>no</v>
      </c>
      <c r="AM1274">
        <v>26494</v>
      </c>
    </row>
    <row r="1275" spans="1:39" x14ac:dyDescent="0.35">
      <c r="A1275" t="s">
        <v>13599</v>
      </c>
      <c r="B1275" t="str">
        <f>HYPERLINK("http://www.uniprot.org/uniprot/Q15619","Q15619")</f>
        <v>Q15619</v>
      </c>
      <c r="C1275" t="s">
        <v>13600</v>
      </c>
      <c r="D1275" t="s">
        <v>13601</v>
      </c>
      <c r="E1275" t="s">
        <v>39</v>
      </c>
      <c r="F1275" t="s">
        <v>55</v>
      </c>
      <c r="H1275">
        <v>314</v>
      </c>
      <c r="I1275">
        <v>7</v>
      </c>
      <c r="J1275">
        <v>0</v>
      </c>
      <c r="K1275" t="s">
        <v>13602</v>
      </c>
      <c r="L1275" t="s">
        <v>57</v>
      </c>
      <c r="M1275" t="s">
        <v>39</v>
      </c>
      <c r="N1275">
        <v>0.99439999999999995</v>
      </c>
      <c r="O1275" s="1">
        <v>1</v>
      </c>
      <c r="P1275" t="s">
        <v>13603</v>
      </c>
      <c r="Q1275" t="s">
        <v>13604</v>
      </c>
      <c r="S1275" t="s">
        <v>166</v>
      </c>
      <c r="T1275" t="s">
        <v>167</v>
      </c>
      <c r="U1275">
        <v>5</v>
      </c>
      <c r="V1275">
        <v>1</v>
      </c>
      <c r="AE1275" t="s">
        <v>74</v>
      </c>
      <c r="AF1275" t="s">
        <v>368</v>
      </c>
      <c r="AG1275" t="s">
        <v>13605</v>
      </c>
      <c r="AH1275" t="str">
        <f>HYPERLINK("http://compartments.jensenlab.org/Entity?figures=subcell_cell_%&amp;knowledge=10&amp;textmining=10&amp;experiments=10&amp;predictions=10&amp;type1=9606&amp;type2=-22&amp;id1=ENSP00000386138","link")</f>
        <v>link</v>
      </c>
      <c r="AI1275" t="s">
        <v>65</v>
      </c>
      <c r="AJ1275" t="s">
        <v>51</v>
      </c>
      <c r="AK1275" t="str">
        <f>HYPERLINK("http://www.proteinatlas.org/Q15619","no")</f>
        <v>no</v>
      </c>
      <c r="AM1275">
        <v>26188</v>
      </c>
    </row>
    <row r="1276" spans="1:39" x14ac:dyDescent="0.35">
      <c r="A1276" t="s">
        <v>13606</v>
      </c>
      <c r="B1276" t="str">
        <f>HYPERLINK("http://www.uniprot.org/uniprot/Q15620","Q15620")</f>
        <v>Q15620</v>
      </c>
      <c r="C1276" t="s">
        <v>13607</v>
      </c>
      <c r="D1276" t="s">
        <v>13608</v>
      </c>
      <c r="E1276" t="s">
        <v>39</v>
      </c>
      <c r="F1276" t="s">
        <v>55</v>
      </c>
      <c r="H1276">
        <v>311</v>
      </c>
      <c r="I1276">
        <v>7</v>
      </c>
      <c r="J1276">
        <v>0</v>
      </c>
      <c r="K1276" t="s">
        <v>13609</v>
      </c>
      <c r="L1276" t="s">
        <v>57</v>
      </c>
      <c r="M1276" t="s">
        <v>39</v>
      </c>
      <c r="N1276">
        <v>0.87980000000000003</v>
      </c>
      <c r="O1276" s="1">
        <v>1</v>
      </c>
      <c r="P1276" t="s">
        <v>13610</v>
      </c>
      <c r="Q1276" t="s">
        <v>13611</v>
      </c>
      <c r="S1276" t="s">
        <v>166</v>
      </c>
      <c r="T1276" t="s">
        <v>167</v>
      </c>
      <c r="U1276" t="s">
        <v>1191</v>
      </c>
      <c r="V1276">
        <v>1</v>
      </c>
      <c r="AE1276" t="s">
        <v>74</v>
      </c>
      <c r="AF1276" t="s">
        <v>549</v>
      </c>
      <c r="AG1276" t="s">
        <v>13612</v>
      </c>
      <c r="AH1276" t="str">
        <f>HYPERLINK("http://compartments.jensenlab.org/Entity?figures=subcell_cell_%&amp;knowledge=10&amp;textmining=10&amp;experiments=10&amp;predictions=10&amp;type1=9606&amp;type2=-22&amp;id1=ENSP00000330280","link")</f>
        <v>link</v>
      </c>
      <c r="AI1276" t="s">
        <v>65</v>
      </c>
      <c r="AJ1276" t="s">
        <v>51</v>
      </c>
      <c r="AK1276" t="str">
        <f>HYPERLINK("http://www.proteinatlas.org/Q15620","no")</f>
        <v>no</v>
      </c>
      <c r="AM1276">
        <v>26493</v>
      </c>
    </row>
    <row r="1277" spans="1:39" x14ac:dyDescent="0.35">
      <c r="A1277" t="s">
        <v>13613</v>
      </c>
      <c r="B1277" t="str">
        <f>HYPERLINK("http://www.uniprot.org/uniprot/Q15622","Q15622")</f>
        <v>Q15622</v>
      </c>
      <c r="C1277" t="s">
        <v>13614</v>
      </c>
      <c r="D1277" t="s">
        <v>13615</v>
      </c>
      <c r="E1277" t="s">
        <v>39</v>
      </c>
      <c r="F1277" t="s">
        <v>55</v>
      </c>
      <c r="H1277">
        <v>319</v>
      </c>
      <c r="I1277">
        <v>7</v>
      </c>
      <c r="J1277">
        <v>0</v>
      </c>
      <c r="K1277" t="s">
        <v>13616</v>
      </c>
      <c r="L1277" t="s">
        <v>57</v>
      </c>
      <c r="N1277">
        <v>0.97209999999999996</v>
      </c>
      <c r="O1277" s="1">
        <v>1</v>
      </c>
      <c r="P1277" t="s">
        <v>13617</v>
      </c>
      <c r="Q1277" t="s">
        <v>13618</v>
      </c>
      <c r="S1277" t="s">
        <v>166</v>
      </c>
      <c r="T1277" t="s">
        <v>167</v>
      </c>
      <c r="U1277" t="s">
        <v>1191</v>
      </c>
      <c r="V1277">
        <v>1</v>
      </c>
      <c r="AE1277" t="s">
        <v>74</v>
      </c>
      <c r="AF1277" t="s">
        <v>549</v>
      </c>
      <c r="AG1277" t="s">
        <v>13619</v>
      </c>
      <c r="AH1277" t="str">
        <f>HYPERLINK("http://compartments.jensenlab.org/Entity?figures=subcell_cell_%&amp;knowledge=10&amp;textmining=10&amp;experiments=10&amp;predictions=10&amp;type1=9606&amp;type2=-22&amp;id1=ENSP00000316955","link")</f>
        <v>link</v>
      </c>
      <c r="AI1277" t="s">
        <v>65</v>
      </c>
      <c r="AJ1277" t="s">
        <v>51</v>
      </c>
      <c r="AK1277" t="str">
        <f>HYPERLINK("http://www.proteinatlas.org/Q15622","HPA053823")</f>
        <v>HPA053823</v>
      </c>
      <c r="AM1277">
        <v>26659</v>
      </c>
    </row>
    <row r="1278" spans="1:39" x14ac:dyDescent="0.35">
      <c r="A1278" t="s">
        <v>13620</v>
      </c>
      <c r="B1278" t="str">
        <f>HYPERLINK("http://www.uniprot.org/uniprot/Q15722","Q15722")</f>
        <v>Q15722</v>
      </c>
      <c r="C1278" t="s">
        <v>13621</v>
      </c>
      <c r="D1278" t="s">
        <v>13622</v>
      </c>
      <c r="E1278" t="s">
        <v>39</v>
      </c>
      <c r="F1278" t="s">
        <v>55</v>
      </c>
      <c r="H1278">
        <v>352</v>
      </c>
      <c r="I1278">
        <v>7</v>
      </c>
      <c r="J1278">
        <v>0</v>
      </c>
      <c r="K1278" t="s">
        <v>13623</v>
      </c>
      <c r="L1278" t="s">
        <v>101</v>
      </c>
      <c r="M1278" t="s">
        <v>39</v>
      </c>
      <c r="N1278">
        <v>0.91490000000000005</v>
      </c>
      <c r="O1278" s="1">
        <v>1</v>
      </c>
      <c r="P1278" t="s">
        <v>13624</v>
      </c>
      <c r="Q1278" t="s">
        <v>13625</v>
      </c>
      <c r="S1278" t="s">
        <v>166</v>
      </c>
      <c r="T1278" t="s">
        <v>838</v>
      </c>
      <c r="U1278" t="s">
        <v>13626</v>
      </c>
      <c r="V1278">
        <v>2</v>
      </c>
      <c r="W1278">
        <v>2</v>
      </c>
      <c r="X1278" t="s">
        <v>13627</v>
      </c>
      <c r="Z1278" t="s">
        <v>107</v>
      </c>
      <c r="AA1278">
        <v>1</v>
      </c>
      <c r="AB1278" t="s">
        <v>13628</v>
      </c>
      <c r="AC1278">
        <v>164</v>
      </c>
      <c r="AD1278" t="s">
        <v>13629</v>
      </c>
      <c r="AE1278" t="s">
        <v>74</v>
      </c>
      <c r="AF1278" t="s">
        <v>13630</v>
      </c>
      <c r="AG1278" t="s">
        <v>13631</v>
      </c>
      <c r="AH1278" t="str">
        <f>HYPERLINK("http://compartments.jensenlab.org/Entity?figures=subcell_cell_%&amp;knowledge=10&amp;textmining=10&amp;experiments=10&amp;predictions=10&amp;type1=9606&amp;type2=-22&amp;id1=ENSP00000307445","link")</f>
        <v>link</v>
      </c>
      <c r="AI1278" t="s">
        <v>65</v>
      </c>
      <c r="AJ1278" t="s">
        <v>51</v>
      </c>
      <c r="AK1278" t="str">
        <f>HYPERLINK("http://www.proteinatlas.org/Q15722","HPA003873")</f>
        <v>HPA003873</v>
      </c>
      <c r="AM1278">
        <v>1241</v>
      </c>
    </row>
    <row r="1279" spans="1:39" x14ac:dyDescent="0.35">
      <c r="A1279" t="s">
        <v>13632</v>
      </c>
      <c r="B1279" t="str">
        <f>HYPERLINK("http://www.uniprot.org/uniprot/Q15743","Q15743")</f>
        <v>Q15743</v>
      </c>
      <c r="C1279" t="s">
        <v>13633</v>
      </c>
      <c r="D1279" t="s">
        <v>13634</v>
      </c>
      <c r="E1279" t="s">
        <v>39</v>
      </c>
      <c r="F1279" t="s">
        <v>40</v>
      </c>
      <c r="H1279">
        <v>365</v>
      </c>
      <c r="I1279">
        <v>7</v>
      </c>
      <c r="J1279">
        <v>0</v>
      </c>
      <c r="K1279" t="s">
        <v>13635</v>
      </c>
      <c r="L1279" t="s">
        <v>57</v>
      </c>
      <c r="N1279">
        <v>0.93210000000000004</v>
      </c>
      <c r="O1279" s="1">
        <v>1</v>
      </c>
      <c r="P1279" t="s">
        <v>13636</v>
      </c>
      <c r="Q1279" t="s">
        <v>13637</v>
      </c>
      <c r="S1279" t="s">
        <v>166</v>
      </c>
      <c r="T1279" t="s">
        <v>838</v>
      </c>
      <c r="U1279" t="s">
        <v>13638</v>
      </c>
      <c r="V1279">
        <v>3</v>
      </c>
      <c r="W1279" t="s">
        <v>13639</v>
      </c>
      <c r="AE1279" t="s">
        <v>74</v>
      </c>
      <c r="AF1279" t="s">
        <v>13640</v>
      </c>
      <c r="AG1279" t="s">
        <v>13641</v>
      </c>
      <c r="AH1279" t="str">
        <f>HYPERLINK("http://compartments.jensenlab.org/Entity?figures=subcell_cell_%&amp;knowledge=10&amp;textmining=10&amp;experiments=10&amp;predictions=10&amp;type1=9606&amp;type2=-22&amp;id1=ENSP00000434045","link")</f>
        <v>link</v>
      </c>
      <c r="AK1279" t="str">
        <f>HYPERLINK("http://www.proteinatlas.org/Q15743","no")</f>
        <v>no</v>
      </c>
      <c r="AM1279">
        <v>8111</v>
      </c>
    </row>
    <row r="1280" spans="1:39" x14ac:dyDescent="0.35">
      <c r="A1280" t="s">
        <v>13642</v>
      </c>
      <c r="B1280" t="str">
        <f>HYPERLINK("http://www.uniprot.org/uniprot/Q15758","Q15758")</f>
        <v>Q15758</v>
      </c>
      <c r="C1280" t="s">
        <v>13643</v>
      </c>
      <c r="D1280" t="s">
        <v>13644</v>
      </c>
      <c r="E1280" t="s">
        <v>39</v>
      </c>
      <c r="F1280" t="s">
        <v>40</v>
      </c>
      <c r="H1280">
        <v>541</v>
      </c>
      <c r="I1280">
        <v>10</v>
      </c>
      <c r="J1280">
        <v>0</v>
      </c>
      <c r="K1280" t="s">
        <v>13645</v>
      </c>
      <c r="L1280" t="s">
        <v>101</v>
      </c>
      <c r="N1280">
        <v>0.81040000000000001</v>
      </c>
      <c r="O1280" s="1">
        <v>1</v>
      </c>
      <c r="P1280" t="s">
        <v>13646</v>
      </c>
      <c r="Q1280" t="s">
        <v>13647</v>
      </c>
      <c r="S1280" t="s">
        <v>45</v>
      </c>
      <c r="T1280" t="s">
        <v>937</v>
      </c>
      <c r="U1280" t="s">
        <v>13648</v>
      </c>
      <c r="V1280">
        <v>2</v>
      </c>
      <c r="W1280" t="s">
        <v>13648</v>
      </c>
      <c r="Y1280">
        <v>272</v>
      </c>
      <c r="Z1280" t="s">
        <v>123</v>
      </c>
      <c r="AA1280">
        <v>16</v>
      </c>
      <c r="AB1280" t="s">
        <v>13649</v>
      </c>
      <c r="AC1280" t="s">
        <v>13648</v>
      </c>
      <c r="AD1280" t="s">
        <v>13650</v>
      </c>
      <c r="AE1280" t="s">
        <v>3985</v>
      </c>
      <c r="AF1280" t="s">
        <v>13651</v>
      </c>
      <c r="AG1280" t="s">
        <v>13652</v>
      </c>
      <c r="AH1280" t="str">
        <f>HYPERLINK("http://compartments.jensenlab.org/Entity?figures=subcell_cell_%&amp;knowledge=10&amp;textmining=10&amp;experiments=10&amp;predictions=10&amp;type1=9606&amp;type2=-22&amp;id1=ENSP00000444408","link")</f>
        <v>link</v>
      </c>
      <c r="AK1280" t="str">
        <f>HYPERLINK("http://www.proteinatlas.org/Q15758","HPA035239;HPA035240")</f>
        <v>HPA035239;HPA035240</v>
      </c>
      <c r="AL1280" t="s">
        <v>13653</v>
      </c>
      <c r="AM1280">
        <v>6510</v>
      </c>
    </row>
    <row r="1281" spans="1:39" x14ac:dyDescent="0.35">
      <c r="A1281" t="s">
        <v>13654</v>
      </c>
      <c r="B1281" t="str">
        <f>HYPERLINK("http://www.uniprot.org/uniprot/Q15760","Q15760")</f>
        <v>Q15760</v>
      </c>
      <c r="C1281" t="s">
        <v>13655</v>
      </c>
      <c r="D1281" t="s">
        <v>13656</v>
      </c>
      <c r="E1281" t="s">
        <v>39</v>
      </c>
      <c r="F1281" t="s">
        <v>55</v>
      </c>
      <c r="H1281">
        <v>415</v>
      </c>
      <c r="I1281">
        <v>7</v>
      </c>
      <c r="J1281">
        <v>0</v>
      </c>
      <c r="K1281" t="s">
        <v>13657</v>
      </c>
      <c r="L1281" t="s">
        <v>57</v>
      </c>
      <c r="M1281" t="s">
        <v>39</v>
      </c>
      <c r="N1281">
        <v>0.91979999999999995</v>
      </c>
      <c r="O1281" s="1">
        <v>1</v>
      </c>
      <c r="P1281" t="s">
        <v>13658</v>
      </c>
      <c r="Q1281" t="s">
        <v>13659</v>
      </c>
      <c r="S1281" t="s">
        <v>166</v>
      </c>
      <c r="T1281" t="s">
        <v>838</v>
      </c>
      <c r="U1281" t="s">
        <v>13660</v>
      </c>
      <c r="V1281">
        <v>2</v>
      </c>
      <c r="W1281">
        <v>52</v>
      </c>
      <c r="AE1281" t="s">
        <v>74</v>
      </c>
      <c r="AF1281" t="s">
        <v>967</v>
      </c>
      <c r="AG1281" t="s">
        <v>13661</v>
      </c>
      <c r="AH1281" t="str">
        <f>HYPERLINK("http://compartments.jensenlab.org/Entity?figures=subcell_cell_%&amp;knowledge=10&amp;textmining=10&amp;experiments=10&amp;predictions=10&amp;type1=9606&amp;type2=-22&amp;id1=ENSP00000333744","link")</f>
        <v>link</v>
      </c>
      <c r="AI1281" t="s">
        <v>65</v>
      </c>
      <c r="AJ1281" t="s">
        <v>51</v>
      </c>
      <c r="AK1281" t="str">
        <f>HYPERLINK("http://www.proteinatlas.org/Q15760","HPA013955")</f>
        <v>HPA013955</v>
      </c>
      <c r="AM1281">
        <v>2842</v>
      </c>
    </row>
    <row r="1282" spans="1:39" x14ac:dyDescent="0.35">
      <c r="A1282" t="s">
        <v>13662</v>
      </c>
      <c r="B1282" t="str">
        <f>HYPERLINK("http://www.uniprot.org/uniprot/Q15761","Q15761")</f>
        <v>Q15761</v>
      </c>
      <c r="C1282" t="s">
        <v>13663</v>
      </c>
      <c r="D1282" t="s">
        <v>13664</v>
      </c>
      <c r="E1282" t="s">
        <v>39</v>
      </c>
      <c r="F1282" t="s">
        <v>40</v>
      </c>
      <c r="H1282">
        <v>445</v>
      </c>
      <c r="I1282">
        <v>7</v>
      </c>
      <c r="J1282">
        <v>0</v>
      </c>
      <c r="K1282" t="s">
        <v>13665</v>
      </c>
      <c r="L1282" t="s">
        <v>57</v>
      </c>
      <c r="N1282">
        <v>0.93210000000000004</v>
      </c>
      <c r="O1282" s="1">
        <v>1</v>
      </c>
      <c r="P1282" t="s">
        <v>13666</v>
      </c>
      <c r="Q1282" t="s">
        <v>13667</v>
      </c>
      <c r="S1282" t="s">
        <v>166</v>
      </c>
      <c r="T1282" t="s">
        <v>838</v>
      </c>
      <c r="U1282" t="s">
        <v>13668</v>
      </c>
      <c r="V1282">
        <v>2</v>
      </c>
      <c r="W1282" t="s">
        <v>13669</v>
      </c>
      <c r="AE1282" t="s">
        <v>74</v>
      </c>
      <c r="AF1282" t="s">
        <v>8230</v>
      </c>
      <c r="AG1282" t="s">
        <v>13670</v>
      </c>
      <c r="AH1282" t="str">
        <f>HYPERLINK("http://compartments.jensenlab.org/Entity?figures=subcell_cell_%&amp;knowledge=10&amp;textmining=10&amp;experiments=10&amp;predictions=10&amp;type1=9606&amp;type2=-22&amp;id1=ENSP00000339377","link")</f>
        <v>link</v>
      </c>
      <c r="AI1282" t="s">
        <v>65</v>
      </c>
      <c r="AJ1282" t="s">
        <v>2124</v>
      </c>
      <c r="AK1282" t="str">
        <f>HYPERLINK("http://www.proteinatlas.org/Q15761","HPA013790")</f>
        <v>HPA013790</v>
      </c>
      <c r="AM1282">
        <v>4889</v>
      </c>
    </row>
    <row r="1283" spans="1:39" x14ac:dyDescent="0.35">
      <c r="A1283" t="s">
        <v>13671</v>
      </c>
      <c r="B1283" t="str">
        <f>HYPERLINK("http://www.uniprot.org/uniprot/Q15762","Q15762")</f>
        <v>Q15762</v>
      </c>
      <c r="C1283" t="s">
        <v>13672</v>
      </c>
      <c r="D1283" t="s">
        <v>13673</v>
      </c>
      <c r="E1283" t="s">
        <v>39</v>
      </c>
      <c r="F1283" t="s">
        <v>40</v>
      </c>
      <c r="H1283">
        <v>336</v>
      </c>
      <c r="I1283">
        <v>1</v>
      </c>
      <c r="J1283">
        <v>1</v>
      </c>
      <c r="K1283" t="s">
        <v>13674</v>
      </c>
      <c r="L1283" t="s">
        <v>101</v>
      </c>
      <c r="N1283">
        <v>0.96409999999999996</v>
      </c>
      <c r="O1283" s="1">
        <v>1</v>
      </c>
      <c r="P1283" t="s">
        <v>13675</v>
      </c>
      <c r="Q1283" t="s">
        <v>13676</v>
      </c>
      <c r="R1283" t="s">
        <v>13673</v>
      </c>
      <c r="S1283" t="s">
        <v>166</v>
      </c>
      <c r="T1283" t="s">
        <v>2505</v>
      </c>
      <c r="U1283" t="s">
        <v>13677</v>
      </c>
      <c r="V1283">
        <v>8</v>
      </c>
      <c r="W1283" t="s">
        <v>13677</v>
      </c>
      <c r="Z1283" t="s">
        <v>107</v>
      </c>
      <c r="AA1283">
        <v>4</v>
      </c>
      <c r="AB1283" t="s">
        <v>13678</v>
      </c>
      <c r="AC1283" t="s">
        <v>13679</v>
      </c>
      <c r="AD1283" t="s">
        <v>13680</v>
      </c>
      <c r="AE1283" t="s">
        <v>144</v>
      </c>
      <c r="AF1283" t="s">
        <v>13681</v>
      </c>
      <c r="AG1283" t="s">
        <v>13682</v>
      </c>
      <c r="AH1283" t="str">
        <f>HYPERLINK("http://compartments.jensenlab.org/Entity?figures=subcell_cell_%&amp;knowledge=10&amp;textmining=10&amp;experiments=10&amp;predictions=10&amp;type1=9606&amp;type2=-22&amp;id1=ENSP00000280200","link")</f>
        <v>link</v>
      </c>
      <c r="AJ1283" t="s">
        <v>51</v>
      </c>
      <c r="AK1283" t="str">
        <f>HYPERLINK("http://www.proteinatlas.org/Q15762","HPA015715")</f>
        <v>HPA015715</v>
      </c>
      <c r="AM1283">
        <v>10666</v>
      </c>
    </row>
    <row r="1284" spans="1:39" x14ac:dyDescent="0.35">
      <c r="A1284" t="s">
        <v>13683</v>
      </c>
      <c r="B1284" t="str">
        <f>HYPERLINK("http://www.uniprot.org/uniprot/Q15768","Q15768")</f>
        <v>Q15768</v>
      </c>
      <c r="C1284" t="s">
        <v>13684</v>
      </c>
      <c r="D1284" t="s">
        <v>13685</v>
      </c>
      <c r="E1284" t="s">
        <v>39</v>
      </c>
      <c r="F1284" t="s">
        <v>40</v>
      </c>
      <c r="H1284">
        <v>340</v>
      </c>
      <c r="I1284">
        <v>1</v>
      </c>
      <c r="J1284">
        <v>1</v>
      </c>
      <c r="K1284" t="s">
        <v>13686</v>
      </c>
      <c r="L1284" t="s">
        <v>101</v>
      </c>
      <c r="N1284">
        <v>0.86029999999999995</v>
      </c>
      <c r="O1284" s="1">
        <v>1</v>
      </c>
      <c r="P1284" t="s">
        <v>13687</v>
      </c>
      <c r="Q1284" t="s">
        <v>13688</v>
      </c>
      <c r="S1284" t="s">
        <v>91</v>
      </c>
      <c r="T1284" t="s">
        <v>10532</v>
      </c>
      <c r="U1284">
        <v>210</v>
      </c>
      <c r="V1284">
        <v>1</v>
      </c>
      <c r="W1284">
        <v>210</v>
      </c>
      <c r="X1284" t="s">
        <v>13689</v>
      </c>
      <c r="Z1284" t="s">
        <v>107</v>
      </c>
      <c r="AA1284">
        <v>4</v>
      </c>
      <c r="AB1284" t="s">
        <v>13690</v>
      </c>
      <c r="AC1284">
        <v>210</v>
      </c>
      <c r="AD1284" t="s">
        <v>13691</v>
      </c>
      <c r="AE1284" t="s">
        <v>144</v>
      </c>
      <c r="AF1284" t="s">
        <v>13692</v>
      </c>
      <c r="AG1284" t="s">
        <v>13693</v>
      </c>
      <c r="AH1284" t="str">
        <f>HYPERLINK("http://compartments.jensenlab.org/Entity?figures=subcell_cell_%&amp;knowledge=10&amp;textmining=10&amp;experiments=10&amp;predictions=10&amp;type1=9606&amp;type2=-22&amp;id1=ENSP00000226091","link")</f>
        <v>link</v>
      </c>
      <c r="AJ1284" t="s">
        <v>51</v>
      </c>
      <c r="AK1284" t="str">
        <f>HYPERLINK("http://www.proteinatlas.org/Q15768","HPA001623")</f>
        <v>HPA001623</v>
      </c>
      <c r="AM1284">
        <v>1949</v>
      </c>
    </row>
    <row r="1285" spans="1:39" x14ac:dyDescent="0.35">
      <c r="A1285" t="s">
        <v>13694</v>
      </c>
      <c r="B1285" t="str">
        <f>HYPERLINK("http://www.uniprot.org/uniprot/Q15822","Q15822")</f>
        <v>Q15822</v>
      </c>
      <c r="C1285" t="s">
        <v>13695</v>
      </c>
      <c r="D1285" t="s">
        <v>13696</v>
      </c>
      <c r="E1285" t="s">
        <v>39</v>
      </c>
      <c r="F1285" t="s">
        <v>40</v>
      </c>
      <c r="H1285">
        <v>529</v>
      </c>
      <c r="I1285">
        <v>4</v>
      </c>
      <c r="J1285">
        <v>1</v>
      </c>
      <c r="K1285" t="s">
        <v>13697</v>
      </c>
      <c r="L1285" t="s">
        <v>57</v>
      </c>
      <c r="N1285">
        <v>0.94210000000000005</v>
      </c>
      <c r="O1285" s="1">
        <v>1</v>
      </c>
      <c r="P1285" t="s">
        <v>13698</v>
      </c>
      <c r="Q1285" t="s">
        <v>13699</v>
      </c>
      <c r="S1285" t="s">
        <v>45</v>
      </c>
      <c r="T1285" t="s">
        <v>195</v>
      </c>
      <c r="U1285" t="s">
        <v>13700</v>
      </c>
      <c r="V1285">
        <v>3</v>
      </c>
      <c r="AE1285" t="s">
        <v>619</v>
      </c>
      <c r="AF1285" t="s">
        <v>13701</v>
      </c>
      <c r="AG1285" t="s">
        <v>13702</v>
      </c>
      <c r="AH1285" t="str">
        <f>HYPERLINK("http://compartments.jensenlab.org/Entity?figures=subcell_cell_%&amp;knowledge=10&amp;textmining=10&amp;experiments=10&amp;predictions=10&amp;type1=9606&amp;type2=-22&amp;id1=ENSP00000385026","link")</f>
        <v>link</v>
      </c>
      <c r="AK1285" t="str">
        <f>HYPERLINK("http://www.proteinatlas.org/Q15822","no")</f>
        <v>no</v>
      </c>
      <c r="AL1285" t="s">
        <v>13703</v>
      </c>
      <c r="AM1285">
        <v>1135</v>
      </c>
    </row>
    <row r="1286" spans="1:39" x14ac:dyDescent="0.35">
      <c r="A1286" t="s">
        <v>13704</v>
      </c>
      <c r="B1286" t="str">
        <f>HYPERLINK("http://www.uniprot.org/uniprot/Q15825","Q15825")</f>
        <v>Q15825</v>
      </c>
      <c r="C1286" t="s">
        <v>13705</v>
      </c>
      <c r="D1286" t="s">
        <v>13706</v>
      </c>
      <c r="E1286" t="s">
        <v>39</v>
      </c>
      <c r="F1286" t="s">
        <v>55</v>
      </c>
      <c r="H1286">
        <v>494</v>
      </c>
      <c r="I1286">
        <v>4</v>
      </c>
      <c r="J1286">
        <v>1</v>
      </c>
      <c r="K1286" t="s">
        <v>13707</v>
      </c>
      <c r="L1286" t="s">
        <v>57</v>
      </c>
      <c r="M1286" t="s">
        <v>39</v>
      </c>
      <c r="N1286">
        <v>0.86890000000000001</v>
      </c>
      <c r="O1286" s="1">
        <v>1</v>
      </c>
      <c r="P1286" t="s">
        <v>13708</v>
      </c>
      <c r="Q1286" t="s">
        <v>13709</v>
      </c>
      <c r="S1286" t="s">
        <v>45</v>
      </c>
      <c r="T1286" t="s">
        <v>195</v>
      </c>
      <c r="U1286" t="s">
        <v>13710</v>
      </c>
      <c r="V1286">
        <v>2</v>
      </c>
      <c r="AE1286" t="s">
        <v>619</v>
      </c>
      <c r="AF1286" t="s">
        <v>9643</v>
      </c>
      <c r="AG1286" t="s">
        <v>13711</v>
      </c>
      <c r="AH1286" t="str">
        <f>HYPERLINK("http://compartments.jensenlab.org/Entity?figures=subcell_cell_%&amp;knowledge=10&amp;textmining=10&amp;experiments=10&amp;predictions=10&amp;type1=9606&amp;type2=-22&amp;id1=ENSP00000276410","link")</f>
        <v>link</v>
      </c>
      <c r="AI1286" t="s">
        <v>65</v>
      </c>
      <c r="AJ1286" t="s">
        <v>51</v>
      </c>
      <c r="AK1286" t="str">
        <f>HYPERLINK("http://www.proteinatlas.org/Q15825","no")</f>
        <v>no</v>
      </c>
      <c r="AL1286" t="s">
        <v>13712</v>
      </c>
      <c r="AM1286">
        <v>8973</v>
      </c>
    </row>
    <row r="1287" spans="1:39" x14ac:dyDescent="0.35">
      <c r="A1287" t="s">
        <v>13713</v>
      </c>
      <c r="B1287" t="str">
        <f>HYPERLINK("http://www.uniprot.org/uniprot/Q15849","Q15849")</f>
        <v>Q15849</v>
      </c>
      <c r="C1287" t="s">
        <v>13714</v>
      </c>
      <c r="D1287" t="s">
        <v>13715</v>
      </c>
      <c r="E1287" t="s">
        <v>39</v>
      </c>
      <c r="F1287" t="s">
        <v>55</v>
      </c>
      <c r="H1287">
        <v>920</v>
      </c>
      <c r="I1287">
        <v>20</v>
      </c>
      <c r="J1287">
        <v>0</v>
      </c>
      <c r="K1287" t="s">
        <v>13716</v>
      </c>
      <c r="L1287" t="s">
        <v>42</v>
      </c>
      <c r="M1287" t="s">
        <v>39</v>
      </c>
      <c r="N1287">
        <v>0.69189999999999996</v>
      </c>
      <c r="O1287" s="1">
        <v>2</v>
      </c>
      <c r="P1287" t="s">
        <v>13717</v>
      </c>
      <c r="Q1287" t="s">
        <v>13718</v>
      </c>
      <c r="S1287" t="s">
        <v>45</v>
      </c>
      <c r="T1287" t="s">
        <v>12666</v>
      </c>
      <c r="U1287" t="s">
        <v>13719</v>
      </c>
      <c r="V1287">
        <v>2</v>
      </c>
      <c r="AE1287" t="s">
        <v>10045</v>
      </c>
      <c r="AF1287" t="s">
        <v>13720</v>
      </c>
      <c r="AG1287" t="s">
        <v>13721</v>
      </c>
      <c r="AH1287" t="str">
        <f>HYPERLINK("http://compartments.jensenlab.org/Entity?figures=subcell_cell_%&amp;knowledge=10&amp;textmining=10&amp;experiments=10&amp;predictions=10&amp;type1=9606&amp;type2=-22&amp;id1=ENSP00000255226","link")</f>
        <v>link</v>
      </c>
      <c r="AI1287" t="s">
        <v>65</v>
      </c>
      <c r="AJ1287" t="s">
        <v>51</v>
      </c>
      <c r="AK1287" t="str">
        <f>HYPERLINK("http://www.proteinatlas.org/Q15849","HPA050069")</f>
        <v>HPA050069</v>
      </c>
      <c r="AM1287">
        <v>8170</v>
      </c>
    </row>
    <row r="1288" spans="1:39" x14ac:dyDescent="0.35">
      <c r="A1288" t="s">
        <v>13722</v>
      </c>
      <c r="B1288" t="str">
        <f>HYPERLINK("http://www.uniprot.org/uniprot/Q15858","Q15858")</f>
        <v>Q15858</v>
      </c>
      <c r="C1288" t="s">
        <v>13723</v>
      </c>
      <c r="D1288" t="s">
        <v>13724</v>
      </c>
      <c r="E1288" t="s">
        <v>39</v>
      </c>
      <c r="F1288" t="s">
        <v>40</v>
      </c>
      <c r="H1288">
        <v>1988</v>
      </c>
      <c r="I1288">
        <v>24</v>
      </c>
      <c r="J1288">
        <v>0</v>
      </c>
      <c r="K1288" t="s">
        <v>13725</v>
      </c>
      <c r="L1288" t="s">
        <v>42</v>
      </c>
      <c r="N1288">
        <v>0.78039999999999998</v>
      </c>
      <c r="O1288" s="1">
        <v>1</v>
      </c>
      <c r="P1288" t="s">
        <v>13726</v>
      </c>
      <c r="Q1288" t="s">
        <v>13727</v>
      </c>
      <c r="S1288" t="s">
        <v>45</v>
      </c>
      <c r="T1288" t="s">
        <v>8727</v>
      </c>
      <c r="U1288" t="s">
        <v>13728</v>
      </c>
      <c r="V1288">
        <v>7</v>
      </c>
      <c r="X1288" t="s">
        <v>13729</v>
      </c>
      <c r="AE1288" t="s">
        <v>48</v>
      </c>
      <c r="AF1288" t="s">
        <v>13730</v>
      </c>
      <c r="AG1288" t="s">
        <v>13731</v>
      </c>
      <c r="AH1288" t="str">
        <f>HYPERLINK("http://compartments.jensenlab.org/Entity?figures=subcell_cell_%&amp;knowledge=10&amp;textmining=10&amp;experiments=10&amp;predictions=10&amp;type1=9606&amp;type2=-22&amp;id1=ENSP00000304748","link")</f>
        <v>link</v>
      </c>
      <c r="AK1288" t="str">
        <f>HYPERLINK("http://www.proteinatlas.org/Q15858","CAB013679")</f>
        <v>CAB013679</v>
      </c>
      <c r="AL1288" t="s">
        <v>13732</v>
      </c>
      <c r="AM1288">
        <v>6335</v>
      </c>
    </row>
    <row r="1289" spans="1:39" x14ac:dyDescent="0.35">
      <c r="A1289" t="s">
        <v>13733</v>
      </c>
      <c r="B1289" t="str">
        <f>HYPERLINK("http://www.uniprot.org/uniprot/Q16099","Q16099")</f>
        <v>Q16099</v>
      </c>
      <c r="C1289" t="s">
        <v>13734</v>
      </c>
      <c r="D1289" t="s">
        <v>13735</v>
      </c>
      <c r="E1289" t="s">
        <v>39</v>
      </c>
      <c r="F1289" t="s">
        <v>40</v>
      </c>
      <c r="H1289">
        <v>956</v>
      </c>
      <c r="I1289">
        <v>3</v>
      </c>
      <c r="J1289">
        <v>1</v>
      </c>
      <c r="K1289" t="s">
        <v>13736</v>
      </c>
      <c r="L1289" t="s">
        <v>57</v>
      </c>
      <c r="N1289">
        <v>0.96609999999999996</v>
      </c>
      <c r="O1289" s="1">
        <v>1</v>
      </c>
      <c r="P1289" t="s">
        <v>13737</v>
      </c>
      <c r="Q1289" t="s">
        <v>13738</v>
      </c>
      <c r="S1289" t="s">
        <v>45</v>
      </c>
      <c r="T1289" t="s">
        <v>1554</v>
      </c>
      <c r="U1289" t="s">
        <v>13739</v>
      </c>
      <c r="V1289">
        <v>9</v>
      </c>
      <c r="W1289" t="s">
        <v>13740</v>
      </c>
      <c r="AE1289" t="s">
        <v>619</v>
      </c>
      <c r="AF1289" t="s">
        <v>13741</v>
      </c>
      <c r="AG1289" t="s">
        <v>13742</v>
      </c>
      <c r="AH1289" t="str">
        <f>HYPERLINK("http://compartments.jensenlab.org/Entity?figures=subcell_cell_%&amp;knowledge=10&amp;textmining=10&amp;experiments=10&amp;predictions=10&amp;type1=9606&amp;type2=-22&amp;id1=ENSP00000404063","link")</f>
        <v>link</v>
      </c>
      <c r="AK1289" t="str">
        <f>HYPERLINK("http://www.proteinatlas.org/Q16099","no")</f>
        <v>no</v>
      </c>
      <c r="AM1289">
        <v>2900</v>
      </c>
    </row>
    <row r="1290" spans="1:39" x14ac:dyDescent="0.35">
      <c r="A1290" t="s">
        <v>13743</v>
      </c>
      <c r="B1290" t="str">
        <f>HYPERLINK("http://www.uniprot.org/uniprot/Q16288","Q16288")</f>
        <v>Q16288</v>
      </c>
      <c r="C1290" t="s">
        <v>13744</v>
      </c>
      <c r="D1290" t="s">
        <v>13745</v>
      </c>
      <c r="E1290" t="s">
        <v>39</v>
      </c>
      <c r="F1290" t="s">
        <v>40</v>
      </c>
      <c r="H1290">
        <v>839</v>
      </c>
      <c r="I1290">
        <v>1</v>
      </c>
      <c r="J1290">
        <v>1</v>
      </c>
      <c r="K1290" t="s">
        <v>13746</v>
      </c>
      <c r="L1290" t="s">
        <v>101</v>
      </c>
      <c r="N1290">
        <v>0.96809999999999996</v>
      </c>
      <c r="O1290" s="1">
        <v>1</v>
      </c>
      <c r="P1290" t="s">
        <v>13747</v>
      </c>
      <c r="Q1290" t="s">
        <v>13748</v>
      </c>
      <c r="S1290" t="s">
        <v>166</v>
      </c>
      <c r="T1290" t="s">
        <v>3930</v>
      </c>
      <c r="U1290" t="s">
        <v>13749</v>
      </c>
      <c r="V1290">
        <v>14</v>
      </c>
      <c r="W1290" t="s">
        <v>13750</v>
      </c>
      <c r="X1290" t="s">
        <v>13751</v>
      </c>
      <c r="Z1290" t="s">
        <v>107</v>
      </c>
      <c r="AA1290">
        <v>4</v>
      </c>
      <c r="AB1290" t="s">
        <v>13752</v>
      </c>
      <c r="AC1290" t="s">
        <v>13753</v>
      </c>
      <c r="AD1290" t="s">
        <v>13754</v>
      </c>
      <c r="AE1290" t="s">
        <v>144</v>
      </c>
      <c r="AF1290" t="s">
        <v>13755</v>
      </c>
      <c r="AG1290" t="s">
        <v>13756</v>
      </c>
      <c r="AH1290" t="str">
        <f>HYPERLINK("http://compartments.jensenlab.org/Entity?figures=subcell_cell_%&amp;knowledge=10&amp;textmining=10&amp;experiments=10&amp;predictions=10&amp;type1=9606&amp;type2=-22&amp;id1=ENSP00000354207","link")</f>
        <v>link</v>
      </c>
      <c r="AJ1290" t="s">
        <v>51</v>
      </c>
      <c r="AK1290" t="str">
        <f>HYPERLINK("http://www.proteinatlas.org/Q16288","CAB009233")</f>
        <v>CAB009233</v>
      </c>
      <c r="AM1290">
        <v>4916</v>
      </c>
    </row>
    <row r="1291" spans="1:39" x14ac:dyDescent="0.35">
      <c r="A1291" t="s">
        <v>13757</v>
      </c>
      <c r="B1291" t="str">
        <f>HYPERLINK("http://www.uniprot.org/uniprot/Q16348","Q16348")</f>
        <v>Q16348</v>
      </c>
      <c r="C1291" t="s">
        <v>13758</v>
      </c>
      <c r="D1291" t="s">
        <v>13759</v>
      </c>
      <c r="E1291" t="s">
        <v>39</v>
      </c>
      <c r="F1291" t="s">
        <v>40</v>
      </c>
      <c r="H1291">
        <v>729</v>
      </c>
      <c r="I1291">
        <v>13</v>
      </c>
      <c r="J1291">
        <v>0</v>
      </c>
      <c r="K1291" t="s">
        <v>13760</v>
      </c>
      <c r="L1291" t="s">
        <v>118</v>
      </c>
      <c r="N1291">
        <v>0.71460000000000001</v>
      </c>
      <c r="O1291" s="1">
        <v>2</v>
      </c>
      <c r="P1291" t="s">
        <v>13761</v>
      </c>
      <c r="Q1291" t="s">
        <v>13762</v>
      </c>
      <c r="S1291" t="s">
        <v>45</v>
      </c>
      <c r="T1291" t="s">
        <v>9581</v>
      </c>
      <c r="U1291" t="s">
        <v>13763</v>
      </c>
      <c r="V1291">
        <v>4</v>
      </c>
      <c r="W1291">
        <v>587</v>
      </c>
      <c r="Y1291">
        <v>280</v>
      </c>
      <c r="Z1291" t="s">
        <v>123</v>
      </c>
      <c r="AA1291">
        <v>1</v>
      </c>
      <c r="AB1291" t="s">
        <v>13764</v>
      </c>
      <c r="AC1291">
        <v>472</v>
      </c>
      <c r="AD1291" t="s">
        <v>13765</v>
      </c>
      <c r="AE1291" t="s">
        <v>48</v>
      </c>
      <c r="AF1291" t="s">
        <v>13766</v>
      </c>
      <c r="AG1291" t="s">
        <v>13767</v>
      </c>
      <c r="AH1291" t="str">
        <f>HYPERLINK("http://compartments.jensenlab.org/Entity?figures=subcell_cell_%&amp;knowledge=10&amp;textmining=10&amp;experiments=10&amp;predictions=10&amp;type1=9606&amp;type2=-22&amp;id1=ENSP00000417085","link")</f>
        <v>link</v>
      </c>
      <c r="AJ1291" t="s">
        <v>51</v>
      </c>
      <c r="AK1291" t="str">
        <f>HYPERLINK("http://www.proteinatlas.org/Q16348","no")</f>
        <v>no</v>
      </c>
      <c r="AM1291">
        <v>6565</v>
      </c>
    </row>
    <row r="1292" spans="1:39" x14ac:dyDescent="0.35">
      <c r="A1292" t="s">
        <v>13768</v>
      </c>
      <c r="B1292" t="str">
        <f>HYPERLINK("http://www.uniprot.org/uniprot/Q16445","Q16445")</f>
        <v>Q16445</v>
      </c>
      <c r="C1292" t="s">
        <v>13769</v>
      </c>
      <c r="D1292" t="s">
        <v>13770</v>
      </c>
      <c r="E1292" t="s">
        <v>39</v>
      </c>
      <c r="F1292" t="s">
        <v>55</v>
      </c>
      <c r="H1292">
        <v>453</v>
      </c>
      <c r="I1292">
        <v>4</v>
      </c>
      <c r="J1292">
        <v>1</v>
      </c>
      <c r="K1292" t="s">
        <v>13771</v>
      </c>
      <c r="L1292" t="s">
        <v>57</v>
      </c>
      <c r="M1292" t="s">
        <v>39</v>
      </c>
      <c r="N1292">
        <v>0.93579999999999997</v>
      </c>
      <c r="O1292" s="1">
        <v>1</v>
      </c>
      <c r="P1292" t="s">
        <v>13772</v>
      </c>
      <c r="Q1292" t="s">
        <v>13773</v>
      </c>
      <c r="S1292" t="s">
        <v>45</v>
      </c>
      <c r="T1292" t="s">
        <v>195</v>
      </c>
      <c r="U1292" t="s">
        <v>13774</v>
      </c>
      <c r="V1292">
        <v>3</v>
      </c>
      <c r="W1292" t="s">
        <v>13775</v>
      </c>
      <c r="AE1292" t="s">
        <v>619</v>
      </c>
      <c r="AF1292" t="s">
        <v>9962</v>
      </c>
      <c r="AG1292" t="s">
        <v>13776</v>
      </c>
      <c r="AH1292" t="str">
        <f>HYPERLINK("http://compartments.jensenlab.org/Entity?figures=subcell_cell_%&amp;knowledge=10&amp;textmining=10&amp;experiments=10&amp;predictions=10&amp;type1=9606&amp;type2=-22&amp;id1=ENSP00000274545","link")</f>
        <v>link</v>
      </c>
      <c r="AI1292" t="s">
        <v>65</v>
      </c>
      <c r="AJ1292" t="s">
        <v>51</v>
      </c>
      <c r="AK1292" t="str">
        <f>HYPERLINK("http://www.proteinatlas.org/Q16445","HPA019188;CAB022462;HPA058329")</f>
        <v>HPA019188;CAB022462;HPA058329</v>
      </c>
      <c r="AL1292" t="s">
        <v>9964</v>
      </c>
      <c r="AM1292">
        <v>2559</v>
      </c>
    </row>
    <row r="1293" spans="1:39" x14ac:dyDescent="0.35">
      <c r="A1293" t="s">
        <v>13777</v>
      </c>
      <c r="B1293" t="str">
        <f>HYPERLINK("http://www.uniprot.org/uniprot/Q16478","Q16478")</f>
        <v>Q16478</v>
      </c>
      <c r="C1293" t="s">
        <v>13778</v>
      </c>
      <c r="D1293" t="s">
        <v>13779</v>
      </c>
      <c r="E1293" t="s">
        <v>39</v>
      </c>
      <c r="F1293" t="s">
        <v>55</v>
      </c>
      <c r="H1293">
        <v>980</v>
      </c>
      <c r="I1293">
        <v>3</v>
      </c>
      <c r="J1293">
        <v>1</v>
      </c>
      <c r="K1293" t="s">
        <v>13780</v>
      </c>
      <c r="L1293" t="s">
        <v>57</v>
      </c>
      <c r="M1293" t="s">
        <v>39</v>
      </c>
      <c r="N1293">
        <v>0.95679999999999998</v>
      </c>
      <c r="O1293" s="1">
        <v>1</v>
      </c>
      <c r="P1293" t="s">
        <v>13781</v>
      </c>
      <c r="Q1293" t="s">
        <v>13782</v>
      </c>
      <c r="S1293" t="s">
        <v>45</v>
      </c>
      <c r="T1293" t="s">
        <v>1554</v>
      </c>
      <c r="U1293" t="s">
        <v>13783</v>
      </c>
      <c r="V1293">
        <v>11</v>
      </c>
      <c r="AE1293" t="s">
        <v>619</v>
      </c>
      <c r="AF1293" t="s">
        <v>9643</v>
      </c>
      <c r="AG1293" t="s">
        <v>13784</v>
      </c>
      <c r="AH1293" t="str">
        <f>HYPERLINK("http://compartments.jensenlab.org/Entity?figures=subcell_cell_%&amp;knowledge=10&amp;textmining=10&amp;experiments=10&amp;predictions=10&amp;type1=9606&amp;type2=-22&amp;id1=ENSP00000262895","link")</f>
        <v>link</v>
      </c>
      <c r="AI1293" t="s">
        <v>65</v>
      </c>
      <c r="AJ1293" t="s">
        <v>51</v>
      </c>
      <c r="AK1293" t="str">
        <f>HYPERLINK("http://www.proteinatlas.org/Q16478","no")</f>
        <v>no</v>
      </c>
      <c r="AM1293">
        <v>2901</v>
      </c>
    </row>
    <row r="1294" spans="1:39" x14ac:dyDescent="0.35">
      <c r="A1294" t="s">
        <v>13785</v>
      </c>
      <c r="B1294" t="str">
        <f>HYPERLINK("http://www.uniprot.org/uniprot/Q16538","Q16538")</f>
        <v>Q16538</v>
      </c>
      <c r="C1294" t="s">
        <v>13786</v>
      </c>
      <c r="D1294" t="s">
        <v>13787</v>
      </c>
      <c r="E1294" t="s">
        <v>39</v>
      </c>
      <c r="F1294" t="s">
        <v>40</v>
      </c>
      <c r="H1294">
        <v>588</v>
      </c>
      <c r="I1294">
        <v>7</v>
      </c>
      <c r="J1294">
        <v>0</v>
      </c>
      <c r="K1294" t="s">
        <v>13788</v>
      </c>
      <c r="L1294" t="s">
        <v>57</v>
      </c>
      <c r="N1294">
        <v>0.68459999999999999</v>
      </c>
      <c r="O1294" s="1">
        <v>2</v>
      </c>
      <c r="P1294" t="s">
        <v>13789</v>
      </c>
      <c r="Q1294" t="s">
        <v>13790</v>
      </c>
      <c r="S1294" t="s">
        <v>166</v>
      </c>
      <c r="T1294" t="s">
        <v>838</v>
      </c>
      <c r="U1294">
        <v>86</v>
      </c>
      <c r="V1294">
        <v>1</v>
      </c>
      <c r="AE1294" t="s">
        <v>74</v>
      </c>
      <c r="AF1294" t="s">
        <v>13791</v>
      </c>
      <c r="AG1294" t="s">
        <v>13792</v>
      </c>
      <c r="AH1294" t="str">
        <f>HYPERLINK("http://compartments.jensenlab.org/Entity?figures=subcell_cell_%&amp;knowledge=10&amp;textmining=10&amp;experiments=10&amp;predictions=10&amp;type1=9606&amp;type2=-22&amp;id1=ENSP00000311528","link")</f>
        <v>link</v>
      </c>
      <c r="AI1294" t="s">
        <v>65</v>
      </c>
      <c r="AJ1294" t="s">
        <v>345</v>
      </c>
      <c r="AK1294" t="str">
        <f>HYPERLINK("http://www.proteinatlas.org/Q16538","HPA055135")</f>
        <v>HPA055135</v>
      </c>
      <c r="AM1294">
        <v>27239</v>
      </c>
    </row>
    <row r="1295" spans="1:39" x14ac:dyDescent="0.35">
      <c r="A1295" t="s">
        <v>13793</v>
      </c>
      <c r="B1295" t="str">
        <f>HYPERLINK("http://www.uniprot.org/uniprot/Q16553","Q16553")</f>
        <v>Q16553</v>
      </c>
      <c r="C1295" t="s">
        <v>13794</v>
      </c>
      <c r="D1295" t="s">
        <v>13795</v>
      </c>
      <c r="E1295" t="s">
        <v>39</v>
      </c>
      <c r="F1295" t="s">
        <v>239</v>
      </c>
      <c r="H1295">
        <v>131</v>
      </c>
      <c r="I1295">
        <v>0</v>
      </c>
      <c r="J1295">
        <v>1</v>
      </c>
      <c r="K1295" t="s">
        <v>13796</v>
      </c>
      <c r="L1295" t="s">
        <v>57</v>
      </c>
      <c r="N1295">
        <v>0.73850000000000005</v>
      </c>
      <c r="O1295" s="1" t="s">
        <v>241</v>
      </c>
      <c r="P1295" t="s">
        <v>13797</v>
      </c>
      <c r="Q1295" t="s">
        <v>13798</v>
      </c>
      <c r="S1295" t="s">
        <v>60</v>
      </c>
      <c r="T1295" t="s">
        <v>60</v>
      </c>
      <c r="U1295">
        <v>99</v>
      </c>
      <c r="V1295">
        <v>1</v>
      </c>
      <c r="W1295">
        <v>99</v>
      </c>
      <c r="AE1295" t="s">
        <v>243</v>
      </c>
      <c r="AF1295" t="s">
        <v>13799</v>
      </c>
      <c r="AG1295" t="s">
        <v>13800</v>
      </c>
      <c r="AH1295" t="str">
        <f>HYPERLINK("http://compartments.jensenlab.org/Entity?figures=subcell_cell_%&amp;knowledge=10&amp;textmining=10&amp;experiments=10&amp;predictions=10&amp;type1=9606&amp;type2=-22&amp;id1=ENSP00000292494","link")</f>
        <v>link</v>
      </c>
      <c r="AI1295" t="s">
        <v>65</v>
      </c>
      <c r="AJ1295" t="s">
        <v>51</v>
      </c>
      <c r="AK1295" t="str">
        <f>HYPERLINK("http://www.proteinatlas.org/Q16553","HPA027186")</f>
        <v>HPA027186</v>
      </c>
      <c r="AM1295">
        <v>4061</v>
      </c>
    </row>
    <row r="1296" spans="1:39" x14ac:dyDescent="0.35">
      <c r="A1296" t="s">
        <v>13801</v>
      </c>
      <c r="B1296" t="str">
        <f>HYPERLINK("http://www.uniprot.org/uniprot/Q16558","Q16558")</f>
        <v>Q16558</v>
      </c>
      <c r="C1296" t="s">
        <v>13802</v>
      </c>
      <c r="D1296" t="s">
        <v>13803</v>
      </c>
      <c r="E1296" t="s">
        <v>39</v>
      </c>
      <c r="F1296" t="s">
        <v>40</v>
      </c>
      <c r="H1296">
        <v>191</v>
      </c>
      <c r="I1296">
        <v>2</v>
      </c>
      <c r="J1296">
        <v>0</v>
      </c>
      <c r="K1296" t="s">
        <v>13804</v>
      </c>
      <c r="L1296" t="s">
        <v>57</v>
      </c>
      <c r="N1296">
        <v>0.66469999999999996</v>
      </c>
      <c r="O1296" s="1">
        <v>2</v>
      </c>
      <c r="P1296" t="s">
        <v>13805</v>
      </c>
      <c r="Q1296" t="s">
        <v>13806</v>
      </c>
      <c r="S1296" t="s">
        <v>45</v>
      </c>
      <c r="T1296" t="s">
        <v>13807</v>
      </c>
      <c r="U1296" t="s">
        <v>13808</v>
      </c>
      <c r="V1296">
        <v>2</v>
      </c>
      <c r="AE1296" t="s">
        <v>48</v>
      </c>
      <c r="AF1296" t="s">
        <v>13809</v>
      </c>
      <c r="AG1296" t="s">
        <v>13810</v>
      </c>
      <c r="AH1296" t="str">
        <f>HYPERLINK("http://compartments.jensenlab.org/Entity?figures=subcell_cell_%&amp;knowledge=10&amp;textmining=10&amp;experiments=10&amp;predictions=10&amp;type1=9606&amp;type2=-22&amp;id1=ENSP00000274629","link")</f>
        <v>link</v>
      </c>
      <c r="AJ1296" t="s">
        <v>51</v>
      </c>
      <c r="AK1296" t="str">
        <f>HYPERLINK("http://www.proteinatlas.org/Q16558","HPA020435")</f>
        <v>HPA020435</v>
      </c>
      <c r="AL1296" t="s">
        <v>13811</v>
      </c>
      <c r="AM1296">
        <v>3779</v>
      </c>
    </row>
    <row r="1297" spans="1:39" x14ac:dyDescent="0.35">
      <c r="A1297" t="s">
        <v>13812</v>
      </c>
      <c r="B1297" t="str">
        <f>HYPERLINK("http://www.uniprot.org/uniprot/Q16563","Q16563")</f>
        <v>Q16563</v>
      </c>
      <c r="C1297" t="s">
        <v>13813</v>
      </c>
      <c r="D1297" t="s">
        <v>13814</v>
      </c>
      <c r="E1297" t="s">
        <v>39</v>
      </c>
      <c r="F1297" t="s">
        <v>40</v>
      </c>
      <c r="H1297">
        <v>259</v>
      </c>
      <c r="I1297">
        <v>4</v>
      </c>
      <c r="J1297">
        <v>0</v>
      </c>
      <c r="K1297" t="s">
        <v>13815</v>
      </c>
      <c r="L1297" t="s">
        <v>101</v>
      </c>
      <c r="N1297">
        <v>0.78039999999999998</v>
      </c>
      <c r="O1297" s="1">
        <v>1</v>
      </c>
      <c r="P1297" t="s">
        <v>13816</v>
      </c>
      <c r="Q1297" t="s">
        <v>13817</v>
      </c>
      <c r="S1297" t="s">
        <v>91</v>
      </c>
      <c r="T1297" t="s">
        <v>4453</v>
      </c>
      <c r="U1297" t="s">
        <v>13818</v>
      </c>
      <c r="V1297">
        <v>1</v>
      </c>
      <c r="W1297" t="s">
        <v>13818</v>
      </c>
      <c r="Z1297" t="s">
        <v>123</v>
      </c>
      <c r="AA1297">
        <v>7</v>
      </c>
      <c r="AB1297" t="s">
        <v>13819</v>
      </c>
      <c r="AC1297">
        <v>71</v>
      </c>
      <c r="AD1297" t="s">
        <v>13820</v>
      </c>
      <c r="AE1297" t="s">
        <v>13821</v>
      </c>
      <c r="AF1297" t="s">
        <v>13822</v>
      </c>
      <c r="AG1297" t="s">
        <v>13823</v>
      </c>
      <c r="AH1297" t="str">
        <f>HYPERLINK("http://compartments.jensenlab.org/Entity?figures=subcell_cell_%&amp;knowledge=10&amp;textmining=10&amp;experiments=10&amp;predictions=10&amp;type1=9606&amp;type2=-22&amp;id1=ENSP00000011473","link")</f>
        <v>link</v>
      </c>
      <c r="AJ1297" t="s">
        <v>51</v>
      </c>
      <c r="AK1297" t="str">
        <f>HYPERLINK("http://www.proteinatlas.org/Q16563","HPA014141")</f>
        <v>HPA014141</v>
      </c>
      <c r="AM1297">
        <v>6856</v>
      </c>
    </row>
    <row r="1298" spans="1:39" x14ac:dyDescent="0.35">
      <c r="A1298" t="s">
        <v>13824</v>
      </c>
      <c r="B1298" t="str">
        <f>HYPERLINK("http://www.uniprot.org/uniprot/Q16570","Q16570")</f>
        <v>Q16570</v>
      </c>
      <c r="C1298" t="s">
        <v>13825</v>
      </c>
      <c r="D1298" t="s">
        <v>13826</v>
      </c>
      <c r="E1298" t="s">
        <v>39</v>
      </c>
      <c r="F1298" t="s">
        <v>40</v>
      </c>
      <c r="H1298">
        <v>336</v>
      </c>
      <c r="I1298">
        <v>7</v>
      </c>
      <c r="J1298">
        <v>0</v>
      </c>
      <c r="K1298" t="s">
        <v>13827</v>
      </c>
      <c r="L1298" t="s">
        <v>57</v>
      </c>
      <c r="N1298">
        <v>0.7006</v>
      </c>
      <c r="O1298" s="1">
        <v>2</v>
      </c>
      <c r="P1298" t="s">
        <v>13828</v>
      </c>
      <c r="Q1298" t="s">
        <v>13829</v>
      </c>
      <c r="R1298" t="s">
        <v>13830</v>
      </c>
      <c r="S1298" t="s">
        <v>166</v>
      </c>
      <c r="T1298" t="s">
        <v>838</v>
      </c>
      <c r="U1298" t="s">
        <v>13831</v>
      </c>
      <c r="V1298">
        <v>3</v>
      </c>
      <c r="X1298" t="s">
        <v>13832</v>
      </c>
      <c r="AE1298" t="s">
        <v>13833</v>
      </c>
      <c r="AF1298" t="s">
        <v>13834</v>
      </c>
      <c r="AG1298" t="s">
        <v>13835</v>
      </c>
      <c r="AH1298" t="str">
        <f>HYPERLINK("http://compartments.jensenlab.org/Entity?figures=subcell_cell_%&amp;knowledge=10&amp;textmining=10&amp;experiments=10&amp;predictions=10&amp;type1=9606&amp;type2=-22&amp;id1=ENSP00000357104","link")</f>
        <v>link</v>
      </c>
      <c r="AK1298" t="str">
        <f>HYPERLINK("http://www.proteinatlas.org/Q16570","HPA016421;HPA017672")</f>
        <v>HPA016421;HPA017672</v>
      </c>
      <c r="AM1298">
        <v>2532</v>
      </c>
    </row>
    <row r="1299" spans="1:39" x14ac:dyDescent="0.35">
      <c r="A1299" t="s">
        <v>13836</v>
      </c>
      <c r="B1299" t="str">
        <f>HYPERLINK("http://www.uniprot.org/uniprot/Q16572","Q16572")</f>
        <v>Q16572</v>
      </c>
      <c r="C1299" t="s">
        <v>13837</v>
      </c>
      <c r="D1299" t="s">
        <v>13838</v>
      </c>
      <c r="E1299" t="s">
        <v>39</v>
      </c>
      <c r="F1299" t="s">
        <v>40</v>
      </c>
      <c r="H1299">
        <v>532</v>
      </c>
      <c r="I1299">
        <v>12</v>
      </c>
      <c r="J1299">
        <v>0</v>
      </c>
      <c r="K1299" t="s">
        <v>13839</v>
      </c>
      <c r="L1299" t="s">
        <v>57</v>
      </c>
      <c r="N1299">
        <v>0.59279999999999999</v>
      </c>
      <c r="O1299" s="1">
        <v>2</v>
      </c>
      <c r="P1299" t="s">
        <v>13840</v>
      </c>
      <c r="Q1299" t="s">
        <v>13841</v>
      </c>
      <c r="S1299" t="s">
        <v>45</v>
      </c>
      <c r="T1299" t="s">
        <v>10615</v>
      </c>
      <c r="U1299" t="s">
        <v>13842</v>
      </c>
      <c r="V1299">
        <v>2</v>
      </c>
      <c r="AE1299" t="s">
        <v>48</v>
      </c>
      <c r="AF1299" t="s">
        <v>13843</v>
      </c>
      <c r="AG1299" t="s">
        <v>13844</v>
      </c>
      <c r="AH1299" t="str">
        <f>HYPERLINK("http://compartments.jensenlab.org/Entity?figures=subcell_cell_%&amp;knowledge=10&amp;textmining=10&amp;experiments=10&amp;predictions=10&amp;type1=9606&amp;type2=-22&amp;id1=ENSP00000363229","link")</f>
        <v>link</v>
      </c>
      <c r="AJ1299" t="s">
        <v>3228</v>
      </c>
      <c r="AK1299" t="str">
        <f>HYPERLINK("http://www.proteinatlas.org/Q16572","CAB037102")</f>
        <v>CAB037102</v>
      </c>
      <c r="AM1299">
        <v>6572</v>
      </c>
    </row>
    <row r="1300" spans="1:39" x14ac:dyDescent="0.35">
      <c r="A1300" t="s">
        <v>13845</v>
      </c>
      <c r="B1300" t="str">
        <f>HYPERLINK("http://www.uniprot.org/uniprot/Q16581","Q16581")</f>
        <v>Q16581</v>
      </c>
      <c r="C1300" t="s">
        <v>13846</v>
      </c>
      <c r="D1300" t="s">
        <v>13847</v>
      </c>
      <c r="E1300" t="s">
        <v>39</v>
      </c>
      <c r="F1300" t="s">
        <v>55</v>
      </c>
      <c r="H1300">
        <v>482</v>
      </c>
      <c r="I1300">
        <v>7</v>
      </c>
      <c r="J1300">
        <v>0</v>
      </c>
      <c r="K1300" t="s">
        <v>13848</v>
      </c>
      <c r="L1300" t="s">
        <v>57</v>
      </c>
      <c r="M1300" t="s">
        <v>39</v>
      </c>
      <c r="N1300">
        <v>0.9153</v>
      </c>
      <c r="O1300" s="1">
        <v>1</v>
      </c>
      <c r="P1300" t="s">
        <v>13849</v>
      </c>
      <c r="Q1300" t="s">
        <v>13850</v>
      </c>
      <c r="S1300" t="s">
        <v>166</v>
      </c>
      <c r="T1300" t="s">
        <v>838</v>
      </c>
      <c r="U1300" t="s">
        <v>13851</v>
      </c>
      <c r="V1300">
        <v>2</v>
      </c>
      <c r="W1300" t="s">
        <v>13852</v>
      </c>
      <c r="Y1300" t="s">
        <v>13853</v>
      </c>
      <c r="AE1300" t="s">
        <v>74</v>
      </c>
      <c r="AF1300" t="s">
        <v>13854</v>
      </c>
      <c r="AG1300" t="s">
        <v>13855</v>
      </c>
      <c r="AH1300" t="str">
        <f>HYPERLINK("http://compartments.jensenlab.org/Entity?figures=subcell_cell_%&amp;knowledge=10&amp;textmining=10&amp;experiments=10&amp;predictions=10&amp;type1=9606&amp;type2=-22&amp;id1=ENSP00000302079","link")</f>
        <v>link</v>
      </c>
      <c r="AI1300" t="s">
        <v>65</v>
      </c>
      <c r="AJ1300" t="s">
        <v>51</v>
      </c>
      <c r="AK1300" t="str">
        <f>HYPERLINK("http://www.proteinatlas.org/Q16581","CAB009405")</f>
        <v>CAB009405</v>
      </c>
      <c r="AM1300">
        <v>719</v>
      </c>
    </row>
    <row r="1301" spans="1:39" x14ac:dyDescent="0.35">
      <c r="A1301" t="s">
        <v>13856</v>
      </c>
      <c r="B1301" t="str">
        <f>HYPERLINK("http://www.uniprot.org/uniprot/Q16585","Q16585")</f>
        <v>Q16585</v>
      </c>
      <c r="C1301" t="s">
        <v>13857</v>
      </c>
      <c r="D1301" t="s">
        <v>13858</v>
      </c>
      <c r="E1301" t="s">
        <v>39</v>
      </c>
      <c r="F1301" t="s">
        <v>55</v>
      </c>
      <c r="H1301">
        <v>318</v>
      </c>
      <c r="I1301">
        <v>1</v>
      </c>
      <c r="J1301">
        <v>0</v>
      </c>
      <c r="K1301" t="s">
        <v>13859</v>
      </c>
      <c r="L1301" t="s">
        <v>101</v>
      </c>
      <c r="M1301" t="s">
        <v>39</v>
      </c>
      <c r="N1301">
        <v>0.86839999999999995</v>
      </c>
      <c r="O1301" s="1">
        <v>1</v>
      </c>
      <c r="P1301" t="s">
        <v>13860</v>
      </c>
      <c r="Q1301" t="s">
        <v>13861</v>
      </c>
      <c r="S1301" t="s">
        <v>91</v>
      </c>
      <c r="T1301" t="s">
        <v>1872</v>
      </c>
      <c r="U1301" t="s">
        <v>13862</v>
      </c>
      <c r="V1301">
        <v>3</v>
      </c>
      <c r="W1301" t="s">
        <v>13863</v>
      </c>
      <c r="Z1301" t="s">
        <v>107</v>
      </c>
      <c r="AA1301">
        <v>2</v>
      </c>
      <c r="AB1301" t="s">
        <v>13864</v>
      </c>
      <c r="AC1301" t="s">
        <v>13863</v>
      </c>
      <c r="AD1301" t="s">
        <v>13865</v>
      </c>
      <c r="AE1301" t="s">
        <v>13866</v>
      </c>
      <c r="AF1301" t="s">
        <v>13867</v>
      </c>
      <c r="AG1301" t="s">
        <v>13868</v>
      </c>
      <c r="AH1301" t="str">
        <f>HYPERLINK("http://compartments.jensenlab.org/Entity?figures=subcell_cell_%&amp;knowledge=10&amp;textmining=10&amp;experiments=10&amp;predictions=10&amp;type1=9606&amp;type2=-22&amp;id1=ENSP00000370839","link")</f>
        <v>link</v>
      </c>
      <c r="AI1301" t="s">
        <v>65</v>
      </c>
      <c r="AJ1301" t="s">
        <v>1649</v>
      </c>
      <c r="AK1301" t="str">
        <f>HYPERLINK("http://www.proteinatlas.org/Q16585","HPA011422;HPA058656")</f>
        <v>HPA011422;HPA058656</v>
      </c>
      <c r="AM1301">
        <v>6443</v>
      </c>
    </row>
    <row r="1302" spans="1:39" x14ac:dyDescent="0.35">
      <c r="A1302" t="s">
        <v>13869</v>
      </c>
      <c r="B1302" t="str">
        <f>HYPERLINK("http://www.uniprot.org/uniprot/Q16586","Q16586")</f>
        <v>Q16586</v>
      </c>
      <c r="C1302" t="s">
        <v>13870</v>
      </c>
      <c r="D1302" t="s">
        <v>13871</v>
      </c>
      <c r="E1302" t="s">
        <v>39</v>
      </c>
      <c r="F1302" t="s">
        <v>40</v>
      </c>
      <c r="H1302">
        <v>387</v>
      </c>
      <c r="I1302">
        <v>1</v>
      </c>
      <c r="J1302">
        <v>1</v>
      </c>
      <c r="K1302" t="s">
        <v>13872</v>
      </c>
      <c r="L1302" t="s">
        <v>57</v>
      </c>
      <c r="N1302">
        <v>0.89219999999999999</v>
      </c>
      <c r="O1302" s="1">
        <v>1</v>
      </c>
      <c r="P1302" t="s">
        <v>13873</v>
      </c>
      <c r="Q1302" t="s">
        <v>13874</v>
      </c>
      <c r="S1302" t="s">
        <v>91</v>
      </c>
      <c r="T1302" t="s">
        <v>1872</v>
      </c>
      <c r="U1302" t="s">
        <v>13875</v>
      </c>
      <c r="V1302">
        <v>2</v>
      </c>
      <c r="W1302" t="s">
        <v>13875</v>
      </c>
      <c r="AE1302" t="s">
        <v>13876</v>
      </c>
      <c r="AF1302" t="s">
        <v>13877</v>
      </c>
      <c r="AG1302" t="s">
        <v>13878</v>
      </c>
      <c r="AH1302" t="str">
        <f>HYPERLINK("http://compartments.jensenlab.org/Entity?figures=subcell_cell_%&amp;knowledge=10&amp;textmining=10&amp;experiments=10&amp;predictions=10&amp;type1=9606&amp;type2=-22&amp;id1=ENSP00000262018","link")</f>
        <v>link</v>
      </c>
      <c r="AI1302" t="s">
        <v>65</v>
      </c>
      <c r="AJ1302" t="s">
        <v>1649</v>
      </c>
      <c r="AK1302" t="str">
        <f>HYPERLINK("http://www.proteinatlas.org/Q16586","HPA007537")</f>
        <v>HPA007537</v>
      </c>
      <c r="AM1302">
        <v>6442</v>
      </c>
    </row>
    <row r="1303" spans="1:39" x14ac:dyDescent="0.35">
      <c r="A1303" t="s">
        <v>13879</v>
      </c>
      <c r="B1303" t="str">
        <f>HYPERLINK("http://www.uniprot.org/uniprot/Q16602","Q16602")</f>
        <v>Q16602</v>
      </c>
      <c r="C1303" t="s">
        <v>13880</v>
      </c>
      <c r="D1303" t="s">
        <v>13881</v>
      </c>
      <c r="E1303" t="s">
        <v>39</v>
      </c>
      <c r="F1303" t="s">
        <v>55</v>
      </c>
      <c r="H1303">
        <v>461</v>
      </c>
      <c r="I1303">
        <v>7</v>
      </c>
      <c r="J1303">
        <v>1</v>
      </c>
      <c r="K1303" t="s">
        <v>13882</v>
      </c>
      <c r="L1303" t="s">
        <v>101</v>
      </c>
      <c r="M1303" t="s">
        <v>39</v>
      </c>
      <c r="N1303">
        <v>0.93179999999999996</v>
      </c>
      <c r="O1303" s="1">
        <v>1</v>
      </c>
      <c r="P1303" t="s">
        <v>13883</v>
      </c>
      <c r="Q1303" t="s">
        <v>13884</v>
      </c>
      <c r="S1303" t="s">
        <v>166</v>
      </c>
      <c r="T1303" t="s">
        <v>3409</v>
      </c>
      <c r="U1303" t="s">
        <v>13885</v>
      </c>
      <c r="V1303">
        <v>3</v>
      </c>
      <c r="W1303" t="s">
        <v>13885</v>
      </c>
      <c r="Y1303" t="s">
        <v>13886</v>
      </c>
      <c r="Z1303" t="s">
        <v>107</v>
      </c>
      <c r="AA1303">
        <v>1</v>
      </c>
      <c r="AB1303" t="s">
        <v>13887</v>
      </c>
      <c r="AC1303">
        <v>66</v>
      </c>
      <c r="AD1303" t="s">
        <v>13888</v>
      </c>
      <c r="AE1303" t="s">
        <v>74</v>
      </c>
      <c r="AF1303" t="s">
        <v>13889</v>
      </c>
      <c r="AG1303" t="s">
        <v>13890</v>
      </c>
      <c r="AH1303" t="str">
        <f>HYPERLINK("http://compartments.jensenlab.org/Entity?figures=subcell_cell_%&amp;knowledge=10&amp;textmining=10&amp;experiments=10&amp;predictions=10&amp;type1=9606&amp;type2=-22&amp;id1=ENSP00000376177","link")</f>
        <v>link</v>
      </c>
      <c r="AI1303" t="s">
        <v>3694</v>
      </c>
      <c r="AJ1303" t="s">
        <v>8232</v>
      </c>
      <c r="AK1303" t="str">
        <f>HYPERLINK("http://www.proteinatlas.org/Q16602","HPA008070")</f>
        <v>HPA008070</v>
      </c>
      <c r="AM1303">
        <v>10203</v>
      </c>
    </row>
    <row r="1304" spans="1:39" x14ac:dyDescent="0.35">
      <c r="A1304" t="s">
        <v>13891</v>
      </c>
      <c r="B1304" t="str">
        <f>HYPERLINK("http://www.uniprot.org/uniprot/Q16620","Q16620")</f>
        <v>Q16620</v>
      </c>
      <c r="C1304" t="s">
        <v>13892</v>
      </c>
      <c r="D1304" t="s">
        <v>13893</v>
      </c>
      <c r="E1304" t="s">
        <v>39</v>
      </c>
      <c r="F1304" t="s">
        <v>55</v>
      </c>
      <c r="H1304">
        <v>822</v>
      </c>
      <c r="I1304">
        <v>1</v>
      </c>
      <c r="J1304">
        <v>1</v>
      </c>
      <c r="K1304" t="s">
        <v>13894</v>
      </c>
      <c r="L1304" t="s">
        <v>101</v>
      </c>
      <c r="M1304" t="s">
        <v>39</v>
      </c>
      <c r="N1304">
        <v>0.96840000000000004</v>
      </c>
      <c r="O1304" s="1">
        <v>1</v>
      </c>
      <c r="P1304" t="s">
        <v>13895</v>
      </c>
      <c r="Q1304" t="s">
        <v>13896</v>
      </c>
      <c r="S1304" t="s">
        <v>166</v>
      </c>
      <c r="T1304" t="s">
        <v>3930</v>
      </c>
      <c r="U1304" t="s">
        <v>13897</v>
      </c>
      <c r="V1304">
        <v>11</v>
      </c>
      <c r="W1304" t="s">
        <v>13898</v>
      </c>
      <c r="X1304" t="s">
        <v>13899</v>
      </c>
      <c r="Y1304">
        <v>4</v>
      </c>
      <c r="Z1304" t="s">
        <v>107</v>
      </c>
      <c r="AA1304">
        <v>3</v>
      </c>
      <c r="AB1304" t="s">
        <v>13900</v>
      </c>
      <c r="AC1304" t="s">
        <v>13901</v>
      </c>
      <c r="AD1304" t="s">
        <v>13902</v>
      </c>
      <c r="AE1304" t="s">
        <v>4332</v>
      </c>
      <c r="AF1304" t="s">
        <v>13903</v>
      </c>
      <c r="AG1304" t="s">
        <v>13904</v>
      </c>
      <c r="AH1304" t="str">
        <f>HYPERLINK("http://compartments.jensenlab.org/Entity?figures=subcell_cell_%&amp;knowledge=10&amp;textmining=10&amp;experiments=10&amp;predictions=10&amp;type1=9606&amp;type2=-22&amp;id1=ENSP00000314586","link")</f>
        <v>link</v>
      </c>
      <c r="AK1304" t="str">
        <f>HYPERLINK("http://www.proteinatlas.org/Q16620","HPA007637;CAB010346")</f>
        <v>HPA007637;CAB010346</v>
      </c>
      <c r="AL1304" t="s">
        <v>13905</v>
      </c>
      <c r="AM1304">
        <v>4915</v>
      </c>
    </row>
    <row r="1305" spans="1:39" x14ac:dyDescent="0.35">
      <c r="A1305" t="s">
        <v>13906</v>
      </c>
      <c r="B1305" t="str">
        <f>HYPERLINK("http://www.uniprot.org/uniprot/Q16651","Q16651")</f>
        <v>Q16651</v>
      </c>
      <c r="C1305" t="s">
        <v>13907</v>
      </c>
      <c r="D1305" t="s">
        <v>13908</v>
      </c>
      <c r="E1305" t="s">
        <v>39</v>
      </c>
      <c r="F1305" t="s">
        <v>55</v>
      </c>
      <c r="H1305">
        <v>343</v>
      </c>
      <c r="I1305">
        <v>1</v>
      </c>
      <c r="J1305">
        <v>1</v>
      </c>
      <c r="K1305" t="s">
        <v>13909</v>
      </c>
      <c r="L1305" t="s">
        <v>42</v>
      </c>
      <c r="M1305" t="s">
        <v>39</v>
      </c>
      <c r="N1305">
        <v>0.50260000000000005</v>
      </c>
      <c r="O1305" s="1">
        <v>3</v>
      </c>
      <c r="P1305" t="s">
        <v>13910</v>
      </c>
      <c r="Q1305" t="s">
        <v>13911</v>
      </c>
      <c r="S1305" t="s">
        <v>60</v>
      </c>
      <c r="T1305" t="s">
        <v>60</v>
      </c>
      <c r="U1305">
        <v>159</v>
      </c>
      <c r="V1305">
        <v>1</v>
      </c>
      <c r="W1305">
        <v>159</v>
      </c>
      <c r="AE1305" t="s">
        <v>13912</v>
      </c>
      <c r="AF1305" t="s">
        <v>13913</v>
      </c>
      <c r="AG1305" t="s">
        <v>13914</v>
      </c>
      <c r="AH1305" t="str">
        <f>HYPERLINK("http://compartments.jensenlab.org/Entity?figures=subcell_cell_%&amp;knowledge=10&amp;textmining=10&amp;experiments=10&amp;predictions=10&amp;type1=9606&amp;type2=-22&amp;id1=ENSP00000319730","link")</f>
        <v>link</v>
      </c>
      <c r="AI1305" t="s">
        <v>1058</v>
      </c>
      <c r="AJ1305" t="s">
        <v>902</v>
      </c>
      <c r="AK1305" t="str">
        <f>HYPERLINK("http://www.proteinatlas.org/Q16651","HPA030436")</f>
        <v>HPA030436</v>
      </c>
      <c r="AM1305">
        <v>5652</v>
      </c>
    </row>
    <row r="1306" spans="1:39" x14ac:dyDescent="0.35">
      <c r="A1306" t="s">
        <v>13915</v>
      </c>
      <c r="B1306" t="str">
        <f>HYPERLINK("http://www.uniprot.org/uniprot/Q16653","Q16653")</f>
        <v>Q16653</v>
      </c>
      <c r="C1306" t="s">
        <v>13916</v>
      </c>
      <c r="D1306" t="s">
        <v>13917</v>
      </c>
      <c r="E1306" t="s">
        <v>39</v>
      </c>
      <c r="F1306" t="s">
        <v>40</v>
      </c>
      <c r="H1306">
        <v>247</v>
      </c>
      <c r="I1306">
        <v>2</v>
      </c>
      <c r="J1306">
        <v>1</v>
      </c>
      <c r="K1306" t="s">
        <v>13918</v>
      </c>
      <c r="L1306" t="s">
        <v>57</v>
      </c>
      <c r="N1306">
        <v>0.66869999999999996</v>
      </c>
      <c r="O1306" s="1">
        <v>2</v>
      </c>
      <c r="P1306" t="s">
        <v>13919</v>
      </c>
      <c r="Q1306" t="s">
        <v>13920</v>
      </c>
      <c r="S1306" t="s">
        <v>60</v>
      </c>
      <c r="T1306" t="s">
        <v>60</v>
      </c>
      <c r="U1306">
        <v>60</v>
      </c>
      <c r="V1306">
        <v>1</v>
      </c>
      <c r="AE1306" t="s">
        <v>13921</v>
      </c>
      <c r="AF1306" t="s">
        <v>13922</v>
      </c>
      <c r="AG1306" t="s">
        <v>13923</v>
      </c>
      <c r="AH1306" t="str">
        <f>HYPERLINK("http://compartments.jensenlab.org/Entity?figures=subcell_cell_%&amp;knowledge=10&amp;textmining=10&amp;experiments=10&amp;predictions=10&amp;type1=9606&amp;type2=-22&amp;id1=ENSP00000259891","link")</f>
        <v>link</v>
      </c>
      <c r="AI1306" t="s">
        <v>65</v>
      </c>
      <c r="AJ1306" t="s">
        <v>51</v>
      </c>
      <c r="AK1306" t="str">
        <f>HYPERLINK("http://www.proteinatlas.org/Q16653","HPA021873")</f>
        <v>HPA021873</v>
      </c>
      <c r="AM1306">
        <v>4340</v>
      </c>
    </row>
    <row r="1307" spans="1:39" x14ac:dyDescent="0.35">
      <c r="A1307" t="s">
        <v>13924</v>
      </c>
      <c r="B1307" t="str">
        <f>HYPERLINK("http://www.uniprot.org/uniprot/Q16671","Q16671")</f>
        <v>Q16671</v>
      </c>
      <c r="C1307" t="s">
        <v>13925</v>
      </c>
      <c r="D1307" t="s">
        <v>13926</v>
      </c>
      <c r="E1307" t="s">
        <v>39</v>
      </c>
      <c r="F1307" t="s">
        <v>40</v>
      </c>
      <c r="H1307">
        <v>573</v>
      </c>
      <c r="I1307">
        <v>1</v>
      </c>
      <c r="J1307">
        <v>1</v>
      </c>
      <c r="K1307" t="s">
        <v>13927</v>
      </c>
      <c r="L1307" t="s">
        <v>57</v>
      </c>
      <c r="N1307">
        <v>0.90620000000000001</v>
      </c>
      <c r="O1307" s="1">
        <v>1</v>
      </c>
      <c r="P1307" t="s">
        <v>13928</v>
      </c>
      <c r="Q1307" t="s">
        <v>13929</v>
      </c>
      <c r="S1307" t="s">
        <v>166</v>
      </c>
      <c r="T1307" t="s">
        <v>7370</v>
      </c>
      <c r="U1307" t="s">
        <v>13930</v>
      </c>
      <c r="V1307">
        <v>2</v>
      </c>
      <c r="W1307">
        <v>66</v>
      </c>
      <c r="AE1307" t="s">
        <v>144</v>
      </c>
      <c r="AF1307" t="s">
        <v>13931</v>
      </c>
      <c r="AG1307" t="s">
        <v>13932</v>
      </c>
      <c r="AH1307" t="str">
        <f>HYPERLINK("http://compartments.jensenlab.org/Entity?figures=subcell_cell_%&amp;knowledge=10&amp;textmining=10&amp;experiments=10&amp;predictions=10&amp;type1=9606&amp;type2=-22&amp;id1=ENSP00000257863","link")</f>
        <v>link</v>
      </c>
      <c r="AJ1307" t="s">
        <v>51</v>
      </c>
      <c r="AK1307" t="str">
        <f>HYPERLINK("http://www.proteinatlas.org/Q16671","no")</f>
        <v>no</v>
      </c>
      <c r="AL1307" t="s">
        <v>8844</v>
      </c>
      <c r="AM1307">
        <v>269</v>
      </c>
    </row>
    <row r="1308" spans="1:39" x14ac:dyDescent="0.35">
      <c r="A1308" t="s">
        <v>13933</v>
      </c>
      <c r="B1308" t="str">
        <f>HYPERLINK("http://www.uniprot.org/uniprot/Q16720","Q16720")</f>
        <v>Q16720</v>
      </c>
      <c r="C1308" t="s">
        <v>13934</v>
      </c>
      <c r="D1308" t="s">
        <v>13935</v>
      </c>
      <c r="E1308" t="s">
        <v>39</v>
      </c>
      <c r="F1308" t="s">
        <v>55</v>
      </c>
      <c r="H1308">
        <v>1220</v>
      </c>
      <c r="I1308">
        <v>10</v>
      </c>
      <c r="J1308">
        <v>0</v>
      </c>
      <c r="K1308" t="s">
        <v>13936</v>
      </c>
      <c r="L1308" t="s">
        <v>57</v>
      </c>
      <c r="M1308" t="s">
        <v>39</v>
      </c>
      <c r="N1308">
        <v>0.59889999999999999</v>
      </c>
      <c r="O1308" s="1">
        <v>2</v>
      </c>
      <c r="P1308" t="s">
        <v>13937</v>
      </c>
      <c r="Q1308" t="s">
        <v>13938</v>
      </c>
      <c r="S1308" t="s">
        <v>45</v>
      </c>
      <c r="T1308" t="s">
        <v>3982</v>
      </c>
      <c r="U1308" t="s">
        <v>13939</v>
      </c>
      <c r="V1308">
        <v>1</v>
      </c>
      <c r="X1308" t="s">
        <v>13940</v>
      </c>
      <c r="AE1308" t="s">
        <v>74</v>
      </c>
      <c r="AF1308" t="s">
        <v>13941</v>
      </c>
      <c r="AG1308" t="s">
        <v>13942</v>
      </c>
      <c r="AH1308" t="str">
        <f>HYPERLINK("http://compartments.jensenlab.org/Entity?figures=subcell_cell_%&amp;knowledge=10&amp;textmining=10&amp;experiments=10&amp;predictions=10&amp;type1=9606&amp;type2=-22&amp;id1=ENSP00000263519","link")</f>
        <v>link</v>
      </c>
      <c r="AI1308" t="s">
        <v>65</v>
      </c>
      <c r="AJ1308" t="s">
        <v>51</v>
      </c>
      <c r="AK1308" t="str">
        <f>HYPERLINK("http://www.proteinatlas.org/Q16720","HPA001583")</f>
        <v>HPA001583</v>
      </c>
      <c r="AM1308">
        <v>492</v>
      </c>
    </row>
    <row r="1309" spans="1:39" x14ac:dyDescent="0.35">
      <c r="A1309" t="s">
        <v>13943</v>
      </c>
      <c r="B1309" t="str">
        <f>HYPERLINK("http://www.uniprot.org/uniprot/Q16819","Q16819")</f>
        <v>Q16819</v>
      </c>
      <c r="C1309" t="s">
        <v>13944</v>
      </c>
      <c r="D1309" t="s">
        <v>13945</v>
      </c>
      <c r="E1309" t="s">
        <v>39</v>
      </c>
      <c r="F1309" t="s">
        <v>40</v>
      </c>
      <c r="H1309">
        <v>746</v>
      </c>
      <c r="I1309">
        <v>1</v>
      </c>
      <c r="J1309">
        <v>1</v>
      </c>
      <c r="K1309" t="s">
        <v>13946</v>
      </c>
      <c r="L1309" t="s">
        <v>57</v>
      </c>
      <c r="N1309">
        <v>0.80840000000000001</v>
      </c>
      <c r="O1309" s="1">
        <v>1</v>
      </c>
      <c r="P1309" t="s">
        <v>13947</v>
      </c>
      <c r="Q1309" t="s">
        <v>13948</v>
      </c>
      <c r="S1309" t="s">
        <v>947</v>
      </c>
      <c r="T1309" t="s">
        <v>1208</v>
      </c>
      <c r="U1309" t="s">
        <v>13949</v>
      </c>
      <c r="V1309">
        <v>7</v>
      </c>
      <c r="W1309" t="s">
        <v>13949</v>
      </c>
      <c r="AE1309" t="s">
        <v>144</v>
      </c>
      <c r="AF1309" t="s">
        <v>13950</v>
      </c>
      <c r="AG1309" t="s">
        <v>13951</v>
      </c>
      <c r="AH1309" t="str">
        <f>HYPERLINK("http://compartments.jensenlab.org/Entity?figures=subcell_cell_%&amp;knowledge=10&amp;textmining=10&amp;experiments=10&amp;predictions=10&amp;type1=9606&amp;type2=-22&amp;id1=ENSP00000230588","link")</f>
        <v>link</v>
      </c>
      <c r="AJ1309" t="s">
        <v>902</v>
      </c>
      <c r="AK1309" t="str">
        <f>HYPERLINK("http://www.proteinatlas.org/Q16819","CAB025163;HPA029416")</f>
        <v>CAB025163;HPA029416</v>
      </c>
      <c r="AM1309">
        <v>4224</v>
      </c>
    </row>
    <row r="1310" spans="1:39" x14ac:dyDescent="0.35">
      <c r="A1310" t="s">
        <v>13952</v>
      </c>
      <c r="B1310" t="str">
        <f>HYPERLINK("http://www.uniprot.org/uniprot/Q16820","Q16820")</f>
        <v>Q16820</v>
      </c>
      <c r="C1310" t="s">
        <v>13953</v>
      </c>
      <c r="D1310" t="s">
        <v>13954</v>
      </c>
      <c r="E1310" t="s">
        <v>39</v>
      </c>
      <c r="F1310" t="s">
        <v>40</v>
      </c>
      <c r="H1310">
        <v>701</v>
      </c>
      <c r="I1310">
        <v>1</v>
      </c>
      <c r="J1310">
        <v>1</v>
      </c>
      <c r="K1310" t="s">
        <v>13955</v>
      </c>
      <c r="L1310" t="s">
        <v>57</v>
      </c>
      <c r="N1310">
        <v>0.93410000000000004</v>
      </c>
      <c r="O1310" s="1">
        <v>1</v>
      </c>
      <c r="P1310" t="s">
        <v>13956</v>
      </c>
      <c r="Q1310" t="s">
        <v>13957</v>
      </c>
      <c r="S1310" t="s">
        <v>947</v>
      </c>
      <c r="T1310" t="s">
        <v>1208</v>
      </c>
      <c r="U1310" t="s">
        <v>13958</v>
      </c>
      <c r="V1310">
        <v>8</v>
      </c>
      <c r="W1310" t="s">
        <v>13958</v>
      </c>
      <c r="X1310">
        <v>603</v>
      </c>
      <c r="AE1310" t="s">
        <v>1250</v>
      </c>
      <c r="AF1310" t="s">
        <v>13959</v>
      </c>
      <c r="AG1310" t="s">
        <v>13960</v>
      </c>
      <c r="AH1310" t="str">
        <f>HYPERLINK("http://compartments.jensenlab.org/Entity?figures=subcell_cell_%&amp;knowledge=10&amp;textmining=10&amp;experiments=10&amp;predictions=10&amp;type1=9606&amp;type2=-22&amp;id1=ENSP00000269202","link")</f>
        <v>link</v>
      </c>
      <c r="AJ1310" t="s">
        <v>902</v>
      </c>
      <c r="AK1310" t="str">
        <f>HYPERLINK("http://www.proteinatlas.org/Q16820","HPA029119")</f>
        <v>HPA029119</v>
      </c>
      <c r="AM1310">
        <v>4225</v>
      </c>
    </row>
    <row r="1311" spans="1:39" x14ac:dyDescent="0.35">
      <c r="A1311" t="s">
        <v>13961</v>
      </c>
      <c r="B1311" t="str">
        <f>HYPERLINK("http://www.uniprot.org/uniprot/Q16827","Q16827")</f>
        <v>Q16827</v>
      </c>
      <c r="C1311" t="s">
        <v>13962</v>
      </c>
      <c r="D1311" t="s">
        <v>13963</v>
      </c>
      <c r="E1311" t="s">
        <v>39</v>
      </c>
      <c r="F1311" t="s">
        <v>40</v>
      </c>
      <c r="H1311">
        <v>1216</v>
      </c>
      <c r="I1311">
        <v>1</v>
      </c>
      <c r="J1311">
        <v>1</v>
      </c>
      <c r="K1311" t="s">
        <v>13964</v>
      </c>
      <c r="L1311" t="s">
        <v>57</v>
      </c>
      <c r="N1311">
        <v>0.97599999999999998</v>
      </c>
      <c r="O1311" s="1">
        <v>1</v>
      </c>
      <c r="P1311" t="s">
        <v>13965</v>
      </c>
      <c r="Q1311" t="s">
        <v>13966</v>
      </c>
      <c r="S1311" t="s">
        <v>166</v>
      </c>
      <c r="T1311" t="s">
        <v>1161</v>
      </c>
      <c r="U1311" t="s">
        <v>13967</v>
      </c>
      <c r="V1311">
        <v>16</v>
      </c>
      <c r="W1311" t="s">
        <v>13968</v>
      </c>
      <c r="AE1311" t="s">
        <v>144</v>
      </c>
      <c r="AF1311" t="s">
        <v>13969</v>
      </c>
      <c r="AG1311" t="s">
        <v>13970</v>
      </c>
      <c r="AH1311" t="str">
        <f>HYPERLINK("http://compartments.jensenlab.org/Entity?figures=subcell_cell_%&amp;knowledge=10&amp;textmining=10&amp;experiments=10&amp;predictions=10&amp;type1=9606&amp;type2=-22&amp;id1=ENSP00000281171","link")</f>
        <v>link</v>
      </c>
      <c r="AI1311" t="s">
        <v>65</v>
      </c>
      <c r="AJ1311" t="s">
        <v>51</v>
      </c>
      <c r="AK1311" t="str">
        <f>HYPERLINK("http://www.proteinatlas.org/Q16827","HPA034525")</f>
        <v>HPA034525</v>
      </c>
      <c r="AM1311">
        <v>5800</v>
      </c>
    </row>
    <row r="1312" spans="1:39" x14ac:dyDescent="0.35">
      <c r="A1312" t="s">
        <v>13971</v>
      </c>
      <c r="B1312" t="str">
        <f>HYPERLINK("http://www.uniprot.org/uniprot/Q16832","Q16832")</f>
        <v>Q16832</v>
      </c>
      <c r="C1312" t="s">
        <v>13972</v>
      </c>
      <c r="D1312" t="s">
        <v>13973</v>
      </c>
      <c r="E1312" t="s">
        <v>39</v>
      </c>
      <c r="F1312" t="s">
        <v>55</v>
      </c>
      <c r="H1312">
        <v>855</v>
      </c>
      <c r="I1312">
        <v>1</v>
      </c>
      <c r="J1312">
        <v>1</v>
      </c>
      <c r="K1312" t="s">
        <v>13974</v>
      </c>
      <c r="L1312" t="s">
        <v>101</v>
      </c>
      <c r="M1312" t="s">
        <v>39</v>
      </c>
      <c r="N1312">
        <v>0.96050000000000002</v>
      </c>
      <c r="O1312" s="1">
        <v>1</v>
      </c>
      <c r="P1312" t="s">
        <v>13975</v>
      </c>
      <c r="Q1312" t="s">
        <v>13976</v>
      </c>
      <c r="R1312" t="s">
        <v>13977</v>
      </c>
      <c r="S1312" t="s">
        <v>166</v>
      </c>
      <c r="T1312" t="s">
        <v>1411</v>
      </c>
      <c r="U1312" t="s">
        <v>13978</v>
      </c>
      <c r="V1312">
        <v>5</v>
      </c>
      <c r="W1312" t="s">
        <v>13979</v>
      </c>
      <c r="Y1312" t="s">
        <v>13980</v>
      </c>
      <c r="Z1312" t="s">
        <v>107</v>
      </c>
      <c r="AA1312">
        <v>1</v>
      </c>
      <c r="AB1312" t="s">
        <v>13981</v>
      </c>
      <c r="AC1312">
        <v>280</v>
      </c>
      <c r="AD1312" t="s">
        <v>13982</v>
      </c>
      <c r="AE1312" t="s">
        <v>1023</v>
      </c>
      <c r="AF1312" t="s">
        <v>13983</v>
      </c>
      <c r="AG1312" t="s">
        <v>13984</v>
      </c>
      <c r="AH1312" t="str">
        <f>HYPERLINK("http://compartments.jensenlab.org/Entity?figures=subcell_cell_%&amp;knowledge=10&amp;textmining=10&amp;experiments=10&amp;predictions=10&amp;type1=9606&amp;type2=-22&amp;id1=ENSP00000356898","link")</f>
        <v>link</v>
      </c>
      <c r="AI1312" t="s">
        <v>65</v>
      </c>
      <c r="AJ1312" t="s">
        <v>51</v>
      </c>
      <c r="AK1312" t="str">
        <f>HYPERLINK("http://www.proteinatlas.org/Q16832","no")</f>
        <v>no</v>
      </c>
      <c r="AL1312" t="s">
        <v>13985</v>
      </c>
      <c r="AM1312">
        <v>4921</v>
      </c>
    </row>
    <row r="1313" spans="1:39" x14ac:dyDescent="0.35">
      <c r="A1313" t="s">
        <v>13986</v>
      </c>
      <c r="B1313" t="str">
        <f>HYPERLINK("http://www.uniprot.org/uniprot/Q16849","Q16849")</f>
        <v>Q16849</v>
      </c>
      <c r="C1313" t="s">
        <v>13987</v>
      </c>
      <c r="D1313" t="s">
        <v>13988</v>
      </c>
      <c r="E1313" t="s">
        <v>39</v>
      </c>
      <c r="F1313" t="s">
        <v>40</v>
      </c>
      <c r="H1313">
        <v>979</v>
      </c>
      <c r="I1313">
        <v>1</v>
      </c>
      <c r="J1313">
        <v>1</v>
      </c>
      <c r="K1313" t="s">
        <v>13989</v>
      </c>
      <c r="L1313" t="s">
        <v>57</v>
      </c>
      <c r="N1313">
        <v>0.68859999999999999</v>
      </c>
      <c r="O1313" s="1">
        <v>2</v>
      </c>
      <c r="P1313" t="s">
        <v>13990</v>
      </c>
      <c r="Q1313" t="s">
        <v>13991</v>
      </c>
      <c r="S1313" t="s">
        <v>166</v>
      </c>
      <c r="T1313" t="s">
        <v>1161</v>
      </c>
      <c r="U1313" t="s">
        <v>13992</v>
      </c>
      <c r="V1313">
        <v>2</v>
      </c>
      <c r="X1313" t="s">
        <v>13993</v>
      </c>
      <c r="AE1313" t="s">
        <v>144</v>
      </c>
      <c r="AF1313" t="s">
        <v>7350</v>
      </c>
      <c r="AG1313" t="s">
        <v>13994</v>
      </c>
      <c r="AH1313" t="str">
        <f>HYPERLINK("http://compartments.jensenlab.org/Entity?figures=subcell_cell_%&amp;knowledge=10&amp;textmining=10&amp;experiments=10&amp;predictions=10&amp;type1=9606&amp;type2=-22&amp;id1=ENSP00000295718","link")</f>
        <v>link</v>
      </c>
      <c r="AJ1313" t="s">
        <v>51</v>
      </c>
      <c r="AK1313" t="str">
        <f>HYPERLINK("http://www.proteinatlas.org/Q16849","HPA007179")</f>
        <v>HPA007179</v>
      </c>
      <c r="AM1313">
        <v>5798</v>
      </c>
    </row>
    <row r="1314" spans="1:39" x14ac:dyDescent="0.35">
      <c r="A1314" t="s">
        <v>13995</v>
      </c>
      <c r="B1314" t="str">
        <f>HYPERLINK("http://www.uniprot.org/uniprot/Q16853","Q16853")</f>
        <v>Q16853</v>
      </c>
      <c r="C1314" t="s">
        <v>13996</v>
      </c>
      <c r="D1314" t="s">
        <v>13997</v>
      </c>
      <c r="E1314" t="s">
        <v>39</v>
      </c>
      <c r="F1314" t="s">
        <v>55</v>
      </c>
      <c r="H1314">
        <v>763</v>
      </c>
      <c r="I1314">
        <v>1</v>
      </c>
      <c r="J1314">
        <v>0</v>
      </c>
      <c r="K1314" t="s">
        <v>13998</v>
      </c>
      <c r="L1314" t="s">
        <v>101</v>
      </c>
      <c r="M1314" t="s">
        <v>39</v>
      </c>
      <c r="N1314">
        <v>0.58250000000000002</v>
      </c>
      <c r="O1314" s="1">
        <v>2</v>
      </c>
      <c r="P1314" t="s">
        <v>13999</v>
      </c>
      <c r="Q1314" t="s">
        <v>14000</v>
      </c>
      <c r="U1314" t="s">
        <v>14001</v>
      </c>
      <c r="V1314">
        <v>6</v>
      </c>
      <c r="W1314" t="s">
        <v>14001</v>
      </c>
      <c r="X1314" t="s">
        <v>14002</v>
      </c>
      <c r="Z1314" t="s">
        <v>123</v>
      </c>
      <c r="AA1314">
        <v>29</v>
      </c>
      <c r="AB1314" t="s">
        <v>14003</v>
      </c>
      <c r="AC1314" t="s">
        <v>14004</v>
      </c>
      <c r="AD1314" t="s">
        <v>14005</v>
      </c>
      <c r="AE1314" t="s">
        <v>764</v>
      </c>
      <c r="AF1314" t="s">
        <v>14006</v>
      </c>
      <c r="AG1314" t="s">
        <v>14007</v>
      </c>
      <c r="AH1314" t="str">
        <f>HYPERLINK("http://compartments.jensenlab.org/Entity?figures=subcell_cell_%&amp;knowledge=10&amp;textmining=10&amp;experiments=10&amp;predictions=10&amp;type1=9606&amp;type2=-22&amp;id1=ENSP00000312326","link")</f>
        <v>link</v>
      </c>
      <c r="AI1314" t="s">
        <v>65</v>
      </c>
      <c r="AJ1314" t="s">
        <v>51</v>
      </c>
      <c r="AK1314" t="str">
        <f>HYPERLINK("http://www.proteinatlas.org/Q16853","HPA000980;CAB025797")</f>
        <v>HPA000980;CAB025797</v>
      </c>
      <c r="AL1314" t="s">
        <v>14008</v>
      </c>
      <c r="AM1314">
        <v>8639</v>
      </c>
    </row>
    <row r="1315" spans="1:39" x14ac:dyDescent="0.35">
      <c r="A1315" t="s">
        <v>14009</v>
      </c>
      <c r="B1315" t="str">
        <f>HYPERLINK("http://www.uniprot.org/uniprot/Q16880","Q16880")</f>
        <v>Q16880</v>
      </c>
      <c r="C1315" t="s">
        <v>14010</v>
      </c>
      <c r="D1315" t="s">
        <v>14011</v>
      </c>
      <c r="E1315" t="s">
        <v>39</v>
      </c>
      <c r="F1315" t="s">
        <v>40</v>
      </c>
      <c r="H1315">
        <v>541</v>
      </c>
      <c r="I1315">
        <v>1</v>
      </c>
      <c r="J1315">
        <v>1</v>
      </c>
      <c r="K1315" t="s">
        <v>14012</v>
      </c>
      <c r="L1315" t="s">
        <v>118</v>
      </c>
      <c r="N1315">
        <v>0.6008</v>
      </c>
      <c r="O1315" s="1">
        <v>2</v>
      </c>
      <c r="P1315" t="s">
        <v>14013</v>
      </c>
      <c r="Q1315" t="s">
        <v>14014</v>
      </c>
      <c r="S1315" t="s">
        <v>947</v>
      </c>
      <c r="T1315" t="s">
        <v>3958</v>
      </c>
      <c r="U1315" t="s">
        <v>14015</v>
      </c>
      <c r="V1315">
        <v>3</v>
      </c>
      <c r="Z1315" t="s">
        <v>107</v>
      </c>
      <c r="AA1315">
        <v>2</v>
      </c>
      <c r="AB1315" t="s">
        <v>14016</v>
      </c>
      <c r="AC1315">
        <v>78</v>
      </c>
      <c r="AD1315" t="s">
        <v>14017</v>
      </c>
      <c r="AE1315" t="s">
        <v>94</v>
      </c>
      <c r="AF1315" t="s">
        <v>14018</v>
      </c>
      <c r="AG1315" t="s">
        <v>14019</v>
      </c>
      <c r="AH1315" t="str">
        <f>HYPERLINK("http://compartments.jensenlab.org/Entity?figures=subcell_cell_%&amp;knowledge=10&amp;textmining=10&amp;experiments=10&amp;predictions=10&amp;type1=9606&amp;type2=-22&amp;id1=ENSP00000311648","link")</f>
        <v>link</v>
      </c>
      <c r="AJ1315" t="s">
        <v>51</v>
      </c>
      <c r="AK1315" t="str">
        <f>HYPERLINK("http://www.proteinatlas.org/Q16880","HPA014405")</f>
        <v>HPA014405</v>
      </c>
      <c r="AM1315">
        <v>7368</v>
      </c>
    </row>
    <row r="1316" spans="1:39" x14ac:dyDescent="0.35">
      <c r="A1316" t="s">
        <v>14020</v>
      </c>
      <c r="B1316" t="str">
        <f>HYPERLINK("http://www.uniprot.org/uniprot/Q17R55","Q17R55")</f>
        <v>Q17R55</v>
      </c>
      <c r="C1316" t="s">
        <v>14021</v>
      </c>
      <c r="D1316" t="s">
        <v>14022</v>
      </c>
      <c r="E1316" t="s">
        <v>39</v>
      </c>
      <c r="F1316" t="s">
        <v>40</v>
      </c>
      <c r="H1316">
        <v>369</v>
      </c>
      <c r="I1316">
        <v>1</v>
      </c>
      <c r="J1316">
        <v>1</v>
      </c>
      <c r="K1316" t="s">
        <v>14023</v>
      </c>
      <c r="L1316" t="s">
        <v>57</v>
      </c>
      <c r="N1316">
        <v>0.66869999999999996</v>
      </c>
      <c r="O1316" s="1">
        <v>2</v>
      </c>
      <c r="P1316" t="s">
        <v>14024</v>
      </c>
      <c r="Q1316" t="s">
        <v>14025</v>
      </c>
      <c r="S1316" t="s">
        <v>60</v>
      </c>
      <c r="T1316" t="s">
        <v>60</v>
      </c>
      <c r="U1316" t="s">
        <v>14026</v>
      </c>
      <c r="V1316">
        <v>5</v>
      </c>
      <c r="Y1316">
        <v>145</v>
      </c>
      <c r="AE1316" t="s">
        <v>144</v>
      </c>
      <c r="AF1316" t="s">
        <v>226</v>
      </c>
      <c r="AG1316" t="s">
        <v>14027</v>
      </c>
      <c r="AH1316" t="str">
        <f>HYPERLINK("http://compartments.jensenlab.org/Entity?figures=subcell_cell_%&amp;knowledge=10&amp;textmining=10&amp;experiments=10&amp;predictions=10&amp;type1=9606&amp;type2=-22&amp;id1=ENSP00000323355","link")</f>
        <v>link</v>
      </c>
      <c r="AJ1316" t="s">
        <v>51</v>
      </c>
      <c r="AK1316" t="str">
        <f>HYPERLINK("http://www.proteinatlas.org/Q17R55","HPA014687")</f>
        <v>HPA014687</v>
      </c>
      <c r="AM1316">
        <v>148109</v>
      </c>
    </row>
    <row r="1317" spans="1:39" x14ac:dyDescent="0.35">
      <c r="A1317" t="s">
        <v>14028</v>
      </c>
      <c r="B1317" t="str">
        <f>HYPERLINK("http://www.uniprot.org/uniprot/Q17RY6","Q17RY6")</f>
        <v>Q17RY6</v>
      </c>
      <c r="C1317" t="s">
        <v>14029</v>
      </c>
      <c r="D1317" t="s">
        <v>14030</v>
      </c>
      <c r="E1317" t="s">
        <v>39</v>
      </c>
      <c r="F1317" t="s">
        <v>239</v>
      </c>
      <c r="H1317">
        <v>165</v>
      </c>
      <c r="I1317">
        <v>0</v>
      </c>
      <c r="J1317">
        <v>1</v>
      </c>
      <c r="K1317" t="s">
        <v>14031</v>
      </c>
      <c r="L1317" t="s">
        <v>996</v>
      </c>
      <c r="N1317">
        <v>0.67069999999999996</v>
      </c>
      <c r="O1317" s="1" t="s">
        <v>241</v>
      </c>
      <c r="P1317" t="s">
        <v>14032</v>
      </c>
      <c r="Q1317" t="s">
        <v>14033</v>
      </c>
      <c r="S1317" t="s">
        <v>60</v>
      </c>
      <c r="T1317" t="s">
        <v>60</v>
      </c>
      <c r="U1317" t="s">
        <v>14034</v>
      </c>
      <c r="V1317">
        <v>2</v>
      </c>
      <c r="W1317" t="s">
        <v>14034</v>
      </c>
      <c r="Z1317" t="s">
        <v>107</v>
      </c>
      <c r="AA1317">
        <v>2</v>
      </c>
      <c r="AB1317" t="s">
        <v>14035</v>
      </c>
      <c r="AC1317">
        <v>129</v>
      </c>
      <c r="AD1317" t="s">
        <v>14036</v>
      </c>
      <c r="AE1317" t="s">
        <v>14037</v>
      </c>
      <c r="AF1317" t="s">
        <v>14038</v>
      </c>
      <c r="AG1317" t="s">
        <v>14039</v>
      </c>
      <c r="AH1317" t="str">
        <f>HYPERLINK("http://compartments.jensenlab.org/Entity?figures=subcell_cell_%&amp;knowledge=10&amp;textmining=10&amp;experiments=10&amp;predictions=10&amp;type1=9606&amp;type2=-22&amp;id1=ENSP00000292430","link")</f>
        <v>link</v>
      </c>
      <c r="AI1317" t="s">
        <v>1058</v>
      </c>
      <c r="AJ1317" t="s">
        <v>4988</v>
      </c>
      <c r="AK1317" t="str">
        <f>HYPERLINK("http://www.proteinatlas.org/Q17RY6","HPA017770")</f>
        <v>HPA017770</v>
      </c>
      <c r="AM1317">
        <v>54742</v>
      </c>
    </row>
    <row r="1318" spans="1:39" x14ac:dyDescent="0.35">
      <c r="A1318" t="s">
        <v>14040</v>
      </c>
      <c r="B1318" t="str">
        <f>HYPERLINK("http://www.uniprot.org/uniprot/Q19T08","Q19T08")</f>
        <v>Q19T08</v>
      </c>
      <c r="C1318" t="s">
        <v>14041</v>
      </c>
      <c r="D1318" t="s">
        <v>14042</v>
      </c>
      <c r="E1318" t="s">
        <v>39</v>
      </c>
      <c r="F1318" t="s">
        <v>40</v>
      </c>
      <c r="H1318">
        <v>205</v>
      </c>
      <c r="I1318">
        <v>1</v>
      </c>
      <c r="J1318">
        <v>1</v>
      </c>
      <c r="K1318" t="s">
        <v>14043</v>
      </c>
      <c r="L1318" t="s">
        <v>57</v>
      </c>
      <c r="N1318">
        <v>0.83630000000000004</v>
      </c>
      <c r="O1318" s="1">
        <v>1</v>
      </c>
      <c r="P1318" t="s">
        <v>14044</v>
      </c>
      <c r="Q1318" t="s">
        <v>14045</v>
      </c>
      <c r="U1318">
        <v>96</v>
      </c>
      <c r="V1318">
        <v>1</v>
      </c>
      <c r="X1318">
        <v>49</v>
      </c>
      <c r="AE1318" t="s">
        <v>2994</v>
      </c>
      <c r="AF1318" t="s">
        <v>14046</v>
      </c>
      <c r="AG1318" t="s">
        <v>14047</v>
      </c>
      <c r="AH1318" t="str">
        <f>HYPERLINK("http://compartments.jensenlab.org/Entity?figures=subcell_cell_%&amp;knowledge=10&amp;textmining=10&amp;experiments=10&amp;predictions=10&amp;type1=9606&amp;type2=-22&amp;id1=ENSP00000421364","link")</f>
        <v>link</v>
      </c>
      <c r="AK1318" t="str">
        <f>HYPERLINK("http://www.proteinatlas.org/Q19T08","no")</f>
        <v>no</v>
      </c>
      <c r="AM1318">
        <v>641700</v>
      </c>
    </row>
    <row r="1319" spans="1:39" x14ac:dyDescent="0.35">
      <c r="A1319" t="s">
        <v>14048</v>
      </c>
      <c r="B1319" t="str">
        <f>HYPERLINK("http://www.uniprot.org/uniprot/Q1EHB4","Q1EHB4")</f>
        <v>Q1EHB4</v>
      </c>
      <c r="C1319" t="s">
        <v>14049</v>
      </c>
      <c r="D1319" t="s">
        <v>14050</v>
      </c>
      <c r="E1319" t="s">
        <v>39</v>
      </c>
      <c r="F1319" t="s">
        <v>40</v>
      </c>
      <c r="H1319">
        <v>618</v>
      </c>
      <c r="I1319">
        <v>13</v>
      </c>
      <c r="J1319">
        <v>0</v>
      </c>
      <c r="K1319" t="s">
        <v>14051</v>
      </c>
      <c r="L1319" t="s">
        <v>57</v>
      </c>
      <c r="N1319">
        <v>0.89019999999999999</v>
      </c>
      <c r="O1319" s="1">
        <v>1</v>
      </c>
      <c r="P1319" t="s">
        <v>14052</v>
      </c>
      <c r="Q1319" t="s">
        <v>14053</v>
      </c>
      <c r="S1319" t="s">
        <v>45</v>
      </c>
      <c r="T1319" t="s">
        <v>72</v>
      </c>
      <c r="U1319" t="s">
        <v>14054</v>
      </c>
      <c r="V1319">
        <v>2</v>
      </c>
      <c r="AE1319" t="s">
        <v>10045</v>
      </c>
      <c r="AF1319" t="s">
        <v>14055</v>
      </c>
      <c r="AG1319" t="s">
        <v>14056</v>
      </c>
      <c r="AH1319" t="str">
        <f>HYPERLINK("http://compartments.jensenlab.org/Entity?figures=subcell_cell_%&amp;knowledge=10&amp;textmining=10&amp;experiments=10&amp;predictions=10&amp;type1=9606&amp;type2=-22&amp;id1=ENSP00000379326","link")</f>
        <v>link</v>
      </c>
      <c r="AI1319" t="s">
        <v>65</v>
      </c>
      <c r="AJ1319" t="s">
        <v>51</v>
      </c>
      <c r="AK1319" t="str">
        <f>HYPERLINK("http://www.proteinatlas.org/Q1EHB4","HPA045181")</f>
        <v>HPA045181</v>
      </c>
      <c r="AM1319">
        <v>159963</v>
      </c>
    </row>
    <row r="1320" spans="1:39" x14ac:dyDescent="0.35">
      <c r="A1320" t="s">
        <v>14057</v>
      </c>
      <c r="B1320" t="str">
        <f>HYPERLINK("http://www.uniprot.org/uniprot/Q1HG43","Q1HG43")</f>
        <v>Q1HG43</v>
      </c>
      <c r="C1320" t="s">
        <v>14058</v>
      </c>
      <c r="D1320" t="s">
        <v>14059</v>
      </c>
      <c r="E1320" t="s">
        <v>39</v>
      </c>
      <c r="F1320" t="s">
        <v>40</v>
      </c>
      <c r="H1320">
        <v>343</v>
      </c>
      <c r="I1320">
        <v>5</v>
      </c>
      <c r="J1320">
        <v>0</v>
      </c>
      <c r="K1320" t="s">
        <v>14060</v>
      </c>
      <c r="L1320" t="s">
        <v>57</v>
      </c>
      <c r="N1320">
        <v>0.66669999999999996</v>
      </c>
      <c r="O1320" s="1">
        <v>2</v>
      </c>
      <c r="P1320" t="s">
        <v>14061</v>
      </c>
      <c r="Q1320" t="s">
        <v>14062</v>
      </c>
      <c r="S1320" t="s">
        <v>60</v>
      </c>
      <c r="T1320" t="s">
        <v>60</v>
      </c>
      <c r="U1320" t="s">
        <v>14063</v>
      </c>
      <c r="V1320">
        <v>3</v>
      </c>
      <c r="AE1320" t="s">
        <v>48</v>
      </c>
      <c r="AF1320" t="s">
        <v>14064</v>
      </c>
      <c r="AG1320" t="s">
        <v>14065</v>
      </c>
      <c r="AH1320" t="str">
        <f>HYPERLINK("http://compartments.jensenlab.org/Entity?figures=subcell_cell_%&amp;knowledge=10&amp;textmining=10&amp;experiments=10&amp;predictions=10&amp;type1=9606&amp;type2=-22&amp;id1=ENSP00000454084","link")</f>
        <v>link</v>
      </c>
      <c r="AK1320" t="str">
        <f>HYPERLINK("http://www.proteinatlas.org/Q1HG43","HPA041578")</f>
        <v>HPA041578</v>
      </c>
      <c r="AM1320">
        <v>90527</v>
      </c>
    </row>
    <row r="1321" spans="1:39" x14ac:dyDescent="0.35">
      <c r="A1321" t="s">
        <v>14066</v>
      </c>
      <c r="B1321" t="str">
        <f>HYPERLINK("http://www.uniprot.org/uniprot/Q24JP5","Q24JP5")</f>
        <v>Q24JP5</v>
      </c>
      <c r="C1321" t="s">
        <v>14067</v>
      </c>
      <c r="D1321" t="s">
        <v>14068</v>
      </c>
      <c r="E1321" t="s">
        <v>39</v>
      </c>
      <c r="F1321" t="s">
        <v>40</v>
      </c>
      <c r="H1321">
        <v>1023</v>
      </c>
      <c r="I1321">
        <v>1</v>
      </c>
      <c r="J1321">
        <v>1</v>
      </c>
      <c r="K1321" t="s">
        <v>14069</v>
      </c>
      <c r="L1321" t="s">
        <v>101</v>
      </c>
      <c r="N1321">
        <v>0.77249999999999996</v>
      </c>
      <c r="O1321" s="1">
        <v>1</v>
      </c>
      <c r="P1321" t="s">
        <v>14070</v>
      </c>
      <c r="Q1321" t="s">
        <v>14071</v>
      </c>
      <c r="S1321" t="s">
        <v>91</v>
      </c>
      <c r="T1321" t="s">
        <v>13396</v>
      </c>
      <c r="U1321" t="s">
        <v>14072</v>
      </c>
      <c r="V1321">
        <v>3</v>
      </c>
      <c r="Z1321" t="s">
        <v>107</v>
      </c>
      <c r="AA1321">
        <v>3</v>
      </c>
      <c r="AB1321" t="s">
        <v>14073</v>
      </c>
      <c r="AC1321" t="s">
        <v>14074</v>
      </c>
      <c r="AD1321" t="s">
        <v>14075</v>
      </c>
      <c r="AE1321" t="s">
        <v>14076</v>
      </c>
      <c r="AF1321" t="s">
        <v>14077</v>
      </c>
      <c r="AG1321" t="s">
        <v>14078</v>
      </c>
      <c r="AH1321" t="str">
        <f>HYPERLINK("http://compartments.jensenlab.org/Entity?figures=subcell_cell_%&amp;knowledge=10&amp;textmining=10&amp;experiments=10&amp;predictions=10&amp;type1=9606&amp;type2=-22&amp;id1=ENSP00000405823","link")</f>
        <v>link</v>
      </c>
      <c r="AK1321" t="str">
        <f>HYPERLINK("http://www.proteinatlas.org/Q24JP5","HPA051979")</f>
        <v>HPA051979</v>
      </c>
      <c r="AM1321">
        <v>54972</v>
      </c>
    </row>
    <row r="1322" spans="1:39" x14ac:dyDescent="0.35">
      <c r="A1322" t="s">
        <v>14079</v>
      </c>
      <c r="B1322" t="str">
        <f>HYPERLINK("http://www.uniprot.org/uniprot/Q29718","Q29718")</f>
        <v>Q29718</v>
      </c>
      <c r="C1322" t="s">
        <v>14080</v>
      </c>
      <c r="D1322" t="s">
        <v>3637</v>
      </c>
      <c r="E1322" t="s">
        <v>39</v>
      </c>
      <c r="F1322" t="s">
        <v>40</v>
      </c>
      <c r="H1322">
        <v>362</v>
      </c>
      <c r="I1322">
        <v>1</v>
      </c>
      <c r="J1322">
        <v>1</v>
      </c>
      <c r="K1322" t="s">
        <v>4926</v>
      </c>
      <c r="L1322" t="s">
        <v>57</v>
      </c>
      <c r="N1322">
        <v>0.79039999999999999</v>
      </c>
      <c r="O1322" s="1">
        <v>1</v>
      </c>
      <c r="P1322" t="s">
        <v>6136</v>
      </c>
      <c r="Q1322" t="s">
        <v>6137</v>
      </c>
      <c r="S1322" t="s">
        <v>91</v>
      </c>
      <c r="T1322" t="s">
        <v>3641</v>
      </c>
      <c r="U1322">
        <v>110</v>
      </c>
      <c r="V1322">
        <v>1</v>
      </c>
      <c r="AE1322" t="s">
        <v>144</v>
      </c>
      <c r="AF1322" t="s">
        <v>4918</v>
      </c>
      <c r="AG1322" t="s">
        <v>14081</v>
      </c>
      <c r="AH1322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1322" t="str">
        <f>HYPERLINK("http://www.proteinatlas.org/Q29718","no")</f>
        <v>no</v>
      </c>
    </row>
    <row r="1323" spans="1:39" x14ac:dyDescent="0.35">
      <c r="A1323" t="s">
        <v>14082</v>
      </c>
      <c r="B1323" t="str">
        <f>HYPERLINK("http://www.uniprot.org/uniprot/Q29836","Q29836")</f>
        <v>Q29836</v>
      </c>
      <c r="C1323" t="s">
        <v>14083</v>
      </c>
      <c r="D1323" t="s">
        <v>3637</v>
      </c>
      <c r="E1323" t="s">
        <v>39</v>
      </c>
      <c r="F1323" t="s">
        <v>40</v>
      </c>
      <c r="H1323">
        <v>362</v>
      </c>
      <c r="I1323">
        <v>1</v>
      </c>
      <c r="J1323">
        <v>1</v>
      </c>
      <c r="K1323" t="s">
        <v>3638</v>
      </c>
      <c r="L1323" t="s">
        <v>57</v>
      </c>
      <c r="N1323">
        <v>0.7944</v>
      </c>
      <c r="O1323" s="1">
        <v>1</v>
      </c>
      <c r="P1323" t="s">
        <v>3639</v>
      </c>
      <c r="Q1323" t="s">
        <v>3640</v>
      </c>
      <c r="S1323" t="s">
        <v>91</v>
      </c>
      <c r="T1323" t="s">
        <v>3641</v>
      </c>
      <c r="U1323">
        <v>110</v>
      </c>
      <c r="V1323">
        <v>1</v>
      </c>
      <c r="AE1323" t="s">
        <v>144</v>
      </c>
      <c r="AF1323" t="s">
        <v>4918</v>
      </c>
      <c r="AG1323" t="s">
        <v>14084</v>
      </c>
      <c r="AH1323" t="str">
        <f>HYPERLINK("http://compartments.jensenlab.org/Entity?figures=subcell_cell_%&amp;knowledge=10&amp;textmining=10&amp;experiments=10&amp;predictions=10&amp;type1=9606&amp;type2=-22&amp;id1=ENSP00000399168","link")</f>
        <v>link</v>
      </c>
      <c r="AI1323" t="s">
        <v>65</v>
      </c>
      <c r="AJ1323" t="s">
        <v>3644</v>
      </c>
      <c r="AK1323" t="str">
        <f>HYPERLINK("http://www.proteinatlas.org/Q29836","CAB015418")</f>
        <v>CAB015418</v>
      </c>
    </row>
    <row r="1324" spans="1:39" x14ac:dyDescent="0.35">
      <c r="A1324" t="s">
        <v>14085</v>
      </c>
      <c r="B1324" t="str">
        <f>HYPERLINK("http://www.uniprot.org/uniprot/Q29865","Q29865")</f>
        <v>Q29865</v>
      </c>
      <c r="C1324" t="s">
        <v>14086</v>
      </c>
      <c r="D1324" t="s">
        <v>3849</v>
      </c>
      <c r="E1324" t="s">
        <v>39</v>
      </c>
      <c r="F1324" t="s">
        <v>40</v>
      </c>
      <c r="H1324">
        <v>366</v>
      </c>
      <c r="I1324">
        <v>1</v>
      </c>
      <c r="J1324">
        <v>1</v>
      </c>
      <c r="K1324" t="s">
        <v>3850</v>
      </c>
      <c r="L1324" t="s">
        <v>57</v>
      </c>
      <c r="N1324">
        <v>0.82440000000000002</v>
      </c>
      <c r="O1324" s="1">
        <v>1</v>
      </c>
      <c r="P1324" t="s">
        <v>7878</v>
      </c>
      <c r="Q1324" t="s">
        <v>7879</v>
      </c>
      <c r="S1324" t="s">
        <v>91</v>
      </c>
      <c r="T1324" t="s">
        <v>3641</v>
      </c>
      <c r="U1324">
        <v>110</v>
      </c>
      <c r="V1324">
        <v>1</v>
      </c>
      <c r="AE1324" t="s">
        <v>144</v>
      </c>
      <c r="AF1324" t="s">
        <v>4918</v>
      </c>
      <c r="AG1324" t="s">
        <v>14087</v>
      </c>
      <c r="AH1324" t="str">
        <f>HYPERLINK("http://compartments.jensenlab.org/Entity?figures=subcell_cell_%&amp;knowledge=10&amp;textmining=10&amp;experiments=10&amp;predictions=10&amp;type1=9606&amp;type2=-22&amp;id1=ENSP00000410214","link")</f>
        <v>link</v>
      </c>
      <c r="AK1324" t="str">
        <f>HYPERLINK("http://www.proteinatlas.org/Q29865","no")</f>
        <v>no</v>
      </c>
    </row>
    <row r="1325" spans="1:39" x14ac:dyDescent="0.35">
      <c r="A1325" t="s">
        <v>14088</v>
      </c>
      <c r="B1325" t="str">
        <f>HYPERLINK("http://www.uniprot.org/uniprot/Q29940","Q29940")</f>
        <v>Q29940</v>
      </c>
      <c r="C1325" t="s">
        <v>14089</v>
      </c>
      <c r="D1325" t="s">
        <v>3637</v>
      </c>
      <c r="E1325" t="s">
        <v>39</v>
      </c>
      <c r="F1325" t="s">
        <v>40</v>
      </c>
      <c r="H1325">
        <v>362</v>
      </c>
      <c r="I1325">
        <v>1</v>
      </c>
      <c r="J1325">
        <v>1</v>
      </c>
      <c r="K1325" t="s">
        <v>4926</v>
      </c>
      <c r="L1325" t="s">
        <v>57</v>
      </c>
      <c r="N1325">
        <v>0.77839999999999998</v>
      </c>
      <c r="O1325" s="1">
        <v>1</v>
      </c>
      <c r="P1325" t="s">
        <v>6136</v>
      </c>
      <c r="Q1325" t="s">
        <v>6137</v>
      </c>
      <c r="S1325" t="s">
        <v>91</v>
      </c>
      <c r="T1325" t="s">
        <v>3641</v>
      </c>
      <c r="U1325">
        <v>110</v>
      </c>
      <c r="V1325">
        <v>1</v>
      </c>
      <c r="AE1325" t="s">
        <v>144</v>
      </c>
      <c r="AF1325" t="s">
        <v>4918</v>
      </c>
      <c r="AG1325" t="s">
        <v>14090</v>
      </c>
      <c r="AH1325" t="str">
        <f>HYPERLINK("http://compartments.jensenlab.org/Entity?figures=subcell_cell_%&amp;knowledge=10&amp;textmining=10&amp;experiments=10&amp;predictions=10&amp;type1=9606&amp;type2=-22&amp;id1=ENSP00000352656","link")</f>
        <v>link</v>
      </c>
      <c r="AK1325" t="str">
        <f>HYPERLINK("http://www.proteinatlas.org/Q29940","no")</f>
        <v>no</v>
      </c>
    </row>
    <row r="1326" spans="1:39" x14ac:dyDescent="0.35">
      <c r="A1326" t="s">
        <v>14091</v>
      </c>
      <c r="B1326" t="str">
        <f>HYPERLINK("http://www.uniprot.org/uniprot/Q29960","Q29960")</f>
        <v>Q29960</v>
      </c>
      <c r="C1326" t="s">
        <v>14092</v>
      </c>
      <c r="D1326" t="s">
        <v>3849</v>
      </c>
      <c r="E1326" t="s">
        <v>39</v>
      </c>
      <c r="F1326" t="s">
        <v>55</v>
      </c>
      <c r="H1326">
        <v>366</v>
      </c>
      <c r="I1326">
        <v>1</v>
      </c>
      <c r="J1326">
        <v>1</v>
      </c>
      <c r="K1326" t="s">
        <v>3850</v>
      </c>
      <c r="L1326" t="s">
        <v>101</v>
      </c>
      <c r="M1326" t="s">
        <v>39</v>
      </c>
      <c r="N1326">
        <v>0.79530000000000001</v>
      </c>
      <c r="O1326" s="1">
        <v>1</v>
      </c>
      <c r="P1326" t="s">
        <v>7873</v>
      </c>
      <c r="Q1326" t="s">
        <v>7874</v>
      </c>
      <c r="S1326" t="s">
        <v>91</v>
      </c>
      <c r="T1326" t="s">
        <v>3641</v>
      </c>
      <c r="U1326">
        <v>110</v>
      </c>
      <c r="V1326">
        <v>1</v>
      </c>
      <c r="W1326">
        <v>110</v>
      </c>
      <c r="Z1326" t="s">
        <v>107</v>
      </c>
      <c r="AA1326">
        <v>1</v>
      </c>
      <c r="AB1326" t="s">
        <v>14093</v>
      </c>
      <c r="AC1326">
        <v>110</v>
      </c>
      <c r="AD1326" t="s">
        <v>14094</v>
      </c>
      <c r="AE1326" t="s">
        <v>1250</v>
      </c>
      <c r="AF1326" t="s">
        <v>14095</v>
      </c>
      <c r="AG1326" t="s">
        <v>14096</v>
      </c>
      <c r="AH1326" t="str">
        <f>HYPERLINK("http://compartments.jensenlab.org/Entity?figures=subcell_cell_%&amp;knowledge=10&amp;textmining=10&amp;experiments=10&amp;predictions=10&amp;type1=9606&amp;type2=-22&amp;id1=ENSP00000393374","link")</f>
        <v>link</v>
      </c>
      <c r="AK1326" t="str">
        <f>HYPERLINK("http://www.proteinatlas.org/Q29960","no")</f>
        <v>no</v>
      </c>
    </row>
    <row r="1327" spans="1:39" x14ac:dyDescent="0.35">
      <c r="A1327" t="s">
        <v>14097</v>
      </c>
      <c r="B1327" t="str">
        <f>HYPERLINK("http://www.uniprot.org/uniprot/Q29963","Q29963")</f>
        <v>Q29963</v>
      </c>
      <c r="C1327" t="s">
        <v>14098</v>
      </c>
      <c r="D1327" t="s">
        <v>3849</v>
      </c>
      <c r="E1327" t="s">
        <v>39</v>
      </c>
      <c r="F1327" t="s">
        <v>40</v>
      </c>
      <c r="H1327">
        <v>366</v>
      </c>
      <c r="I1327">
        <v>1</v>
      </c>
      <c r="J1327">
        <v>1</v>
      </c>
      <c r="K1327" t="s">
        <v>4930</v>
      </c>
      <c r="L1327" t="s">
        <v>57</v>
      </c>
      <c r="N1327">
        <v>0.81840000000000002</v>
      </c>
      <c r="O1327" s="1">
        <v>1</v>
      </c>
      <c r="P1327" t="s">
        <v>7878</v>
      </c>
      <c r="Q1327" t="s">
        <v>7879</v>
      </c>
      <c r="S1327" t="s">
        <v>91</v>
      </c>
      <c r="T1327" t="s">
        <v>3641</v>
      </c>
      <c r="U1327">
        <v>110</v>
      </c>
      <c r="V1327">
        <v>1</v>
      </c>
      <c r="AE1327" t="s">
        <v>144</v>
      </c>
      <c r="AF1327" t="s">
        <v>4918</v>
      </c>
      <c r="AG1327" t="s">
        <v>14099</v>
      </c>
      <c r="AH1327" t="str">
        <f>HYPERLINK("http://compartments.jensenlab.org/Entity?figures=subcell_cell_%&amp;knowledge=10&amp;textmining=10&amp;experiments=10&amp;predictions=10&amp;type1=9606&amp;type2=-22&amp;id1=ENSP00000410214","link")</f>
        <v>link</v>
      </c>
      <c r="AK1327" t="str">
        <f>HYPERLINK("http://www.proteinatlas.org/Q29963","no")</f>
        <v>no</v>
      </c>
    </row>
    <row r="1328" spans="1:39" x14ac:dyDescent="0.35">
      <c r="A1328" t="s">
        <v>14100</v>
      </c>
      <c r="B1328" t="str">
        <f>HYPERLINK("http://www.uniprot.org/uniprot/Q29974","Q29974")</f>
        <v>Q29974</v>
      </c>
      <c r="C1328" t="s">
        <v>14101</v>
      </c>
      <c r="D1328" t="s">
        <v>3712</v>
      </c>
      <c r="E1328" t="s">
        <v>39</v>
      </c>
      <c r="F1328" t="s">
        <v>40</v>
      </c>
      <c r="H1328">
        <v>266</v>
      </c>
      <c r="I1328">
        <v>1</v>
      </c>
      <c r="J1328">
        <v>1</v>
      </c>
      <c r="K1328" t="s">
        <v>3713</v>
      </c>
      <c r="L1328" t="s">
        <v>42</v>
      </c>
      <c r="N1328">
        <v>0.93010000000000004</v>
      </c>
      <c r="O1328" s="1">
        <v>1</v>
      </c>
      <c r="P1328" t="s">
        <v>3714</v>
      </c>
      <c r="Q1328" t="s">
        <v>3715</v>
      </c>
      <c r="S1328" t="s">
        <v>91</v>
      </c>
      <c r="T1328" t="s">
        <v>3641</v>
      </c>
      <c r="U1328">
        <v>48</v>
      </c>
      <c r="V1328">
        <v>1</v>
      </c>
      <c r="W1328">
        <v>48</v>
      </c>
      <c r="Y1328" t="s">
        <v>3716</v>
      </c>
      <c r="AE1328" t="s">
        <v>3717</v>
      </c>
      <c r="AF1328" t="s">
        <v>5408</v>
      </c>
      <c r="AG1328" t="s">
        <v>14102</v>
      </c>
      <c r="AH1328" t="str">
        <f>HYPERLINK("http://compartments.jensenlab.org/Entity?figures=subcell_cell_%&amp;knowledge=10&amp;textmining=10&amp;experiments=10&amp;predictions=10&amp;type1=9606&amp;type2=-22&amp;id1=ENSP00000353099","link")</f>
        <v>link</v>
      </c>
      <c r="AI1328" t="s">
        <v>3694</v>
      </c>
      <c r="AJ1328" t="s">
        <v>1630</v>
      </c>
      <c r="AK1328" t="str">
        <f>HYPERLINK("http://www.proteinatlas.org/Q29974","CAB015400;CAB034021;HPA043151")</f>
        <v>CAB015400;CAB034021;HPA043151</v>
      </c>
      <c r="AM1328">
        <v>3123</v>
      </c>
    </row>
    <row r="1329" spans="1:39" x14ac:dyDescent="0.35">
      <c r="A1329" t="s">
        <v>14103</v>
      </c>
      <c r="B1329" t="str">
        <f>HYPERLINK("http://www.uniprot.org/uniprot/Q29980","Q29980")</f>
        <v>Q29980</v>
      </c>
      <c r="C1329" t="s">
        <v>14104</v>
      </c>
      <c r="D1329" t="s">
        <v>14105</v>
      </c>
      <c r="E1329" t="s">
        <v>39</v>
      </c>
      <c r="F1329" t="s">
        <v>55</v>
      </c>
      <c r="H1329">
        <v>383</v>
      </c>
      <c r="I1329">
        <v>1</v>
      </c>
      <c r="J1329">
        <v>1</v>
      </c>
      <c r="K1329" t="s">
        <v>14106</v>
      </c>
      <c r="L1329" t="s">
        <v>101</v>
      </c>
      <c r="N1329">
        <v>0.8982</v>
      </c>
      <c r="O1329" s="1">
        <v>1</v>
      </c>
      <c r="P1329" t="s">
        <v>14107</v>
      </c>
      <c r="Q1329" t="s">
        <v>14108</v>
      </c>
      <c r="S1329" t="s">
        <v>91</v>
      </c>
      <c r="T1329" t="s">
        <v>3641</v>
      </c>
      <c r="U1329" t="s">
        <v>14109</v>
      </c>
      <c r="V1329">
        <v>5</v>
      </c>
      <c r="W1329" t="s">
        <v>14109</v>
      </c>
      <c r="Z1329" t="s">
        <v>107</v>
      </c>
      <c r="AA1329">
        <v>3</v>
      </c>
      <c r="AB1329" t="s">
        <v>14110</v>
      </c>
      <c r="AC1329" t="s">
        <v>14111</v>
      </c>
      <c r="AD1329" t="s">
        <v>14112</v>
      </c>
      <c r="AE1329" t="s">
        <v>332</v>
      </c>
      <c r="AF1329" t="s">
        <v>14113</v>
      </c>
      <c r="AG1329" t="s">
        <v>14114</v>
      </c>
      <c r="AH1329" t="str">
        <f>HYPERLINK("http://compartments.jensenlab.org/Entity?figures=subcell_cell_%&amp;knowledge=10&amp;textmining=10&amp;experiments=10&amp;predictions=10&amp;type1=9606&amp;type2=-22&amp;id1=ENSP00000382103","link")</f>
        <v>link</v>
      </c>
      <c r="AI1329" t="s">
        <v>65</v>
      </c>
      <c r="AJ1329" t="s">
        <v>51</v>
      </c>
      <c r="AK1329" t="str">
        <f>HYPERLINK("http://www.proteinatlas.org/Q29980","no")</f>
        <v>no</v>
      </c>
      <c r="AM1329">
        <v>4277</v>
      </c>
    </row>
    <row r="1330" spans="1:39" x14ac:dyDescent="0.35">
      <c r="A1330" t="s">
        <v>14115</v>
      </c>
      <c r="B1330" t="str">
        <f>HYPERLINK("http://www.uniprot.org/uniprot/Q29983","Q29983")</f>
        <v>Q29983</v>
      </c>
      <c r="C1330" t="s">
        <v>14116</v>
      </c>
      <c r="D1330" t="s">
        <v>14117</v>
      </c>
      <c r="E1330" t="s">
        <v>39</v>
      </c>
      <c r="F1330" t="s">
        <v>55</v>
      </c>
      <c r="H1330">
        <v>383</v>
      </c>
      <c r="I1330">
        <v>1</v>
      </c>
      <c r="J1330">
        <v>1</v>
      </c>
      <c r="K1330" t="s">
        <v>14118</v>
      </c>
      <c r="L1330" t="s">
        <v>101</v>
      </c>
      <c r="M1330" t="s">
        <v>39</v>
      </c>
      <c r="N1330">
        <v>0.87109999999999999</v>
      </c>
      <c r="O1330" s="1">
        <v>1</v>
      </c>
      <c r="P1330" t="s">
        <v>14119</v>
      </c>
      <c r="Q1330" t="s">
        <v>14120</v>
      </c>
      <c r="S1330" t="s">
        <v>91</v>
      </c>
      <c r="T1330" t="s">
        <v>3641</v>
      </c>
      <c r="U1330" t="s">
        <v>14121</v>
      </c>
      <c r="V1330">
        <v>8</v>
      </c>
      <c r="W1330" t="s">
        <v>14121</v>
      </c>
      <c r="X1330">
        <v>336</v>
      </c>
      <c r="Z1330" t="s">
        <v>107</v>
      </c>
      <c r="AA1330">
        <v>14</v>
      </c>
      <c r="AB1330" t="s">
        <v>14122</v>
      </c>
      <c r="AC1330" t="s">
        <v>14123</v>
      </c>
      <c r="AD1330" t="s">
        <v>14124</v>
      </c>
      <c r="AE1330" t="s">
        <v>14125</v>
      </c>
      <c r="AF1330" t="s">
        <v>14126</v>
      </c>
      <c r="AG1330" t="s">
        <v>14127</v>
      </c>
      <c r="AH1330" t="str">
        <f>HYPERLINK("http://compartments.jensenlab.org/Entity?figures=subcell_cell_%&amp;knowledge=10&amp;textmining=10&amp;experiments=10&amp;predictions=10&amp;type1=9606&amp;type2=-22&amp;id1=ENSP00000383179","link")</f>
        <v>link</v>
      </c>
      <c r="AK1330" t="str">
        <f>HYPERLINK("http://www.proteinatlas.org/Q29983","no")</f>
        <v>no</v>
      </c>
      <c r="AM1330" s="4">
        <v>101000000</v>
      </c>
    </row>
    <row r="1331" spans="1:39" x14ac:dyDescent="0.35">
      <c r="A1331" t="s">
        <v>14128</v>
      </c>
      <c r="B1331" t="str">
        <f>HYPERLINK("http://www.uniprot.org/uniprot/Q2HXU8","Q2HXU8")</f>
        <v>Q2HXU8</v>
      </c>
      <c r="C1331" t="s">
        <v>14129</v>
      </c>
      <c r="D1331" t="s">
        <v>14130</v>
      </c>
      <c r="E1331" t="s">
        <v>39</v>
      </c>
      <c r="F1331" t="s">
        <v>40</v>
      </c>
      <c r="H1331">
        <v>276</v>
      </c>
      <c r="I1331">
        <v>1</v>
      </c>
      <c r="J1331">
        <v>0</v>
      </c>
      <c r="K1331" t="s">
        <v>14131</v>
      </c>
      <c r="L1331" t="s">
        <v>57</v>
      </c>
      <c r="N1331">
        <v>0.74450000000000005</v>
      </c>
      <c r="O1331" s="1">
        <v>2</v>
      </c>
      <c r="P1331" t="s">
        <v>14132</v>
      </c>
      <c r="Q1331" t="s">
        <v>14133</v>
      </c>
      <c r="S1331" t="s">
        <v>166</v>
      </c>
      <c r="T1331" t="s">
        <v>4251</v>
      </c>
      <c r="U1331" t="s">
        <v>14134</v>
      </c>
      <c r="V1331">
        <v>4</v>
      </c>
      <c r="AE1331" t="s">
        <v>764</v>
      </c>
      <c r="AF1331" t="s">
        <v>14135</v>
      </c>
      <c r="AG1331" t="s">
        <v>14136</v>
      </c>
      <c r="AH1331" t="str">
        <f>HYPERLINK("http://compartments.jensenlab.org/Entity?figures=subcell_cell_%&amp;knowledge=10&amp;textmining=10&amp;experiments=10&amp;predictions=10&amp;type1=9606&amp;type2=-22&amp;id1=ENSP00000344563","link")</f>
        <v>link</v>
      </c>
      <c r="AI1331" t="s">
        <v>65</v>
      </c>
      <c r="AJ1331" t="s">
        <v>51</v>
      </c>
      <c r="AK1331" t="str">
        <f>HYPERLINK("http://www.proteinatlas.org/Q2HXU8","HPA026973")</f>
        <v>HPA026973</v>
      </c>
      <c r="AM1331">
        <v>387837</v>
      </c>
    </row>
    <row r="1332" spans="1:39" x14ac:dyDescent="0.35">
      <c r="A1332" t="s">
        <v>14137</v>
      </c>
      <c r="B1332" t="str">
        <f>HYPERLINK("http://www.uniprot.org/uniprot/Q2KHT4","Q2KHT4")</f>
        <v>Q2KHT4</v>
      </c>
      <c r="C1332" t="s">
        <v>14138</v>
      </c>
      <c r="D1332" t="s">
        <v>14139</v>
      </c>
      <c r="E1332" t="s">
        <v>39</v>
      </c>
      <c r="F1332" t="s">
        <v>40</v>
      </c>
      <c r="H1332">
        <v>349</v>
      </c>
      <c r="I1332">
        <v>3</v>
      </c>
      <c r="J1332">
        <v>1</v>
      </c>
      <c r="K1332" t="s">
        <v>14140</v>
      </c>
      <c r="L1332" t="s">
        <v>42</v>
      </c>
      <c r="N1332">
        <v>0.69259999999999999</v>
      </c>
      <c r="O1332" s="1">
        <v>2</v>
      </c>
      <c r="P1332" t="s">
        <v>14141</v>
      </c>
      <c r="S1332" t="s">
        <v>60</v>
      </c>
      <c r="T1332" t="s">
        <v>60</v>
      </c>
      <c r="U1332">
        <v>70</v>
      </c>
      <c r="V1332">
        <v>1</v>
      </c>
      <c r="AE1332" t="s">
        <v>977</v>
      </c>
      <c r="AF1332" t="s">
        <v>14142</v>
      </c>
      <c r="AG1332" t="s">
        <v>14143</v>
      </c>
      <c r="AK1332" t="str">
        <f>HYPERLINK("http://www.proteinatlas.org/Q2KHT4","HPA043371")</f>
        <v>HPA043371</v>
      </c>
      <c r="AM1332">
        <v>83445</v>
      </c>
    </row>
    <row r="1333" spans="1:39" x14ac:dyDescent="0.35">
      <c r="A1333" t="s">
        <v>14144</v>
      </c>
      <c r="B1333" t="str">
        <f>HYPERLINK("http://www.uniprot.org/uniprot/Q2M385","Q2M385")</f>
        <v>Q2M385</v>
      </c>
      <c r="C1333" t="s">
        <v>14145</v>
      </c>
      <c r="D1333" t="s">
        <v>14146</v>
      </c>
      <c r="E1333" t="s">
        <v>39</v>
      </c>
      <c r="F1333" t="s">
        <v>40</v>
      </c>
      <c r="H1333">
        <v>716</v>
      </c>
      <c r="I1333">
        <v>1</v>
      </c>
      <c r="J1333">
        <v>1</v>
      </c>
      <c r="K1333" t="s">
        <v>14147</v>
      </c>
      <c r="L1333" t="s">
        <v>57</v>
      </c>
      <c r="N1333">
        <v>0.76649999999999996</v>
      </c>
      <c r="O1333" s="1">
        <v>1</v>
      </c>
      <c r="P1333" t="s">
        <v>14148</v>
      </c>
      <c r="Q1333" t="s">
        <v>14149</v>
      </c>
      <c r="S1333" t="s">
        <v>60</v>
      </c>
      <c r="T1333" t="s">
        <v>60</v>
      </c>
      <c r="U1333" t="s">
        <v>14150</v>
      </c>
      <c r="V1333">
        <v>4</v>
      </c>
      <c r="Y1333" t="s">
        <v>14151</v>
      </c>
      <c r="AE1333" t="s">
        <v>144</v>
      </c>
      <c r="AF1333" t="s">
        <v>226</v>
      </c>
      <c r="AG1333" t="s">
        <v>14152</v>
      </c>
      <c r="AH1333" t="str">
        <f>HYPERLINK("http://compartments.jensenlab.org/Entity?figures=subcell_cell_%&amp;knowledge=10&amp;textmining=10&amp;experiments=10&amp;predictions=10&amp;type1=9606&amp;type2=-22&amp;id1=ENSP00000354335","link")</f>
        <v>link</v>
      </c>
      <c r="AJ1333" t="s">
        <v>51</v>
      </c>
      <c r="AK1333" t="str">
        <f>HYPERLINK("http://www.proteinatlas.org/Q2M385","HPA046801")</f>
        <v>HPA046801</v>
      </c>
      <c r="AM1333">
        <v>219972</v>
      </c>
    </row>
    <row r="1334" spans="1:39" x14ac:dyDescent="0.35">
      <c r="A1334" t="s">
        <v>14153</v>
      </c>
      <c r="B1334" t="str">
        <f>HYPERLINK("http://www.uniprot.org/uniprot/Q2M3G0","Q2M3G0")</f>
        <v>Q2M3G0</v>
      </c>
      <c r="C1334" t="s">
        <v>14154</v>
      </c>
      <c r="D1334" t="s">
        <v>14155</v>
      </c>
      <c r="E1334" t="s">
        <v>39</v>
      </c>
      <c r="F1334" t="s">
        <v>40</v>
      </c>
      <c r="H1334">
        <v>1257</v>
      </c>
      <c r="I1334">
        <v>12</v>
      </c>
      <c r="J1334">
        <v>0</v>
      </c>
      <c r="K1334" t="s">
        <v>14156</v>
      </c>
      <c r="L1334" t="s">
        <v>42</v>
      </c>
      <c r="N1334">
        <v>0.71660000000000001</v>
      </c>
      <c r="O1334" s="1">
        <v>2</v>
      </c>
      <c r="P1334" t="s">
        <v>14157</v>
      </c>
      <c r="Q1334" t="s">
        <v>14158</v>
      </c>
      <c r="S1334" t="s">
        <v>45</v>
      </c>
      <c r="T1334" t="s">
        <v>3223</v>
      </c>
      <c r="U1334" t="s">
        <v>14159</v>
      </c>
      <c r="V1334">
        <v>2</v>
      </c>
      <c r="AE1334" t="s">
        <v>74</v>
      </c>
      <c r="AF1334" t="s">
        <v>14160</v>
      </c>
      <c r="AG1334" t="s">
        <v>14161</v>
      </c>
      <c r="AH1334" t="str">
        <f>HYPERLINK("http://compartments.jensenlab.org/Entity?figures=subcell_cell_%&amp;knowledge=10&amp;textmining=10&amp;experiments=10&amp;predictions=10&amp;type1=9606&amp;type2=-22&amp;id1=ENSP00000258738","link")</f>
        <v>link</v>
      </c>
      <c r="AI1334" t="s">
        <v>65</v>
      </c>
      <c r="AJ1334" t="s">
        <v>3228</v>
      </c>
      <c r="AK1334" t="str">
        <f>HYPERLINK("http://www.proteinatlas.org/Q2M3G0","HPA026975")</f>
        <v>HPA026975</v>
      </c>
      <c r="AM1334">
        <v>340273</v>
      </c>
    </row>
    <row r="1335" spans="1:39" x14ac:dyDescent="0.35">
      <c r="A1335" t="s">
        <v>14162</v>
      </c>
      <c r="B1335" t="str">
        <f>HYPERLINK("http://www.uniprot.org/uniprot/Q2M3M2","Q2M3M2")</f>
        <v>Q2M3M2</v>
      </c>
      <c r="C1335" t="s">
        <v>14163</v>
      </c>
      <c r="D1335" t="s">
        <v>14164</v>
      </c>
      <c r="E1335" t="s">
        <v>39</v>
      </c>
      <c r="F1335" t="s">
        <v>40</v>
      </c>
      <c r="H1335">
        <v>681</v>
      </c>
      <c r="I1335">
        <v>14</v>
      </c>
      <c r="J1335">
        <v>0</v>
      </c>
      <c r="K1335" t="s">
        <v>14165</v>
      </c>
      <c r="L1335" t="s">
        <v>57</v>
      </c>
      <c r="N1335">
        <v>0.8982</v>
      </c>
      <c r="O1335" s="1">
        <v>1</v>
      </c>
      <c r="P1335" t="s">
        <v>14166</v>
      </c>
      <c r="Q1335" t="s">
        <v>14167</v>
      </c>
      <c r="S1335" t="s">
        <v>45</v>
      </c>
      <c r="T1335" t="s">
        <v>72</v>
      </c>
      <c r="U1335" t="s">
        <v>14168</v>
      </c>
      <c r="V1335">
        <v>3</v>
      </c>
      <c r="AE1335" t="s">
        <v>48</v>
      </c>
      <c r="AF1335" t="s">
        <v>14169</v>
      </c>
      <c r="AG1335" t="s">
        <v>14170</v>
      </c>
      <c r="AH1335" t="str">
        <f>HYPERLINK("http://compartments.jensenlab.org/Entity?figures=subcell_cell_%&amp;knowledge=10&amp;textmining=10&amp;experiments=10&amp;predictions=10&amp;type1=9606&amp;type2=-22&amp;id1=ENSP00000401730","link")</f>
        <v>link</v>
      </c>
      <c r="AK1335" t="str">
        <f>HYPERLINK("http://www.proteinatlas.org/Q2M3M2","HPA050263")</f>
        <v>HPA050263</v>
      </c>
      <c r="AM1335">
        <v>200010</v>
      </c>
    </row>
    <row r="1336" spans="1:39" x14ac:dyDescent="0.35">
      <c r="A1336" t="s">
        <v>14171</v>
      </c>
      <c r="B1336" t="str">
        <f>HYPERLINK("http://www.uniprot.org/uniprot/Q2VWP7","Q2VWP7")</f>
        <v>Q2VWP7</v>
      </c>
      <c r="C1336" t="s">
        <v>14172</v>
      </c>
      <c r="D1336" t="s">
        <v>14173</v>
      </c>
      <c r="E1336" t="s">
        <v>39</v>
      </c>
      <c r="F1336" t="s">
        <v>40</v>
      </c>
      <c r="H1336">
        <v>1150</v>
      </c>
      <c r="I1336">
        <v>1</v>
      </c>
      <c r="J1336">
        <v>1</v>
      </c>
      <c r="K1336" t="s">
        <v>14174</v>
      </c>
      <c r="L1336" t="s">
        <v>57</v>
      </c>
      <c r="N1336">
        <v>0.96409999999999996</v>
      </c>
      <c r="O1336" s="1">
        <v>1</v>
      </c>
      <c r="P1336" t="s">
        <v>14175</v>
      </c>
      <c r="Q1336" t="s">
        <v>14176</v>
      </c>
      <c r="S1336" t="s">
        <v>166</v>
      </c>
      <c r="T1336" t="s">
        <v>3120</v>
      </c>
      <c r="U1336" t="s">
        <v>14177</v>
      </c>
      <c r="V1336">
        <v>10</v>
      </c>
      <c r="AE1336" t="s">
        <v>94</v>
      </c>
      <c r="AF1336" t="s">
        <v>14178</v>
      </c>
      <c r="AG1336" t="s">
        <v>14179</v>
      </c>
      <c r="AH1336" t="str">
        <f>HYPERLINK("http://compartments.jensenlab.org/Entity?figures=subcell_cell_%&amp;knowledge=10&amp;textmining=10&amp;experiments=10&amp;predictions=10&amp;type1=9606&amp;type2=-22&amp;id1=ENSP00000373937","link")</f>
        <v>link</v>
      </c>
      <c r="AJ1336" t="s">
        <v>51</v>
      </c>
      <c r="AK1336" t="str">
        <f>HYPERLINK("http://www.proteinatlas.org/Q2VWP7","HPA032138")</f>
        <v>HPA032138</v>
      </c>
      <c r="AM1336">
        <v>283659</v>
      </c>
    </row>
    <row r="1337" spans="1:39" x14ac:dyDescent="0.35">
      <c r="A1337" t="s">
        <v>14180</v>
      </c>
      <c r="B1337" t="str">
        <f>HYPERLINK("http://www.uniprot.org/uniprot/Q2Y0W8","Q2Y0W8")</f>
        <v>Q2Y0W8</v>
      </c>
      <c r="C1337" t="s">
        <v>14181</v>
      </c>
      <c r="D1337" t="s">
        <v>14182</v>
      </c>
      <c r="E1337" t="s">
        <v>39</v>
      </c>
      <c r="F1337" t="s">
        <v>40</v>
      </c>
      <c r="H1337">
        <v>1093</v>
      </c>
      <c r="I1337">
        <v>11</v>
      </c>
      <c r="J1337">
        <v>0</v>
      </c>
      <c r="K1337" t="s">
        <v>14183</v>
      </c>
      <c r="L1337" t="s">
        <v>57</v>
      </c>
      <c r="N1337">
        <v>0.68859999999999999</v>
      </c>
      <c r="O1337" s="1">
        <v>2</v>
      </c>
      <c r="P1337" t="s">
        <v>14184</v>
      </c>
      <c r="Q1337" t="s">
        <v>14185</v>
      </c>
      <c r="S1337" t="s">
        <v>45</v>
      </c>
      <c r="T1337" t="s">
        <v>3762</v>
      </c>
      <c r="U1337" t="s">
        <v>14186</v>
      </c>
      <c r="V1337">
        <v>4</v>
      </c>
      <c r="X1337" t="s">
        <v>14187</v>
      </c>
      <c r="AE1337" t="s">
        <v>48</v>
      </c>
      <c r="AF1337" t="s">
        <v>14188</v>
      </c>
      <c r="AG1337" t="s">
        <v>14189</v>
      </c>
      <c r="AH1337" t="str">
        <f>HYPERLINK("http://compartments.jensenlab.org/Entity?figures=subcell_cell_%&amp;knowledge=10&amp;textmining=10&amp;experiments=10&amp;predictions=10&amp;type1=9606&amp;type2=-22&amp;id1=ENSP00000405812","link")</f>
        <v>link</v>
      </c>
      <c r="AJ1337" t="s">
        <v>51</v>
      </c>
      <c r="AK1337" t="str">
        <f>HYPERLINK("http://www.proteinatlas.org/Q2Y0W8","HPA046665")</f>
        <v>HPA046665</v>
      </c>
      <c r="AM1337">
        <v>9498</v>
      </c>
    </row>
    <row r="1338" spans="1:39" x14ac:dyDescent="0.35">
      <c r="A1338" t="s">
        <v>14190</v>
      </c>
      <c r="B1338" t="str">
        <f>HYPERLINK("http://www.uniprot.org/uniprot/Q30134","Q30134")</f>
        <v>Q30134</v>
      </c>
      <c r="C1338" t="s">
        <v>14191</v>
      </c>
      <c r="D1338" t="s">
        <v>3712</v>
      </c>
      <c r="E1338" t="s">
        <v>39</v>
      </c>
      <c r="F1338" t="s">
        <v>40</v>
      </c>
      <c r="H1338">
        <v>266</v>
      </c>
      <c r="I1338">
        <v>1</v>
      </c>
      <c r="J1338">
        <v>1</v>
      </c>
      <c r="K1338" t="s">
        <v>3713</v>
      </c>
      <c r="L1338" t="s">
        <v>57</v>
      </c>
      <c r="N1338">
        <v>0.92020000000000002</v>
      </c>
      <c r="O1338" s="1">
        <v>1</v>
      </c>
      <c r="P1338" t="s">
        <v>3721</v>
      </c>
      <c r="Q1338" t="s">
        <v>6366</v>
      </c>
      <c r="S1338" t="s">
        <v>91</v>
      </c>
      <c r="T1338" t="s">
        <v>3641</v>
      </c>
      <c r="U1338">
        <v>48</v>
      </c>
      <c r="V1338">
        <v>1</v>
      </c>
      <c r="W1338">
        <v>48</v>
      </c>
      <c r="AE1338" t="s">
        <v>3717</v>
      </c>
      <c r="AF1338" t="s">
        <v>5408</v>
      </c>
      <c r="AG1338" t="s">
        <v>14192</v>
      </c>
      <c r="AH1338" t="str">
        <f>HYPERLINK("http://compartments.jensenlab.org/Entity?figures=subcell_cell_%&amp;knowledge=10&amp;textmining=10&amp;experiments=10&amp;predictions=10&amp;type1=9606&amp;type2=-22&amp;id1=ENSP00000331343","link")</f>
        <v>link</v>
      </c>
      <c r="AK1338" t="str">
        <f>HYPERLINK("http://www.proteinatlas.org/Q30134","no")</f>
        <v>no</v>
      </c>
    </row>
    <row r="1339" spans="1:39" x14ac:dyDescent="0.35">
      <c r="A1339" t="s">
        <v>14193</v>
      </c>
      <c r="B1339" t="str">
        <f>HYPERLINK("http://www.uniprot.org/uniprot/Q30154","Q30154")</f>
        <v>Q30154</v>
      </c>
      <c r="C1339" t="s">
        <v>14194</v>
      </c>
      <c r="D1339" t="s">
        <v>14195</v>
      </c>
      <c r="E1339" t="s">
        <v>39</v>
      </c>
      <c r="F1339" t="s">
        <v>55</v>
      </c>
      <c r="H1339">
        <v>266</v>
      </c>
      <c r="I1339">
        <v>1</v>
      </c>
      <c r="J1339">
        <v>1</v>
      </c>
      <c r="K1339" t="s">
        <v>3713</v>
      </c>
      <c r="L1339" t="s">
        <v>101</v>
      </c>
      <c r="N1339">
        <v>0.91020000000000001</v>
      </c>
      <c r="O1339" s="1">
        <v>1</v>
      </c>
      <c r="P1339" t="s">
        <v>14196</v>
      </c>
      <c r="Q1339" t="s">
        <v>14197</v>
      </c>
      <c r="S1339" t="s">
        <v>91</v>
      </c>
      <c r="T1339" t="s">
        <v>3641</v>
      </c>
      <c r="U1339">
        <v>48</v>
      </c>
      <c r="V1339">
        <v>1</v>
      </c>
      <c r="W1339">
        <v>48</v>
      </c>
      <c r="Y1339" t="s">
        <v>3723</v>
      </c>
      <c r="Z1339" t="s">
        <v>107</v>
      </c>
      <c r="AA1339">
        <v>3</v>
      </c>
      <c r="AB1339" t="s">
        <v>14198</v>
      </c>
      <c r="AC1339">
        <v>48</v>
      </c>
      <c r="AD1339" t="s">
        <v>14199</v>
      </c>
      <c r="AE1339" t="s">
        <v>3717</v>
      </c>
      <c r="AF1339" t="s">
        <v>3679</v>
      </c>
      <c r="AG1339" t="s">
        <v>14200</v>
      </c>
      <c r="AH1339" t="str">
        <f>HYPERLINK("http://compartments.jensenlab.org/Entity?figures=subcell_cell_%&amp;knowledge=10&amp;textmining=10&amp;experiments=10&amp;predictions=10&amp;type1=9606&amp;type2=-22&amp;id1=ENSP00000364114","link")</f>
        <v>link</v>
      </c>
      <c r="AI1339" t="s">
        <v>3694</v>
      </c>
      <c r="AJ1339" t="s">
        <v>1630</v>
      </c>
      <c r="AK1339" t="str">
        <f>HYPERLINK("http://www.proteinatlas.org/Q30154","HPA043151")</f>
        <v>HPA043151</v>
      </c>
      <c r="AM1339">
        <v>3127</v>
      </c>
    </row>
    <row r="1340" spans="1:39" x14ac:dyDescent="0.35">
      <c r="A1340" t="s">
        <v>14201</v>
      </c>
      <c r="B1340" t="str">
        <f>HYPERLINK("http://www.uniprot.org/uniprot/Q30167","Q30167")</f>
        <v>Q30167</v>
      </c>
      <c r="C1340" t="s">
        <v>14202</v>
      </c>
      <c r="D1340" t="s">
        <v>3712</v>
      </c>
      <c r="E1340" t="s">
        <v>39</v>
      </c>
      <c r="F1340" t="s">
        <v>40</v>
      </c>
      <c r="H1340">
        <v>266</v>
      </c>
      <c r="I1340">
        <v>1</v>
      </c>
      <c r="J1340">
        <v>1</v>
      </c>
      <c r="K1340" t="s">
        <v>3713</v>
      </c>
      <c r="L1340" t="s">
        <v>57</v>
      </c>
      <c r="N1340">
        <v>0.94010000000000005</v>
      </c>
      <c r="O1340" s="1">
        <v>1</v>
      </c>
      <c r="P1340" t="s">
        <v>5397</v>
      </c>
      <c r="Q1340" t="s">
        <v>5398</v>
      </c>
      <c r="S1340" t="s">
        <v>91</v>
      </c>
      <c r="T1340" t="s">
        <v>3641</v>
      </c>
      <c r="U1340">
        <v>48</v>
      </c>
      <c r="V1340">
        <v>1</v>
      </c>
      <c r="W1340">
        <v>48</v>
      </c>
      <c r="AE1340" t="s">
        <v>3717</v>
      </c>
      <c r="AF1340" t="s">
        <v>5408</v>
      </c>
      <c r="AG1340" t="s">
        <v>14203</v>
      </c>
      <c r="AH1340" t="str">
        <f>HYPERLINK("http://compartments.jensenlab.org/Entity?figures=subcell_cell_%&amp;knowledge=10&amp;textmining=10&amp;experiments=10&amp;predictions=10&amp;type1=9606&amp;type2=-22&amp;id1=ENSP00000403458","link")</f>
        <v>link</v>
      </c>
      <c r="AK1340" t="str">
        <f>HYPERLINK("http://www.proteinatlas.org/Q30167","no")</f>
        <v>no</v>
      </c>
    </row>
    <row r="1341" spans="1:39" x14ac:dyDescent="0.35">
      <c r="A1341" t="s">
        <v>14204</v>
      </c>
      <c r="B1341" t="str">
        <f>HYPERLINK("http://www.uniprot.org/uniprot/Q30201","Q30201")</f>
        <v>Q30201</v>
      </c>
      <c r="C1341" t="s">
        <v>14205</v>
      </c>
      <c r="D1341" t="s">
        <v>14206</v>
      </c>
      <c r="E1341" t="s">
        <v>39</v>
      </c>
      <c r="F1341" t="s">
        <v>40</v>
      </c>
      <c r="H1341">
        <v>348</v>
      </c>
      <c r="I1341">
        <v>1</v>
      </c>
      <c r="J1341">
        <v>1</v>
      </c>
      <c r="K1341" t="s">
        <v>14207</v>
      </c>
      <c r="L1341" t="s">
        <v>101</v>
      </c>
      <c r="N1341">
        <v>0.93010000000000004</v>
      </c>
      <c r="O1341" s="1">
        <v>1</v>
      </c>
      <c r="P1341" t="s">
        <v>14208</v>
      </c>
      <c r="Q1341" t="s">
        <v>14209</v>
      </c>
      <c r="S1341" t="s">
        <v>60</v>
      </c>
      <c r="T1341" t="s">
        <v>60</v>
      </c>
      <c r="U1341" t="s">
        <v>14210</v>
      </c>
      <c r="V1341">
        <v>3</v>
      </c>
      <c r="W1341" t="s">
        <v>14210</v>
      </c>
      <c r="Z1341" t="s">
        <v>107</v>
      </c>
      <c r="AA1341">
        <v>1</v>
      </c>
      <c r="AB1341" t="s">
        <v>14211</v>
      </c>
      <c r="AC1341">
        <v>234</v>
      </c>
      <c r="AD1341" t="s">
        <v>14212</v>
      </c>
      <c r="AE1341" t="s">
        <v>144</v>
      </c>
      <c r="AF1341" t="s">
        <v>14213</v>
      </c>
      <c r="AG1341" t="s">
        <v>14214</v>
      </c>
      <c r="AH1341" t="str">
        <f>HYPERLINK("http://compartments.jensenlab.org/Entity?figures=subcell_cell_%&amp;knowledge=10&amp;textmining=10&amp;experiments=10&amp;predictions=10&amp;type1=9606&amp;type2=-22&amp;id1=ENSP00000417404","link")</f>
        <v>link</v>
      </c>
      <c r="AI1341" t="s">
        <v>6033</v>
      </c>
      <c r="AJ1341" t="s">
        <v>1791</v>
      </c>
      <c r="AK1341" t="str">
        <f>HYPERLINK("http://www.proteinatlas.org/Q30201","HPA017276;HPA053470")</f>
        <v>HPA017276;HPA053470</v>
      </c>
      <c r="AM1341">
        <v>3077</v>
      </c>
    </row>
    <row r="1342" spans="1:39" x14ac:dyDescent="0.35">
      <c r="A1342" t="s">
        <v>14215</v>
      </c>
      <c r="B1342" t="str">
        <f>HYPERLINK("http://www.uniprot.org/uniprot/Q31610","Q31610")</f>
        <v>Q31610</v>
      </c>
      <c r="C1342" t="s">
        <v>14216</v>
      </c>
      <c r="D1342" t="s">
        <v>3637</v>
      </c>
      <c r="E1342" t="s">
        <v>39</v>
      </c>
      <c r="F1342" t="s">
        <v>40</v>
      </c>
      <c r="H1342">
        <v>362</v>
      </c>
      <c r="I1342">
        <v>1</v>
      </c>
      <c r="J1342">
        <v>1</v>
      </c>
      <c r="K1342" t="s">
        <v>3638</v>
      </c>
      <c r="L1342" t="s">
        <v>57</v>
      </c>
      <c r="N1342">
        <v>0.78239999999999998</v>
      </c>
      <c r="O1342" s="1">
        <v>1</v>
      </c>
      <c r="P1342" t="s">
        <v>3639</v>
      </c>
      <c r="Q1342" t="s">
        <v>3640</v>
      </c>
      <c r="S1342" t="s">
        <v>91</v>
      </c>
      <c r="T1342" t="s">
        <v>3641</v>
      </c>
      <c r="U1342">
        <v>110</v>
      </c>
      <c r="V1342">
        <v>1</v>
      </c>
      <c r="AE1342" t="s">
        <v>144</v>
      </c>
      <c r="AF1342" t="s">
        <v>4918</v>
      </c>
      <c r="AG1342" t="s">
        <v>14217</v>
      </c>
      <c r="AH1342" t="str">
        <f>HYPERLINK("http://compartments.jensenlab.org/Entity?figures=subcell_cell_%&amp;knowledge=10&amp;textmining=10&amp;experiments=10&amp;predictions=10&amp;type1=9606&amp;type2=-22&amp;id1=ENSP00000399168","link")</f>
        <v>link</v>
      </c>
      <c r="AI1342" t="s">
        <v>65</v>
      </c>
      <c r="AJ1342" t="s">
        <v>3644</v>
      </c>
      <c r="AK1342" t="str">
        <f>HYPERLINK("http://www.proteinatlas.org/Q31610","CAB015418")</f>
        <v>CAB015418</v>
      </c>
    </row>
    <row r="1343" spans="1:39" x14ac:dyDescent="0.35">
      <c r="A1343" t="s">
        <v>14218</v>
      </c>
      <c r="B1343" t="str">
        <f>HYPERLINK("http://www.uniprot.org/uniprot/Q31612","Q31612")</f>
        <v>Q31612</v>
      </c>
      <c r="C1343" t="s">
        <v>14219</v>
      </c>
      <c r="D1343" t="s">
        <v>3637</v>
      </c>
      <c r="E1343" t="s">
        <v>39</v>
      </c>
      <c r="F1343" t="s">
        <v>40</v>
      </c>
      <c r="H1343">
        <v>363</v>
      </c>
      <c r="I1343">
        <v>1</v>
      </c>
      <c r="J1343">
        <v>1</v>
      </c>
      <c r="K1343" t="s">
        <v>14220</v>
      </c>
      <c r="L1343" t="s">
        <v>57</v>
      </c>
      <c r="N1343">
        <v>0.7964</v>
      </c>
      <c r="O1343" s="1">
        <v>1</v>
      </c>
      <c r="P1343" t="s">
        <v>3639</v>
      </c>
      <c r="Q1343" t="s">
        <v>3640</v>
      </c>
      <c r="S1343" t="s">
        <v>91</v>
      </c>
      <c r="T1343" t="s">
        <v>3641</v>
      </c>
      <c r="U1343">
        <v>110</v>
      </c>
      <c r="V1343">
        <v>1</v>
      </c>
      <c r="AE1343" t="s">
        <v>144</v>
      </c>
      <c r="AF1343" t="s">
        <v>4918</v>
      </c>
      <c r="AG1343" t="s">
        <v>14221</v>
      </c>
      <c r="AH1343" t="str">
        <f>HYPERLINK("http://compartments.jensenlab.org/Entity?figures=subcell_cell_%&amp;knowledge=10&amp;textmining=10&amp;experiments=10&amp;predictions=10&amp;type1=9606&amp;type2=-22&amp;id1=ENSP00000399168","link")</f>
        <v>link</v>
      </c>
      <c r="AI1343" t="s">
        <v>65</v>
      </c>
      <c r="AJ1343" t="s">
        <v>3644</v>
      </c>
      <c r="AK1343" t="str">
        <f>HYPERLINK("http://www.proteinatlas.org/Q31612","CAB015418")</f>
        <v>CAB015418</v>
      </c>
    </row>
    <row r="1344" spans="1:39" x14ac:dyDescent="0.35">
      <c r="A1344" t="s">
        <v>14222</v>
      </c>
      <c r="B1344" t="str">
        <f>HYPERLINK("http://www.uniprot.org/uniprot/Q32ZL2","Q32ZL2")</f>
        <v>Q32ZL2</v>
      </c>
      <c r="C1344" t="s">
        <v>14223</v>
      </c>
      <c r="D1344" t="s">
        <v>14224</v>
      </c>
      <c r="E1344" t="s">
        <v>39</v>
      </c>
      <c r="F1344" t="s">
        <v>40</v>
      </c>
      <c r="H1344">
        <v>321</v>
      </c>
      <c r="I1344">
        <v>6</v>
      </c>
      <c r="J1344">
        <v>0</v>
      </c>
      <c r="K1344" t="s">
        <v>14225</v>
      </c>
      <c r="L1344" t="s">
        <v>42</v>
      </c>
      <c r="N1344">
        <v>0.83830000000000005</v>
      </c>
      <c r="O1344" s="1">
        <v>1</v>
      </c>
      <c r="S1344" t="s">
        <v>947</v>
      </c>
      <c r="T1344" t="s">
        <v>1117</v>
      </c>
      <c r="U1344">
        <v>158</v>
      </c>
      <c r="V1344">
        <v>1</v>
      </c>
      <c r="AE1344" t="s">
        <v>48</v>
      </c>
      <c r="AF1344" t="s">
        <v>14226</v>
      </c>
      <c r="AG1344" t="s">
        <v>14227</v>
      </c>
      <c r="AK1344" t="str">
        <f>HYPERLINK("http://www.proteinatlas.org/Q32ZL2","no")</f>
        <v>no</v>
      </c>
      <c r="AM1344">
        <v>163404</v>
      </c>
    </row>
    <row r="1345" spans="1:39" x14ac:dyDescent="0.35">
      <c r="A1345" t="s">
        <v>14228</v>
      </c>
      <c r="B1345" t="str">
        <f>HYPERLINK("http://www.uniprot.org/uniprot/Q3KNS1","Q3KNS1")</f>
        <v>Q3KNS1</v>
      </c>
      <c r="C1345" t="s">
        <v>14229</v>
      </c>
      <c r="D1345" t="s">
        <v>14230</v>
      </c>
      <c r="E1345" t="s">
        <v>39</v>
      </c>
      <c r="F1345" t="s">
        <v>40</v>
      </c>
      <c r="H1345">
        <v>767</v>
      </c>
      <c r="I1345">
        <v>8</v>
      </c>
      <c r="J1345">
        <v>0</v>
      </c>
      <c r="K1345" t="s">
        <v>14231</v>
      </c>
      <c r="L1345" t="s">
        <v>42</v>
      </c>
      <c r="N1345">
        <v>0.78439999999999999</v>
      </c>
      <c r="O1345" s="1">
        <v>1</v>
      </c>
      <c r="P1345" t="s">
        <v>14232</v>
      </c>
      <c r="Q1345" t="s">
        <v>14233</v>
      </c>
      <c r="S1345" t="s">
        <v>60</v>
      </c>
      <c r="T1345" t="s">
        <v>60</v>
      </c>
      <c r="U1345" t="s">
        <v>14234</v>
      </c>
      <c r="V1345">
        <v>3</v>
      </c>
      <c r="Y1345">
        <v>129</v>
      </c>
      <c r="AE1345" t="s">
        <v>48</v>
      </c>
      <c r="AF1345" t="s">
        <v>83</v>
      </c>
      <c r="AG1345" t="s">
        <v>14235</v>
      </c>
      <c r="AH1345" t="str">
        <f>HYPERLINK("http://compartments.jensenlab.org/Entity?figures=subcell_cell_%&amp;knowledge=10&amp;textmining=10&amp;experiments=10&amp;predictions=10&amp;type1=9606&amp;type2=-22&amp;id1=ENSP00000417658","link")</f>
        <v>link</v>
      </c>
      <c r="AJ1345" t="s">
        <v>51</v>
      </c>
      <c r="AK1345" t="str">
        <f>HYPERLINK("http://www.proteinatlas.org/Q3KNS1","HPA044613")</f>
        <v>HPA044613</v>
      </c>
      <c r="AM1345">
        <v>374308</v>
      </c>
    </row>
    <row r="1346" spans="1:39" x14ac:dyDescent="0.35">
      <c r="A1346" t="s">
        <v>14236</v>
      </c>
      <c r="B1346" t="str">
        <f>HYPERLINK("http://www.uniprot.org/uniprot/Q3KNT9","Q3KNT9")</f>
        <v>Q3KNT9</v>
      </c>
      <c r="C1346" t="s">
        <v>14237</v>
      </c>
      <c r="D1346" t="s">
        <v>14238</v>
      </c>
      <c r="E1346" t="s">
        <v>39</v>
      </c>
      <c r="F1346" t="s">
        <v>40</v>
      </c>
      <c r="H1346">
        <v>176</v>
      </c>
      <c r="I1346">
        <v>1</v>
      </c>
      <c r="J1346">
        <v>1</v>
      </c>
      <c r="K1346" t="s">
        <v>14239</v>
      </c>
      <c r="L1346" t="s">
        <v>57</v>
      </c>
      <c r="N1346">
        <v>0.64070000000000005</v>
      </c>
      <c r="O1346" s="1">
        <v>2</v>
      </c>
      <c r="P1346" t="s">
        <v>14240</v>
      </c>
      <c r="Q1346" t="s">
        <v>14241</v>
      </c>
      <c r="S1346" t="s">
        <v>60</v>
      </c>
      <c r="T1346" t="s">
        <v>60</v>
      </c>
      <c r="U1346">
        <v>117</v>
      </c>
      <c r="V1346">
        <v>1</v>
      </c>
      <c r="AE1346" t="s">
        <v>144</v>
      </c>
      <c r="AF1346" t="s">
        <v>145</v>
      </c>
      <c r="AG1346" t="s">
        <v>14242</v>
      </c>
      <c r="AH1346" t="str">
        <f>HYPERLINK("http://compartments.jensenlab.org/Entity?figures=subcell_cell_%&amp;knowledge=10&amp;textmining=10&amp;experiments=10&amp;predictions=10&amp;type1=9606&amp;type2=-22&amp;id1=ENSP00000460828","link")</f>
        <v>link</v>
      </c>
      <c r="AK1346" t="str">
        <f>HYPERLINK("http://www.proteinatlas.org/Q3KNT9","no")</f>
        <v>no</v>
      </c>
      <c r="AM1346">
        <v>339168</v>
      </c>
    </row>
    <row r="1347" spans="1:39" x14ac:dyDescent="0.35">
      <c r="A1347" t="s">
        <v>14243</v>
      </c>
      <c r="B1347" t="str">
        <f>HYPERLINK("http://www.uniprot.org/uniprot/Q3KNW5","Q3KNW5")</f>
        <v>Q3KNW5</v>
      </c>
      <c r="C1347" t="s">
        <v>14244</v>
      </c>
      <c r="D1347" t="s">
        <v>14245</v>
      </c>
      <c r="E1347" t="s">
        <v>39</v>
      </c>
      <c r="F1347" t="s">
        <v>40</v>
      </c>
      <c r="H1347">
        <v>377</v>
      </c>
      <c r="I1347">
        <v>9</v>
      </c>
      <c r="J1347">
        <v>0</v>
      </c>
      <c r="K1347" t="s">
        <v>14246</v>
      </c>
      <c r="L1347" t="s">
        <v>57</v>
      </c>
      <c r="N1347">
        <v>0.84230000000000005</v>
      </c>
      <c r="O1347" s="1">
        <v>1</v>
      </c>
      <c r="P1347" t="s">
        <v>14247</v>
      </c>
      <c r="Q1347" t="s">
        <v>14248</v>
      </c>
      <c r="S1347" t="s">
        <v>45</v>
      </c>
      <c r="T1347" t="s">
        <v>4679</v>
      </c>
      <c r="U1347" t="s">
        <v>14249</v>
      </c>
      <c r="V1347">
        <v>3</v>
      </c>
      <c r="AE1347" t="s">
        <v>48</v>
      </c>
      <c r="AF1347" t="s">
        <v>10588</v>
      </c>
      <c r="AG1347" t="s">
        <v>14250</v>
      </c>
      <c r="AH1347" t="str">
        <f>HYPERLINK("http://compartments.jensenlab.org/Entity?figures=subcell_cell_%&amp;knowledge=10&amp;textmining=10&amp;experiments=10&amp;predictions=10&amp;type1=9606&amp;type2=-22&amp;id1=ENSP00000273905","link")</f>
        <v>link</v>
      </c>
      <c r="AJ1347" t="s">
        <v>51</v>
      </c>
      <c r="AK1347" t="str">
        <f>HYPERLINK("http://www.proteinatlas.org/Q3KNW5","HPA016662")</f>
        <v>HPA016662</v>
      </c>
      <c r="AM1347">
        <v>345274</v>
      </c>
    </row>
    <row r="1348" spans="1:39" x14ac:dyDescent="0.35">
      <c r="A1348" t="s">
        <v>14251</v>
      </c>
      <c r="B1348" t="str">
        <f>HYPERLINK("http://www.uniprot.org/uniprot/Q3KPI0","Q3KPI0")</f>
        <v>Q3KPI0</v>
      </c>
      <c r="C1348" t="s">
        <v>14252</v>
      </c>
      <c r="D1348" t="s">
        <v>14253</v>
      </c>
      <c r="E1348" t="s">
        <v>39</v>
      </c>
      <c r="F1348" t="s">
        <v>40</v>
      </c>
      <c r="H1348">
        <v>293</v>
      </c>
      <c r="I1348">
        <v>1</v>
      </c>
      <c r="J1348">
        <v>1</v>
      </c>
      <c r="K1348" t="s">
        <v>14254</v>
      </c>
      <c r="L1348" t="s">
        <v>57</v>
      </c>
      <c r="N1348">
        <v>0.93010000000000004</v>
      </c>
      <c r="O1348" s="1">
        <v>1</v>
      </c>
      <c r="P1348" t="s">
        <v>14255</v>
      </c>
      <c r="Q1348" t="s">
        <v>14256</v>
      </c>
      <c r="S1348" t="s">
        <v>91</v>
      </c>
      <c r="T1348" t="s">
        <v>555</v>
      </c>
      <c r="U1348" t="s">
        <v>14257</v>
      </c>
      <c r="V1348">
        <v>3</v>
      </c>
      <c r="AE1348" t="s">
        <v>144</v>
      </c>
      <c r="AF1348" t="s">
        <v>14258</v>
      </c>
      <c r="AG1348" t="s">
        <v>14259</v>
      </c>
      <c r="AH1348" t="str">
        <f>HYPERLINK("http://compartments.jensenlab.org/Entity?figures=subcell_cell_%&amp;knowledge=10&amp;textmining=10&amp;experiments=10&amp;predictions=10&amp;type1=9606&amp;type2=-22&amp;id1=ENSP00000187608","link")</f>
        <v>link</v>
      </c>
      <c r="AJ1348" t="s">
        <v>51</v>
      </c>
      <c r="AK1348" t="str">
        <f>HYPERLINK("http://www.proteinatlas.org/Q3KPI0","HPA043411")</f>
        <v>HPA043411</v>
      </c>
      <c r="AM1348">
        <v>90273</v>
      </c>
    </row>
    <row r="1349" spans="1:39" x14ac:dyDescent="0.35">
      <c r="A1349" t="s">
        <v>14260</v>
      </c>
      <c r="B1349" t="str">
        <f>HYPERLINK("http://www.uniprot.org/uniprot/Q3KR37","Q3KR37")</f>
        <v>Q3KR37</v>
      </c>
      <c r="C1349" t="s">
        <v>14261</v>
      </c>
      <c r="D1349" t="s">
        <v>14262</v>
      </c>
      <c r="E1349" t="s">
        <v>39</v>
      </c>
      <c r="F1349" t="s">
        <v>40</v>
      </c>
      <c r="H1349">
        <v>738</v>
      </c>
      <c r="I1349">
        <v>1</v>
      </c>
      <c r="J1349">
        <v>0</v>
      </c>
      <c r="K1349" t="s">
        <v>14263</v>
      </c>
      <c r="L1349" t="s">
        <v>42</v>
      </c>
      <c r="N1349">
        <v>0.61080000000000001</v>
      </c>
      <c r="O1349" s="1">
        <v>2</v>
      </c>
      <c r="P1349" t="s">
        <v>14264</v>
      </c>
      <c r="Q1349" t="s">
        <v>14265</v>
      </c>
      <c r="S1349" t="s">
        <v>60</v>
      </c>
      <c r="T1349" t="s">
        <v>60</v>
      </c>
      <c r="U1349" t="s">
        <v>14266</v>
      </c>
      <c r="V1349">
        <v>6</v>
      </c>
      <c r="AE1349" t="s">
        <v>94</v>
      </c>
      <c r="AF1349" t="s">
        <v>14267</v>
      </c>
      <c r="AG1349" t="s">
        <v>14268</v>
      </c>
      <c r="AH1349" t="str">
        <f>HYPERLINK("http://compartments.jensenlab.org/Entity?figures=subcell_cell_%&amp;knowledge=10&amp;textmining=10&amp;experiments=10&amp;predictions=10&amp;type1=9606&amp;type2=-22&amp;id1=ENSP00000436500","link")</f>
        <v>link</v>
      </c>
      <c r="AK1349" t="str">
        <f>HYPERLINK("http://www.proteinatlas.org/Q3KR37","HPA008557")</f>
        <v>HPA008557</v>
      </c>
      <c r="AM1349">
        <v>57476</v>
      </c>
    </row>
    <row r="1350" spans="1:39" x14ac:dyDescent="0.35">
      <c r="A1350" t="s">
        <v>14269</v>
      </c>
      <c r="B1350" t="str">
        <f>HYPERLINK("http://www.uniprot.org/uniprot/Q3MIW9","Q3MIW9")</f>
        <v>Q3MIW9</v>
      </c>
      <c r="C1350" t="s">
        <v>14270</v>
      </c>
      <c r="D1350" t="s">
        <v>14271</v>
      </c>
      <c r="E1350" t="s">
        <v>39</v>
      </c>
      <c r="F1350" t="s">
        <v>40</v>
      </c>
      <c r="H1350">
        <v>517</v>
      </c>
      <c r="I1350">
        <v>1</v>
      </c>
      <c r="J1350">
        <v>1</v>
      </c>
      <c r="K1350" t="s">
        <v>14272</v>
      </c>
      <c r="L1350" t="s">
        <v>57</v>
      </c>
      <c r="N1350">
        <v>0.87619999999999998</v>
      </c>
      <c r="O1350" s="1">
        <v>1</v>
      </c>
      <c r="P1350" t="s">
        <v>14273</v>
      </c>
      <c r="Q1350" t="s">
        <v>14274</v>
      </c>
      <c r="S1350" t="s">
        <v>60</v>
      </c>
      <c r="T1350" t="s">
        <v>60</v>
      </c>
      <c r="U1350" t="s">
        <v>14275</v>
      </c>
      <c r="V1350">
        <v>7</v>
      </c>
      <c r="X1350" t="s">
        <v>14276</v>
      </c>
      <c r="AE1350" t="s">
        <v>144</v>
      </c>
      <c r="AF1350" t="s">
        <v>13398</v>
      </c>
      <c r="AG1350" t="s">
        <v>14277</v>
      </c>
      <c r="AH1350" t="str">
        <f>HYPERLINK("http://compartments.jensenlab.org/Entity?figures=subcell_cell_%&amp;knowledge=10&amp;textmining=10&amp;experiments=10&amp;predictions=10&amp;type1=9606&amp;type2=-22&amp;id1=ENSP00000305948","link")</f>
        <v>link</v>
      </c>
      <c r="AJ1350" t="s">
        <v>51</v>
      </c>
      <c r="AK1350" t="str">
        <f>HYPERLINK("http://www.proteinatlas.org/Q3MIW9","HPA014036")</f>
        <v>HPA014036</v>
      </c>
      <c r="AM1350">
        <v>135656</v>
      </c>
    </row>
    <row r="1351" spans="1:39" x14ac:dyDescent="0.35">
      <c r="A1351" t="s">
        <v>14278</v>
      </c>
      <c r="B1351" t="str">
        <f>HYPERLINK("http://www.uniprot.org/uniprot/Q3SXP7","Q3SXP7")</f>
        <v>Q3SXP7</v>
      </c>
      <c r="C1351" t="s">
        <v>14279</v>
      </c>
      <c r="D1351" t="s">
        <v>14280</v>
      </c>
      <c r="E1351" t="s">
        <v>39</v>
      </c>
      <c r="F1351" t="s">
        <v>40</v>
      </c>
      <c r="H1351">
        <v>199</v>
      </c>
      <c r="I1351">
        <v>1</v>
      </c>
      <c r="J1351">
        <v>1</v>
      </c>
      <c r="K1351" t="s">
        <v>14281</v>
      </c>
      <c r="L1351" t="s">
        <v>57</v>
      </c>
      <c r="N1351">
        <v>0.66469999999999996</v>
      </c>
      <c r="O1351" s="1">
        <v>2</v>
      </c>
      <c r="P1351" t="s">
        <v>14282</v>
      </c>
      <c r="Q1351" t="s">
        <v>14283</v>
      </c>
      <c r="S1351" t="s">
        <v>60</v>
      </c>
      <c r="T1351" t="s">
        <v>60</v>
      </c>
      <c r="U1351" t="s">
        <v>14284</v>
      </c>
      <c r="V1351">
        <v>5</v>
      </c>
      <c r="AE1351" t="s">
        <v>144</v>
      </c>
      <c r="AF1351" t="s">
        <v>409</v>
      </c>
      <c r="AG1351" t="s">
        <v>14285</v>
      </c>
      <c r="AH1351" t="str">
        <f>HYPERLINK("http://compartments.jensenlab.org/Entity?figures=subcell_cell_%&amp;knowledge=10&amp;textmining=10&amp;experiments=10&amp;predictions=10&amp;type1=9606&amp;type2=-22&amp;id1=ENSP00000370568","link")</f>
        <v>link</v>
      </c>
      <c r="AJ1351" t="s">
        <v>51</v>
      </c>
      <c r="AK1351" t="str">
        <f>HYPERLINK("http://www.proteinatlas.org/Q3SXP7","HPA051178")</f>
        <v>HPA051178</v>
      </c>
      <c r="AM1351">
        <v>85352</v>
      </c>
    </row>
    <row r="1352" spans="1:39" x14ac:dyDescent="0.35">
      <c r="A1352" t="s">
        <v>14286</v>
      </c>
      <c r="B1352" t="str">
        <f>HYPERLINK("http://www.uniprot.org/uniprot/Q3SXY7","Q3SXY7")</f>
        <v>Q3SXY7</v>
      </c>
      <c r="C1352" t="s">
        <v>14287</v>
      </c>
      <c r="D1352" t="s">
        <v>14288</v>
      </c>
      <c r="E1352" t="s">
        <v>39</v>
      </c>
      <c r="F1352" t="s">
        <v>40</v>
      </c>
      <c r="H1352">
        <v>679</v>
      </c>
      <c r="I1352">
        <v>1</v>
      </c>
      <c r="J1352">
        <v>1</v>
      </c>
      <c r="K1352" t="s">
        <v>14289</v>
      </c>
      <c r="L1352" t="s">
        <v>42</v>
      </c>
      <c r="N1352">
        <v>0.8962</v>
      </c>
      <c r="O1352" s="1">
        <v>1</v>
      </c>
      <c r="P1352" t="s">
        <v>14290</v>
      </c>
      <c r="Q1352" t="s">
        <v>14291</v>
      </c>
      <c r="S1352" t="s">
        <v>91</v>
      </c>
      <c r="T1352" t="s">
        <v>260</v>
      </c>
      <c r="U1352" t="s">
        <v>14292</v>
      </c>
      <c r="V1352">
        <v>3</v>
      </c>
      <c r="AE1352" t="s">
        <v>14293</v>
      </c>
      <c r="AF1352" t="s">
        <v>14294</v>
      </c>
      <c r="AG1352" t="s">
        <v>14295</v>
      </c>
      <c r="AH1352" t="str">
        <f>HYPERLINK("http://compartments.jensenlab.org/Entity?figures=subcell_cell_%&amp;knowledge=10&amp;textmining=10&amp;experiments=10&amp;predictions=10&amp;type1=9606&amp;type2=-22&amp;id1=ENSP00000469759","link")</f>
        <v>link</v>
      </c>
      <c r="AK1352" t="str">
        <f>HYPERLINK("http://www.proteinatlas.org/Q3SXY7","HPA013454")</f>
        <v>HPA013454</v>
      </c>
      <c r="AM1352">
        <v>345193</v>
      </c>
    </row>
    <row r="1353" spans="1:39" x14ac:dyDescent="0.35">
      <c r="A1353" t="s">
        <v>14296</v>
      </c>
      <c r="B1353" t="str">
        <f>HYPERLINK("http://www.uniprot.org/uniprot/Q3ZCQ3","Q3ZCQ3")</f>
        <v>Q3ZCQ3</v>
      </c>
      <c r="C1353" t="s">
        <v>14297</v>
      </c>
      <c r="D1353" t="s">
        <v>14298</v>
      </c>
      <c r="E1353" t="s">
        <v>39</v>
      </c>
      <c r="F1353" t="s">
        <v>40</v>
      </c>
      <c r="H1353">
        <v>159</v>
      </c>
      <c r="I1353">
        <v>1</v>
      </c>
      <c r="J1353">
        <v>1</v>
      </c>
      <c r="K1353" t="s">
        <v>14299</v>
      </c>
      <c r="L1353" t="s">
        <v>101</v>
      </c>
      <c r="N1353">
        <v>0.64070000000000005</v>
      </c>
      <c r="O1353" s="1">
        <v>2</v>
      </c>
      <c r="P1353" t="s">
        <v>14300</v>
      </c>
      <c r="Q1353" t="s">
        <v>14301</v>
      </c>
      <c r="S1353" t="s">
        <v>60</v>
      </c>
      <c r="T1353" t="s">
        <v>60</v>
      </c>
      <c r="U1353" t="s">
        <v>14302</v>
      </c>
      <c r="V1353">
        <v>2</v>
      </c>
      <c r="Z1353" t="s">
        <v>107</v>
      </c>
      <c r="AA1353">
        <v>1</v>
      </c>
      <c r="AB1353" t="s">
        <v>14303</v>
      </c>
      <c r="AC1353">
        <v>53</v>
      </c>
      <c r="AD1353" t="s">
        <v>14304</v>
      </c>
      <c r="AE1353" t="s">
        <v>144</v>
      </c>
      <c r="AF1353" t="s">
        <v>226</v>
      </c>
      <c r="AG1353" t="s">
        <v>14305</v>
      </c>
      <c r="AH1353" t="str">
        <f>HYPERLINK("http://compartments.jensenlab.org/Entity?figures=subcell_cell_%&amp;knowledge=10&amp;textmining=10&amp;experiments=10&amp;predictions=10&amp;type1=9606&amp;type2=-22&amp;id1=ENSP00000329040","link")</f>
        <v>link</v>
      </c>
      <c r="AJ1353" t="s">
        <v>51</v>
      </c>
      <c r="AK1353" t="str">
        <f>HYPERLINK("http://www.proteinatlas.org/Q3ZCQ3","HPA015306")</f>
        <v>HPA015306</v>
      </c>
      <c r="AM1353">
        <v>400451</v>
      </c>
    </row>
    <row r="1354" spans="1:39" x14ac:dyDescent="0.35">
      <c r="A1354" t="s">
        <v>14306</v>
      </c>
      <c r="B1354" t="str">
        <f>HYPERLINK("http://www.uniprot.org/uniprot/Q401N2","Q401N2")</f>
        <v>Q401N2</v>
      </c>
      <c r="C1354" t="s">
        <v>14307</v>
      </c>
      <c r="D1354" t="s">
        <v>14308</v>
      </c>
      <c r="E1354" t="s">
        <v>39</v>
      </c>
      <c r="F1354" t="s">
        <v>40</v>
      </c>
      <c r="H1354">
        <v>412</v>
      </c>
      <c r="I1354">
        <v>4</v>
      </c>
      <c r="J1354">
        <v>1</v>
      </c>
      <c r="K1354" t="s">
        <v>14309</v>
      </c>
      <c r="L1354" t="s">
        <v>57</v>
      </c>
      <c r="N1354">
        <v>0.92810000000000004</v>
      </c>
      <c r="O1354" s="1">
        <v>1</v>
      </c>
      <c r="P1354" t="s">
        <v>14310</v>
      </c>
      <c r="Q1354" t="s">
        <v>14311</v>
      </c>
      <c r="S1354" t="s">
        <v>45</v>
      </c>
      <c r="T1354" t="s">
        <v>195</v>
      </c>
      <c r="U1354" t="s">
        <v>14312</v>
      </c>
      <c r="V1354">
        <v>4</v>
      </c>
      <c r="Y1354">
        <v>127</v>
      </c>
      <c r="AE1354" t="s">
        <v>74</v>
      </c>
      <c r="AF1354" t="s">
        <v>14313</v>
      </c>
      <c r="AG1354" t="s">
        <v>14314</v>
      </c>
      <c r="AH1354" t="str">
        <f>HYPERLINK("http://compartments.jensenlab.org/Entity?figures=subcell_cell_%&amp;knowledge=10&amp;textmining=10&amp;experiments=10&amp;predictions=10&amp;type1=9606&amp;type2=-22&amp;id1=ENSP00000334854","link")</f>
        <v>link</v>
      </c>
      <c r="AI1354" t="s">
        <v>65</v>
      </c>
      <c r="AJ1354" t="s">
        <v>51</v>
      </c>
      <c r="AK1354" t="str">
        <f>HYPERLINK("http://www.proteinatlas.org/Q401N2","no")</f>
        <v>no</v>
      </c>
      <c r="AM1354">
        <v>353174</v>
      </c>
    </row>
    <row r="1355" spans="1:39" x14ac:dyDescent="0.35">
      <c r="A1355" t="s">
        <v>14315</v>
      </c>
      <c r="B1355" t="str">
        <f>HYPERLINK("http://www.uniprot.org/uniprot/Q495A1","Q495A1")</f>
        <v>Q495A1</v>
      </c>
      <c r="C1355" t="s">
        <v>14316</v>
      </c>
      <c r="D1355" t="s">
        <v>14317</v>
      </c>
      <c r="E1355" t="s">
        <v>39</v>
      </c>
      <c r="F1355" t="s">
        <v>55</v>
      </c>
      <c r="H1355">
        <v>244</v>
      </c>
      <c r="I1355">
        <v>1</v>
      </c>
      <c r="J1355">
        <v>1</v>
      </c>
      <c r="K1355" t="s">
        <v>14318</v>
      </c>
      <c r="L1355" t="s">
        <v>101</v>
      </c>
      <c r="M1355" t="s">
        <v>39</v>
      </c>
      <c r="N1355">
        <v>0.95730000000000004</v>
      </c>
      <c r="O1355" s="1">
        <v>1</v>
      </c>
      <c r="P1355" t="s">
        <v>14319</v>
      </c>
      <c r="Q1355" t="s">
        <v>14320</v>
      </c>
      <c r="S1355" t="s">
        <v>91</v>
      </c>
      <c r="T1355" t="s">
        <v>14321</v>
      </c>
      <c r="U1355" t="s">
        <v>14322</v>
      </c>
      <c r="V1355">
        <v>2</v>
      </c>
      <c r="W1355" t="s">
        <v>14322</v>
      </c>
      <c r="Z1355" t="s">
        <v>107</v>
      </c>
      <c r="AA1355">
        <v>3</v>
      </c>
      <c r="AB1355" t="s">
        <v>14323</v>
      </c>
      <c r="AC1355">
        <v>32</v>
      </c>
      <c r="AD1355" t="s">
        <v>14324</v>
      </c>
      <c r="AE1355" t="s">
        <v>332</v>
      </c>
      <c r="AF1355" t="s">
        <v>14325</v>
      </c>
      <c r="AG1355" t="s">
        <v>14326</v>
      </c>
      <c r="AH1355" t="str">
        <f>HYPERLINK("http://compartments.jensenlab.org/Entity?figures=subcell_cell_%&amp;knowledge=10&amp;textmining=10&amp;experiments=10&amp;predictions=10&amp;type1=9606&amp;type2=-22&amp;id1=ENSP00000373167","link")</f>
        <v>link</v>
      </c>
      <c r="AI1355" t="s">
        <v>65</v>
      </c>
      <c r="AJ1355" t="s">
        <v>51</v>
      </c>
      <c r="AK1355" t="str">
        <f>HYPERLINK("http://www.proteinatlas.org/Q495A1","no")</f>
        <v>no</v>
      </c>
      <c r="AM1355">
        <v>201633</v>
      </c>
    </row>
    <row r="1356" spans="1:39" x14ac:dyDescent="0.35">
      <c r="A1356" t="s">
        <v>14327</v>
      </c>
      <c r="B1356" t="str">
        <f>HYPERLINK("http://www.uniprot.org/uniprot/Q495M3","Q495M3")</f>
        <v>Q495M3</v>
      </c>
      <c r="C1356" t="s">
        <v>14328</v>
      </c>
      <c r="D1356" t="s">
        <v>14329</v>
      </c>
      <c r="E1356" t="s">
        <v>39</v>
      </c>
      <c r="F1356" t="s">
        <v>40</v>
      </c>
      <c r="H1356">
        <v>483</v>
      </c>
      <c r="I1356">
        <v>11</v>
      </c>
      <c r="J1356">
        <v>0</v>
      </c>
      <c r="K1356" t="s">
        <v>14330</v>
      </c>
      <c r="L1356" t="s">
        <v>57</v>
      </c>
      <c r="N1356">
        <v>0.8962</v>
      </c>
      <c r="O1356" s="1">
        <v>1</v>
      </c>
      <c r="P1356" t="s">
        <v>14331</v>
      </c>
      <c r="Q1356" t="s">
        <v>14332</v>
      </c>
      <c r="S1356" t="s">
        <v>45</v>
      </c>
      <c r="T1356" t="s">
        <v>14333</v>
      </c>
      <c r="U1356" t="s">
        <v>14334</v>
      </c>
      <c r="V1356">
        <v>3</v>
      </c>
      <c r="AE1356" t="s">
        <v>8032</v>
      </c>
      <c r="AF1356" t="s">
        <v>14335</v>
      </c>
      <c r="AG1356" t="s">
        <v>14336</v>
      </c>
      <c r="AH1356" t="str">
        <f>HYPERLINK("http://compartments.jensenlab.org/Entity?figures=subcell_cell_%&amp;knowledge=10&amp;textmining=10&amp;experiments=10&amp;predictions=10&amp;type1=9606&amp;type2=-22&amp;id1=ENSP00000334223","link")</f>
        <v>link</v>
      </c>
      <c r="AI1356" t="s">
        <v>65</v>
      </c>
      <c r="AJ1356" t="s">
        <v>2124</v>
      </c>
      <c r="AK1356" t="str">
        <f>HYPERLINK("http://www.proteinatlas.org/Q495M3","HPA044002")</f>
        <v>HPA044002</v>
      </c>
      <c r="AM1356">
        <v>153201</v>
      </c>
    </row>
    <row r="1357" spans="1:39" x14ac:dyDescent="0.35">
      <c r="A1357" t="s">
        <v>14337</v>
      </c>
      <c r="B1357" t="str">
        <f>HYPERLINK("http://www.uniprot.org/uniprot/Q495N2","Q495N2")</f>
        <v>Q495N2</v>
      </c>
      <c r="C1357" t="s">
        <v>14338</v>
      </c>
      <c r="D1357" t="s">
        <v>14339</v>
      </c>
      <c r="E1357" t="s">
        <v>39</v>
      </c>
      <c r="F1357" t="s">
        <v>40</v>
      </c>
      <c r="H1357">
        <v>470</v>
      </c>
      <c r="I1357">
        <v>11</v>
      </c>
      <c r="J1357">
        <v>0</v>
      </c>
      <c r="K1357" t="s">
        <v>14340</v>
      </c>
      <c r="L1357" t="s">
        <v>57</v>
      </c>
      <c r="N1357">
        <v>0.84630000000000005</v>
      </c>
      <c r="O1357" s="1">
        <v>1</v>
      </c>
      <c r="P1357" t="s">
        <v>14341</v>
      </c>
      <c r="Q1357" t="s">
        <v>14342</v>
      </c>
      <c r="S1357" t="s">
        <v>45</v>
      </c>
      <c r="T1357" t="s">
        <v>14333</v>
      </c>
      <c r="U1357" t="s">
        <v>14343</v>
      </c>
      <c r="V1357">
        <v>1</v>
      </c>
      <c r="AE1357" t="s">
        <v>48</v>
      </c>
      <c r="AF1357" t="s">
        <v>14344</v>
      </c>
      <c r="AG1357" t="s">
        <v>14345</v>
      </c>
      <c r="AH1357" t="str">
        <f>HYPERLINK("http://compartments.jensenlab.org/Entity?figures=subcell_cell_%&amp;knowledge=10&amp;textmining=10&amp;experiments=10&amp;predictions=10&amp;type1=9606&amp;type2=-22&amp;id1=ENSP00000334750","link")</f>
        <v>link</v>
      </c>
      <c r="AK1357" t="str">
        <f>HYPERLINK("http://www.proteinatlas.org/Q495N2","HPA051232")</f>
        <v>HPA051232</v>
      </c>
      <c r="AM1357">
        <v>285641</v>
      </c>
    </row>
    <row r="1358" spans="1:39" x14ac:dyDescent="0.35">
      <c r="A1358" t="s">
        <v>14346</v>
      </c>
      <c r="B1358" t="str">
        <f>HYPERLINK("http://www.uniprot.org/uniprot/Q495T6","Q495T6")</f>
        <v>Q495T6</v>
      </c>
      <c r="C1358" t="s">
        <v>14347</v>
      </c>
      <c r="D1358" t="s">
        <v>14348</v>
      </c>
      <c r="E1358" t="s">
        <v>39</v>
      </c>
      <c r="F1358" t="s">
        <v>40</v>
      </c>
      <c r="H1358">
        <v>779</v>
      </c>
      <c r="I1358">
        <v>1</v>
      </c>
      <c r="J1358">
        <v>0</v>
      </c>
      <c r="K1358" t="s">
        <v>14349</v>
      </c>
      <c r="L1358" t="s">
        <v>57</v>
      </c>
      <c r="N1358">
        <v>0.6048</v>
      </c>
      <c r="O1358" s="1">
        <v>2</v>
      </c>
      <c r="P1358" t="s">
        <v>14350</v>
      </c>
      <c r="Q1358" t="s">
        <v>14351</v>
      </c>
      <c r="S1358" t="s">
        <v>947</v>
      </c>
      <c r="T1358" t="s">
        <v>1208</v>
      </c>
      <c r="U1358" t="s">
        <v>14352</v>
      </c>
      <c r="V1358">
        <v>8</v>
      </c>
      <c r="W1358" t="s">
        <v>14352</v>
      </c>
      <c r="AE1358" t="s">
        <v>3111</v>
      </c>
      <c r="AF1358" t="s">
        <v>14353</v>
      </c>
      <c r="AG1358" t="s">
        <v>14354</v>
      </c>
      <c r="AH1358" t="str">
        <f>HYPERLINK("http://compartments.jensenlab.org/Entity?figures=subcell_cell_%&amp;knowledge=10&amp;textmining=10&amp;experiments=10&amp;predictions=10&amp;type1=9606&amp;type2=-22&amp;id1=ENSP00000367668","link")</f>
        <v>link</v>
      </c>
      <c r="AK1358" t="str">
        <f>HYPERLINK("http://www.proteinatlas.org/Q495T6","HPA007876;HPA008205;CAB020786")</f>
        <v>HPA007876;HPA008205;CAB020786</v>
      </c>
      <c r="AM1358">
        <v>79258</v>
      </c>
    </row>
    <row r="1359" spans="1:39" x14ac:dyDescent="0.35">
      <c r="A1359" t="s">
        <v>14355</v>
      </c>
      <c r="B1359" t="str">
        <f>HYPERLINK("http://www.uniprot.org/uniprot/Q496F6","Q496F6")</f>
        <v>Q496F6</v>
      </c>
      <c r="C1359" t="s">
        <v>14356</v>
      </c>
      <c r="D1359" t="s">
        <v>14357</v>
      </c>
      <c r="E1359" t="s">
        <v>39</v>
      </c>
      <c r="F1359" t="s">
        <v>40</v>
      </c>
      <c r="H1359">
        <v>205</v>
      </c>
      <c r="I1359">
        <v>1</v>
      </c>
      <c r="J1359">
        <v>1</v>
      </c>
      <c r="K1359" t="s">
        <v>14358</v>
      </c>
      <c r="L1359" t="s">
        <v>57</v>
      </c>
      <c r="N1359">
        <v>0.64870000000000005</v>
      </c>
      <c r="O1359" s="1">
        <v>2</v>
      </c>
      <c r="P1359" t="s">
        <v>14359</v>
      </c>
      <c r="Q1359" t="s">
        <v>14360</v>
      </c>
      <c r="R1359" t="s">
        <v>14361</v>
      </c>
      <c r="S1359" t="s">
        <v>166</v>
      </c>
      <c r="T1359" t="s">
        <v>12245</v>
      </c>
      <c r="U1359">
        <v>154</v>
      </c>
      <c r="V1359">
        <v>1</v>
      </c>
      <c r="AE1359" t="s">
        <v>332</v>
      </c>
      <c r="AF1359" t="s">
        <v>14362</v>
      </c>
      <c r="AG1359" t="s">
        <v>14363</v>
      </c>
      <c r="AH1359" t="str">
        <f>HYPERLINK("http://compartments.jensenlab.org/Entity?figures=subcell_cell_%&amp;knowledge=10&amp;textmining=10&amp;experiments=10&amp;predictions=10&amp;type1=9606&amp;type2=-22&amp;id1=ENSP00000376395","link")</f>
        <v>link</v>
      </c>
      <c r="AK1359" t="str">
        <f>HYPERLINK("http://www.proteinatlas.org/Q496F6","HPA015570")</f>
        <v>HPA015570</v>
      </c>
      <c r="AM1359">
        <v>342510</v>
      </c>
    </row>
    <row r="1360" spans="1:39" x14ac:dyDescent="0.35">
      <c r="A1360" t="s">
        <v>14364</v>
      </c>
      <c r="B1360" t="str">
        <f>HYPERLINK("http://www.uniprot.org/uniprot/Q496H8","Q496H8")</f>
        <v>Q496H8</v>
      </c>
      <c r="C1360" t="s">
        <v>14365</v>
      </c>
      <c r="D1360" t="s">
        <v>14366</v>
      </c>
      <c r="E1360" t="s">
        <v>39</v>
      </c>
      <c r="F1360" t="s">
        <v>239</v>
      </c>
      <c r="H1360">
        <v>165</v>
      </c>
      <c r="I1360">
        <v>0</v>
      </c>
      <c r="J1360">
        <v>1</v>
      </c>
      <c r="K1360" t="s">
        <v>14367</v>
      </c>
      <c r="L1360" t="s">
        <v>57</v>
      </c>
      <c r="N1360">
        <v>0.43109999999999998</v>
      </c>
      <c r="O1360" s="1" t="s">
        <v>1752</v>
      </c>
      <c r="P1360" t="s">
        <v>14368</v>
      </c>
      <c r="Q1360" t="s">
        <v>14369</v>
      </c>
      <c r="V1360">
        <v>0</v>
      </c>
      <c r="AE1360" t="s">
        <v>243</v>
      </c>
      <c r="AF1360" t="s">
        <v>14370</v>
      </c>
      <c r="AG1360" t="s">
        <v>14371</v>
      </c>
      <c r="AH1360" t="str">
        <f>HYPERLINK("http://compartments.jensenlab.org/Entity?figures=subcell_cell_%&amp;knowledge=10&amp;textmining=10&amp;experiments=10&amp;predictions=10&amp;type1=9606&amp;type2=-22&amp;id1=ENSP00000342411","link")</f>
        <v>link</v>
      </c>
      <c r="AI1360" t="s">
        <v>65</v>
      </c>
      <c r="AJ1360" t="s">
        <v>51</v>
      </c>
      <c r="AK1360" t="str">
        <f>HYPERLINK("http://www.proteinatlas.org/Q496H8","HPA041761")</f>
        <v>HPA041761</v>
      </c>
      <c r="AM1360">
        <v>123904</v>
      </c>
    </row>
    <row r="1361" spans="1:39" x14ac:dyDescent="0.35">
      <c r="A1361" t="s">
        <v>14372</v>
      </c>
      <c r="B1361" t="str">
        <f>HYPERLINK("http://www.uniprot.org/uniprot/Q496J9","Q496J9")</f>
        <v>Q496J9</v>
      </c>
      <c r="C1361" t="s">
        <v>14373</v>
      </c>
      <c r="D1361" t="s">
        <v>14374</v>
      </c>
      <c r="E1361" t="s">
        <v>39</v>
      </c>
      <c r="F1361" t="s">
        <v>40</v>
      </c>
      <c r="H1361">
        <v>727</v>
      </c>
      <c r="I1361">
        <v>12</v>
      </c>
      <c r="J1361">
        <v>0</v>
      </c>
      <c r="K1361" t="s">
        <v>14375</v>
      </c>
      <c r="L1361" t="s">
        <v>57</v>
      </c>
      <c r="N1361">
        <v>0.86829999999999996</v>
      </c>
      <c r="O1361" s="1">
        <v>1</v>
      </c>
      <c r="P1361" t="s">
        <v>14376</v>
      </c>
      <c r="Q1361" t="s">
        <v>14377</v>
      </c>
      <c r="S1361" t="s">
        <v>45</v>
      </c>
      <c r="T1361" t="s">
        <v>14378</v>
      </c>
      <c r="U1361" t="s">
        <v>14379</v>
      </c>
      <c r="V1361">
        <v>5</v>
      </c>
      <c r="AE1361" t="s">
        <v>14380</v>
      </c>
      <c r="AF1361" t="s">
        <v>14381</v>
      </c>
      <c r="AG1361" t="s">
        <v>14382</v>
      </c>
      <c r="AH1361" t="str">
        <f>HYPERLINK("http://compartments.jensenlab.org/Entity?figures=subcell_cell_%&amp;knowledge=10&amp;textmining=10&amp;experiments=10&amp;predictions=10&amp;type1=9606&amp;type2=-22&amp;id1=ENSP00000423541","link")</f>
        <v>link</v>
      </c>
      <c r="AK1361" t="str">
        <f>HYPERLINK("http://www.proteinatlas.org/Q496J9","HPA040722;HPA040770")</f>
        <v>HPA040722;HPA040770</v>
      </c>
      <c r="AM1361">
        <v>22987</v>
      </c>
    </row>
    <row r="1362" spans="1:39" x14ac:dyDescent="0.35">
      <c r="A1362" t="s">
        <v>14383</v>
      </c>
      <c r="B1362" t="str">
        <f>HYPERLINK("http://www.uniprot.org/uniprot/Q49SQ1","Q49SQ1")</f>
        <v>Q49SQ1</v>
      </c>
      <c r="C1362" t="s">
        <v>14384</v>
      </c>
      <c r="D1362" t="s">
        <v>14385</v>
      </c>
      <c r="E1362" t="s">
        <v>39</v>
      </c>
      <c r="F1362" t="s">
        <v>40</v>
      </c>
      <c r="H1362">
        <v>333</v>
      </c>
      <c r="I1362">
        <v>7</v>
      </c>
      <c r="J1362">
        <v>0</v>
      </c>
      <c r="K1362" t="s">
        <v>14386</v>
      </c>
      <c r="L1362" t="s">
        <v>57</v>
      </c>
      <c r="N1362">
        <v>0.83030000000000004</v>
      </c>
      <c r="O1362" s="1">
        <v>1</v>
      </c>
      <c r="P1362" t="s">
        <v>14387</v>
      </c>
      <c r="Q1362" t="s">
        <v>14388</v>
      </c>
      <c r="S1362" t="s">
        <v>166</v>
      </c>
      <c r="T1362" t="s">
        <v>838</v>
      </c>
      <c r="U1362" t="s">
        <v>14389</v>
      </c>
      <c r="V1362">
        <v>4</v>
      </c>
      <c r="AE1362" t="s">
        <v>74</v>
      </c>
      <c r="AF1362" t="s">
        <v>967</v>
      </c>
      <c r="AG1362" t="s">
        <v>14390</v>
      </c>
      <c r="AH1362" t="str">
        <f>HYPERLINK("http://compartments.jensenlab.org/Entity?figures=subcell_cell_%&amp;knowledge=10&amp;textmining=10&amp;experiments=10&amp;predictions=10&amp;type1=9606&amp;type2=-22&amp;id1=ENSP00000421557","link")</f>
        <v>link</v>
      </c>
      <c r="AK1362" t="str">
        <f>HYPERLINK("http://www.proteinatlas.org/Q49SQ1","no")</f>
        <v>no</v>
      </c>
      <c r="AM1362">
        <v>2856</v>
      </c>
    </row>
    <row r="1363" spans="1:39" x14ac:dyDescent="0.35">
      <c r="A1363" t="s">
        <v>14391</v>
      </c>
      <c r="B1363" t="str">
        <f>HYPERLINK("http://www.uniprot.org/uniprot/Q4G0T1","Q4G0T1")</f>
        <v>Q4G0T1</v>
      </c>
      <c r="C1363" t="s">
        <v>14392</v>
      </c>
      <c r="E1363" t="s">
        <v>39</v>
      </c>
      <c r="F1363" t="s">
        <v>40</v>
      </c>
      <c r="H1363">
        <v>1027</v>
      </c>
      <c r="I1363">
        <v>1</v>
      </c>
      <c r="J1363">
        <v>1</v>
      </c>
      <c r="K1363" t="s">
        <v>14393</v>
      </c>
      <c r="L1363" t="s">
        <v>57</v>
      </c>
      <c r="N1363">
        <v>0.85029999999999994</v>
      </c>
      <c r="O1363" s="1">
        <v>1</v>
      </c>
      <c r="S1363" t="s">
        <v>60</v>
      </c>
      <c r="T1363" t="s">
        <v>60</v>
      </c>
      <c r="U1363" t="s">
        <v>14394</v>
      </c>
      <c r="V1363">
        <v>8</v>
      </c>
      <c r="AE1363" t="s">
        <v>94</v>
      </c>
      <c r="AF1363" t="s">
        <v>14395</v>
      </c>
      <c r="AG1363" t="s">
        <v>14396</v>
      </c>
      <c r="AK1363" t="str">
        <f>HYPERLINK("http://www.proteinatlas.org/Q4G0T1","no")</f>
        <v>no</v>
      </c>
    </row>
    <row r="1364" spans="1:39" x14ac:dyDescent="0.35">
      <c r="A1364" t="s">
        <v>14397</v>
      </c>
      <c r="B1364" t="str">
        <f>HYPERLINK("http://www.uniprot.org/uniprot/Q4KMG0","Q4KMG0")</f>
        <v>Q4KMG0</v>
      </c>
      <c r="C1364" t="s">
        <v>14398</v>
      </c>
      <c r="D1364" t="s">
        <v>14399</v>
      </c>
      <c r="E1364" t="s">
        <v>39</v>
      </c>
      <c r="F1364" t="s">
        <v>55</v>
      </c>
      <c r="H1364">
        <v>1287</v>
      </c>
      <c r="I1364">
        <v>1</v>
      </c>
      <c r="J1364">
        <v>1</v>
      </c>
      <c r="K1364" t="s">
        <v>14400</v>
      </c>
      <c r="L1364" t="s">
        <v>101</v>
      </c>
      <c r="M1364" t="s">
        <v>39</v>
      </c>
      <c r="N1364">
        <v>0.88070000000000004</v>
      </c>
      <c r="O1364" s="1">
        <v>1</v>
      </c>
      <c r="P1364" t="s">
        <v>14401</v>
      </c>
      <c r="Q1364" t="s">
        <v>14402</v>
      </c>
      <c r="S1364" t="s">
        <v>166</v>
      </c>
      <c r="T1364" t="s">
        <v>3120</v>
      </c>
      <c r="U1364" t="s">
        <v>14403</v>
      </c>
      <c r="V1364">
        <v>10</v>
      </c>
      <c r="X1364" t="s">
        <v>14404</v>
      </c>
      <c r="Z1364" t="s">
        <v>107</v>
      </c>
      <c r="AA1364">
        <v>1</v>
      </c>
      <c r="AB1364" t="s">
        <v>14405</v>
      </c>
      <c r="AC1364">
        <v>427</v>
      </c>
      <c r="AD1364" t="s">
        <v>14406</v>
      </c>
      <c r="AE1364" t="s">
        <v>3665</v>
      </c>
      <c r="AF1364" t="s">
        <v>14407</v>
      </c>
      <c r="AG1364" t="s">
        <v>14408</v>
      </c>
      <c r="AH1364" t="str">
        <f>HYPERLINK("http://compartments.jensenlab.org/Entity?figures=subcell_cell_%&amp;knowledge=10&amp;textmining=10&amp;experiments=10&amp;predictions=10&amp;type1=9606&amp;type2=-22&amp;id1=ENSP00000376458","link")</f>
        <v>link</v>
      </c>
      <c r="AK1364" t="str">
        <f>HYPERLINK("http://www.proteinatlas.org/Q4KMG0","CAB012422;HPA017377")</f>
        <v>CAB012422;HPA017377</v>
      </c>
      <c r="AM1364">
        <v>50937</v>
      </c>
    </row>
    <row r="1365" spans="1:39" x14ac:dyDescent="0.35">
      <c r="A1365" t="s">
        <v>14409</v>
      </c>
      <c r="B1365" t="str">
        <f>HYPERLINK("http://www.uniprot.org/uniprot/Q4KMQ2","Q4KMQ2")</f>
        <v>Q4KMQ2</v>
      </c>
      <c r="C1365" t="s">
        <v>14410</v>
      </c>
      <c r="D1365" t="s">
        <v>14411</v>
      </c>
      <c r="E1365" t="s">
        <v>39</v>
      </c>
      <c r="F1365" t="s">
        <v>55</v>
      </c>
      <c r="H1365">
        <v>910</v>
      </c>
      <c r="I1365">
        <v>8</v>
      </c>
      <c r="J1365">
        <v>0</v>
      </c>
      <c r="K1365" t="s">
        <v>14412</v>
      </c>
      <c r="L1365" t="s">
        <v>101</v>
      </c>
      <c r="M1365" t="s">
        <v>39</v>
      </c>
      <c r="N1365">
        <v>0.82630000000000003</v>
      </c>
      <c r="O1365" s="1">
        <v>1</v>
      </c>
      <c r="P1365" t="s">
        <v>14413</v>
      </c>
      <c r="Q1365" t="s">
        <v>14414</v>
      </c>
      <c r="S1365" t="s">
        <v>91</v>
      </c>
      <c r="T1365" t="s">
        <v>104</v>
      </c>
      <c r="U1365" t="s">
        <v>14415</v>
      </c>
      <c r="V1365">
        <v>6</v>
      </c>
      <c r="Z1365" t="s">
        <v>107</v>
      </c>
      <c r="AA1365">
        <v>16</v>
      </c>
      <c r="AB1365" t="s">
        <v>14416</v>
      </c>
      <c r="AC1365" t="s">
        <v>14417</v>
      </c>
      <c r="AD1365" t="s">
        <v>14418</v>
      </c>
      <c r="AE1365" t="s">
        <v>74</v>
      </c>
      <c r="AF1365" t="s">
        <v>14419</v>
      </c>
      <c r="AG1365" t="s">
        <v>14420</v>
      </c>
      <c r="AH1365" t="str">
        <f>HYPERLINK("http://compartments.jensenlab.org/Entity?figures=subcell_cell_%&amp;knowledge=10&amp;textmining=10&amp;experiments=10&amp;predictions=10&amp;type1=9606&amp;type2=-22&amp;id1=ENSP00000320087","link")</f>
        <v>link</v>
      </c>
      <c r="AK1365" t="str">
        <f>HYPERLINK("http://www.proteinatlas.org/Q4KMQ2","HPA038958")</f>
        <v>HPA038958</v>
      </c>
      <c r="AM1365">
        <v>196527</v>
      </c>
    </row>
    <row r="1366" spans="1:39" x14ac:dyDescent="0.35">
      <c r="A1366" t="s">
        <v>14421</v>
      </c>
      <c r="B1366" t="str">
        <f>HYPERLINK("http://www.uniprot.org/uniprot/Q4KMZ8","Q4KMZ8")</f>
        <v>Q4KMZ8</v>
      </c>
      <c r="C1366" t="s">
        <v>14422</v>
      </c>
      <c r="D1366" t="s">
        <v>14423</v>
      </c>
      <c r="E1366" t="s">
        <v>39</v>
      </c>
      <c r="F1366" t="s">
        <v>40</v>
      </c>
      <c r="H1366">
        <v>207</v>
      </c>
      <c r="I1366">
        <v>3</v>
      </c>
      <c r="J1366">
        <v>1</v>
      </c>
      <c r="K1366" t="s">
        <v>14424</v>
      </c>
      <c r="L1366" t="s">
        <v>57</v>
      </c>
      <c r="N1366">
        <v>0.76849999999999996</v>
      </c>
      <c r="O1366" s="1">
        <v>1</v>
      </c>
      <c r="P1366" t="s">
        <v>14425</v>
      </c>
      <c r="Q1366" t="s">
        <v>14426</v>
      </c>
      <c r="S1366" t="s">
        <v>45</v>
      </c>
      <c r="T1366" t="s">
        <v>14427</v>
      </c>
      <c r="U1366">
        <v>100</v>
      </c>
      <c r="V1366">
        <v>1</v>
      </c>
      <c r="Y1366">
        <v>72</v>
      </c>
      <c r="AE1366" t="s">
        <v>74</v>
      </c>
      <c r="AF1366" t="s">
        <v>14428</v>
      </c>
      <c r="AG1366" t="s">
        <v>14429</v>
      </c>
      <c r="AH1366" t="str">
        <f>HYPERLINK("http://compartments.jensenlab.org/Entity?figures=subcell_cell_%&amp;knowledge=10&amp;textmining=10&amp;experiments=10&amp;predictions=10&amp;type1=9606&amp;type2=-22&amp;id1=ENSP00000362841","link")</f>
        <v>link</v>
      </c>
      <c r="AK1366" t="str">
        <f>HYPERLINK("http://www.proteinatlas.org/Q4KMZ8","HPA006873")</f>
        <v>HPA006873</v>
      </c>
      <c r="AM1366">
        <v>79570</v>
      </c>
    </row>
    <row r="1367" spans="1:39" x14ac:dyDescent="0.35">
      <c r="A1367" t="s">
        <v>14430</v>
      </c>
      <c r="B1367" t="str">
        <f>HYPERLINK("http://www.uniprot.org/uniprot/Q4U2R8","Q4U2R8")</f>
        <v>Q4U2R8</v>
      </c>
      <c r="C1367" t="s">
        <v>14431</v>
      </c>
      <c r="D1367" t="s">
        <v>14432</v>
      </c>
      <c r="E1367" t="s">
        <v>39</v>
      </c>
      <c r="F1367" t="s">
        <v>55</v>
      </c>
      <c r="H1367">
        <v>563</v>
      </c>
      <c r="I1367">
        <v>12</v>
      </c>
      <c r="J1367">
        <v>0</v>
      </c>
      <c r="K1367" t="s">
        <v>14433</v>
      </c>
      <c r="L1367" t="s">
        <v>57</v>
      </c>
      <c r="M1367" t="s">
        <v>39</v>
      </c>
      <c r="N1367">
        <v>0.71819999999999995</v>
      </c>
      <c r="O1367" s="1">
        <v>2</v>
      </c>
      <c r="P1367" t="s">
        <v>14434</v>
      </c>
      <c r="Q1367" t="s">
        <v>14435</v>
      </c>
      <c r="S1367" t="s">
        <v>45</v>
      </c>
      <c r="T1367" t="s">
        <v>121</v>
      </c>
      <c r="U1367" t="s">
        <v>14436</v>
      </c>
      <c r="V1367">
        <v>5</v>
      </c>
      <c r="W1367" t="s">
        <v>14437</v>
      </c>
      <c r="AE1367" t="s">
        <v>74</v>
      </c>
      <c r="AF1367" t="s">
        <v>12816</v>
      </c>
      <c r="AG1367" t="s">
        <v>14438</v>
      </c>
      <c r="AH1367" t="str">
        <f>HYPERLINK("http://compartments.jensenlab.org/Entity?figures=subcell_cell_%&amp;knowledge=10&amp;textmining=10&amp;experiments=10&amp;predictions=10&amp;type1=9606&amp;type2=-22&amp;id1=ENSP00000367102","link")</f>
        <v>link</v>
      </c>
      <c r="AI1367" t="s">
        <v>65</v>
      </c>
      <c r="AJ1367" t="s">
        <v>51</v>
      </c>
      <c r="AK1367" t="str">
        <f>HYPERLINK("http://www.proteinatlas.org/Q4U2R8","no")</f>
        <v>no</v>
      </c>
      <c r="AL1367" t="s">
        <v>14439</v>
      </c>
      <c r="AM1367">
        <v>9356</v>
      </c>
    </row>
    <row r="1368" spans="1:39" x14ac:dyDescent="0.35">
      <c r="A1368" t="s">
        <v>14440</v>
      </c>
      <c r="B1368" t="str">
        <f>HYPERLINK("http://www.uniprot.org/uniprot/Q4VNC0","Q4VNC0")</f>
        <v>Q4VNC0</v>
      </c>
      <c r="C1368" t="s">
        <v>14441</v>
      </c>
      <c r="D1368" t="s">
        <v>14442</v>
      </c>
      <c r="E1368" t="s">
        <v>39</v>
      </c>
      <c r="F1368" t="s">
        <v>40</v>
      </c>
      <c r="H1368">
        <v>1218</v>
      </c>
      <c r="I1368">
        <v>10</v>
      </c>
      <c r="J1368">
        <v>0</v>
      </c>
      <c r="K1368" t="s">
        <v>14443</v>
      </c>
      <c r="L1368" t="s">
        <v>42</v>
      </c>
      <c r="N1368">
        <v>0.84430000000000005</v>
      </c>
      <c r="O1368" s="1">
        <v>1</v>
      </c>
      <c r="P1368" t="s">
        <v>14444</v>
      </c>
      <c r="Q1368" t="s">
        <v>14445</v>
      </c>
      <c r="S1368" t="s">
        <v>45</v>
      </c>
      <c r="T1368" t="s">
        <v>3982</v>
      </c>
      <c r="U1368" t="s">
        <v>14446</v>
      </c>
      <c r="V1368">
        <v>5</v>
      </c>
      <c r="Y1368">
        <v>57</v>
      </c>
      <c r="AE1368" t="s">
        <v>48</v>
      </c>
      <c r="AF1368" t="s">
        <v>14447</v>
      </c>
      <c r="AG1368" t="s">
        <v>14448</v>
      </c>
      <c r="AH1368" t="str">
        <f>HYPERLINK("http://compartments.jensenlab.org/Entity?figures=subcell_cell_%&amp;knowledge=10&amp;textmining=10&amp;experiments=10&amp;predictions=10&amp;type1=9606&amp;type2=-22&amp;id1=ENSP00000341942","link")</f>
        <v>link</v>
      </c>
      <c r="AJ1368" t="s">
        <v>51</v>
      </c>
      <c r="AK1368" t="str">
        <f>HYPERLINK("http://www.proteinatlas.org/Q4VNC0","HPA031771;HPA031774")</f>
        <v>HPA031771;HPA031774</v>
      </c>
      <c r="AM1368">
        <v>344905</v>
      </c>
    </row>
    <row r="1369" spans="1:39" x14ac:dyDescent="0.35">
      <c r="A1369" t="s">
        <v>14449</v>
      </c>
      <c r="B1369" t="str">
        <f>HYPERLINK("http://www.uniprot.org/uniprot/Q504Y0","Q504Y0")</f>
        <v>Q504Y0</v>
      </c>
      <c r="C1369" t="s">
        <v>14450</v>
      </c>
      <c r="D1369" t="s">
        <v>14451</v>
      </c>
      <c r="E1369" t="s">
        <v>39</v>
      </c>
      <c r="F1369" t="s">
        <v>40</v>
      </c>
      <c r="H1369">
        <v>691</v>
      </c>
      <c r="I1369">
        <v>8</v>
      </c>
      <c r="J1369">
        <v>0</v>
      </c>
      <c r="K1369" t="s">
        <v>14452</v>
      </c>
      <c r="L1369" t="s">
        <v>57</v>
      </c>
      <c r="N1369">
        <v>0.75049999999999994</v>
      </c>
      <c r="O1369" s="1">
        <v>1</v>
      </c>
      <c r="P1369" t="s">
        <v>14453</v>
      </c>
      <c r="Q1369" t="s">
        <v>14454</v>
      </c>
      <c r="S1369" t="s">
        <v>45</v>
      </c>
      <c r="T1369" t="s">
        <v>12712</v>
      </c>
      <c r="U1369" t="s">
        <v>14455</v>
      </c>
      <c r="V1369">
        <v>4</v>
      </c>
      <c r="AE1369" t="s">
        <v>48</v>
      </c>
      <c r="AF1369" t="s">
        <v>14456</v>
      </c>
      <c r="AG1369" t="s">
        <v>14457</v>
      </c>
      <c r="AH1369" t="str">
        <f>HYPERLINK("http://compartments.jensenlab.org/Entity?figures=subcell_cell_%&amp;knowledge=10&amp;textmining=10&amp;experiments=10&amp;predictions=10&amp;type1=9606&amp;type2=-22&amp;id1=ENSP00000366586","link")</f>
        <v>link</v>
      </c>
      <c r="AJ1369" t="s">
        <v>51</v>
      </c>
      <c r="AK1369" t="str">
        <f>HYPERLINK("http://www.proteinatlas.org/Q504Y0","no")</f>
        <v>no</v>
      </c>
      <c r="AM1369">
        <v>221074</v>
      </c>
    </row>
    <row r="1370" spans="1:39" x14ac:dyDescent="0.35">
      <c r="A1370" t="s">
        <v>14458</v>
      </c>
      <c r="B1370" t="str">
        <f>HYPERLINK("http://www.uniprot.org/uniprot/Q50LG9","Q50LG9")</f>
        <v>Q50LG9</v>
      </c>
      <c r="C1370" t="s">
        <v>14459</v>
      </c>
      <c r="D1370" t="s">
        <v>14460</v>
      </c>
      <c r="E1370" t="s">
        <v>39</v>
      </c>
      <c r="F1370" t="s">
        <v>40</v>
      </c>
      <c r="H1370">
        <v>513</v>
      </c>
      <c r="I1370">
        <v>1</v>
      </c>
      <c r="J1370">
        <v>1</v>
      </c>
      <c r="K1370" t="s">
        <v>14461</v>
      </c>
      <c r="L1370" t="s">
        <v>42</v>
      </c>
      <c r="N1370">
        <v>0.82240000000000002</v>
      </c>
      <c r="O1370" s="1">
        <v>1</v>
      </c>
      <c r="P1370" t="s">
        <v>14462</v>
      </c>
      <c r="Q1370" t="s">
        <v>14463</v>
      </c>
      <c r="S1370" t="s">
        <v>91</v>
      </c>
      <c r="T1370" t="s">
        <v>260</v>
      </c>
      <c r="U1370" t="s">
        <v>14464</v>
      </c>
      <c r="V1370">
        <v>3</v>
      </c>
      <c r="AE1370" t="s">
        <v>94</v>
      </c>
      <c r="AF1370" t="s">
        <v>14465</v>
      </c>
      <c r="AG1370" t="s">
        <v>14466</v>
      </c>
      <c r="AH1370" t="str">
        <f>HYPERLINK("http://compartments.jensenlab.org/Entity?figures=subcell_cell_%&amp;knowledge=10&amp;textmining=10&amp;experiments=10&amp;predictions=10&amp;type1=9606&amp;type2=-22&amp;id1=ENSP00000434849","link")</f>
        <v>link</v>
      </c>
      <c r="AK1370" t="str">
        <f>HYPERLINK("http://www.proteinatlas.org/Q50LG9","HPA052250")</f>
        <v>HPA052250</v>
      </c>
      <c r="AM1370">
        <v>441381</v>
      </c>
    </row>
    <row r="1371" spans="1:39" x14ac:dyDescent="0.35">
      <c r="A1371" t="s">
        <v>14467</v>
      </c>
      <c r="B1371" t="str">
        <f>HYPERLINK("http://www.uniprot.org/uniprot/Q53EL9","Q53EL9")</f>
        <v>Q53EL9</v>
      </c>
      <c r="C1371" t="s">
        <v>14468</v>
      </c>
      <c r="D1371" t="s">
        <v>14469</v>
      </c>
      <c r="E1371" t="s">
        <v>39</v>
      </c>
      <c r="F1371" t="s">
        <v>40</v>
      </c>
      <c r="H1371">
        <v>994</v>
      </c>
      <c r="I1371">
        <v>1</v>
      </c>
      <c r="J1371">
        <v>1</v>
      </c>
      <c r="K1371" t="s">
        <v>14470</v>
      </c>
      <c r="L1371" t="s">
        <v>57</v>
      </c>
      <c r="N1371">
        <v>0.97409999999999997</v>
      </c>
      <c r="O1371" s="1">
        <v>1</v>
      </c>
      <c r="P1371" t="s">
        <v>14471</v>
      </c>
      <c r="Q1371" t="s">
        <v>14472</v>
      </c>
      <c r="S1371" t="s">
        <v>60</v>
      </c>
      <c r="T1371" t="s">
        <v>60</v>
      </c>
      <c r="U1371" t="s">
        <v>14473</v>
      </c>
      <c r="V1371">
        <v>10</v>
      </c>
      <c r="W1371" t="s">
        <v>14474</v>
      </c>
      <c r="AE1371" t="s">
        <v>332</v>
      </c>
      <c r="AF1371" t="s">
        <v>14475</v>
      </c>
      <c r="AG1371" t="s">
        <v>14476</v>
      </c>
      <c r="AH1371" t="str">
        <f>HYPERLINK("http://compartments.jensenlab.org/Entity?figures=subcell_cell_%&amp;knowledge=10&amp;textmining=10&amp;experiments=10&amp;predictions=10&amp;type1=9606&amp;type2=-22&amp;id1=ENSP00000312942","link")</f>
        <v>link</v>
      </c>
      <c r="AK1371" t="str">
        <f>HYPERLINK("http://www.proteinatlas.org/Q53EL9","HPA007703;HPA011777")</f>
        <v>HPA007703;HPA011777</v>
      </c>
      <c r="AM1371">
        <v>124925</v>
      </c>
    </row>
    <row r="1372" spans="1:39" x14ac:dyDescent="0.35">
      <c r="A1372" t="s">
        <v>14477</v>
      </c>
      <c r="B1372" t="str">
        <f>HYPERLINK("http://www.uniprot.org/uniprot/Q53GD3","Q53GD3")</f>
        <v>Q53GD3</v>
      </c>
      <c r="C1372" t="s">
        <v>14478</v>
      </c>
      <c r="D1372" t="s">
        <v>14479</v>
      </c>
      <c r="E1372" t="s">
        <v>39</v>
      </c>
      <c r="F1372" t="s">
        <v>40</v>
      </c>
      <c r="H1372">
        <v>710</v>
      </c>
      <c r="I1372">
        <v>10</v>
      </c>
      <c r="J1372">
        <v>0</v>
      </c>
      <c r="K1372" t="s">
        <v>14480</v>
      </c>
      <c r="L1372" t="s">
        <v>57</v>
      </c>
      <c r="N1372">
        <v>0.88619999999999999</v>
      </c>
      <c r="O1372" s="1">
        <v>1</v>
      </c>
      <c r="P1372" t="s">
        <v>14481</v>
      </c>
      <c r="Q1372" t="s">
        <v>14482</v>
      </c>
      <c r="S1372" t="s">
        <v>45</v>
      </c>
      <c r="T1372" t="s">
        <v>14483</v>
      </c>
      <c r="U1372" t="s">
        <v>14484</v>
      </c>
      <c r="V1372">
        <v>8</v>
      </c>
      <c r="AE1372" t="s">
        <v>48</v>
      </c>
      <c r="AF1372" t="s">
        <v>472</v>
      </c>
      <c r="AG1372" t="s">
        <v>14485</v>
      </c>
      <c r="AH1372" t="str">
        <f>HYPERLINK("http://compartments.jensenlab.org/Entity?figures=subcell_cell_%&amp;knowledge=10&amp;textmining=10&amp;experiments=10&amp;predictions=10&amp;type1=9606&amp;type2=-22&amp;id1=ENSP00000229729","link")</f>
        <v>link</v>
      </c>
      <c r="AJ1372" t="s">
        <v>1365</v>
      </c>
      <c r="AK1372" t="str">
        <f>HYPERLINK("http://www.proteinatlas.org/Q53GD3","HPA046977;HPA054176")</f>
        <v>HPA046977;HPA054176</v>
      </c>
      <c r="AM1372">
        <v>80736</v>
      </c>
    </row>
    <row r="1373" spans="1:39" x14ac:dyDescent="0.35">
      <c r="A1373" t="s">
        <v>14486</v>
      </c>
      <c r="B1373" t="str">
        <f>HYPERLINK("http://www.uniprot.org/uniprot/Q53R12","Q53R12")</f>
        <v>Q53R12</v>
      </c>
      <c r="C1373" t="s">
        <v>14487</v>
      </c>
      <c r="D1373" t="s">
        <v>14488</v>
      </c>
      <c r="E1373" t="s">
        <v>39</v>
      </c>
      <c r="F1373" t="s">
        <v>40</v>
      </c>
      <c r="H1373">
        <v>229</v>
      </c>
      <c r="I1373">
        <v>4</v>
      </c>
      <c r="J1373">
        <v>0</v>
      </c>
      <c r="K1373" t="s">
        <v>14489</v>
      </c>
      <c r="L1373" t="s">
        <v>57</v>
      </c>
      <c r="N1373">
        <v>0.68459999999999999</v>
      </c>
      <c r="O1373" s="1">
        <v>2</v>
      </c>
      <c r="P1373" t="s">
        <v>14490</v>
      </c>
      <c r="Q1373" t="s">
        <v>14491</v>
      </c>
      <c r="S1373" t="s">
        <v>91</v>
      </c>
      <c r="T1373" t="s">
        <v>1334</v>
      </c>
      <c r="U1373" t="s">
        <v>14492</v>
      </c>
      <c r="V1373">
        <v>3</v>
      </c>
      <c r="AE1373" t="s">
        <v>74</v>
      </c>
      <c r="AF1373" t="s">
        <v>14493</v>
      </c>
      <c r="AG1373" t="s">
        <v>14494</v>
      </c>
      <c r="AH1373" t="str">
        <f>HYPERLINK("http://compartments.jensenlab.org/Entity?figures=subcell_cell_%&amp;knowledge=10&amp;textmining=10&amp;experiments=10&amp;predictions=10&amp;type1=9606&amp;type2=-22&amp;id1=ENSP00000303028","link")</f>
        <v>link</v>
      </c>
      <c r="AI1373" t="s">
        <v>65</v>
      </c>
      <c r="AJ1373" t="s">
        <v>51</v>
      </c>
      <c r="AK1373" t="str">
        <f>HYPERLINK("http://www.proteinatlas.org/Q53R12","no")</f>
        <v>no</v>
      </c>
      <c r="AM1373">
        <v>79853</v>
      </c>
    </row>
    <row r="1374" spans="1:39" x14ac:dyDescent="0.35">
      <c r="A1374" t="s">
        <v>14495</v>
      </c>
      <c r="B1374" t="str">
        <f>HYPERLINK("http://www.uniprot.org/uniprot/Q58EX2","Q58EX2")</f>
        <v>Q58EX2</v>
      </c>
      <c r="C1374" t="s">
        <v>14496</v>
      </c>
      <c r="D1374" t="s">
        <v>14497</v>
      </c>
      <c r="E1374" t="s">
        <v>39</v>
      </c>
      <c r="F1374" t="s">
        <v>40</v>
      </c>
      <c r="H1374">
        <v>2172</v>
      </c>
      <c r="I1374">
        <v>1</v>
      </c>
      <c r="J1374">
        <v>1</v>
      </c>
      <c r="K1374" t="s">
        <v>14498</v>
      </c>
      <c r="L1374" t="s">
        <v>101</v>
      </c>
      <c r="N1374">
        <v>0.94810000000000005</v>
      </c>
      <c r="O1374" s="1">
        <v>1</v>
      </c>
      <c r="P1374" t="s">
        <v>14499</v>
      </c>
      <c r="Q1374" t="s">
        <v>14500</v>
      </c>
      <c r="S1374" t="s">
        <v>91</v>
      </c>
      <c r="T1374" t="s">
        <v>555</v>
      </c>
      <c r="U1374" t="s">
        <v>14501</v>
      </c>
      <c r="V1374">
        <v>21</v>
      </c>
      <c r="Y1374">
        <v>1114</v>
      </c>
      <c r="Z1374" t="s">
        <v>107</v>
      </c>
      <c r="AA1374">
        <v>16</v>
      </c>
      <c r="AB1374" t="s">
        <v>14502</v>
      </c>
      <c r="AC1374" t="s">
        <v>14503</v>
      </c>
      <c r="AD1374" t="s">
        <v>14504</v>
      </c>
      <c r="AE1374" t="s">
        <v>144</v>
      </c>
      <c r="AF1374" t="s">
        <v>14505</v>
      </c>
      <c r="AG1374" t="s">
        <v>14506</v>
      </c>
      <c r="AH1374" t="str">
        <f>HYPERLINK("http://compartments.jensenlab.org/Entity?figures=subcell_cell_%&amp;knowledge=10&amp;textmining=10&amp;experiments=10&amp;predictions=10&amp;type1=9606&amp;type2=-22&amp;id1=ENSP00000376421","link")</f>
        <v>link</v>
      </c>
      <c r="AJ1374" t="s">
        <v>51</v>
      </c>
      <c r="AK1374" t="str">
        <f>HYPERLINK("http://www.proteinatlas.org/Q58EX2","HPA014725")</f>
        <v>HPA014725</v>
      </c>
      <c r="AM1374">
        <v>54549</v>
      </c>
    </row>
    <row r="1375" spans="1:39" x14ac:dyDescent="0.35">
      <c r="A1375" t="s">
        <v>14507</v>
      </c>
      <c r="B1375" t="str">
        <f>HYPERLINK("http://www.uniprot.org/uniprot/Q5BIV9","Q5BIV9")</f>
        <v>Q5BIV9</v>
      </c>
      <c r="C1375" t="s">
        <v>14508</v>
      </c>
      <c r="D1375" t="s">
        <v>14509</v>
      </c>
      <c r="E1375" t="s">
        <v>39</v>
      </c>
      <c r="F1375" t="s">
        <v>239</v>
      </c>
      <c r="H1375">
        <v>151</v>
      </c>
      <c r="I1375">
        <v>0</v>
      </c>
      <c r="J1375">
        <v>1</v>
      </c>
      <c r="K1375" t="s">
        <v>14510</v>
      </c>
      <c r="L1375" t="s">
        <v>57</v>
      </c>
      <c r="N1375">
        <v>0.5948</v>
      </c>
      <c r="O1375" s="1" t="s">
        <v>241</v>
      </c>
      <c r="P1375" t="s">
        <v>14511</v>
      </c>
      <c r="Q1375" t="s">
        <v>14512</v>
      </c>
      <c r="U1375">
        <v>111</v>
      </c>
      <c r="V1375">
        <v>1</v>
      </c>
      <c r="W1375">
        <v>111</v>
      </c>
      <c r="AE1375" t="s">
        <v>243</v>
      </c>
      <c r="AF1375" t="s">
        <v>14513</v>
      </c>
      <c r="AG1375" t="s">
        <v>14514</v>
      </c>
      <c r="AH1375" t="str">
        <f>HYPERLINK("http://compartments.jensenlab.org/Entity?figures=subcell_cell_%&amp;knowledge=10&amp;textmining=10&amp;experiments=10&amp;predictions=10&amp;type1=9606&amp;type2=-22&amp;id1=ENSP00000433712","link")</f>
        <v>link</v>
      </c>
      <c r="AK1375" t="str">
        <f>HYPERLINK("http://www.proteinatlas.org/Q5BIV9","no")</f>
        <v>no</v>
      </c>
      <c r="AM1375">
        <v>503542</v>
      </c>
    </row>
    <row r="1376" spans="1:39" x14ac:dyDescent="0.35">
      <c r="A1376" t="s">
        <v>14515</v>
      </c>
      <c r="B1376" t="str">
        <f>HYPERLINK("http://www.uniprot.org/uniprot/Q5BKX6","Q5BKX6")</f>
        <v>Q5BKX6</v>
      </c>
      <c r="C1376" t="s">
        <v>14516</v>
      </c>
      <c r="D1376" t="s">
        <v>14517</v>
      </c>
      <c r="E1376" t="s">
        <v>39</v>
      </c>
      <c r="F1376" t="s">
        <v>40</v>
      </c>
      <c r="H1376">
        <v>768</v>
      </c>
      <c r="I1376">
        <v>12</v>
      </c>
      <c r="J1376">
        <v>0</v>
      </c>
      <c r="K1376" t="s">
        <v>14518</v>
      </c>
      <c r="L1376" t="s">
        <v>118</v>
      </c>
      <c r="N1376">
        <v>0.7046</v>
      </c>
      <c r="O1376" s="1">
        <v>2</v>
      </c>
      <c r="P1376" t="s">
        <v>14519</v>
      </c>
      <c r="S1376" t="s">
        <v>45</v>
      </c>
      <c r="T1376" t="s">
        <v>14520</v>
      </c>
      <c r="U1376" t="s">
        <v>14521</v>
      </c>
      <c r="V1376">
        <v>1</v>
      </c>
      <c r="Z1376" t="s">
        <v>123</v>
      </c>
      <c r="AA1376">
        <v>1</v>
      </c>
      <c r="AB1376" t="s">
        <v>14522</v>
      </c>
      <c r="AC1376">
        <v>547</v>
      </c>
      <c r="AD1376" t="s">
        <v>14523</v>
      </c>
      <c r="AE1376" t="s">
        <v>48</v>
      </c>
      <c r="AF1376" t="s">
        <v>14524</v>
      </c>
      <c r="AG1376" t="s">
        <v>14525</v>
      </c>
      <c r="AK1376" t="str">
        <f>HYPERLINK("http://www.proteinatlas.org/Q5BKX6","HPA023154")</f>
        <v>HPA023154</v>
      </c>
      <c r="AM1376">
        <v>57210</v>
      </c>
    </row>
    <row r="1377" spans="1:39" x14ac:dyDescent="0.35">
      <c r="A1377" t="s">
        <v>14526</v>
      </c>
      <c r="B1377" t="str">
        <f>HYPERLINK("http://www.uniprot.org/uniprot/Q5DID0","Q5DID0")</f>
        <v>Q5DID0</v>
      </c>
      <c r="C1377" t="s">
        <v>14527</v>
      </c>
      <c r="D1377" t="s">
        <v>14528</v>
      </c>
      <c r="E1377" t="s">
        <v>39</v>
      </c>
      <c r="F1377" t="s">
        <v>40</v>
      </c>
      <c r="H1377">
        <v>1318</v>
      </c>
      <c r="I1377">
        <v>1</v>
      </c>
      <c r="J1377">
        <v>1</v>
      </c>
      <c r="K1377" t="s">
        <v>14529</v>
      </c>
      <c r="L1377" t="s">
        <v>57</v>
      </c>
      <c r="N1377">
        <v>0.89219999999999999</v>
      </c>
      <c r="O1377" s="1">
        <v>1</v>
      </c>
      <c r="P1377" t="s">
        <v>14530</v>
      </c>
      <c r="Q1377" t="s">
        <v>14531</v>
      </c>
      <c r="S1377" t="s">
        <v>60</v>
      </c>
      <c r="T1377" t="s">
        <v>60</v>
      </c>
      <c r="U1377" t="s">
        <v>14532</v>
      </c>
      <c r="V1377">
        <v>23</v>
      </c>
      <c r="W1377" t="s">
        <v>14533</v>
      </c>
      <c r="Y1377">
        <v>64</v>
      </c>
      <c r="AE1377" t="s">
        <v>14534</v>
      </c>
      <c r="AF1377" t="s">
        <v>14535</v>
      </c>
      <c r="AG1377" t="s">
        <v>14536</v>
      </c>
      <c r="AH1377" t="str">
        <f>HYPERLINK("http://compartments.jensenlab.org/Entity?figures=subcell_cell_%&amp;knowledge=10&amp;textmining=10&amp;experiments=10&amp;predictions=10&amp;type1=9606&amp;type2=-22&amp;id1=ENSP00000386147","link")</f>
        <v>link</v>
      </c>
      <c r="AK1377" t="str">
        <f>HYPERLINK("http://www.proteinatlas.org/Q5DID0","HPA067245")</f>
        <v>HPA067245</v>
      </c>
      <c r="AM1377">
        <v>89766</v>
      </c>
    </row>
    <row r="1378" spans="1:39" x14ac:dyDescent="0.35">
      <c r="A1378" t="s">
        <v>14537</v>
      </c>
      <c r="B1378" t="str">
        <f>HYPERLINK("http://www.uniprot.org/uniprot/Q5DX21","Q5DX21")</f>
        <v>Q5DX21</v>
      </c>
      <c r="C1378" t="s">
        <v>14538</v>
      </c>
      <c r="D1378" t="s">
        <v>14539</v>
      </c>
      <c r="E1378" t="s">
        <v>39</v>
      </c>
      <c r="F1378" t="s">
        <v>40</v>
      </c>
      <c r="H1378">
        <v>431</v>
      </c>
      <c r="I1378">
        <v>1</v>
      </c>
      <c r="J1378">
        <v>1</v>
      </c>
      <c r="K1378" t="s">
        <v>14540</v>
      </c>
      <c r="L1378" t="s">
        <v>57</v>
      </c>
      <c r="N1378">
        <v>0.91220000000000001</v>
      </c>
      <c r="O1378" s="1">
        <v>1</v>
      </c>
      <c r="P1378" t="s">
        <v>14541</v>
      </c>
      <c r="Q1378" t="s">
        <v>14542</v>
      </c>
      <c r="S1378" t="s">
        <v>166</v>
      </c>
      <c r="T1378" t="s">
        <v>2505</v>
      </c>
      <c r="U1378" t="s">
        <v>14543</v>
      </c>
      <c r="V1378">
        <v>3</v>
      </c>
      <c r="AE1378" t="s">
        <v>332</v>
      </c>
      <c r="AF1378" t="s">
        <v>14544</v>
      </c>
      <c r="AG1378" t="s">
        <v>14545</v>
      </c>
      <c r="AH1378" t="str">
        <f>HYPERLINK("http://compartments.jensenlab.org/Entity?figures=subcell_cell_%&amp;knowledge=10&amp;textmining=10&amp;experiments=10&amp;predictions=10&amp;type1=9606&amp;type2=-22&amp;id1=ENSP00000377370","link")</f>
        <v>link</v>
      </c>
      <c r="AI1378" t="s">
        <v>65</v>
      </c>
      <c r="AJ1378" t="s">
        <v>51</v>
      </c>
      <c r="AK1378" t="str">
        <f>HYPERLINK("http://www.proteinatlas.org/Q5DX21","HPA046377")</f>
        <v>HPA046377</v>
      </c>
      <c r="AM1378">
        <v>152404</v>
      </c>
    </row>
    <row r="1379" spans="1:39" x14ac:dyDescent="0.35">
      <c r="A1379" t="s">
        <v>14546</v>
      </c>
      <c r="B1379" t="str">
        <f>HYPERLINK("http://www.uniprot.org/uniprot/Q5FWE3","Q5FWE3")</f>
        <v>Q5FWE3</v>
      </c>
      <c r="C1379" t="s">
        <v>14547</v>
      </c>
      <c r="D1379" t="s">
        <v>14548</v>
      </c>
      <c r="E1379" t="s">
        <v>39</v>
      </c>
      <c r="F1379" t="s">
        <v>40</v>
      </c>
      <c r="H1379">
        <v>981</v>
      </c>
      <c r="I1379">
        <v>7</v>
      </c>
      <c r="J1379">
        <v>1</v>
      </c>
      <c r="K1379" t="s">
        <v>14549</v>
      </c>
      <c r="L1379" t="s">
        <v>57</v>
      </c>
      <c r="N1379">
        <v>0.73250000000000004</v>
      </c>
      <c r="O1379" s="1">
        <v>2</v>
      </c>
      <c r="P1379" t="s">
        <v>14550</v>
      </c>
      <c r="Q1379" t="s">
        <v>14551</v>
      </c>
      <c r="S1379" t="s">
        <v>60</v>
      </c>
      <c r="T1379" t="s">
        <v>60</v>
      </c>
      <c r="U1379" t="s">
        <v>14552</v>
      </c>
      <c r="V1379">
        <v>2</v>
      </c>
      <c r="Y1379" t="s">
        <v>14553</v>
      </c>
      <c r="AE1379" t="s">
        <v>48</v>
      </c>
      <c r="AF1379" t="s">
        <v>14554</v>
      </c>
      <c r="AG1379" t="s">
        <v>14555</v>
      </c>
      <c r="AH1379" t="str">
        <f>HYPERLINK("http://compartments.jensenlab.org/Entity?figures=subcell_cell_%&amp;knowledge=10&amp;textmining=10&amp;experiments=10&amp;predictions=10&amp;type1=9606&amp;type2=-22&amp;id1=ENSP00000295984","link")</f>
        <v>link</v>
      </c>
      <c r="AJ1379" t="s">
        <v>51</v>
      </c>
      <c r="AK1379" t="str">
        <f>HYPERLINK("http://www.proteinatlas.org/Q5FWE3","HPA035127;HPA035128")</f>
        <v>HPA035127;HPA035128</v>
      </c>
      <c r="AM1379">
        <v>285368</v>
      </c>
    </row>
    <row r="1380" spans="1:39" x14ac:dyDescent="0.35">
      <c r="A1380" t="s">
        <v>14556</v>
      </c>
      <c r="B1380" t="str">
        <f>HYPERLINK("http://www.uniprot.org/uniprot/Q5GH77","Q5GH77")</f>
        <v>Q5GH77</v>
      </c>
      <c r="C1380" t="s">
        <v>14557</v>
      </c>
      <c r="D1380" t="s">
        <v>14558</v>
      </c>
      <c r="E1380" t="s">
        <v>39</v>
      </c>
      <c r="F1380" t="s">
        <v>40</v>
      </c>
      <c r="H1380">
        <v>459</v>
      </c>
      <c r="I1380">
        <v>10</v>
      </c>
      <c r="J1380">
        <v>0</v>
      </c>
      <c r="K1380" t="s">
        <v>14559</v>
      </c>
      <c r="L1380" t="s">
        <v>42</v>
      </c>
      <c r="N1380">
        <v>0.6986</v>
      </c>
      <c r="O1380" s="1">
        <v>2</v>
      </c>
      <c r="P1380" t="s">
        <v>14560</v>
      </c>
      <c r="Q1380" t="s">
        <v>14561</v>
      </c>
      <c r="S1380" t="s">
        <v>45</v>
      </c>
      <c r="T1380" t="s">
        <v>14562</v>
      </c>
      <c r="U1380" t="s">
        <v>14563</v>
      </c>
      <c r="V1380">
        <v>2</v>
      </c>
      <c r="AE1380" t="s">
        <v>74</v>
      </c>
      <c r="AF1380" t="s">
        <v>14493</v>
      </c>
      <c r="AG1380" t="s">
        <v>14564</v>
      </c>
      <c r="AH1380" t="str">
        <f>HYPERLINK("http://compartments.jensenlab.org/Entity?figures=subcell_cell_%&amp;knowledge=10&amp;textmining=10&amp;experiments=10&amp;predictions=10&amp;type1=9606&amp;type2=-22&amp;id1=ENSP00000331704","link")</f>
        <v>link</v>
      </c>
      <c r="AI1380" t="s">
        <v>65</v>
      </c>
      <c r="AJ1380" t="s">
        <v>51</v>
      </c>
      <c r="AK1380" t="str">
        <f>HYPERLINK("http://www.proteinatlas.org/Q5GH77","HPA003379;HPA035081")</f>
        <v>HPA003379;HPA035081</v>
      </c>
      <c r="AM1380">
        <v>150165</v>
      </c>
    </row>
    <row r="1381" spans="1:39" x14ac:dyDescent="0.35">
      <c r="A1381" t="s">
        <v>14565</v>
      </c>
      <c r="B1381" t="str">
        <f>HYPERLINK("http://www.uniprot.org/uniprot/Q5HYA8","Q5HYA8")</f>
        <v>Q5HYA8</v>
      </c>
      <c r="C1381" t="s">
        <v>14566</v>
      </c>
      <c r="D1381" t="s">
        <v>14567</v>
      </c>
      <c r="E1381" t="s">
        <v>39</v>
      </c>
      <c r="F1381" t="s">
        <v>40</v>
      </c>
      <c r="H1381">
        <v>995</v>
      </c>
      <c r="I1381">
        <v>7</v>
      </c>
      <c r="J1381">
        <v>1</v>
      </c>
      <c r="K1381" t="s">
        <v>14568</v>
      </c>
      <c r="L1381" t="s">
        <v>42</v>
      </c>
      <c r="N1381">
        <v>0.7046</v>
      </c>
      <c r="O1381" s="1">
        <v>2</v>
      </c>
      <c r="P1381" t="s">
        <v>14569</v>
      </c>
      <c r="Q1381" t="s">
        <v>14570</v>
      </c>
      <c r="S1381" t="s">
        <v>60</v>
      </c>
      <c r="T1381" t="s">
        <v>60</v>
      </c>
      <c r="U1381" t="s">
        <v>14571</v>
      </c>
      <c r="V1381">
        <v>4</v>
      </c>
      <c r="AE1381" t="s">
        <v>14572</v>
      </c>
      <c r="AF1381" t="s">
        <v>14573</v>
      </c>
      <c r="AG1381" t="s">
        <v>14574</v>
      </c>
      <c r="AH1381" t="str">
        <f>HYPERLINK("http://compartments.jensenlab.org/Entity?figures=subcell_cell_%&amp;knowledge=10&amp;textmining=10&amp;experiments=10&amp;predictions=10&amp;type1=9606&amp;type2=-22&amp;id1=ENSP00000314488","link")</f>
        <v>link</v>
      </c>
      <c r="AI1381" t="s">
        <v>12857</v>
      </c>
      <c r="AJ1381" t="s">
        <v>7966</v>
      </c>
      <c r="AK1381" t="str">
        <f>HYPERLINK("http://www.proteinatlas.org/Q5HYA8","HPA039940")</f>
        <v>HPA039940</v>
      </c>
      <c r="AM1381">
        <v>91147</v>
      </c>
    </row>
    <row r="1382" spans="1:39" x14ac:dyDescent="0.35">
      <c r="A1382" t="s">
        <v>14575</v>
      </c>
      <c r="B1382" t="str">
        <f>HYPERLINK("http://www.uniprot.org/uniprot/Q5IJ48","Q5IJ48")</f>
        <v>Q5IJ48</v>
      </c>
      <c r="C1382" t="s">
        <v>14576</v>
      </c>
      <c r="D1382" t="s">
        <v>14577</v>
      </c>
      <c r="E1382" t="s">
        <v>39</v>
      </c>
      <c r="F1382" t="s">
        <v>55</v>
      </c>
      <c r="H1382">
        <v>1285</v>
      </c>
      <c r="I1382">
        <v>1</v>
      </c>
      <c r="J1382">
        <v>1</v>
      </c>
      <c r="K1382" t="s">
        <v>14578</v>
      </c>
      <c r="L1382" t="s">
        <v>101</v>
      </c>
      <c r="M1382" t="s">
        <v>39</v>
      </c>
      <c r="N1382">
        <v>0.94079999999999997</v>
      </c>
      <c r="O1382" s="1">
        <v>1</v>
      </c>
      <c r="P1382" t="s">
        <v>14579</v>
      </c>
      <c r="Q1382" t="s">
        <v>14580</v>
      </c>
      <c r="S1382" t="s">
        <v>91</v>
      </c>
      <c r="T1382" t="s">
        <v>11557</v>
      </c>
      <c r="U1382" t="s">
        <v>14581</v>
      </c>
      <c r="V1382">
        <v>13</v>
      </c>
      <c r="W1382" t="s">
        <v>14581</v>
      </c>
      <c r="Y1382">
        <v>973</v>
      </c>
      <c r="Z1382" t="s">
        <v>107</v>
      </c>
      <c r="AA1382">
        <v>2</v>
      </c>
      <c r="AB1382" t="s">
        <v>14582</v>
      </c>
      <c r="AC1382" t="s">
        <v>14583</v>
      </c>
      <c r="AD1382" t="s">
        <v>14584</v>
      </c>
      <c r="AE1382" t="s">
        <v>1250</v>
      </c>
      <c r="AF1382" t="s">
        <v>14585</v>
      </c>
      <c r="AG1382" t="s">
        <v>14586</v>
      </c>
      <c r="AH1382" t="str">
        <f>HYPERLINK("http://compartments.jensenlab.org/Entity?figures=subcell_cell_%&amp;knowledge=10&amp;textmining=10&amp;experiments=10&amp;predictions=10&amp;type1=9606&amp;type2=-22&amp;id1=ENSP00000362734","link")</f>
        <v>link</v>
      </c>
      <c r="AI1382" t="s">
        <v>1058</v>
      </c>
      <c r="AJ1382" t="s">
        <v>902</v>
      </c>
      <c r="AK1382" t="str">
        <f>HYPERLINK("http://www.proteinatlas.org/Q5IJ48","HPA043674")</f>
        <v>HPA043674</v>
      </c>
      <c r="AM1382">
        <v>286204</v>
      </c>
    </row>
    <row r="1383" spans="1:39" x14ac:dyDescent="0.35">
      <c r="A1383" t="s">
        <v>14587</v>
      </c>
      <c r="B1383" t="str">
        <f>HYPERLINK("http://www.uniprot.org/uniprot/Q5JQS5","Q5JQS5")</f>
        <v>Q5JQS5</v>
      </c>
      <c r="C1383" t="s">
        <v>14588</v>
      </c>
      <c r="D1383" t="s">
        <v>14589</v>
      </c>
      <c r="E1383" t="s">
        <v>39</v>
      </c>
      <c r="F1383" t="s">
        <v>55</v>
      </c>
      <c r="H1383">
        <v>317</v>
      </c>
      <c r="I1383">
        <v>7</v>
      </c>
      <c r="J1383">
        <v>0</v>
      </c>
      <c r="K1383" t="s">
        <v>14590</v>
      </c>
      <c r="L1383" t="s">
        <v>57</v>
      </c>
      <c r="N1383">
        <v>0.96009999999999995</v>
      </c>
      <c r="O1383" s="1">
        <v>1</v>
      </c>
      <c r="P1383" t="s">
        <v>14591</v>
      </c>
      <c r="Q1383" t="s">
        <v>14592</v>
      </c>
      <c r="S1383" t="s">
        <v>166</v>
      </c>
      <c r="T1383" t="s">
        <v>167</v>
      </c>
      <c r="U1383" t="s">
        <v>14593</v>
      </c>
      <c r="V1383">
        <v>2</v>
      </c>
      <c r="AE1383" t="s">
        <v>74</v>
      </c>
      <c r="AF1383" t="s">
        <v>169</v>
      </c>
      <c r="AG1383" t="s">
        <v>14594</v>
      </c>
      <c r="AH1383" t="str">
        <f>HYPERLINK("http://compartments.jensenlab.org/Entity?figures=subcell_cell_%&amp;knowledge=10&amp;textmining=10&amp;experiments=10&amp;predictions=10&amp;type1=9606&amp;type2=-22&amp;id1=ENSP00000325682","link")</f>
        <v>link</v>
      </c>
      <c r="AI1383" t="s">
        <v>65</v>
      </c>
      <c r="AJ1383" t="s">
        <v>51</v>
      </c>
      <c r="AK1383" t="str">
        <f>HYPERLINK("http://www.proteinatlas.org/Q5JQS5","HPA047459")</f>
        <v>HPA047459</v>
      </c>
      <c r="AM1383">
        <v>127623</v>
      </c>
    </row>
    <row r="1384" spans="1:39" x14ac:dyDescent="0.35">
      <c r="A1384" t="s">
        <v>14595</v>
      </c>
      <c r="B1384" t="str">
        <f>HYPERLINK("http://www.uniprot.org/uniprot/Q5JRS4","Q5JRS4")</f>
        <v>Q5JRS4</v>
      </c>
      <c r="C1384" t="s">
        <v>14596</v>
      </c>
      <c r="D1384" t="s">
        <v>14597</v>
      </c>
      <c r="E1384" t="s">
        <v>39</v>
      </c>
      <c r="F1384" t="s">
        <v>55</v>
      </c>
      <c r="H1384">
        <v>329</v>
      </c>
      <c r="I1384">
        <v>7</v>
      </c>
      <c r="J1384">
        <v>0</v>
      </c>
      <c r="K1384" t="s">
        <v>14598</v>
      </c>
      <c r="L1384" t="s">
        <v>57</v>
      </c>
      <c r="M1384" t="s">
        <v>39</v>
      </c>
      <c r="N1384">
        <v>0.98939999999999995</v>
      </c>
      <c r="O1384" s="1">
        <v>1</v>
      </c>
      <c r="P1384" t="s">
        <v>14599</v>
      </c>
      <c r="Q1384" t="s">
        <v>14600</v>
      </c>
      <c r="S1384" t="s">
        <v>166</v>
      </c>
      <c r="T1384" t="s">
        <v>167</v>
      </c>
      <c r="U1384">
        <v>5</v>
      </c>
      <c r="V1384">
        <v>1</v>
      </c>
      <c r="AE1384" t="s">
        <v>74</v>
      </c>
      <c r="AF1384" t="s">
        <v>169</v>
      </c>
      <c r="AG1384" t="s">
        <v>14601</v>
      </c>
      <c r="AH1384" t="str">
        <f>HYPERLINK("http://compartments.jensenlab.org/Entity?figures=subcell_cell_%&amp;knowledge=10&amp;textmining=10&amp;experiments=10&amp;predictions=10&amp;type1=9606&amp;type2=-22&amp;id1=ENSP00000331789","link")</f>
        <v>link</v>
      </c>
      <c r="AI1384" t="s">
        <v>65</v>
      </c>
      <c r="AJ1384" t="s">
        <v>51</v>
      </c>
      <c r="AK1384" t="str">
        <f>HYPERLINK("http://www.proteinatlas.org/Q5JRS4","HPA042963")</f>
        <v>HPA042963</v>
      </c>
      <c r="AM1384">
        <v>441911</v>
      </c>
    </row>
    <row r="1385" spans="1:39" x14ac:dyDescent="0.35">
      <c r="A1385" t="s">
        <v>14602</v>
      </c>
      <c r="B1385" t="str">
        <f>HYPERLINK("http://www.uniprot.org/uniprot/Q5JRV8","Q5JRV8")</f>
        <v>Q5JRV8</v>
      </c>
      <c r="C1385" t="s">
        <v>14603</v>
      </c>
      <c r="D1385" t="s">
        <v>14604</v>
      </c>
      <c r="E1385" t="s">
        <v>39</v>
      </c>
      <c r="F1385" t="s">
        <v>40</v>
      </c>
      <c r="H1385">
        <v>349</v>
      </c>
      <c r="I1385">
        <v>4</v>
      </c>
      <c r="J1385">
        <v>0</v>
      </c>
      <c r="K1385" t="s">
        <v>14605</v>
      </c>
      <c r="L1385" t="s">
        <v>42</v>
      </c>
      <c r="N1385">
        <v>0.78239999999999998</v>
      </c>
      <c r="O1385" s="1">
        <v>1</v>
      </c>
      <c r="P1385" t="s">
        <v>14606</v>
      </c>
      <c r="Q1385" t="s">
        <v>14607</v>
      </c>
      <c r="S1385" t="s">
        <v>60</v>
      </c>
      <c r="T1385" t="s">
        <v>60</v>
      </c>
      <c r="U1385" t="s">
        <v>14608</v>
      </c>
      <c r="V1385">
        <v>2</v>
      </c>
      <c r="AE1385" t="s">
        <v>48</v>
      </c>
      <c r="AF1385" t="s">
        <v>14609</v>
      </c>
      <c r="AG1385" t="s">
        <v>14610</v>
      </c>
      <c r="AH1385" t="str">
        <f>HYPERLINK("http://compartments.jensenlab.org/Entity?figures=subcell_cell_%&amp;knowledge=10&amp;textmining=10&amp;experiments=10&amp;predictions=10&amp;type1=9606&amp;type2=-22&amp;id1=ENSP00000310110","link")</f>
        <v>link</v>
      </c>
      <c r="AJ1385" t="s">
        <v>51</v>
      </c>
      <c r="AK1385" t="str">
        <f>HYPERLINK("http://www.proteinatlas.org/Q5JRV8","HPA048470")</f>
        <v>HPA048470</v>
      </c>
      <c r="AM1385">
        <v>55026</v>
      </c>
    </row>
    <row r="1386" spans="1:39" x14ac:dyDescent="0.35">
      <c r="A1386" t="s">
        <v>14611</v>
      </c>
      <c r="B1386" t="str">
        <f>HYPERLINK("http://www.uniprot.org/uniprot/Q5JXA9","Q5JXA9")</f>
        <v>Q5JXA9</v>
      </c>
      <c r="C1386" t="s">
        <v>14612</v>
      </c>
      <c r="D1386" t="s">
        <v>14613</v>
      </c>
      <c r="E1386" t="s">
        <v>39</v>
      </c>
      <c r="F1386" t="s">
        <v>40</v>
      </c>
      <c r="H1386">
        <v>342</v>
      </c>
      <c r="I1386">
        <v>1</v>
      </c>
      <c r="J1386">
        <v>1</v>
      </c>
      <c r="K1386" t="s">
        <v>14614</v>
      </c>
      <c r="L1386" t="s">
        <v>57</v>
      </c>
      <c r="N1386">
        <v>0.85629999999999995</v>
      </c>
      <c r="O1386" s="1">
        <v>1</v>
      </c>
      <c r="P1386" t="s">
        <v>14615</v>
      </c>
      <c r="Q1386" t="s">
        <v>14616</v>
      </c>
      <c r="S1386" t="s">
        <v>91</v>
      </c>
      <c r="T1386" t="s">
        <v>886</v>
      </c>
      <c r="U1386" t="s">
        <v>14617</v>
      </c>
      <c r="V1386">
        <v>3</v>
      </c>
      <c r="AE1386" t="s">
        <v>144</v>
      </c>
      <c r="AF1386" t="s">
        <v>730</v>
      </c>
      <c r="AG1386" t="s">
        <v>14618</v>
      </c>
      <c r="AH1386" t="str">
        <f>HYPERLINK("http://compartments.jensenlab.org/Entity?figures=subcell_cell_%&amp;knowledge=10&amp;textmining=10&amp;experiments=10&amp;predictions=10&amp;type1=9606&amp;type2=-22&amp;id1=ENSP00000352849","link")</f>
        <v>link</v>
      </c>
      <c r="AJ1386" t="s">
        <v>51</v>
      </c>
      <c r="AK1386" t="str">
        <f>HYPERLINK("http://www.proteinatlas.org/Q5JXA9","HPA011548;HPA048032")</f>
        <v>HPA011548;HPA048032</v>
      </c>
      <c r="AM1386">
        <v>284759</v>
      </c>
    </row>
    <row r="1387" spans="1:39" x14ac:dyDescent="0.35">
      <c r="A1387" t="s">
        <v>14619</v>
      </c>
      <c r="B1387" t="str">
        <f>HYPERLINK("http://www.uniprot.org/uniprot/Q5JXX5","Q5JXX5")</f>
        <v>Q5JXX5</v>
      </c>
      <c r="C1387" t="s">
        <v>14620</v>
      </c>
      <c r="D1387" t="s">
        <v>14621</v>
      </c>
      <c r="E1387" t="s">
        <v>39</v>
      </c>
      <c r="F1387" t="s">
        <v>40</v>
      </c>
      <c r="H1387">
        <v>417</v>
      </c>
      <c r="I1387">
        <v>2</v>
      </c>
      <c r="J1387">
        <v>1</v>
      </c>
      <c r="K1387" t="s">
        <v>14622</v>
      </c>
      <c r="L1387" t="s">
        <v>57</v>
      </c>
      <c r="N1387">
        <v>0.70660000000000001</v>
      </c>
      <c r="O1387" s="1">
        <v>2</v>
      </c>
      <c r="P1387" t="s">
        <v>14623</v>
      </c>
      <c r="Q1387" t="s">
        <v>14624</v>
      </c>
      <c r="S1387" t="s">
        <v>45</v>
      </c>
      <c r="T1387" t="s">
        <v>195</v>
      </c>
      <c r="U1387">
        <v>72</v>
      </c>
      <c r="V1387">
        <v>1</v>
      </c>
      <c r="W1387">
        <v>72</v>
      </c>
      <c r="AE1387" t="s">
        <v>619</v>
      </c>
      <c r="AF1387" t="s">
        <v>8507</v>
      </c>
      <c r="AG1387" t="s">
        <v>14625</v>
      </c>
      <c r="AH1387" t="str">
        <f>HYPERLINK("http://compartments.jensenlab.org/Entity?figures=subcell_cell_%&amp;knowledge=10&amp;textmining=10&amp;experiments=10&amp;predictions=10&amp;type1=9606&amp;type2=-22&amp;id1=ENSP00000361700","link")</f>
        <v>link</v>
      </c>
      <c r="AI1387" t="s">
        <v>65</v>
      </c>
      <c r="AJ1387" t="s">
        <v>51</v>
      </c>
      <c r="AK1387" t="str">
        <f>HYPERLINK("http://www.proteinatlas.org/Q5JXX5","HPA044759")</f>
        <v>HPA044759</v>
      </c>
      <c r="AM1387">
        <v>441509</v>
      </c>
    </row>
    <row r="1388" spans="1:39" x14ac:dyDescent="0.35">
      <c r="A1388" t="s">
        <v>14626</v>
      </c>
      <c r="B1388" t="str">
        <f>HYPERLINK("http://www.uniprot.org/uniprot/Q5JZY3","Q5JZY3")</f>
        <v>Q5JZY3</v>
      </c>
      <c r="C1388" t="s">
        <v>14627</v>
      </c>
      <c r="D1388" t="s">
        <v>14628</v>
      </c>
      <c r="E1388" t="s">
        <v>39</v>
      </c>
      <c r="F1388" t="s">
        <v>40</v>
      </c>
      <c r="H1388">
        <v>1008</v>
      </c>
      <c r="I1388">
        <v>1</v>
      </c>
      <c r="J1388">
        <v>1</v>
      </c>
      <c r="K1388" t="s">
        <v>14629</v>
      </c>
      <c r="L1388" t="s">
        <v>57</v>
      </c>
      <c r="N1388">
        <v>0.91420000000000001</v>
      </c>
      <c r="O1388" s="1">
        <v>1</v>
      </c>
      <c r="P1388" t="s">
        <v>14630</v>
      </c>
      <c r="Q1388" t="s">
        <v>14631</v>
      </c>
      <c r="S1388" t="s">
        <v>166</v>
      </c>
      <c r="T1388" t="s">
        <v>1432</v>
      </c>
      <c r="U1388" t="s">
        <v>14632</v>
      </c>
      <c r="V1388">
        <v>2</v>
      </c>
      <c r="W1388" t="s">
        <v>14633</v>
      </c>
      <c r="AE1388" t="s">
        <v>5012</v>
      </c>
      <c r="AF1388" t="s">
        <v>14634</v>
      </c>
      <c r="AG1388" t="s">
        <v>14635</v>
      </c>
      <c r="AH1388" t="str">
        <f>HYPERLINK("http://compartments.jensenlab.org/Entity?figures=subcell_cell_%&amp;knowledge=10&amp;textmining=10&amp;experiments=10&amp;predictions=10&amp;type1=9606&amp;type2=-22&amp;id1=ENSP00000362139","link")</f>
        <v>link</v>
      </c>
      <c r="AI1388" t="s">
        <v>65</v>
      </c>
      <c r="AJ1388" t="s">
        <v>902</v>
      </c>
      <c r="AK1388" t="str">
        <f>HYPERLINK("http://www.proteinatlas.org/Q5JZY3","HPA027497")</f>
        <v>HPA027497</v>
      </c>
      <c r="AM1388">
        <v>284656</v>
      </c>
    </row>
    <row r="1389" spans="1:39" x14ac:dyDescent="0.35">
      <c r="A1389" t="s">
        <v>14636</v>
      </c>
      <c r="B1389" t="str">
        <f>HYPERLINK("http://www.uniprot.org/uniprot/Q5M7Z0","Q5M7Z0")</f>
        <v>Q5M7Z0</v>
      </c>
      <c r="C1389" t="s">
        <v>14637</v>
      </c>
      <c r="D1389" t="s">
        <v>14638</v>
      </c>
      <c r="E1389" t="s">
        <v>39</v>
      </c>
      <c r="F1389" t="s">
        <v>40</v>
      </c>
      <c r="H1389">
        <v>435</v>
      </c>
      <c r="I1389">
        <v>5</v>
      </c>
      <c r="J1389">
        <v>1</v>
      </c>
      <c r="K1389" t="s">
        <v>14639</v>
      </c>
      <c r="L1389" t="s">
        <v>42</v>
      </c>
      <c r="N1389">
        <v>0.63270000000000004</v>
      </c>
      <c r="O1389" s="1">
        <v>2</v>
      </c>
      <c r="P1389" t="s">
        <v>14640</v>
      </c>
      <c r="Q1389" t="s">
        <v>14641</v>
      </c>
      <c r="S1389" t="s">
        <v>91</v>
      </c>
      <c r="T1389" t="s">
        <v>14642</v>
      </c>
      <c r="U1389" t="s">
        <v>14643</v>
      </c>
      <c r="V1389">
        <v>3</v>
      </c>
      <c r="AE1389" t="s">
        <v>48</v>
      </c>
      <c r="AF1389" t="s">
        <v>14644</v>
      </c>
      <c r="AG1389" t="s">
        <v>14645</v>
      </c>
      <c r="AH1389" t="str">
        <f>HYPERLINK("http://compartments.jensenlab.org/Entity?figures=subcell_cell_%&amp;knowledge=10&amp;textmining=10&amp;experiments=10&amp;predictions=10&amp;type1=9606&amp;type2=-22&amp;id1=ENSP00000304670","link")</f>
        <v>link</v>
      </c>
      <c r="AJ1389" t="s">
        <v>51</v>
      </c>
      <c r="AK1389" t="str">
        <f>HYPERLINK("http://www.proteinatlas.org/Q5M7Z0","HPA013739")</f>
        <v>HPA013739</v>
      </c>
      <c r="AM1389">
        <v>51136</v>
      </c>
    </row>
    <row r="1390" spans="1:39" x14ac:dyDescent="0.35">
      <c r="A1390" t="s">
        <v>14646</v>
      </c>
      <c r="B1390" t="str">
        <f>HYPERLINK("http://www.uniprot.org/uniprot/Q5NUL3","Q5NUL3")</f>
        <v>Q5NUL3</v>
      </c>
      <c r="C1390" t="s">
        <v>14647</v>
      </c>
      <c r="D1390" t="s">
        <v>14648</v>
      </c>
      <c r="E1390" t="s">
        <v>39</v>
      </c>
      <c r="F1390" t="s">
        <v>40</v>
      </c>
      <c r="H1390">
        <v>377</v>
      </c>
      <c r="I1390">
        <v>7</v>
      </c>
      <c r="J1390">
        <v>0</v>
      </c>
      <c r="K1390" t="s">
        <v>14649</v>
      </c>
      <c r="L1390" t="s">
        <v>57</v>
      </c>
      <c r="N1390">
        <v>0.98199999999999998</v>
      </c>
      <c r="O1390" s="1">
        <v>1</v>
      </c>
      <c r="P1390" t="s">
        <v>14650</v>
      </c>
      <c r="Q1390" t="s">
        <v>14651</v>
      </c>
      <c r="S1390" t="s">
        <v>166</v>
      </c>
      <c r="T1390" t="s">
        <v>838</v>
      </c>
      <c r="U1390" t="s">
        <v>14652</v>
      </c>
      <c r="V1390">
        <v>1</v>
      </c>
      <c r="X1390">
        <v>366</v>
      </c>
      <c r="AE1390" t="s">
        <v>74</v>
      </c>
      <c r="AF1390" t="s">
        <v>14653</v>
      </c>
      <c r="AG1390" t="s">
        <v>14654</v>
      </c>
      <c r="AH1390" t="str">
        <f>HYPERLINK("http://compartments.jensenlab.org/Entity?figures=subcell_cell_%&amp;knowledge=10&amp;textmining=10&amp;experiments=10&amp;predictions=10&amp;type1=9606&amp;type2=-22&amp;id1=ENSP00000360538","link")</f>
        <v>link</v>
      </c>
      <c r="AI1390" t="s">
        <v>65</v>
      </c>
      <c r="AJ1390" t="s">
        <v>51</v>
      </c>
      <c r="AK1390" t="str">
        <f>HYPERLINK("http://www.proteinatlas.org/Q5NUL3","HPA042563")</f>
        <v>HPA042563</v>
      </c>
      <c r="AM1390">
        <v>338557</v>
      </c>
    </row>
    <row r="1391" spans="1:39" x14ac:dyDescent="0.35">
      <c r="A1391" t="s">
        <v>14655</v>
      </c>
      <c r="B1391" t="str">
        <f>HYPERLINK("http://www.uniprot.org/uniprot/Q5PT55","Q5PT55")</f>
        <v>Q5PT55</v>
      </c>
      <c r="C1391" t="s">
        <v>14656</v>
      </c>
      <c r="D1391" t="s">
        <v>14657</v>
      </c>
      <c r="E1391" t="s">
        <v>39</v>
      </c>
      <c r="F1391" t="s">
        <v>40</v>
      </c>
      <c r="H1391">
        <v>438</v>
      </c>
      <c r="I1391">
        <v>9</v>
      </c>
      <c r="J1391">
        <v>1</v>
      </c>
      <c r="K1391" t="s">
        <v>14658</v>
      </c>
      <c r="L1391" t="s">
        <v>57</v>
      </c>
      <c r="N1391">
        <v>0.61880000000000002</v>
      </c>
      <c r="O1391" s="1">
        <v>2</v>
      </c>
      <c r="P1391" t="s">
        <v>14659</v>
      </c>
      <c r="Q1391" t="s">
        <v>14660</v>
      </c>
      <c r="S1391" t="s">
        <v>45</v>
      </c>
      <c r="T1391" t="s">
        <v>4679</v>
      </c>
      <c r="U1391" t="s">
        <v>14661</v>
      </c>
      <c r="V1391">
        <v>3</v>
      </c>
      <c r="AE1391" t="s">
        <v>48</v>
      </c>
      <c r="AF1391" t="s">
        <v>14662</v>
      </c>
      <c r="AG1391" t="s">
        <v>14663</v>
      </c>
      <c r="AH1391" t="str">
        <f>HYPERLINK("http://compartments.jensenlab.org/Entity?figures=subcell_cell_%&amp;knowledge=10&amp;textmining=10&amp;experiments=10&amp;predictions=10&amp;type1=9606&amp;type2=-22&amp;id1=ENSP00000428612","link")</f>
        <v>link</v>
      </c>
      <c r="AK1391" t="str">
        <f>HYPERLINK("http://www.proteinatlas.org/Q5PT55","HPA025966")</f>
        <v>HPA025966</v>
      </c>
      <c r="AM1391">
        <v>347051</v>
      </c>
    </row>
    <row r="1392" spans="1:39" x14ac:dyDescent="0.35">
      <c r="A1392" t="s">
        <v>14664</v>
      </c>
      <c r="B1392" t="str">
        <f>HYPERLINK("http://www.uniprot.org/uniprot/Q5QGZ9","Q5QGZ9")</f>
        <v>Q5QGZ9</v>
      </c>
      <c r="C1392" t="s">
        <v>14665</v>
      </c>
      <c r="D1392" t="s">
        <v>14666</v>
      </c>
      <c r="E1392" t="s">
        <v>39</v>
      </c>
      <c r="F1392" t="s">
        <v>55</v>
      </c>
      <c r="H1392">
        <v>265</v>
      </c>
      <c r="I1392">
        <v>1</v>
      </c>
      <c r="J1392">
        <v>0</v>
      </c>
      <c r="K1392" t="s">
        <v>14667</v>
      </c>
      <c r="L1392" t="s">
        <v>101</v>
      </c>
      <c r="M1392" t="s">
        <v>39</v>
      </c>
      <c r="N1392">
        <v>0.62890000000000001</v>
      </c>
      <c r="O1392" s="1">
        <v>2</v>
      </c>
      <c r="P1392" t="s">
        <v>14668</v>
      </c>
      <c r="Q1392" t="s">
        <v>14669</v>
      </c>
      <c r="S1392" t="s">
        <v>166</v>
      </c>
      <c r="T1392" t="s">
        <v>4251</v>
      </c>
      <c r="U1392" t="s">
        <v>14670</v>
      </c>
      <c r="V1392">
        <v>6</v>
      </c>
      <c r="Z1392" t="s">
        <v>107</v>
      </c>
      <c r="AA1392">
        <v>5</v>
      </c>
      <c r="AB1392" t="s">
        <v>14671</v>
      </c>
      <c r="AC1392" t="s">
        <v>14672</v>
      </c>
      <c r="AD1392" t="s">
        <v>14673</v>
      </c>
      <c r="AE1392" t="s">
        <v>764</v>
      </c>
      <c r="AF1392" t="s">
        <v>14674</v>
      </c>
      <c r="AG1392" t="s">
        <v>14675</v>
      </c>
      <c r="AH1392" t="str">
        <f>HYPERLINK("http://compartments.jensenlab.org/Entity?figures=subcell_cell_%&amp;knowledge=10&amp;textmining=10&amp;experiments=10&amp;predictions=10&amp;type1=9606&amp;type2=-22&amp;id1=ENSP00000347916","link")</f>
        <v>link</v>
      </c>
      <c r="AK1392" t="str">
        <f>HYPERLINK("http://www.proteinatlas.org/Q5QGZ9","HPA048515")</f>
        <v>HPA048515</v>
      </c>
      <c r="AM1392">
        <v>160364</v>
      </c>
    </row>
    <row r="1393" spans="1:39" x14ac:dyDescent="0.35">
      <c r="A1393" t="s">
        <v>14676</v>
      </c>
      <c r="B1393" t="str">
        <f>HYPERLINK("http://www.uniprot.org/uniprot/Q5R3F8","Q5R3F8")</f>
        <v>Q5R3F8</v>
      </c>
      <c r="C1393" t="s">
        <v>14677</v>
      </c>
      <c r="D1393" t="s">
        <v>14678</v>
      </c>
      <c r="E1393" t="s">
        <v>39</v>
      </c>
      <c r="F1393" t="s">
        <v>40</v>
      </c>
      <c r="H1393">
        <v>820</v>
      </c>
      <c r="I1393">
        <v>1</v>
      </c>
      <c r="J1393">
        <v>1</v>
      </c>
      <c r="K1393" t="s">
        <v>14679</v>
      </c>
      <c r="L1393" t="s">
        <v>101</v>
      </c>
      <c r="N1393">
        <v>0.95209999999999995</v>
      </c>
      <c r="O1393" s="1">
        <v>1</v>
      </c>
      <c r="P1393" t="s">
        <v>14680</v>
      </c>
      <c r="Q1393" t="s">
        <v>14681</v>
      </c>
      <c r="S1393" t="s">
        <v>91</v>
      </c>
      <c r="T1393" t="s">
        <v>260</v>
      </c>
      <c r="U1393" t="s">
        <v>14682</v>
      </c>
      <c r="V1393">
        <v>8</v>
      </c>
      <c r="Z1393" t="s">
        <v>107</v>
      </c>
      <c r="AA1393">
        <v>2</v>
      </c>
      <c r="AB1393" t="s">
        <v>14683</v>
      </c>
      <c r="AC1393" t="s">
        <v>14684</v>
      </c>
      <c r="AD1393" t="s">
        <v>14685</v>
      </c>
      <c r="AE1393" t="s">
        <v>94</v>
      </c>
      <c r="AF1393" t="s">
        <v>14686</v>
      </c>
      <c r="AG1393" t="s">
        <v>14687</v>
      </c>
      <c r="AH1393" t="str">
        <f>HYPERLINK("http://compartments.jensenlab.org/Entity?figures=subcell_cell_%&amp;knowledge=10&amp;textmining=10&amp;experiments=10&amp;predictions=10&amp;type1=9606&amp;type2=-22&amp;id1=ENSP00000385277","link")</f>
        <v>link</v>
      </c>
      <c r="AK1393" t="str">
        <f>HYPERLINK("http://www.proteinatlas.org/Q5R3F8","HPA000781")</f>
        <v>HPA000781</v>
      </c>
      <c r="AM1393">
        <v>114794</v>
      </c>
    </row>
    <row r="1394" spans="1:39" x14ac:dyDescent="0.35">
      <c r="A1394" t="s">
        <v>14688</v>
      </c>
      <c r="B1394" t="str">
        <f>HYPERLINK("http://www.uniprot.org/uniprot/Q5SQ64","Q5SQ64")</f>
        <v>Q5SQ64</v>
      </c>
      <c r="C1394" t="s">
        <v>14689</v>
      </c>
      <c r="D1394" t="s">
        <v>14690</v>
      </c>
      <c r="E1394" t="s">
        <v>39</v>
      </c>
      <c r="F1394" t="s">
        <v>40</v>
      </c>
      <c r="H1394">
        <v>297</v>
      </c>
      <c r="I1394">
        <v>1</v>
      </c>
      <c r="J1394">
        <v>1</v>
      </c>
      <c r="K1394" t="s">
        <v>14691</v>
      </c>
      <c r="L1394" t="s">
        <v>57</v>
      </c>
      <c r="N1394">
        <v>0.75449999999999995</v>
      </c>
      <c r="O1394" s="1">
        <v>1</v>
      </c>
      <c r="P1394" t="s">
        <v>14692</v>
      </c>
      <c r="Q1394" t="s">
        <v>14693</v>
      </c>
      <c r="S1394" t="s">
        <v>60</v>
      </c>
      <c r="T1394" t="s">
        <v>60</v>
      </c>
      <c r="U1394">
        <v>88</v>
      </c>
      <c r="V1394">
        <v>1</v>
      </c>
      <c r="AE1394" t="s">
        <v>332</v>
      </c>
      <c r="AF1394" t="s">
        <v>14694</v>
      </c>
      <c r="AG1394" t="s">
        <v>14695</v>
      </c>
      <c r="AH1394" t="str">
        <f>HYPERLINK("http://compartments.jensenlab.org/Entity?figures=subcell_cell_%&amp;knowledge=10&amp;textmining=10&amp;experiments=10&amp;predictions=10&amp;type1=9606&amp;type2=-22&amp;id1=ENSP00000364992","link")</f>
        <v>link</v>
      </c>
      <c r="AI1394" t="s">
        <v>1364</v>
      </c>
      <c r="AJ1394" t="s">
        <v>1365</v>
      </c>
      <c r="AK1394" t="str">
        <f>HYPERLINK("http://www.proteinatlas.org/Q5SQ64","HPA008053")</f>
        <v>HPA008053</v>
      </c>
      <c r="AM1394">
        <v>259215</v>
      </c>
    </row>
    <row r="1395" spans="1:39" x14ac:dyDescent="0.35">
      <c r="A1395" t="s">
        <v>14696</v>
      </c>
      <c r="B1395" t="str">
        <f>HYPERLINK("http://www.uniprot.org/uniprot/Q5SSG8","Q5SSG8")</f>
        <v>Q5SSG8</v>
      </c>
      <c r="C1395" t="s">
        <v>14697</v>
      </c>
      <c r="D1395" t="s">
        <v>14698</v>
      </c>
      <c r="E1395" t="s">
        <v>39</v>
      </c>
      <c r="F1395" t="s">
        <v>40</v>
      </c>
      <c r="H1395">
        <v>566</v>
      </c>
      <c r="I1395">
        <v>1</v>
      </c>
      <c r="J1395">
        <v>1</v>
      </c>
      <c r="K1395" t="s">
        <v>14699</v>
      </c>
      <c r="L1395" t="s">
        <v>57</v>
      </c>
      <c r="N1395">
        <v>0.61080000000000001</v>
      </c>
      <c r="O1395" s="1">
        <v>2</v>
      </c>
      <c r="P1395" t="s">
        <v>14700</v>
      </c>
      <c r="Q1395" t="s">
        <v>14701</v>
      </c>
      <c r="S1395" t="s">
        <v>60</v>
      </c>
      <c r="T1395" t="s">
        <v>60</v>
      </c>
      <c r="U1395">
        <v>25</v>
      </c>
      <c r="V1395">
        <v>1</v>
      </c>
      <c r="W1395">
        <v>25</v>
      </c>
      <c r="X1395" t="s">
        <v>14702</v>
      </c>
      <c r="AE1395" t="s">
        <v>14703</v>
      </c>
      <c r="AF1395" t="s">
        <v>14704</v>
      </c>
      <c r="AG1395" t="s">
        <v>14705</v>
      </c>
      <c r="AH1395" t="str">
        <f>HYPERLINK("http://compartments.jensenlab.org/Entity?figures=subcell_cell_%&amp;knowledge=10&amp;textmining=10&amp;experiments=10&amp;predictions=10&amp;type1=9606&amp;type2=-22&amp;id1=ENSP00000365473","link")</f>
        <v>link</v>
      </c>
      <c r="AI1395" t="s">
        <v>65</v>
      </c>
      <c r="AJ1395" t="s">
        <v>3228</v>
      </c>
      <c r="AK1395" t="str">
        <f>HYPERLINK("http://www.proteinatlas.org/Q5SSG8","HPA052028")</f>
        <v>HPA052028</v>
      </c>
      <c r="AM1395">
        <v>394263</v>
      </c>
    </row>
    <row r="1396" spans="1:39" x14ac:dyDescent="0.35">
      <c r="A1396" t="s">
        <v>14706</v>
      </c>
      <c r="B1396" t="str">
        <f>HYPERLINK("http://www.uniprot.org/uniprot/Q5SY80","Q5SY80")</f>
        <v>Q5SY80</v>
      </c>
      <c r="C1396" t="s">
        <v>14707</v>
      </c>
      <c r="D1396" t="s">
        <v>14708</v>
      </c>
      <c r="E1396" t="s">
        <v>39</v>
      </c>
      <c r="F1396" t="s">
        <v>40</v>
      </c>
      <c r="H1396">
        <v>951</v>
      </c>
      <c r="I1396">
        <v>1</v>
      </c>
      <c r="J1396">
        <v>1</v>
      </c>
      <c r="K1396" t="s">
        <v>14709</v>
      </c>
      <c r="L1396" t="s">
        <v>57</v>
      </c>
      <c r="N1396">
        <v>0.62280000000000002</v>
      </c>
      <c r="O1396" s="1">
        <v>2</v>
      </c>
      <c r="P1396" t="s">
        <v>14710</v>
      </c>
      <c r="Q1396" t="s">
        <v>14711</v>
      </c>
      <c r="S1396" t="s">
        <v>60</v>
      </c>
      <c r="T1396" t="s">
        <v>60</v>
      </c>
      <c r="U1396" t="s">
        <v>14712</v>
      </c>
      <c r="V1396">
        <v>11</v>
      </c>
      <c r="AE1396" t="s">
        <v>144</v>
      </c>
      <c r="AF1396" t="s">
        <v>13398</v>
      </c>
      <c r="AG1396" t="s">
        <v>14713</v>
      </c>
      <c r="AH1396" t="str">
        <f>HYPERLINK("http://compartments.jensenlab.org/Entity?figures=subcell_cell_%&amp;knowledge=10&amp;textmining=10&amp;experiments=10&amp;predictions=10&amp;type1=9606&amp;type2=-22&amp;id1=ENSP00000355492","link")</f>
        <v>link</v>
      </c>
      <c r="AJ1396" t="s">
        <v>51</v>
      </c>
      <c r="AK1396" t="str">
        <f>HYPERLINK("http://www.proteinatlas.org/Q5SY80","HPA058285")</f>
        <v>HPA058285</v>
      </c>
      <c r="AM1396">
        <v>257044</v>
      </c>
    </row>
    <row r="1397" spans="1:39" x14ac:dyDescent="0.35">
      <c r="A1397" t="s">
        <v>14714</v>
      </c>
      <c r="B1397" t="str">
        <f>HYPERLINK("http://www.uniprot.org/uniprot/Q5SZK8","Q5SZK8")</f>
        <v>Q5SZK8</v>
      </c>
      <c r="C1397" t="s">
        <v>14715</v>
      </c>
      <c r="D1397" t="s">
        <v>14716</v>
      </c>
      <c r="E1397" t="s">
        <v>39</v>
      </c>
      <c r="F1397" t="s">
        <v>55</v>
      </c>
      <c r="H1397">
        <v>3169</v>
      </c>
      <c r="I1397">
        <v>1</v>
      </c>
      <c r="J1397">
        <v>1</v>
      </c>
      <c r="K1397" t="s">
        <v>14717</v>
      </c>
      <c r="L1397" t="s">
        <v>101</v>
      </c>
      <c r="M1397" t="s">
        <v>39</v>
      </c>
      <c r="N1397">
        <v>0.72199999999999998</v>
      </c>
      <c r="O1397" s="1">
        <v>2</v>
      </c>
      <c r="P1397" t="s">
        <v>14718</v>
      </c>
      <c r="Q1397" t="s">
        <v>14719</v>
      </c>
      <c r="S1397" t="s">
        <v>60</v>
      </c>
      <c r="T1397" t="s">
        <v>60</v>
      </c>
      <c r="U1397" t="s">
        <v>14720</v>
      </c>
      <c r="V1397">
        <v>14</v>
      </c>
      <c r="Z1397" t="s">
        <v>107</v>
      </c>
      <c r="AA1397">
        <v>3</v>
      </c>
      <c r="AB1397" t="s">
        <v>14721</v>
      </c>
      <c r="AC1397" t="s">
        <v>14722</v>
      </c>
      <c r="AD1397" t="s">
        <v>14723</v>
      </c>
      <c r="AE1397" t="s">
        <v>14703</v>
      </c>
      <c r="AF1397" t="s">
        <v>14724</v>
      </c>
      <c r="AG1397" t="s">
        <v>14725</v>
      </c>
      <c r="AH1397" t="str">
        <f>HYPERLINK("http://compartments.jensenlab.org/Entity?figures=subcell_cell_%&amp;knowledge=10&amp;textmining=10&amp;experiments=10&amp;predictions=10&amp;type1=9606&amp;type2=-22&amp;id1=ENSP00000280481","link")</f>
        <v>link</v>
      </c>
      <c r="AI1397" t="s">
        <v>65</v>
      </c>
      <c r="AJ1397" t="s">
        <v>902</v>
      </c>
      <c r="AK1397" t="str">
        <f>HYPERLINK("http://www.proteinatlas.org/Q5SZK8","HPA028831")</f>
        <v>HPA028831</v>
      </c>
      <c r="AM1397">
        <v>341640</v>
      </c>
    </row>
    <row r="1398" spans="1:39" x14ac:dyDescent="0.35">
      <c r="A1398" t="s">
        <v>14726</v>
      </c>
      <c r="B1398" t="str">
        <f>HYPERLINK("http://www.uniprot.org/uniprot/Q5T1S8","Q5T1S8")</f>
        <v>Q5T1S8</v>
      </c>
      <c r="C1398" t="s">
        <v>14727</v>
      </c>
      <c r="D1398" t="s">
        <v>14728</v>
      </c>
      <c r="E1398" t="s">
        <v>39</v>
      </c>
      <c r="F1398" t="s">
        <v>40</v>
      </c>
      <c r="H1398">
        <v>102</v>
      </c>
      <c r="I1398">
        <v>1</v>
      </c>
      <c r="J1398">
        <v>0</v>
      </c>
      <c r="K1398" t="s">
        <v>14729</v>
      </c>
      <c r="L1398" t="s">
        <v>57</v>
      </c>
      <c r="N1398">
        <v>0.7006</v>
      </c>
      <c r="O1398" s="1">
        <v>2</v>
      </c>
      <c r="P1398" t="s">
        <v>14730</v>
      </c>
      <c r="Q1398" t="s">
        <v>14731</v>
      </c>
      <c r="S1398" t="s">
        <v>60</v>
      </c>
      <c r="T1398" t="s">
        <v>60</v>
      </c>
      <c r="U1398" t="s">
        <v>14732</v>
      </c>
      <c r="V1398">
        <v>1</v>
      </c>
      <c r="W1398">
        <v>16</v>
      </c>
      <c r="AE1398" t="s">
        <v>332</v>
      </c>
      <c r="AF1398" t="s">
        <v>14733</v>
      </c>
      <c r="AG1398" t="s">
        <v>14734</v>
      </c>
      <c r="AH1398" t="str">
        <f>HYPERLINK("http://compartments.jensenlab.org/Entity?figures=subcell_cell_%&amp;knowledge=10&amp;textmining=10&amp;experiments=10&amp;predictions=10&amp;type1=9606&amp;type2=-22&amp;id1=ENSP00000363513","link")</f>
        <v>link</v>
      </c>
      <c r="AJ1398" t="s">
        <v>51</v>
      </c>
      <c r="AK1398" t="str">
        <f>HYPERLINK("http://www.proteinatlas.org/Q5T1S8","HPA013656")</f>
        <v>HPA013656</v>
      </c>
      <c r="AM1398">
        <v>400746</v>
      </c>
    </row>
    <row r="1399" spans="1:39" x14ac:dyDescent="0.35">
      <c r="A1399" t="s">
        <v>14735</v>
      </c>
      <c r="B1399" t="str">
        <f>HYPERLINK("http://www.uniprot.org/uniprot/Q5T2D2","Q5T2D2")</f>
        <v>Q5T2D2</v>
      </c>
      <c r="C1399" t="s">
        <v>14736</v>
      </c>
      <c r="D1399" t="s">
        <v>14737</v>
      </c>
      <c r="E1399" t="s">
        <v>39</v>
      </c>
      <c r="F1399" t="s">
        <v>40</v>
      </c>
      <c r="H1399">
        <v>321</v>
      </c>
      <c r="I1399">
        <v>1</v>
      </c>
      <c r="J1399">
        <v>1</v>
      </c>
      <c r="K1399" t="s">
        <v>14738</v>
      </c>
      <c r="L1399" t="s">
        <v>57</v>
      </c>
      <c r="N1399">
        <v>0.94010000000000005</v>
      </c>
      <c r="O1399" s="1">
        <v>1</v>
      </c>
      <c r="P1399" t="s">
        <v>14739</v>
      </c>
      <c r="Q1399" t="s">
        <v>14740</v>
      </c>
      <c r="S1399" t="s">
        <v>166</v>
      </c>
      <c r="T1399" t="s">
        <v>14741</v>
      </c>
      <c r="U1399" t="s">
        <v>14742</v>
      </c>
      <c r="V1399">
        <v>2</v>
      </c>
      <c r="W1399" t="s">
        <v>14742</v>
      </c>
      <c r="AE1399" t="s">
        <v>332</v>
      </c>
      <c r="AF1399" t="s">
        <v>14743</v>
      </c>
      <c r="AG1399" t="s">
        <v>14744</v>
      </c>
      <c r="AH1399" t="str">
        <f>HYPERLINK("http://compartments.jensenlab.org/Entity?figures=subcell_cell_%&amp;knowledge=10&amp;textmining=10&amp;experiments=10&amp;predictions=10&amp;type1=9606&amp;type2=-22&amp;id1=ENSP00000418767","link")</f>
        <v>link</v>
      </c>
      <c r="AK1399" t="str">
        <f>HYPERLINK("http://www.proteinatlas.org/Q5T2D2","HPA054368")</f>
        <v>HPA054368</v>
      </c>
      <c r="AM1399">
        <v>79865</v>
      </c>
    </row>
    <row r="1400" spans="1:39" x14ac:dyDescent="0.35">
      <c r="A1400" t="s">
        <v>14745</v>
      </c>
      <c r="B1400" t="str">
        <f>HYPERLINK("http://www.uniprot.org/uniprot/Q5T3F8","Q5T3F8")</f>
        <v>Q5T3F8</v>
      </c>
      <c r="C1400" t="s">
        <v>14746</v>
      </c>
      <c r="D1400" t="s">
        <v>14747</v>
      </c>
      <c r="E1400" t="s">
        <v>39</v>
      </c>
      <c r="F1400" t="s">
        <v>40</v>
      </c>
      <c r="H1400">
        <v>832</v>
      </c>
      <c r="I1400">
        <v>10</v>
      </c>
      <c r="J1400">
        <v>0</v>
      </c>
      <c r="K1400" t="s">
        <v>14748</v>
      </c>
      <c r="L1400" t="s">
        <v>118</v>
      </c>
      <c r="N1400">
        <v>0.85829999999999995</v>
      </c>
      <c r="O1400" s="1">
        <v>1</v>
      </c>
      <c r="P1400" t="s">
        <v>14749</v>
      </c>
      <c r="Q1400" t="s">
        <v>14750</v>
      </c>
      <c r="S1400" t="s">
        <v>91</v>
      </c>
      <c r="T1400" t="s">
        <v>2981</v>
      </c>
      <c r="U1400" t="s">
        <v>14751</v>
      </c>
      <c r="V1400">
        <v>2</v>
      </c>
      <c r="Z1400" t="s">
        <v>123</v>
      </c>
      <c r="AA1400">
        <v>6</v>
      </c>
      <c r="AB1400" t="s">
        <v>14752</v>
      </c>
      <c r="AC1400">
        <v>15</v>
      </c>
      <c r="AD1400" t="s">
        <v>14753</v>
      </c>
      <c r="AE1400" t="s">
        <v>48</v>
      </c>
      <c r="AF1400" t="s">
        <v>14754</v>
      </c>
      <c r="AG1400" t="s">
        <v>14755</v>
      </c>
      <c r="AH1400" t="str">
        <f>HYPERLINK("http://compartments.jensenlab.org/Entity?figures=subcell_cell_%&amp;knowledge=10&amp;textmining=10&amp;experiments=10&amp;predictions=10&amp;type1=9606&amp;type2=-22&amp;id1=ENSP00000259746","link")</f>
        <v>link</v>
      </c>
      <c r="AJ1400" t="s">
        <v>51</v>
      </c>
      <c r="AK1400" t="str">
        <f>HYPERLINK("http://www.proteinatlas.org/Q5T3F8","HPA029249;HPA029251")</f>
        <v>HPA029249;HPA029251</v>
      </c>
      <c r="AM1400">
        <v>55362</v>
      </c>
    </row>
    <row r="1401" spans="1:39" x14ac:dyDescent="0.35">
      <c r="A1401" t="s">
        <v>14756</v>
      </c>
      <c r="B1401" t="str">
        <f>HYPERLINK("http://www.uniprot.org/uniprot/Q5T3U5","Q5T3U5")</f>
        <v>Q5T3U5</v>
      </c>
      <c r="C1401" t="s">
        <v>14757</v>
      </c>
      <c r="D1401" t="s">
        <v>14758</v>
      </c>
      <c r="E1401" t="s">
        <v>39</v>
      </c>
      <c r="F1401" t="s">
        <v>40</v>
      </c>
      <c r="H1401">
        <v>1492</v>
      </c>
      <c r="I1401">
        <v>19</v>
      </c>
      <c r="J1401">
        <v>1</v>
      </c>
      <c r="K1401" t="s">
        <v>14759</v>
      </c>
      <c r="L1401" t="s">
        <v>42</v>
      </c>
      <c r="N1401">
        <v>0.67859999999999998</v>
      </c>
      <c r="O1401" s="1">
        <v>2</v>
      </c>
      <c r="P1401" t="s">
        <v>14760</v>
      </c>
      <c r="Q1401" t="s">
        <v>14761</v>
      </c>
      <c r="S1401" t="s">
        <v>45</v>
      </c>
      <c r="T1401" t="s">
        <v>1583</v>
      </c>
      <c r="U1401" t="s">
        <v>14762</v>
      </c>
      <c r="V1401">
        <v>1</v>
      </c>
      <c r="AE1401" t="s">
        <v>74</v>
      </c>
      <c r="AF1401" t="s">
        <v>14763</v>
      </c>
      <c r="AG1401" t="s">
        <v>14764</v>
      </c>
      <c r="AH1401" t="str">
        <f>HYPERLINK("http://compartments.jensenlab.org/Entity?figures=subcell_cell_%&amp;knowledge=10&amp;textmining=10&amp;experiments=10&amp;predictions=10&amp;type1=9606&amp;type2=-22&amp;id1=ENSP00000361608","link")</f>
        <v>link</v>
      </c>
      <c r="AK1401" t="str">
        <f>HYPERLINK("http://www.proteinatlas.org/Q5T3U5","HPA041607;HPA045464")</f>
        <v>HPA041607;HPA045464</v>
      </c>
      <c r="AM1401">
        <v>89845</v>
      </c>
    </row>
    <row r="1402" spans="1:39" x14ac:dyDescent="0.35">
      <c r="A1402" t="s">
        <v>14765</v>
      </c>
      <c r="B1402" t="str">
        <f>HYPERLINK("http://www.uniprot.org/uniprot/Q5T442","Q5T442")</f>
        <v>Q5T442</v>
      </c>
      <c r="C1402" t="s">
        <v>14766</v>
      </c>
      <c r="D1402" t="s">
        <v>14767</v>
      </c>
      <c r="E1402" t="s">
        <v>39</v>
      </c>
      <c r="F1402" t="s">
        <v>55</v>
      </c>
      <c r="H1402">
        <v>439</v>
      </c>
      <c r="I1402">
        <v>4</v>
      </c>
      <c r="J1402">
        <v>0</v>
      </c>
      <c r="K1402" t="s">
        <v>14768</v>
      </c>
      <c r="L1402" t="s">
        <v>57</v>
      </c>
      <c r="M1402" t="s">
        <v>39</v>
      </c>
      <c r="N1402">
        <v>0.6</v>
      </c>
      <c r="O1402" s="1">
        <v>2</v>
      </c>
      <c r="P1402" t="s">
        <v>14769</v>
      </c>
      <c r="Q1402" t="s">
        <v>14770</v>
      </c>
      <c r="S1402" t="s">
        <v>91</v>
      </c>
      <c r="T1402" t="s">
        <v>2797</v>
      </c>
      <c r="U1402" t="s">
        <v>14771</v>
      </c>
      <c r="V1402">
        <v>0</v>
      </c>
      <c r="AE1402" t="s">
        <v>2798</v>
      </c>
      <c r="AF1402" t="s">
        <v>14772</v>
      </c>
      <c r="AG1402" t="s">
        <v>14773</v>
      </c>
      <c r="AH1402" t="str">
        <f>HYPERLINK("http://compartments.jensenlab.org/Entity?figures=subcell_cell_%&amp;knowledge=10&amp;textmining=10&amp;experiments=10&amp;predictions=10&amp;type1=9606&amp;type2=-22&amp;id1=ENSP00000355675","link")</f>
        <v>link</v>
      </c>
      <c r="AI1402" t="s">
        <v>65</v>
      </c>
      <c r="AJ1402" t="s">
        <v>51</v>
      </c>
      <c r="AK1402" t="str">
        <f>HYPERLINK("http://www.proteinatlas.org/Q5T442","no")</f>
        <v>no</v>
      </c>
      <c r="AM1402">
        <v>57165</v>
      </c>
    </row>
    <row r="1403" spans="1:39" x14ac:dyDescent="0.35">
      <c r="A1403" t="s">
        <v>14774</v>
      </c>
      <c r="B1403" t="str">
        <f>HYPERLINK("http://www.uniprot.org/uniprot/Q5T4F4","Q5T4F4")</f>
        <v>Q5T4F4</v>
      </c>
      <c r="C1403" t="s">
        <v>14775</v>
      </c>
      <c r="D1403" t="s">
        <v>14776</v>
      </c>
      <c r="E1403" t="s">
        <v>39</v>
      </c>
      <c r="F1403" t="s">
        <v>40</v>
      </c>
      <c r="H1403">
        <v>411</v>
      </c>
      <c r="I1403">
        <v>3</v>
      </c>
      <c r="J1403">
        <v>0</v>
      </c>
      <c r="K1403" t="s">
        <v>14777</v>
      </c>
      <c r="L1403" t="s">
        <v>57</v>
      </c>
      <c r="N1403">
        <v>0.58479999999999999</v>
      </c>
      <c r="O1403" s="1">
        <v>2</v>
      </c>
      <c r="P1403" t="s">
        <v>14778</v>
      </c>
      <c r="Q1403" t="s">
        <v>14779</v>
      </c>
      <c r="S1403" t="s">
        <v>60</v>
      </c>
      <c r="T1403" t="s">
        <v>60</v>
      </c>
      <c r="U1403" t="s">
        <v>14780</v>
      </c>
      <c r="V1403">
        <v>3</v>
      </c>
      <c r="AE1403" t="s">
        <v>14781</v>
      </c>
      <c r="AF1403" t="s">
        <v>14782</v>
      </c>
      <c r="AG1403" t="s">
        <v>14783</v>
      </c>
      <c r="AH1403" t="str">
        <f>HYPERLINK("http://compartments.jensenlab.org/Entity?figures=subcell_cell_%&amp;knowledge=10&amp;textmining=10&amp;experiments=10&amp;predictions=10&amp;type1=9606&amp;type2=-22&amp;id1=ENSP00000377282","link")</f>
        <v>link</v>
      </c>
      <c r="AK1403" t="str">
        <f>HYPERLINK("http://www.proteinatlas.org/Q5T4F4","HPA037523")</f>
        <v>HPA037523</v>
      </c>
      <c r="AM1403">
        <v>118813</v>
      </c>
    </row>
    <row r="1404" spans="1:39" x14ac:dyDescent="0.35">
      <c r="A1404" t="s">
        <v>14784</v>
      </c>
      <c r="B1404" t="str">
        <f>HYPERLINK("http://www.uniprot.org/uniprot/Q5T601","Q5T601")</f>
        <v>Q5T601</v>
      </c>
      <c r="C1404" t="s">
        <v>14785</v>
      </c>
      <c r="D1404" t="s">
        <v>14786</v>
      </c>
      <c r="E1404" t="s">
        <v>39</v>
      </c>
      <c r="F1404" t="s">
        <v>55</v>
      </c>
      <c r="H1404">
        <v>910</v>
      </c>
      <c r="I1404">
        <v>7</v>
      </c>
      <c r="J1404">
        <v>1</v>
      </c>
      <c r="K1404" t="s">
        <v>14787</v>
      </c>
      <c r="L1404" t="s">
        <v>101</v>
      </c>
      <c r="M1404" t="s">
        <v>39</v>
      </c>
      <c r="N1404">
        <v>0.94640000000000002</v>
      </c>
      <c r="O1404" s="1">
        <v>1</v>
      </c>
      <c r="P1404" t="s">
        <v>14788</v>
      </c>
      <c r="Q1404" t="s">
        <v>14789</v>
      </c>
      <c r="S1404" t="s">
        <v>166</v>
      </c>
      <c r="T1404" t="s">
        <v>1149</v>
      </c>
      <c r="U1404" t="s">
        <v>14790</v>
      </c>
      <c r="V1404">
        <v>19</v>
      </c>
      <c r="Y1404">
        <v>734</v>
      </c>
      <c r="Z1404" t="s">
        <v>107</v>
      </c>
      <c r="AA1404">
        <v>1</v>
      </c>
      <c r="AB1404" t="s">
        <v>14791</v>
      </c>
      <c r="AC1404">
        <v>168</v>
      </c>
      <c r="AD1404" t="s">
        <v>14792</v>
      </c>
      <c r="AE1404" t="s">
        <v>74</v>
      </c>
      <c r="AF1404" t="s">
        <v>14793</v>
      </c>
      <c r="AG1404" t="s">
        <v>14794</v>
      </c>
      <c r="AH1404" t="str">
        <f>HYPERLINK("http://compartments.jensenlab.org/Entity?figures=subcell_cell_%&amp;knowledge=10&amp;textmining=10&amp;experiments=10&amp;predictions=10&amp;type1=9606&amp;type2=-22&amp;id1=ENSP00000283297","link")</f>
        <v>link</v>
      </c>
      <c r="AI1404" t="s">
        <v>65</v>
      </c>
      <c r="AJ1404" t="s">
        <v>2873</v>
      </c>
      <c r="AK1404" t="str">
        <f>HYPERLINK("http://www.proteinatlas.org/Q5T601","HPA038438")</f>
        <v>HPA038438</v>
      </c>
      <c r="AM1404">
        <v>266977</v>
      </c>
    </row>
    <row r="1405" spans="1:39" x14ac:dyDescent="0.35">
      <c r="A1405" t="s">
        <v>14795</v>
      </c>
      <c r="B1405" t="str">
        <f>HYPERLINK("http://www.uniprot.org/uniprot/Q5T6X5","Q5T6X5")</f>
        <v>Q5T6X5</v>
      </c>
      <c r="C1405" t="s">
        <v>14796</v>
      </c>
      <c r="D1405" t="s">
        <v>14797</v>
      </c>
      <c r="E1405" t="s">
        <v>39</v>
      </c>
      <c r="F1405" t="s">
        <v>40</v>
      </c>
      <c r="H1405">
        <v>926</v>
      </c>
      <c r="I1405">
        <v>7</v>
      </c>
      <c r="J1405">
        <v>1</v>
      </c>
      <c r="K1405" t="s">
        <v>14798</v>
      </c>
      <c r="L1405" t="s">
        <v>57</v>
      </c>
      <c r="N1405">
        <v>0.94410000000000005</v>
      </c>
      <c r="O1405" s="1">
        <v>1</v>
      </c>
      <c r="P1405" t="s">
        <v>14799</v>
      </c>
      <c r="Q1405" t="s">
        <v>14800</v>
      </c>
      <c r="S1405" t="s">
        <v>166</v>
      </c>
      <c r="T1405" t="s">
        <v>874</v>
      </c>
      <c r="U1405" t="s">
        <v>14801</v>
      </c>
      <c r="V1405">
        <v>12</v>
      </c>
      <c r="W1405" t="s">
        <v>14802</v>
      </c>
      <c r="AE1405" t="s">
        <v>74</v>
      </c>
      <c r="AF1405" t="s">
        <v>7150</v>
      </c>
      <c r="AG1405" t="s">
        <v>14803</v>
      </c>
      <c r="AH1405" t="str">
        <f>HYPERLINK("http://compartments.jensenlab.org/Entity?figures=subcell_cell_%&amp;knowledge=10&amp;textmining=10&amp;experiments=10&amp;predictions=10&amp;type1=9606&amp;type2=-22&amp;id1=ENSP00000309493","link")</f>
        <v>link</v>
      </c>
      <c r="AI1405" t="s">
        <v>65</v>
      </c>
      <c r="AJ1405" t="s">
        <v>51</v>
      </c>
      <c r="AK1405" t="str">
        <f>HYPERLINK("http://www.proteinatlas.org/Q5T6X5","no")</f>
        <v>no</v>
      </c>
      <c r="AM1405">
        <v>222545</v>
      </c>
    </row>
    <row r="1406" spans="1:39" x14ac:dyDescent="0.35">
      <c r="A1406" t="s">
        <v>14804</v>
      </c>
      <c r="B1406" t="str">
        <f>HYPERLINK("http://www.uniprot.org/uniprot/Q5T848","Q5T848")</f>
        <v>Q5T848</v>
      </c>
      <c r="C1406" t="s">
        <v>14805</v>
      </c>
      <c r="D1406" t="s">
        <v>14806</v>
      </c>
      <c r="E1406" t="s">
        <v>39</v>
      </c>
      <c r="F1406" t="s">
        <v>55</v>
      </c>
      <c r="H1406">
        <v>1215</v>
      </c>
      <c r="I1406">
        <v>7</v>
      </c>
      <c r="J1406">
        <v>1</v>
      </c>
      <c r="K1406" t="s">
        <v>14807</v>
      </c>
      <c r="L1406" t="s">
        <v>57</v>
      </c>
      <c r="M1406" t="s">
        <v>39</v>
      </c>
      <c r="N1406">
        <v>0.82809999999999995</v>
      </c>
      <c r="O1406" s="1">
        <v>1</v>
      </c>
      <c r="P1406" t="s">
        <v>14808</v>
      </c>
      <c r="Q1406" t="s">
        <v>14809</v>
      </c>
      <c r="S1406" t="s">
        <v>166</v>
      </c>
      <c r="T1406" t="s">
        <v>874</v>
      </c>
      <c r="U1406" t="s">
        <v>14810</v>
      </c>
      <c r="V1406">
        <v>5</v>
      </c>
      <c r="AE1406" t="s">
        <v>74</v>
      </c>
      <c r="AF1406" t="s">
        <v>14811</v>
      </c>
      <c r="AG1406" t="s">
        <v>14812</v>
      </c>
      <c r="AH1406" t="str">
        <f>HYPERLINK("http://compartments.jensenlab.org/Entity?figures=subcell_cell_%&amp;knowledge=10&amp;textmining=10&amp;experiments=10&amp;predictions=10&amp;type1=9606&amp;type2=-22&amp;id1=ENSP00000365529","link")</f>
        <v>link</v>
      </c>
      <c r="AI1406" t="s">
        <v>65</v>
      </c>
      <c r="AJ1406" t="s">
        <v>51</v>
      </c>
      <c r="AK1406" t="str">
        <f>HYPERLINK("http://www.proteinatlas.org/Q5T848","HPA013185")</f>
        <v>HPA013185</v>
      </c>
      <c r="AM1406">
        <v>57512</v>
      </c>
    </row>
    <row r="1407" spans="1:39" x14ac:dyDescent="0.35">
      <c r="A1407" t="s">
        <v>14813</v>
      </c>
      <c r="B1407" t="str">
        <f>HYPERLINK("http://www.uniprot.org/uniprot/Q5TF39","Q5TF39")</f>
        <v>Q5TF39</v>
      </c>
      <c r="C1407" t="s">
        <v>14814</v>
      </c>
      <c r="D1407" t="s">
        <v>14815</v>
      </c>
      <c r="E1407" t="s">
        <v>39</v>
      </c>
      <c r="F1407" t="s">
        <v>40</v>
      </c>
      <c r="H1407">
        <v>518</v>
      </c>
      <c r="I1407">
        <v>12</v>
      </c>
      <c r="J1407">
        <v>0</v>
      </c>
      <c r="K1407" t="s">
        <v>14816</v>
      </c>
      <c r="L1407" t="s">
        <v>101</v>
      </c>
      <c r="N1407">
        <v>0.74650000000000005</v>
      </c>
      <c r="O1407" s="1">
        <v>2</v>
      </c>
      <c r="P1407" t="s">
        <v>14817</v>
      </c>
      <c r="Q1407" t="s">
        <v>14818</v>
      </c>
      <c r="S1407" t="s">
        <v>60</v>
      </c>
      <c r="T1407" t="s">
        <v>60</v>
      </c>
      <c r="U1407" t="s">
        <v>14819</v>
      </c>
      <c r="V1407">
        <v>3</v>
      </c>
      <c r="Z1407" t="s">
        <v>107</v>
      </c>
      <c r="AA1407">
        <v>1</v>
      </c>
      <c r="AB1407" t="s">
        <v>14820</v>
      </c>
      <c r="AC1407" t="s">
        <v>14821</v>
      </c>
      <c r="AD1407" t="s">
        <v>14822</v>
      </c>
      <c r="AE1407" t="s">
        <v>14823</v>
      </c>
      <c r="AF1407" t="s">
        <v>14824</v>
      </c>
      <c r="AG1407" t="s">
        <v>14825</v>
      </c>
      <c r="AH1407" t="str">
        <f>HYPERLINK("http://compartments.jensenlab.org/Entity?figures=subcell_cell_%&amp;knowledge=10&amp;textmining=10&amp;experiments=10&amp;predictions=10&amp;type1=9606&amp;type2=-22&amp;id1=ENSP00000357840","link")</f>
        <v>link</v>
      </c>
      <c r="AI1407" t="s">
        <v>65</v>
      </c>
      <c r="AJ1407" t="s">
        <v>51</v>
      </c>
      <c r="AK1407" t="str">
        <f>HYPERLINK("http://www.proteinatlas.org/Q5TF39","HPA031784")</f>
        <v>HPA031784</v>
      </c>
      <c r="AM1407">
        <v>91749</v>
      </c>
    </row>
    <row r="1408" spans="1:39" x14ac:dyDescent="0.35">
      <c r="A1408" t="s">
        <v>14826</v>
      </c>
      <c r="B1408" t="str">
        <f>HYPERLINK("http://www.uniprot.org/uniprot/Q5TFQ8","Q5TFQ8")</f>
        <v>Q5TFQ8</v>
      </c>
      <c r="C1408" t="s">
        <v>14827</v>
      </c>
      <c r="D1408" t="s">
        <v>881</v>
      </c>
      <c r="E1408" t="s">
        <v>39</v>
      </c>
      <c r="F1408" t="s">
        <v>40</v>
      </c>
      <c r="H1408">
        <v>398</v>
      </c>
      <c r="I1408">
        <v>1</v>
      </c>
      <c r="J1408">
        <v>1</v>
      </c>
      <c r="K1408" t="s">
        <v>882</v>
      </c>
      <c r="L1408" t="s">
        <v>57</v>
      </c>
      <c r="N1408">
        <v>0.62870000000000004</v>
      </c>
      <c r="O1408" s="1">
        <v>2</v>
      </c>
      <c r="P1408" t="s">
        <v>883</v>
      </c>
      <c r="Q1408" t="s">
        <v>14828</v>
      </c>
      <c r="S1408" t="s">
        <v>91</v>
      </c>
      <c r="T1408" t="s">
        <v>886</v>
      </c>
      <c r="U1408" t="s">
        <v>14829</v>
      </c>
      <c r="V1408">
        <v>5</v>
      </c>
      <c r="Y1408">
        <v>311</v>
      </c>
      <c r="AE1408" t="s">
        <v>144</v>
      </c>
      <c r="AF1408" t="s">
        <v>890</v>
      </c>
      <c r="AG1408" t="s">
        <v>14830</v>
      </c>
      <c r="AH1408" t="str">
        <f>HYPERLINK("http://compartments.jensenlab.org/Entity?figures=subcell_cell_%&amp;knowledge=10&amp;textmining=10&amp;experiments=10&amp;predictions=10&amp;type1=9606&amp;type2=-22&amp;id1=ENSP00000279477","link")</f>
        <v>link</v>
      </c>
      <c r="AJ1408" t="s">
        <v>51</v>
      </c>
      <c r="AK1408" t="str">
        <f>HYPERLINK("http://www.proteinatlas.org/Q5TFQ8","HPA047463")</f>
        <v>HPA047463</v>
      </c>
      <c r="AM1408">
        <v>10326</v>
      </c>
    </row>
    <row r="1409" spans="1:39" x14ac:dyDescent="0.35">
      <c r="A1409" t="s">
        <v>14831</v>
      </c>
      <c r="B1409" t="str">
        <f>HYPERLINK("http://www.uniprot.org/uniprot/Q5TZ20","Q5TZ20")</f>
        <v>Q5TZ20</v>
      </c>
      <c r="C1409" t="s">
        <v>14832</v>
      </c>
      <c r="D1409" t="s">
        <v>14833</v>
      </c>
      <c r="E1409" t="s">
        <v>39</v>
      </c>
      <c r="F1409" t="s">
        <v>55</v>
      </c>
      <c r="H1409">
        <v>316</v>
      </c>
      <c r="I1409">
        <v>7</v>
      </c>
      <c r="J1409">
        <v>0</v>
      </c>
      <c r="K1409" t="s">
        <v>14834</v>
      </c>
      <c r="L1409" t="s">
        <v>57</v>
      </c>
      <c r="N1409">
        <v>0.99199999999999999</v>
      </c>
      <c r="O1409" s="1">
        <v>1</v>
      </c>
      <c r="P1409" t="s">
        <v>14835</v>
      </c>
      <c r="Q1409" t="s">
        <v>14836</v>
      </c>
      <c r="S1409" t="s">
        <v>166</v>
      </c>
      <c r="T1409" t="s">
        <v>167</v>
      </c>
      <c r="U1409" t="s">
        <v>14837</v>
      </c>
      <c r="V1409">
        <v>2</v>
      </c>
      <c r="AE1409" t="s">
        <v>74</v>
      </c>
      <c r="AF1409" t="s">
        <v>169</v>
      </c>
      <c r="AG1409" t="s">
        <v>14838</v>
      </c>
      <c r="AH1409" t="str">
        <f>HYPERLINK("http://compartments.jensenlab.org/Entity?figures=subcell_cell_%&amp;knowledge=10&amp;textmining=10&amp;experiments=10&amp;predictions=10&amp;type1=9606&amp;type2=-22&amp;id1=ENSP00000341291","link")</f>
        <v>link</v>
      </c>
      <c r="AI1409" t="s">
        <v>65</v>
      </c>
      <c r="AJ1409" t="s">
        <v>51</v>
      </c>
      <c r="AK1409" t="str">
        <f>HYPERLINK("http://www.proteinatlas.org/Q5TZ20","no")</f>
        <v>no</v>
      </c>
      <c r="AM1409">
        <v>391211</v>
      </c>
    </row>
    <row r="1410" spans="1:39" x14ac:dyDescent="0.35">
      <c r="A1410" t="s">
        <v>14839</v>
      </c>
      <c r="B1410" t="str">
        <f>HYPERLINK("http://www.uniprot.org/uniprot/Q5UAW9","Q5UAW9")</f>
        <v>Q5UAW9</v>
      </c>
      <c r="C1410" t="s">
        <v>14840</v>
      </c>
      <c r="D1410" t="s">
        <v>14841</v>
      </c>
      <c r="E1410" t="s">
        <v>39</v>
      </c>
      <c r="F1410" t="s">
        <v>55</v>
      </c>
      <c r="H1410">
        <v>335</v>
      </c>
      <c r="I1410">
        <v>7</v>
      </c>
      <c r="J1410">
        <v>0</v>
      </c>
      <c r="K1410" t="s">
        <v>14842</v>
      </c>
      <c r="L1410" t="s">
        <v>57</v>
      </c>
      <c r="M1410" t="s">
        <v>39</v>
      </c>
      <c r="N1410">
        <v>0.8861</v>
      </c>
      <c r="O1410" s="1">
        <v>1</v>
      </c>
      <c r="P1410" t="s">
        <v>14843</v>
      </c>
      <c r="Q1410" t="s">
        <v>14844</v>
      </c>
      <c r="S1410" t="s">
        <v>166</v>
      </c>
      <c r="T1410" t="s">
        <v>3409</v>
      </c>
      <c r="U1410">
        <v>90</v>
      </c>
      <c r="V1410">
        <v>0</v>
      </c>
      <c r="AE1410" t="s">
        <v>74</v>
      </c>
      <c r="AF1410" t="s">
        <v>839</v>
      </c>
      <c r="AG1410" t="s">
        <v>14845</v>
      </c>
      <c r="AH1410" t="str">
        <f>HYPERLINK("http://compartments.jensenlab.org/Entity?figures=subcell_cell_%&amp;knowledge=10&amp;textmining=10&amp;experiments=10&amp;predictions=10&amp;type1=9606&amp;type2=-22&amp;id1=ENSP00000366628","link")</f>
        <v>link</v>
      </c>
      <c r="AI1410" t="s">
        <v>65</v>
      </c>
      <c r="AJ1410" t="s">
        <v>51</v>
      </c>
      <c r="AK1410" t="str">
        <f>HYPERLINK("http://www.proteinatlas.org/Q5UAW9","HPA028697")</f>
        <v>HPA028697</v>
      </c>
      <c r="AM1410">
        <v>80045</v>
      </c>
    </row>
    <row r="1411" spans="1:39" x14ac:dyDescent="0.35">
      <c r="A1411" t="s">
        <v>14846</v>
      </c>
      <c r="B1411" t="str">
        <f>HYPERLINK("http://www.uniprot.org/uniprot/Q5VT99","Q5VT99")</f>
        <v>Q5VT99</v>
      </c>
      <c r="C1411" t="s">
        <v>14847</v>
      </c>
      <c r="D1411" t="s">
        <v>14848</v>
      </c>
      <c r="E1411" t="s">
        <v>39</v>
      </c>
      <c r="F1411" t="s">
        <v>40</v>
      </c>
      <c r="H1411">
        <v>294</v>
      </c>
      <c r="I1411">
        <v>1</v>
      </c>
      <c r="J1411">
        <v>1</v>
      </c>
      <c r="K1411" t="s">
        <v>14849</v>
      </c>
      <c r="L1411" t="s">
        <v>42</v>
      </c>
      <c r="N1411">
        <v>0.74850000000000005</v>
      </c>
      <c r="O1411" s="1">
        <v>1</v>
      </c>
      <c r="P1411" t="s">
        <v>14850</v>
      </c>
      <c r="Q1411" t="s">
        <v>14851</v>
      </c>
      <c r="S1411" t="s">
        <v>91</v>
      </c>
      <c r="T1411" t="s">
        <v>260</v>
      </c>
      <c r="U1411" t="s">
        <v>14852</v>
      </c>
      <c r="V1411">
        <v>3</v>
      </c>
      <c r="AE1411" t="s">
        <v>332</v>
      </c>
      <c r="AF1411" t="s">
        <v>14853</v>
      </c>
      <c r="AG1411" t="s">
        <v>14854</v>
      </c>
      <c r="AH1411" t="str">
        <f>HYPERLINK("http://compartments.jensenlab.org/Entity?figures=subcell_cell_%&amp;knowledge=10&amp;textmining=10&amp;experiments=10&amp;predictions=10&amp;type1=9606&amp;type2=-22&amp;id1=ENSP00000365253","link")</f>
        <v>link</v>
      </c>
      <c r="AK1411" t="str">
        <f>HYPERLINK("http://www.proteinatlas.org/Q5VT99","HPA038778")</f>
        <v>HPA038778</v>
      </c>
      <c r="AM1411">
        <v>126755</v>
      </c>
    </row>
    <row r="1412" spans="1:39" x14ac:dyDescent="0.35">
      <c r="A1412" t="s">
        <v>14855</v>
      </c>
      <c r="B1412" t="str">
        <f>HYPERLINK("http://www.uniprot.org/uniprot/Q5VU13","Q5VU13")</f>
        <v>Q5VU13</v>
      </c>
      <c r="C1412" t="s">
        <v>14856</v>
      </c>
      <c r="D1412" t="s">
        <v>14857</v>
      </c>
      <c r="E1412" t="s">
        <v>39</v>
      </c>
      <c r="F1412" t="s">
        <v>40</v>
      </c>
      <c r="H1412">
        <v>414</v>
      </c>
      <c r="I1412">
        <v>1</v>
      </c>
      <c r="J1412">
        <v>1</v>
      </c>
      <c r="K1412" t="s">
        <v>14858</v>
      </c>
      <c r="L1412" t="s">
        <v>57</v>
      </c>
      <c r="N1412">
        <v>0.62870000000000004</v>
      </c>
      <c r="O1412" s="1">
        <v>2</v>
      </c>
      <c r="P1412" t="s">
        <v>14859</v>
      </c>
      <c r="Q1412" t="s">
        <v>14860</v>
      </c>
      <c r="S1412" t="s">
        <v>91</v>
      </c>
      <c r="T1412" t="s">
        <v>14321</v>
      </c>
      <c r="U1412">
        <v>351</v>
      </c>
      <c r="V1412">
        <v>0</v>
      </c>
      <c r="AE1412" t="s">
        <v>144</v>
      </c>
      <c r="AF1412" t="s">
        <v>14861</v>
      </c>
      <c r="AG1412" t="s">
        <v>14862</v>
      </c>
      <c r="AH1412" t="str">
        <f>HYPERLINK("http://compartments.jensenlab.org/Entity?figures=subcell_cell_%&amp;knowledge=10&amp;textmining=10&amp;experiments=10&amp;predictions=10&amp;type1=9606&amp;type2=-22&amp;id1=ENSP00000357080","link")</f>
        <v>link</v>
      </c>
      <c r="AJ1412" t="s">
        <v>51</v>
      </c>
      <c r="AK1412" t="str">
        <f>HYPERLINK("http://www.proteinatlas.org/Q5VU13","HPA045602;HPA023219")</f>
        <v>HPA045602;HPA023219</v>
      </c>
      <c r="AM1412" t="s">
        <v>14863</v>
      </c>
    </row>
    <row r="1413" spans="1:39" x14ac:dyDescent="0.35">
      <c r="A1413" t="s">
        <v>14864</v>
      </c>
      <c r="B1413" t="str">
        <f>HYPERLINK("http://www.uniprot.org/uniprot/Q5VU65","Q5VU65")</f>
        <v>Q5VU65</v>
      </c>
      <c r="C1413" t="s">
        <v>14865</v>
      </c>
      <c r="D1413" t="s">
        <v>14866</v>
      </c>
      <c r="E1413" t="s">
        <v>39</v>
      </c>
      <c r="F1413" t="s">
        <v>40</v>
      </c>
      <c r="H1413">
        <v>1888</v>
      </c>
      <c r="I1413">
        <v>1</v>
      </c>
      <c r="J1413">
        <v>1</v>
      </c>
      <c r="K1413" t="s">
        <v>14867</v>
      </c>
      <c r="L1413" t="s">
        <v>42</v>
      </c>
      <c r="N1413">
        <v>0.6946</v>
      </c>
      <c r="O1413" s="1">
        <v>2</v>
      </c>
      <c r="P1413" t="s">
        <v>14868</v>
      </c>
      <c r="Q1413" t="s">
        <v>14869</v>
      </c>
      <c r="S1413" t="s">
        <v>60</v>
      </c>
      <c r="T1413" t="s">
        <v>60</v>
      </c>
      <c r="U1413" t="s">
        <v>14870</v>
      </c>
      <c r="V1413">
        <v>23</v>
      </c>
      <c r="AE1413" t="s">
        <v>94</v>
      </c>
      <c r="AF1413" t="s">
        <v>13398</v>
      </c>
      <c r="AG1413" t="s">
        <v>14871</v>
      </c>
      <c r="AH1413" t="str">
        <f>HYPERLINK("http://compartments.jensenlab.org/Entity?figures=subcell_cell_%&amp;knowledge=10&amp;textmining=10&amp;experiments=10&amp;predictions=10&amp;type1=9606&amp;type2=-22&amp;id1=ENSP00000357547","link")</f>
        <v>link</v>
      </c>
      <c r="AJ1413" t="s">
        <v>51</v>
      </c>
      <c r="AK1413" t="str">
        <f>HYPERLINK("http://www.proteinatlas.org/Q5VU65","no")</f>
        <v>no</v>
      </c>
      <c r="AM1413">
        <v>91181</v>
      </c>
    </row>
    <row r="1414" spans="1:39" x14ac:dyDescent="0.35">
      <c r="A1414" t="s">
        <v>14872</v>
      </c>
      <c r="B1414" t="str">
        <f>HYPERLINK("http://www.uniprot.org/uniprot/Q5VU97","Q5VU97")</f>
        <v>Q5VU97</v>
      </c>
      <c r="C1414" t="s">
        <v>14873</v>
      </c>
      <c r="D1414" t="s">
        <v>14874</v>
      </c>
      <c r="E1414" t="s">
        <v>39</v>
      </c>
      <c r="F1414" t="s">
        <v>40</v>
      </c>
      <c r="H1414">
        <v>1274</v>
      </c>
      <c r="I1414">
        <v>1</v>
      </c>
      <c r="J1414">
        <v>1</v>
      </c>
      <c r="K1414" t="s">
        <v>14875</v>
      </c>
      <c r="L1414" t="s">
        <v>101</v>
      </c>
      <c r="N1414">
        <v>0.80640000000000001</v>
      </c>
      <c r="O1414" s="1">
        <v>1</v>
      </c>
      <c r="P1414" t="s">
        <v>14876</v>
      </c>
      <c r="Q1414" t="s">
        <v>14877</v>
      </c>
      <c r="S1414" t="s">
        <v>45</v>
      </c>
      <c r="T1414" t="s">
        <v>14878</v>
      </c>
      <c r="U1414" t="s">
        <v>14879</v>
      </c>
      <c r="V1414">
        <v>8</v>
      </c>
      <c r="Z1414" t="s">
        <v>107</v>
      </c>
      <c r="AA1414">
        <v>1</v>
      </c>
      <c r="AB1414" t="s">
        <v>14880</v>
      </c>
      <c r="AC1414">
        <v>587</v>
      </c>
      <c r="AD1414" t="s">
        <v>14881</v>
      </c>
      <c r="AE1414" t="s">
        <v>144</v>
      </c>
      <c r="AF1414" t="s">
        <v>14882</v>
      </c>
      <c r="AG1414" t="s">
        <v>14883</v>
      </c>
      <c r="AH1414" t="str">
        <f>HYPERLINK("http://compartments.jensenlab.org/Entity?figures=subcell_cell_%&amp;knowledge=10&amp;textmining=10&amp;experiments=10&amp;predictions=10&amp;type1=9606&amp;type2=-22&amp;id1=ENSP00000360113","link")</f>
        <v>link</v>
      </c>
      <c r="AK1414" t="str">
        <f>HYPERLINK("http://www.proteinatlas.org/Q5VU97","HPA017202")</f>
        <v>HPA017202</v>
      </c>
      <c r="AM1414">
        <v>57685</v>
      </c>
    </row>
    <row r="1415" spans="1:39" x14ac:dyDescent="0.35">
      <c r="A1415" t="s">
        <v>14884</v>
      </c>
      <c r="B1415" t="str">
        <f>HYPERLINK("http://www.uniprot.org/uniprot/Q5VUB5","Q5VUB5")</f>
        <v>Q5VUB5</v>
      </c>
      <c r="C1415" t="s">
        <v>14885</v>
      </c>
      <c r="D1415" t="s">
        <v>14886</v>
      </c>
      <c r="E1415" t="s">
        <v>39</v>
      </c>
      <c r="F1415" t="s">
        <v>40</v>
      </c>
      <c r="H1415">
        <v>890</v>
      </c>
      <c r="I1415">
        <v>1</v>
      </c>
      <c r="J1415">
        <v>1</v>
      </c>
      <c r="K1415" t="s">
        <v>14887</v>
      </c>
      <c r="L1415" t="s">
        <v>101</v>
      </c>
      <c r="N1415">
        <v>0.80640000000000001</v>
      </c>
      <c r="O1415" s="1">
        <v>1</v>
      </c>
      <c r="P1415" t="s">
        <v>14888</v>
      </c>
      <c r="Q1415" t="s">
        <v>14889</v>
      </c>
      <c r="S1415" t="s">
        <v>60</v>
      </c>
      <c r="T1415" t="s">
        <v>60</v>
      </c>
      <c r="U1415" t="s">
        <v>14890</v>
      </c>
      <c r="V1415">
        <v>4</v>
      </c>
      <c r="X1415">
        <v>381</v>
      </c>
      <c r="Z1415" t="s">
        <v>107</v>
      </c>
      <c r="AA1415">
        <v>3</v>
      </c>
      <c r="AB1415" t="s">
        <v>14891</v>
      </c>
      <c r="AC1415" t="s">
        <v>14892</v>
      </c>
      <c r="AD1415" t="s">
        <v>14893</v>
      </c>
      <c r="AE1415" t="s">
        <v>144</v>
      </c>
      <c r="AF1415" t="s">
        <v>14894</v>
      </c>
      <c r="AG1415" t="s">
        <v>14895</v>
      </c>
      <c r="AH1415" t="str">
        <f>HYPERLINK("http://compartments.jensenlab.org/Entity?figures=subcell_cell_%&amp;knowledge=10&amp;textmining=10&amp;experiments=10&amp;predictions=10&amp;type1=9606&amp;type2=-22&amp;id1=ENSP00000367356","link")</f>
        <v>link</v>
      </c>
      <c r="AJ1415" t="s">
        <v>51</v>
      </c>
      <c r="AK1415" t="str">
        <f>HYPERLINK("http://www.proteinatlas.org/Q5VUB5","HPA051345")</f>
        <v>HPA051345</v>
      </c>
      <c r="AM1415">
        <v>221061</v>
      </c>
    </row>
    <row r="1416" spans="1:39" x14ac:dyDescent="0.35">
      <c r="A1416" t="s">
        <v>14896</v>
      </c>
      <c r="B1416" t="str">
        <f>HYPERLINK("http://www.uniprot.org/uniprot/Q5VV43","Q5VV43")</f>
        <v>Q5VV43</v>
      </c>
      <c r="C1416" t="s">
        <v>14897</v>
      </c>
      <c r="D1416" t="s">
        <v>14898</v>
      </c>
      <c r="E1416" t="s">
        <v>39</v>
      </c>
      <c r="F1416" t="s">
        <v>40</v>
      </c>
      <c r="H1416">
        <v>1072</v>
      </c>
      <c r="I1416">
        <v>1</v>
      </c>
      <c r="J1416">
        <v>1</v>
      </c>
      <c r="K1416" t="s">
        <v>14899</v>
      </c>
      <c r="L1416" t="s">
        <v>57</v>
      </c>
      <c r="N1416">
        <v>0.9042</v>
      </c>
      <c r="O1416" s="1">
        <v>1</v>
      </c>
      <c r="P1416" t="s">
        <v>14900</v>
      </c>
      <c r="Q1416" t="s">
        <v>14901</v>
      </c>
      <c r="S1416" t="s">
        <v>60</v>
      </c>
      <c r="T1416" t="s">
        <v>60</v>
      </c>
      <c r="U1416" t="s">
        <v>14902</v>
      </c>
      <c r="V1416">
        <v>11</v>
      </c>
      <c r="AE1416" t="s">
        <v>14903</v>
      </c>
      <c r="AF1416" t="s">
        <v>14904</v>
      </c>
      <c r="AG1416" t="s">
        <v>14905</v>
      </c>
      <c r="AH1416" t="str">
        <f>HYPERLINK("http://compartments.jensenlab.org/Entity?figures=subcell_cell_%&amp;knowledge=10&amp;textmining=10&amp;experiments=10&amp;predictions=10&amp;type1=9606&amp;type2=-22&amp;id1=ENSP00000367459","link")</f>
        <v>link</v>
      </c>
      <c r="AI1416" t="s">
        <v>4125</v>
      </c>
      <c r="AJ1416" t="s">
        <v>1791</v>
      </c>
      <c r="AK1416" t="str">
        <f>HYPERLINK("http://www.proteinatlas.org/Q5VV43","HPA015607")</f>
        <v>HPA015607</v>
      </c>
      <c r="AM1416">
        <v>9856</v>
      </c>
    </row>
    <row r="1417" spans="1:39" x14ac:dyDescent="0.35">
      <c r="A1417" t="s">
        <v>14906</v>
      </c>
      <c r="B1417" t="str">
        <f>HYPERLINK("http://www.uniprot.org/uniprot/Q5VV63","Q5VV63")</f>
        <v>Q5VV63</v>
      </c>
      <c r="C1417" t="s">
        <v>14907</v>
      </c>
      <c r="D1417" t="s">
        <v>14908</v>
      </c>
      <c r="E1417" t="s">
        <v>39</v>
      </c>
      <c r="F1417" t="s">
        <v>40</v>
      </c>
      <c r="H1417">
        <v>1379</v>
      </c>
      <c r="I1417">
        <v>1</v>
      </c>
      <c r="J1417">
        <v>1</v>
      </c>
      <c r="K1417" t="s">
        <v>14909</v>
      </c>
      <c r="L1417" t="s">
        <v>57</v>
      </c>
      <c r="N1417">
        <v>0.76449999999999996</v>
      </c>
      <c r="O1417" s="1">
        <v>1</v>
      </c>
      <c r="P1417" t="s">
        <v>14910</v>
      </c>
      <c r="Q1417" t="s">
        <v>14911</v>
      </c>
      <c r="S1417" t="s">
        <v>60</v>
      </c>
      <c r="T1417" t="s">
        <v>60</v>
      </c>
      <c r="U1417" t="s">
        <v>14912</v>
      </c>
      <c r="V1417">
        <v>23</v>
      </c>
      <c r="AE1417" t="s">
        <v>144</v>
      </c>
      <c r="AF1417" t="s">
        <v>14913</v>
      </c>
      <c r="AG1417" t="s">
        <v>14914</v>
      </c>
      <c r="AH1417" t="str">
        <f>HYPERLINK("http://compartments.jensenlab.org/Entity?figures=subcell_cell_%&amp;knowledge=10&amp;textmining=10&amp;experiments=10&amp;predictions=10&amp;type1=9606&amp;type2=-22&amp;id1=ENSP00000347152","link")</f>
        <v>link</v>
      </c>
      <c r="AJ1417" t="s">
        <v>51</v>
      </c>
      <c r="AK1417" t="str">
        <f>HYPERLINK("http://www.proteinatlas.org/Q5VV63","HPA038070")</f>
        <v>HPA038070</v>
      </c>
      <c r="AM1417">
        <v>26033</v>
      </c>
    </row>
    <row r="1418" spans="1:39" x14ac:dyDescent="0.35">
      <c r="A1418" t="s">
        <v>14915</v>
      </c>
      <c r="B1418" t="str">
        <f>HYPERLINK("http://www.uniprot.org/uniprot/Q5VW38","Q5VW38")</f>
        <v>Q5VW38</v>
      </c>
      <c r="C1418" t="s">
        <v>14916</v>
      </c>
      <c r="D1418" t="s">
        <v>14917</v>
      </c>
      <c r="E1418" t="s">
        <v>39</v>
      </c>
      <c r="F1418" t="s">
        <v>40</v>
      </c>
      <c r="H1418">
        <v>600</v>
      </c>
      <c r="I1418">
        <v>7</v>
      </c>
      <c r="J1418">
        <v>1</v>
      </c>
      <c r="K1418" t="s">
        <v>14918</v>
      </c>
      <c r="L1418" t="s">
        <v>101</v>
      </c>
      <c r="N1418">
        <v>0.6986</v>
      </c>
      <c r="O1418" s="1">
        <v>2</v>
      </c>
      <c r="P1418" t="s">
        <v>14919</v>
      </c>
      <c r="Q1418" t="s">
        <v>14920</v>
      </c>
      <c r="S1418" t="s">
        <v>166</v>
      </c>
      <c r="T1418" t="s">
        <v>10476</v>
      </c>
      <c r="U1418" t="s">
        <v>14921</v>
      </c>
      <c r="V1418">
        <v>3</v>
      </c>
      <c r="Z1418" t="s">
        <v>107</v>
      </c>
      <c r="AA1418">
        <v>3</v>
      </c>
      <c r="AB1418" t="s">
        <v>14922</v>
      </c>
      <c r="AC1418" t="s">
        <v>14923</v>
      </c>
      <c r="AD1418" t="s">
        <v>14924</v>
      </c>
      <c r="AE1418" t="s">
        <v>14925</v>
      </c>
      <c r="AF1418" t="s">
        <v>14926</v>
      </c>
      <c r="AG1418" t="s">
        <v>14927</v>
      </c>
      <c r="AH1418" t="str">
        <f>HYPERLINK("http://compartments.jensenlab.org/Entity?figures=subcell_cell_%&amp;knowledge=10&amp;textmining=10&amp;experiments=10&amp;predictions=10&amp;type1=9606&amp;type2=-22&amp;id1=ENSP00000361483","link")</f>
        <v>link</v>
      </c>
      <c r="AJ1418" t="s">
        <v>51</v>
      </c>
      <c r="AK1418" t="str">
        <f>HYPERLINK("http://www.proteinatlas.org/Q5VW38","HPA031704")</f>
        <v>HPA031704</v>
      </c>
      <c r="AM1418">
        <v>57720</v>
      </c>
    </row>
    <row r="1419" spans="1:39" x14ac:dyDescent="0.35">
      <c r="A1419" t="s">
        <v>14928</v>
      </c>
      <c r="B1419" t="str">
        <f>HYPERLINK("http://www.uniprot.org/uniprot/Q5VWK5","Q5VWK5")</f>
        <v>Q5VWK5</v>
      </c>
      <c r="C1419" t="s">
        <v>14929</v>
      </c>
      <c r="D1419" t="s">
        <v>14930</v>
      </c>
      <c r="E1419" t="s">
        <v>39</v>
      </c>
      <c r="F1419" t="s">
        <v>40</v>
      </c>
      <c r="H1419">
        <v>629</v>
      </c>
      <c r="I1419">
        <v>1</v>
      </c>
      <c r="J1419">
        <v>1</v>
      </c>
      <c r="K1419" t="s">
        <v>14931</v>
      </c>
      <c r="L1419" t="s">
        <v>57</v>
      </c>
      <c r="N1419">
        <v>0.93210000000000004</v>
      </c>
      <c r="O1419" s="1">
        <v>1</v>
      </c>
      <c r="P1419" t="s">
        <v>14932</v>
      </c>
      <c r="Q1419" t="s">
        <v>14933</v>
      </c>
      <c r="S1419" t="s">
        <v>166</v>
      </c>
      <c r="T1419" t="s">
        <v>3171</v>
      </c>
      <c r="U1419" t="s">
        <v>14934</v>
      </c>
      <c r="V1419">
        <v>8</v>
      </c>
      <c r="X1419">
        <v>506</v>
      </c>
      <c r="Y1419">
        <v>304</v>
      </c>
      <c r="AE1419" t="s">
        <v>332</v>
      </c>
      <c r="AF1419" t="s">
        <v>14935</v>
      </c>
      <c r="AG1419" t="s">
        <v>14936</v>
      </c>
      <c r="AH1419" t="str">
        <f>HYPERLINK("http://compartments.jensenlab.org/Entity?figures=subcell_cell_%&amp;knowledge=10&amp;textmining=10&amp;experiments=10&amp;predictions=10&amp;type1=9606&amp;type2=-22&amp;id1=ENSP00000321345","link")</f>
        <v>link</v>
      </c>
      <c r="AI1419" t="s">
        <v>65</v>
      </c>
      <c r="AJ1419" t="s">
        <v>51</v>
      </c>
      <c r="AK1419" t="str">
        <f>HYPERLINK("http://www.proteinatlas.org/Q5VWK5","HPA056427")</f>
        <v>HPA056427</v>
      </c>
      <c r="AM1419">
        <v>149233</v>
      </c>
    </row>
    <row r="1420" spans="1:39" x14ac:dyDescent="0.35">
      <c r="A1420" t="s">
        <v>14937</v>
      </c>
      <c r="B1420" t="str">
        <f>HYPERLINK("http://www.uniprot.org/uniprot/Q5VX71","Q5VX71")</f>
        <v>Q5VX71</v>
      </c>
      <c r="C1420" t="s">
        <v>14938</v>
      </c>
      <c r="D1420" t="s">
        <v>14939</v>
      </c>
      <c r="E1420" t="s">
        <v>39</v>
      </c>
      <c r="F1420" t="s">
        <v>40</v>
      </c>
      <c r="H1420">
        <v>490</v>
      </c>
      <c r="I1420">
        <v>1</v>
      </c>
      <c r="J1420">
        <v>1</v>
      </c>
      <c r="K1420" t="s">
        <v>14940</v>
      </c>
      <c r="L1420" t="s">
        <v>57</v>
      </c>
      <c r="N1420">
        <v>0.67269999999999996</v>
      </c>
      <c r="O1420" s="1">
        <v>2</v>
      </c>
      <c r="P1420" t="s">
        <v>14941</v>
      </c>
      <c r="Q1420" t="s">
        <v>14942</v>
      </c>
      <c r="S1420" t="s">
        <v>60</v>
      </c>
      <c r="T1420" t="s">
        <v>60</v>
      </c>
      <c r="U1420" t="s">
        <v>14943</v>
      </c>
      <c r="V1420">
        <v>3</v>
      </c>
      <c r="AE1420" t="s">
        <v>144</v>
      </c>
      <c r="AF1420" t="s">
        <v>14944</v>
      </c>
      <c r="AG1420" t="s">
        <v>14945</v>
      </c>
      <c r="AH1420" t="str">
        <f>HYPERLINK("http://compartments.jensenlab.org/Entity?figures=subcell_cell_%&amp;knowledge=10&amp;textmining=10&amp;experiments=10&amp;predictions=10&amp;type1=9606&amp;type2=-22&amp;id1=ENSP00000344219","link")</f>
        <v>link</v>
      </c>
      <c r="AJ1420" t="s">
        <v>51</v>
      </c>
      <c r="AK1420" t="str">
        <f>HYPERLINK("http://www.proteinatlas.org/Q5VX71","HPA058296")</f>
        <v>HPA058296</v>
      </c>
      <c r="AM1420">
        <v>55061</v>
      </c>
    </row>
    <row r="1421" spans="1:39" x14ac:dyDescent="0.35">
      <c r="A1421" t="s">
        <v>14946</v>
      </c>
      <c r="B1421" t="str">
        <f>HYPERLINK("http://www.uniprot.org/uniprot/Q5VXU1","Q5VXU1")</f>
        <v>Q5VXU1</v>
      </c>
      <c r="C1421" t="s">
        <v>14947</v>
      </c>
      <c r="D1421" t="s">
        <v>14948</v>
      </c>
      <c r="E1421" t="s">
        <v>39</v>
      </c>
      <c r="F1421" t="s">
        <v>40</v>
      </c>
      <c r="H1421">
        <v>208</v>
      </c>
      <c r="I1421">
        <v>3</v>
      </c>
      <c r="J1421">
        <v>1</v>
      </c>
      <c r="K1421" t="s">
        <v>14949</v>
      </c>
      <c r="L1421" t="s">
        <v>42</v>
      </c>
      <c r="N1421">
        <v>0.67069999999999996</v>
      </c>
      <c r="O1421" s="1">
        <v>2</v>
      </c>
      <c r="P1421" t="s">
        <v>14950</v>
      </c>
      <c r="Q1421" t="s">
        <v>14951</v>
      </c>
      <c r="S1421" t="s">
        <v>45</v>
      </c>
      <c r="T1421" t="s">
        <v>14427</v>
      </c>
      <c r="U1421">
        <v>100</v>
      </c>
      <c r="V1421">
        <v>1</v>
      </c>
      <c r="Y1421">
        <v>72</v>
      </c>
      <c r="AE1421" t="s">
        <v>74</v>
      </c>
      <c r="AF1421" t="s">
        <v>14952</v>
      </c>
      <c r="AG1421" t="s">
        <v>14953</v>
      </c>
      <c r="AH1421" t="str">
        <f>HYPERLINK("http://compartments.jensenlab.org/Entity?figures=subcell_cell_%&amp;knowledge=10&amp;textmining=10&amp;experiments=10&amp;predictions=10&amp;type1=9606&amp;type2=-22&amp;id1=ENSP00000357402","link")</f>
        <v>link</v>
      </c>
      <c r="AI1421" t="s">
        <v>65</v>
      </c>
      <c r="AJ1421" t="s">
        <v>51</v>
      </c>
      <c r="AK1421" t="str">
        <f>HYPERLINK("http://www.proteinatlas.org/Q5VXU1","HPA045860")</f>
        <v>HPA045860</v>
      </c>
      <c r="AM1421">
        <v>154215</v>
      </c>
    </row>
    <row r="1422" spans="1:39" x14ac:dyDescent="0.35">
      <c r="A1422" t="s">
        <v>14954</v>
      </c>
      <c r="B1422" t="str">
        <f>HYPERLINK("http://www.uniprot.org/uniprot/Q5VY43","Q5VY43")</f>
        <v>Q5VY43</v>
      </c>
      <c r="C1422" t="s">
        <v>14955</v>
      </c>
      <c r="D1422" t="s">
        <v>14956</v>
      </c>
      <c r="E1422" t="s">
        <v>39</v>
      </c>
      <c r="F1422" t="s">
        <v>55</v>
      </c>
      <c r="H1422">
        <v>1037</v>
      </c>
      <c r="I1422">
        <v>1</v>
      </c>
      <c r="J1422">
        <v>1</v>
      </c>
      <c r="K1422" t="s">
        <v>14957</v>
      </c>
      <c r="L1422" t="s">
        <v>101</v>
      </c>
      <c r="M1422" t="s">
        <v>39</v>
      </c>
      <c r="N1422">
        <v>0.95320000000000005</v>
      </c>
      <c r="O1422" s="1">
        <v>1</v>
      </c>
      <c r="P1422" t="s">
        <v>14958</v>
      </c>
      <c r="Q1422" t="s">
        <v>14959</v>
      </c>
      <c r="S1422" t="s">
        <v>166</v>
      </c>
      <c r="T1422" t="s">
        <v>205</v>
      </c>
      <c r="U1422" t="s">
        <v>14960</v>
      </c>
      <c r="V1422">
        <v>11</v>
      </c>
      <c r="Z1422" t="s">
        <v>107</v>
      </c>
      <c r="AA1422">
        <v>1</v>
      </c>
      <c r="AB1422" t="s">
        <v>14961</v>
      </c>
      <c r="AC1422">
        <v>703</v>
      </c>
      <c r="AD1422" t="s">
        <v>14962</v>
      </c>
      <c r="AE1422" t="s">
        <v>3665</v>
      </c>
      <c r="AF1422" t="s">
        <v>14963</v>
      </c>
      <c r="AG1422" t="s">
        <v>14964</v>
      </c>
      <c r="AH1422" t="str">
        <f>HYPERLINK("http://compartments.jensenlab.org/Entity?figures=subcell_cell_%&amp;knowledge=10&amp;textmining=10&amp;experiments=10&amp;predictions=10&amp;type1=9606&amp;type2=-22&amp;id1=ENSP00000292357","link")</f>
        <v>link</v>
      </c>
      <c r="AI1422" t="s">
        <v>65</v>
      </c>
      <c r="AJ1422" t="s">
        <v>51</v>
      </c>
      <c r="AK1422" t="str">
        <f>HYPERLINK("http://www.proteinatlas.org/Q5VY43","HPA035217")</f>
        <v>HPA035217</v>
      </c>
      <c r="AM1422">
        <v>375033</v>
      </c>
    </row>
    <row r="1423" spans="1:39" x14ac:dyDescent="0.35">
      <c r="A1423" t="s">
        <v>14965</v>
      </c>
      <c r="B1423" t="str">
        <f>HYPERLINK("http://www.uniprot.org/uniprot/Q5VY80","Q5VY80")</f>
        <v>Q5VY80</v>
      </c>
      <c r="C1423" t="s">
        <v>14966</v>
      </c>
      <c r="D1423" t="s">
        <v>14967</v>
      </c>
      <c r="E1423" t="s">
        <v>39</v>
      </c>
      <c r="F1423" t="s">
        <v>239</v>
      </c>
      <c r="H1423">
        <v>246</v>
      </c>
      <c r="I1423">
        <v>0</v>
      </c>
      <c r="J1423">
        <v>1</v>
      </c>
      <c r="K1423" t="s">
        <v>14968</v>
      </c>
      <c r="L1423" t="s">
        <v>57</v>
      </c>
      <c r="N1423">
        <v>0.61080000000000001</v>
      </c>
      <c r="O1423" s="1" t="s">
        <v>241</v>
      </c>
      <c r="P1423" t="s">
        <v>14969</v>
      </c>
      <c r="Q1423" t="s">
        <v>14970</v>
      </c>
      <c r="S1423" t="s">
        <v>91</v>
      </c>
      <c r="T1423" t="s">
        <v>14971</v>
      </c>
      <c r="U1423" t="s">
        <v>14972</v>
      </c>
      <c r="V1423">
        <v>3</v>
      </c>
      <c r="X1423">
        <v>216</v>
      </c>
      <c r="AE1423" t="s">
        <v>243</v>
      </c>
      <c r="AF1423" t="s">
        <v>3453</v>
      </c>
      <c r="AG1423" t="s">
        <v>14973</v>
      </c>
      <c r="AH1423" t="str">
        <f>HYPERLINK("http://compartments.jensenlab.org/Entity?figures=subcell_cell_%&amp;knowledge=10&amp;textmining=10&amp;experiments=10&amp;predictions=10&amp;type1=9606&amp;type2=-22&amp;id1=ENSP00000286380","link")</f>
        <v>link</v>
      </c>
      <c r="AI1423" t="s">
        <v>65</v>
      </c>
      <c r="AJ1423" t="s">
        <v>51</v>
      </c>
      <c r="AK1423" t="str">
        <f>HYPERLINK("http://www.proteinatlas.org/Q5VY80","no")</f>
        <v>no</v>
      </c>
      <c r="AM1423">
        <v>154064</v>
      </c>
    </row>
    <row r="1424" spans="1:39" x14ac:dyDescent="0.35">
      <c r="A1424" t="s">
        <v>14974</v>
      </c>
      <c r="B1424" t="str">
        <f>HYPERLINK("http://www.uniprot.org/uniprot/Q5VYJ5","Q5VYJ5")</f>
        <v>Q5VYJ5</v>
      </c>
      <c r="C1424" t="s">
        <v>14975</v>
      </c>
      <c r="D1424" t="s">
        <v>14976</v>
      </c>
      <c r="E1424" t="s">
        <v>39</v>
      </c>
      <c r="F1424" t="s">
        <v>40</v>
      </c>
      <c r="H1424">
        <v>1473</v>
      </c>
      <c r="I1424">
        <v>1</v>
      </c>
      <c r="J1424">
        <v>0</v>
      </c>
      <c r="K1424" t="s">
        <v>14977</v>
      </c>
      <c r="L1424" t="s">
        <v>42</v>
      </c>
      <c r="N1424">
        <v>0.71660000000000001</v>
      </c>
      <c r="O1424" s="1">
        <v>2</v>
      </c>
      <c r="P1424" t="s">
        <v>14978</v>
      </c>
      <c r="Q1424" t="s">
        <v>14979</v>
      </c>
      <c r="S1424" t="s">
        <v>166</v>
      </c>
      <c r="T1424" t="s">
        <v>2518</v>
      </c>
      <c r="U1424" t="s">
        <v>14980</v>
      </c>
      <c r="V1424">
        <v>13</v>
      </c>
      <c r="Y1424" t="s">
        <v>14981</v>
      </c>
      <c r="AE1424" t="s">
        <v>94</v>
      </c>
      <c r="AF1424" t="s">
        <v>14982</v>
      </c>
      <c r="AG1424" t="s">
        <v>14983</v>
      </c>
      <c r="AH1424" t="str">
        <f>HYPERLINK("http://compartments.jensenlab.org/Entity?figures=subcell_cell_%&amp;knowledge=10&amp;textmining=10&amp;experiments=10&amp;predictions=10&amp;type1=9606&amp;type2=-22&amp;id1=ENSP00000412763","link")</f>
        <v>link</v>
      </c>
      <c r="AK1424" t="str">
        <f>HYPERLINK("http://www.proteinatlas.org/Q5VYJ5","HPA046848")</f>
        <v>HPA046848</v>
      </c>
    </row>
    <row r="1425" spans="1:39" x14ac:dyDescent="0.35">
      <c r="A1425" t="s">
        <v>14984</v>
      </c>
      <c r="B1425" t="str">
        <f>HYPERLINK("http://www.uniprot.org/uniprot/Q5VZ72","Q5VZ72")</f>
        <v>Q5VZ72</v>
      </c>
      <c r="C1425" t="s">
        <v>14985</v>
      </c>
      <c r="D1425" t="s">
        <v>14986</v>
      </c>
      <c r="E1425" t="s">
        <v>39</v>
      </c>
      <c r="F1425" t="s">
        <v>40</v>
      </c>
      <c r="H1425">
        <v>239</v>
      </c>
      <c r="I1425">
        <v>1</v>
      </c>
      <c r="J1425">
        <v>1</v>
      </c>
      <c r="K1425" t="s">
        <v>14987</v>
      </c>
      <c r="L1425" t="s">
        <v>57</v>
      </c>
      <c r="N1425">
        <v>0.79239999999999999</v>
      </c>
      <c r="O1425" s="1">
        <v>1</v>
      </c>
      <c r="P1425" t="s">
        <v>14988</v>
      </c>
      <c r="Q1425" t="s">
        <v>14989</v>
      </c>
      <c r="S1425" t="s">
        <v>60</v>
      </c>
      <c r="T1425" t="s">
        <v>60</v>
      </c>
      <c r="U1425" t="s">
        <v>14990</v>
      </c>
      <c r="V1425">
        <v>2</v>
      </c>
      <c r="AE1425" t="s">
        <v>332</v>
      </c>
      <c r="AF1425" t="s">
        <v>14991</v>
      </c>
      <c r="AG1425" t="s">
        <v>14992</v>
      </c>
      <c r="AH1425" t="str">
        <f>HYPERLINK("http://compartments.jensenlab.org/Entity?figures=subcell_cell_%&amp;knowledge=10&amp;textmining=10&amp;experiments=10&amp;predictions=10&amp;type1=9606&amp;type2=-22&amp;id1=ENSP00000438895","link")</f>
        <v>link</v>
      </c>
      <c r="AK1425" t="str">
        <f>HYPERLINK("http://www.proteinatlas.org/Q5VZ72","HPA045722")</f>
        <v>HPA045722</v>
      </c>
      <c r="AM1425" s="4">
        <v>100000000</v>
      </c>
    </row>
    <row r="1426" spans="1:39" x14ac:dyDescent="0.35">
      <c r="A1426" t="s">
        <v>14993</v>
      </c>
      <c r="B1426" t="str">
        <f>HYPERLINK("http://www.uniprot.org/uniprot/Q5XXA6","Q5XXA6")</f>
        <v>Q5XXA6</v>
      </c>
      <c r="C1426" t="s">
        <v>14994</v>
      </c>
      <c r="D1426" t="s">
        <v>14995</v>
      </c>
      <c r="E1426" t="s">
        <v>39</v>
      </c>
      <c r="F1426" t="s">
        <v>40</v>
      </c>
      <c r="H1426">
        <v>986</v>
      </c>
      <c r="I1426">
        <v>8</v>
      </c>
      <c r="J1426">
        <v>0</v>
      </c>
      <c r="K1426" t="s">
        <v>14996</v>
      </c>
      <c r="L1426" t="s">
        <v>57</v>
      </c>
      <c r="N1426">
        <v>0.7964</v>
      </c>
      <c r="O1426" s="1">
        <v>1</v>
      </c>
      <c r="P1426" t="s">
        <v>14997</v>
      </c>
      <c r="Q1426" t="s">
        <v>14998</v>
      </c>
      <c r="S1426" t="s">
        <v>91</v>
      </c>
      <c r="T1426" t="s">
        <v>104</v>
      </c>
      <c r="U1426" t="s">
        <v>14999</v>
      </c>
      <c r="V1426">
        <v>6</v>
      </c>
      <c r="AE1426" t="s">
        <v>8032</v>
      </c>
      <c r="AF1426" t="s">
        <v>15000</v>
      </c>
      <c r="AG1426" t="s">
        <v>15001</v>
      </c>
      <c r="AH1426" t="str">
        <f>HYPERLINK("http://compartments.jensenlab.org/Entity?figures=subcell_cell_%&amp;knowledge=10&amp;textmining=10&amp;experiments=10&amp;predictions=10&amp;type1=9606&amp;type2=-22&amp;id1=ENSP00000347454","link")</f>
        <v>link</v>
      </c>
      <c r="AI1426" t="s">
        <v>65</v>
      </c>
      <c r="AJ1426" t="s">
        <v>2124</v>
      </c>
      <c r="AK1426" t="str">
        <f>HYPERLINK("http://www.proteinatlas.org/Q5XXA6","HPA032148")</f>
        <v>HPA032148</v>
      </c>
      <c r="AL1426" t="s">
        <v>15002</v>
      </c>
      <c r="AM1426">
        <v>55107</v>
      </c>
    </row>
    <row r="1427" spans="1:39" x14ac:dyDescent="0.35">
      <c r="A1427" t="s">
        <v>15003</v>
      </c>
      <c r="B1427" t="str">
        <f>HYPERLINK("http://www.uniprot.org/uniprot/Q5Y7A7","Q5Y7A7")</f>
        <v>Q5Y7A7</v>
      </c>
      <c r="C1427" t="s">
        <v>15004</v>
      </c>
      <c r="D1427" t="s">
        <v>3712</v>
      </c>
      <c r="E1427" t="s">
        <v>39</v>
      </c>
      <c r="F1427" t="s">
        <v>40</v>
      </c>
      <c r="H1427">
        <v>266</v>
      </c>
      <c r="I1427">
        <v>1</v>
      </c>
      <c r="J1427">
        <v>1</v>
      </c>
      <c r="K1427" t="s">
        <v>3713</v>
      </c>
      <c r="L1427" t="s">
        <v>42</v>
      </c>
      <c r="N1427">
        <v>0.92020000000000002</v>
      </c>
      <c r="O1427" s="1">
        <v>1</v>
      </c>
      <c r="P1427" t="s">
        <v>3721</v>
      </c>
      <c r="Q1427" t="s">
        <v>15005</v>
      </c>
      <c r="S1427" t="s">
        <v>91</v>
      </c>
      <c r="T1427" t="s">
        <v>3641</v>
      </c>
      <c r="U1427">
        <v>48</v>
      </c>
      <c r="V1427">
        <v>1</v>
      </c>
      <c r="W1427">
        <v>48</v>
      </c>
      <c r="AE1427" t="s">
        <v>3717</v>
      </c>
      <c r="AF1427" t="s">
        <v>5408</v>
      </c>
      <c r="AG1427" t="s">
        <v>15006</v>
      </c>
      <c r="AH1427" t="str">
        <f>HYPERLINK("http://compartments.jensenlab.org/Entity?figures=subcell_cell_%&amp;knowledge=10&amp;textmining=10&amp;experiments=10&amp;predictions=10&amp;type1=9606&amp;type2=-22&amp;id1=ENSP00000331343","link")</f>
        <v>link</v>
      </c>
      <c r="AK1427" t="str">
        <f>HYPERLINK("http://www.proteinatlas.org/Q5Y7A7","no")</f>
        <v>no</v>
      </c>
    </row>
    <row r="1428" spans="1:39" x14ac:dyDescent="0.35">
      <c r="A1428" t="s">
        <v>15007</v>
      </c>
      <c r="B1428" t="str">
        <f>HYPERLINK("http://www.uniprot.org/uniprot/Q5ZPR3","Q5ZPR3")</f>
        <v>Q5ZPR3</v>
      </c>
      <c r="C1428" t="s">
        <v>15008</v>
      </c>
      <c r="D1428" t="s">
        <v>15009</v>
      </c>
      <c r="E1428" t="s">
        <v>39</v>
      </c>
      <c r="F1428" t="s">
        <v>40</v>
      </c>
      <c r="H1428">
        <v>534</v>
      </c>
      <c r="I1428">
        <v>1</v>
      </c>
      <c r="J1428">
        <v>1</v>
      </c>
      <c r="K1428" t="s">
        <v>15010</v>
      </c>
      <c r="L1428" t="s">
        <v>101</v>
      </c>
      <c r="N1428">
        <v>0.95209999999999995</v>
      </c>
      <c r="O1428" s="1">
        <v>1</v>
      </c>
      <c r="P1428" t="s">
        <v>15011</v>
      </c>
      <c r="Q1428" t="s">
        <v>15012</v>
      </c>
      <c r="R1428" t="s">
        <v>15009</v>
      </c>
      <c r="S1428" t="s">
        <v>91</v>
      </c>
      <c r="T1428" t="s">
        <v>1012</v>
      </c>
      <c r="U1428" t="s">
        <v>15013</v>
      </c>
      <c r="V1428">
        <v>8</v>
      </c>
      <c r="W1428" t="s">
        <v>15014</v>
      </c>
      <c r="X1428">
        <v>411</v>
      </c>
      <c r="Z1428" t="s">
        <v>107</v>
      </c>
      <c r="AA1428">
        <v>22</v>
      </c>
      <c r="AB1428" t="s">
        <v>15015</v>
      </c>
      <c r="AC1428" t="s">
        <v>15016</v>
      </c>
      <c r="AD1428" t="s">
        <v>15017</v>
      </c>
      <c r="AE1428" t="s">
        <v>144</v>
      </c>
      <c r="AF1428" t="s">
        <v>15018</v>
      </c>
      <c r="AG1428" t="s">
        <v>15019</v>
      </c>
      <c r="AH1428" t="str">
        <f>HYPERLINK("http://compartments.jensenlab.org/Entity?figures=subcell_cell_%&amp;knowledge=10&amp;textmining=10&amp;experiments=10&amp;predictions=10&amp;type1=9606&amp;type2=-22&amp;id1=ENSP00000320084","link")</f>
        <v>link</v>
      </c>
      <c r="AJ1428" t="s">
        <v>51</v>
      </c>
      <c r="AK1428" t="str">
        <f>HYPERLINK("http://www.proteinatlas.org/Q5ZPR3","HPA009285;HPA017139;CAB017826")</f>
        <v>HPA009285;HPA017139;CAB017826</v>
      </c>
      <c r="AM1428">
        <v>80381</v>
      </c>
    </row>
    <row r="1429" spans="1:39" x14ac:dyDescent="0.35">
      <c r="A1429" t="s">
        <v>15020</v>
      </c>
      <c r="B1429" t="str">
        <f>HYPERLINK("http://www.uniprot.org/uniprot/Q685J3","Q685J3")</f>
        <v>Q685J3</v>
      </c>
      <c r="C1429" t="s">
        <v>15021</v>
      </c>
      <c r="D1429" t="s">
        <v>15022</v>
      </c>
      <c r="E1429" t="s">
        <v>39</v>
      </c>
      <c r="F1429" t="s">
        <v>40</v>
      </c>
      <c r="H1429">
        <v>4493</v>
      </c>
      <c r="I1429">
        <v>1</v>
      </c>
      <c r="J1429">
        <v>1</v>
      </c>
      <c r="K1429" t="s">
        <v>15023</v>
      </c>
      <c r="L1429" t="s">
        <v>57</v>
      </c>
      <c r="N1429">
        <v>0.89219999999999999</v>
      </c>
      <c r="O1429" s="1">
        <v>1</v>
      </c>
      <c r="P1429" t="s">
        <v>15024</v>
      </c>
      <c r="Q1429" t="s">
        <v>15025</v>
      </c>
      <c r="S1429" t="s">
        <v>60</v>
      </c>
      <c r="T1429" t="s">
        <v>60</v>
      </c>
      <c r="U1429" t="s">
        <v>15026</v>
      </c>
      <c r="V1429">
        <v>19</v>
      </c>
      <c r="W1429" t="s">
        <v>15027</v>
      </c>
      <c r="AE1429" t="s">
        <v>15028</v>
      </c>
      <c r="AF1429" t="s">
        <v>15029</v>
      </c>
      <c r="AG1429" t="s">
        <v>15030</v>
      </c>
      <c r="AH1429" t="str">
        <f>HYPERLINK("http://compartments.jensenlab.org/Entity?figures=subcell_cell_%&amp;knowledge=10&amp;textmining=10&amp;experiments=10&amp;predictions=10&amp;type1=9606&amp;type2=-22&amp;id1=ENSP00000302716","link")</f>
        <v>link</v>
      </c>
      <c r="AI1429" t="s">
        <v>65</v>
      </c>
      <c r="AJ1429" t="s">
        <v>7201</v>
      </c>
      <c r="AK1429" t="str">
        <f>HYPERLINK("http://www.proteinatlas.org/Q685J3","HPA031634")</f>
        <v>HPA031634</v>
      </c>
      <c r="AM1429">
        <v>140453</v>
      </c>
    </row>
    <row r="1430" spans="1:39" x14ac:dyDescent="0.35">
      <c r="A1430" t="s">
        <v>15031</v>
      </c>
      <c r="B1430" t="str">
        <f>HYPERLINK("http://www.uniprot.org/uniprot/Q687X5","Q687X5")</f>
        <v>Q687X5</v>
      </c>
      <c r="C1430" t="s">
        <v>15032</v>
      </c>
      <c r="D1430" t="s">
        <v>15033</v>
      </c>
      <c r="E1430" t="s">
        <v>39</v>
      </c>
      <c r="F1430" t="s">
        <v>55</v>
      </c>
      <c r="H1430">
        <v>459</v>
      </c>
      <c r="I1430">
        <v>6</v>
      </c>
      <c r="J1430">
        <v>0</v>
      </c>
      <c r="K1430" t="s">
        <v>15034</v>
      </c>
      <c r="L1430" t="s">
        <v>118</v>
      </c>
      <c r="M1430" t="s">
        <v>39</v>
      </c>
      <c r="N1430">
        <v>0.27810000000000001</v>
      </c>
      <c r="O1430" s="1"/>
      <c r="P1430" t="s">
        <v>15035</v>
      </c>
      <c r="Q1430" t="s">
        <v>15036</v>
      </c>
      <c r="S1430" t="s">
        <v>45</v>
      </c>
      <c r="T1430" t="s">
        <v>15037</v>
      </c>
      <c r="U1430" t="s">
        <v>15038</v>
      </c>
      <c r="V1430">
        <v>1</v>
      </c>
      <c r="Z1430" t="s">
        <v>107</v>
      </c>
      <c r="AA1430">
        <v>1</v>
      </c>
      <c r="AB1430" t="s">
        <v>15039</v>
      </c>
      <c r="AC1430">
        <v>323</v>
      </c>
      <c r="AD1430" t="s">
        <v>15040</v>
      </c>
      <c r="AE1430" t="s">
        <v>15041</v>
      </c>
      <c r="AF1430" t="s">
        <v>15042</v>
      </c>
      <c r="AG1430" t="s">
        <v>15043</v>
      </c>
      <c r="AH1430" t="str">
        <f>HYPERLINK("http://compartments.jensenlab.org/Entity?figures=subcell_cell_%&amp;knowledge=10&amp;textmining=10&amp;experiments=10&amp;predictions=10&amp;type1=9606&amp;type2=-22&amp;id1=ENSP00000369419","link")</f>
        <v>link</v>
      </c>
      <c r="AI1430" t="s">
        <v>1216</v>
      </c>
      <c r="AJ1430" t="s">
        <v>3228</v>
      </c>
      <c r="AK1430" t="str">
        <f>HYPERLINK("http://www.proteinatlas.org/Q687X5","no")</f>
        <v>no</v>
      </c>
      <c r="AM1430">
        <v>79689</v>
      </c>
    </row>
    <row r="1431" spans="1:39" x14ac:dyDescent="0.35">
      <c r="A1431" t="s">
        <v>15044</v>
      </c>
      <c r="B1431" t="str">
        <f>HYPERLINK("http://www.uniprot.org/uniprot/Q68D85","Q68D85")</f>
        <v>Q68D85</v>
      </c>
      <c r="C1431" t="s">
        <v>15045</v>
      </c>
      <c r="D1431" t="s">
        <v>15046</v>
      </c>
      <c r="E1431" t="s">
        <v>39</v>
      </c>
      <c r="F1431" t="s">
        <v>55</v>
      </c>
      <c r="H1431">
        <v>454</v>
      </c>
      <c r="I1431">
        <v>1</v>
      </c>
      <c r="J1431">
        <v>1</v>
      </c>
      <c r="K1431" t="s">
        <v>15047</v>
      </c>
      <c r="L1431" t="s">
        <v>101</v>
      </c>
      <c r="M1431" t="s">
        <v>39</v>
      </c>
      <c r="N1431">
        <v>0.84130000000000005</v>
      </c>
      <c r="O1431" s="1">
        <v>1</v>
      </c>
      <c r="P1431" t="s">
        <v>15048</v>
      </c>
      <c r="Q1431" t="s">
        <v>15049</v>
      </c>
      <c r="S1431" t="s">
        <v>60</v>
      </c>
      <c r="T1431" t="s">
        <v>60</v>
      </c>
      <c r="U1431" t="s">
        <v>15050</v>
      </c>
      <c r="V1431">
        <v>7</v>
      </c>
      <c r="Z1431" t="s">
        <v>107</v>
      </c>
      <c r="AA1431">
        <v>4</v>
      </c>
      <c r="AB1431" t="s">
        <v>15051</v>
      </c>
      <c r="AC1431" t="s">
        <v>15052</v>
      </c>
      <c r="AD1431" t="s">
        <v>15053</v>
      </c>
      <c r="AE1431" t="s">
        <v>332</v>
      </c>
      <c r="AF1431" t="s">
        <v>15054</v>
      </c>
      <c r="AG1431" t="s">
        <v>15055</v>
      </c>
      <c r="AH1431" t="str">
        <f>HYPERLINK("http://compartments.jensenlab.org/Entity?figures=subcell_cell_%&amp;knowledge=10&amp;textmining=10&amp;experiments=10&amp;predictions=10&amp;type1=9606&amp;type2=-22&amp;id1=ENSP00000341637","link")</f>
        <v>link</v>
      </c>
      <c r="AI1431" t="s">
        <v>65</v>
      </c>
      <c r="AJ1431" t="s">
        <v>51</v>
      </c>
      <c r="AK1431" t="str">
        <f>HYPERLINK("http://www.proteinatlas.org/Q68D85","HPA024137")</f>
        <v>HPA024137</v>
      </c>
      <c r="AM1431">
        <v>374383</v>
      </c>
    </row>
    <row r="1432" spans="1:39" x14ac:dyDescent="0.35">
      <c r="A1432" t="s">
        <v>15056</v>
      </c>
      <c r="B1432" t="str">
        <f>HYPERLINK("http://www.uniprot.org/uniprot/Q68DH5","Q68DH5")</f>
        <v>Q68DH5</v>
      </c>
      <c r="C1432" t="s">
        <v>15057</v>
      </c>
      <c r="D1432" t="s">
        <v>15058</v>
      </c>
      <c r="E1432" t="s">
        <v>39</v>
      </c>
      <c r="F1432" t="s">
        <v>40</v>
      </c>
      <c r="H1432">
        <v>695</v>
      </c>
      <c r="I1432">
        <v>9</v>
      </c>
      <c r="J1432">
        <v>0</v>
      </c>
      <c r="K1432" t="s">
        <v>15059</v>
      </c>
      <c r="L1432" t="s">
        <v>101</v>
      </c>
      <c r="N1432">
        <v>0.71460000000000001</v>
      </c>
      <c r="O1432" s="1">
        <v>2</v>
      </c>
      <c r="P1432" t="s">
        <v>15060</v>
      </c>
      <c r="Q1432" t="s">
        <v>15061</v>
      </c>
      <c r="S1432" t="s">
        <v>60</v>
      </c>
      <c r="T1432" t="s">
        <v>60</v>
      </c>
      <c r="U1432" t="s">
        <v>15062</v>
      </c>
      <c r="V1432">
        <v>2</v>
      </c>
      <c r="Z1432" t="s">
        <v>123</v>
      </c>
      <c r="AA1432">
        <v>3</v>
      </c>
      <c r="AB1432" t="s">
        <v>15063</v>
      </c>
      <c r="AC1432" t="s">
        <v>15064</v>
      </c>
      <c r="AD1432" t="s">
        <v>15065</v>
      </c>
      <c r="AE1432" t="s">
        <v>48</v>
      </c>
      <c r="AF1432" t="s">
        <v>15066</v>
      </c>
      <c r="AG1432" t="s">
        <v>15067</v>
      </c>
      <c r="AH1432" t="str">
        <f>HYPERLINK("http://compartments.jensenlab.org/Entity?figures=subcell_cell_%&amp;knowledge=10&amp;textmining=10&amp;experiments=10&amp;predictions=10&amp;type1=9606&amp;type2=-22&amp;id1=ENSP00000296603","link")</f>
        <v>link</v>
      </c>
      <c r="AJ1432" t="s">
        <v>51</v>
      </c>
      <c r="AK1432" t="str">
        <f>HYPERLINK("http://www.proteinatlas.org/Q68DH5","HPA012165")</f>
        <v>HPA012165</v>
      </c>
      <c r="AM1432">
        <v>92255</v>
      </c>
    </row>
    <row r="1433" spans="1:39" x14ac:dyDescent="0.35">
      <c r="A1433" t="s">
        <v>15068</v>
      </c>
      <c r="B1433" t="str">
        <f>HYPERLINK("http://www.uniprot.org/uniprot/Q68DV7","Q68DV7")</f>
        <v>Q68DV7</v>
      </c>
      <c r="C1433" t="s">
        <v>15069</v>
      </c>
      <c r="D1433" t="s">
        <v>15070</v>
      </c>
      <c r="E1433" t="s">
        <v>39</v>
      </c>
      <c r="F1433" t="s">
        <v>40</v>
      </c>
      <c r="H1433">
        <v>783</v>
      </c>
      <c r="I1433">
        <v>1</v>
      </c>
      <c r="J1433">
        <v>1</v>
      </c>
      <c r="K1433" t="s">
        <v>15071</v>
      </c>
      <c r="L1433" t="s">
        <v>57</v>
      </c>
      <c r="N1433">
        <v>0.76649999999999996</v>
      </c>
      <c r="O1433" s="1">
        <v>1</v>
      </c>
      <c r="P1433" t="s">
        <v>15072</v>
      </c>
      <c r="Q1433" t="s">
        <v>15073</v>
      </c>
      <c r="S1433" t="s">
        <v>60</v>
      </c>
      <c r="T1433" t="s">
        <v>60</v>
      </c>
      <c r="U1433" t="s">
        <v>15074</v>
      </c>
      <c r="V1433">
        <v>2</v>
      </c>
      <c r="W1433" t="s">
        <v>15075</v>
      </c>
      <c r="AE1433" t="s">
        <v>15076</v>
      </c>
      <c r="AF1433" t="s">
        <v>15077</v>
      </c>
      <c r="AG1433" t="s">
        <v>15078</v>
      </c>
      <c r="AH1433" t="str">
        <f>HYPERLINK("http://compartments.jensenlab.org/Entity?figures=subcell_cell_%&amp;knowledge=10&amp;textmining=10&amp;experiments=10&amp;predictions=10&amp;type1=9606&amp;type2=-22&amp;id1=ENSP00000385328","link")</f>
        <v>link</v>
      </c>
      <c r="AI1433" t="s">
        <v>15079</v>
      </c>
      <c r="AJ1433" t="s">
        <v>12046</v>
      </c>
      <c r="AK1433" t="str">
        <f>HYPERLINK("http://www.proteinatlas.org/Q68DV7","HPA008079")</f>
        <v>HPA008079</v>
      </c>
      <c r="AM1433">
        <v>54894</v>
      </c>
    </row>
    <row r="1434" spans="1:39" x14ac:dyDescent="0.35">
      <c r="A1434" t="s">
        <v>15080</v>
      </c>
      <c r="B1434" t="str">
        <f>HYPERLINK("http://www.uniprot.org/uniprot/Q69384","Q69384")</f>
        <v>Q69384</v>
      </c>
      <c r="C1434" t="s">
        <v>15081</v>
      </c>
      <c r="D1434" t="s">
        <v>15082</v>
      </c>
      <c r="E1434" t="s">
        <v>39</v>
      </c>
      <c r="F1434" t="s">
        <v>40</v>
      </c>
      <c r="H1434">
        <v>699</v>
      </c>
      <c r="I1434">
        <v>1</v>
      </c>
      <c r="J1434">
        <v>1</v>
      </c>
      <c r="K1434" t="s">
        <v>2437</v>
      </c>
      <c r="L1434" t="s">
        <v>57</v>
      </c>
      <c r="N1434">
        <v>0.87229999999999996</v>
      </c>
      <c r="O1434" s="1">
        <v>1</v>
      </c>
      <c r="S1434" t="s">
        <v>91</v>
      </c>
      <c r="T1434" t="s">
        <v>2438</v>
      </c>
      <c r="U1434" t="s">
        <v>2439</v>
      </c>
      <c r="V1434">
        <v>11</v>
      </c>
      <c r="AE1434" t="s">
        <v>1674</v>
      </c>
      <c r="AF1434" t="s">
        <v>2440</v>
      </c>
      <c r="AG1434" t="s">
        <v>15083</v>
      </c>
      <c r="AK1434" t="str">
        <f>HYPERLINK("http://www.proteinatlas.org/Q69384","no")</f>
        <v>no</v>
      </c>
    </row>
    <row r="1435" spans="1:39" x14ac:dyDescent="0.35">
      <c r="A1435" t="s">
        <v>15084</v>
      </c>
      <c r="B1435" t="str">
        <f>HYPERLINK("http://www.uniprot.org/uniprot/Q695T7","Q695T7")</f>
        <v>Q695T7</v>
      </c>
      <c r="C1435" t="s">
        <v>15085</v>
      </c>
      <c r="D1435" t="s">
        <v>15086</v>
      </c>
      <c r="E1435" t="s">
        <v>39</v>
      </c>
      <c r="F1435" t="s">
        <v>40</v>
      </c>
      <c r="H1435">
        <v>634</v>
      </c>
      <c r="I1435">
        <v>12</v>
      </c>
      <c r="J1435">
        <v>0</v>
      </c>
      <c r="K1435" t="s">
        <v>15087</v>
      </c>
      <c r="L1435" t="s">
        <v>57</v>
      </c>
      <c r="N1435">
        <v>0.88219999999999998</v>
      </c>
      <c r="O1435" s="1">
        <v>1</v>
      </c>
      <c r="P1435" t="s">
        <v>15088</v>
      </c>
      <c r="Q1435" t="s">
        <v>15089</v>
      </c>
      <c r="S1435" t="s">
        <v>45</v>
      </c>
      <c r="T1435" t="s">
        <v>6998</v>
      </c>
      <c r="U1435" t="s">
        <v>15090</v>
      </c>
      <c r="V1435">
        <v>5</v>
      </c>
      <c r="W1435" t="s">
        <v>15090</v>
      </c>
      <c r="Y1435">
        <v>135</v>
      </c>
      <c r="AE1435" t="s">
        <v>48</v>
      </c>
      <c r="AF1435" t="s">
        <v>15091</v>
      </c>
      <c r="AG1435" t="s">
        <v>15092</v>
      </c>
      <c r="AH1435" t="str">
        <f>HYPERLINK("http://compartments.jensenlab.org/Entity?figures=subcell_cell_%&amp;knowledge=10&amp;textmining=10&amp;experiments=10&amp;predictions=10&amp;type1=9606&amp;type2=-22&amp;id1=ENSP00000305302","link")</f>
        <v>link</v>
      </c>
      <c r="AJ1435" t="s">
        <v>51</v>
      </c>
      <c r="AK1435" t="str">
        <f>HYPERLINK("http://www.proteinatlas.org/Q695T7","HPA037415")</f>
        <v>HPA037415</v>
      </c>
      <c r="AM1435">
        <v>340024</v>
      </c>
    </row>
    <row r="1436" spans="1:39" x14ac:dyDescent="0.35">
      <c r="A1436" t="s">
        <v>15093</v>
      </c>
      <c r="B1436" t="str">
        <f>HYPERLINK("http://www.uniprot.org/uniprot/Q6DN72","Q6DN72")</f>
        <v>Q6DN72</v>
      </c>
      <c r="C1436" t="s">
        <v>15094</v>
      </c>
      <c r="D1436" t="s">
        <v>15095</v>
      </c>
      <c r="E1436" t="s">
        <v>39</v>
      </c>
      <c r="F1436" t="s">
        <v>55</v>
      </c>
      <c r="H1436">
        <v>434</v>
      </c>
      <c r="I1436">
        <v>1</v>
      </c>
      <c r="J1436">
        <v>1</v>
      </c>
      <c r="K1436" t="s">
        <v>15096</v>
      </c>
      <c r="L1436" t="s">
        <v>101</v>
      </c>
      <c r="M1436" t="s">
        <v>39</v>
      </c>
      <c r="N1436">
        <v>0.93879999999999997</v>
      </c>
      <c r="O1436" s="1">
        <v>1</v>
      </c>
      <c r="P1436" t="s">
        <v>15097</v>
      </c>
      <c r="Q1436" t="s">
        <v>15098</v>
      </c>
      <c r="S1436" t="s">
        <v>166</v>
      </c>
      <c r="T1436" t="s">
        <v>478</v>
      </c>
      <c r="U1436" t="s">
        <v>15099</v>
      </c>
      <c r="V1436">
        <v>3</v>
      </c>
      <c r="W1436">
        <v>65</v>
      </c>
      <c r="Z1436" t="s">
        <v>107</v>
      </c>
      <c r="AA1436">
        <v>3</v>
      </c>
      <c r="AB1436" t="s">
        <v>15100</v>
      </c>
      <c r="AC1436" t="s">
        <v>15099</v>
      </c>
      <c r="AD1436" t="s">
        <v>15101</v>
      </c>
      <c r="AE1436" t="s">
        <v>144</v>
      </c>
      <c r="AF1436" t="s">
        <v>5674</v>
      </c>
      <c r="AG1436" t="s">
        <v>15102</v>
      </c>
      <c r="AH1436" t="str">
        <f>HYPERLINK("http://compartments.jensenlab.org/Entity?figures=subcell_cell_%&amp;knowledge=10&amp;textmining=10&amp;experiments=10&amp;predictions=10&amp;type1=9606&amp;type2=-22&amp;id1=ENSP00000357086","link")</f>
        <v>link</v>
      </c>
      <c r="AI1436" t="s">
        <v>65</v>
      </c>
      <c r="AJ1436" t="s">
        <v>51</v>
      </c>
      <c r="AK1436" t="str">
        <f>HYPERLINK("http://www.proteinatlas.org/Q6DN72","no")</f>
        <v>no</v>
      </c>
      <c r="AM1436">
        <v>343413</v>
      </c>
    </row>
    <row r="1437" spans="1:39" x14ac:dyDescent="0.35">
      <c r="A1437" t="s">
        <v>15103</v>
      </c>
      <c r="B1437" t="str">
        <f>HYPERLINK("http://www.uniprot.org/uniprot/Q6DWJ6","Q6DWJ6")</f>
        <v>Q6DWJ6</v>
      </c>
      <c r="C1437" t="s">
        <v>15104</v>
      </c>
      <c r="D1437" t="s">
        <v>15105</v>
      </c>
      <c r="E1437" t="s">
        <v>39</v>
      </c>
      <c r="F1437" t="s">
        <v>40</v>
      </c>
      <c r="H1437">
        <v>353</v>
      </c>
      <c r="I1437">
        <v>7</v>
      </c>
      <c r="J1437">
        <v>0</v>
      </c>
      <c r="K1437" t="s">
        <v>15106</v>
      </c>
      <c r="L1437" t="s">
        <v>57</v>
      </c>
      <c r="N1437">
        <v>0.82040000000000002</v>
      </c>
      <c r="O1437" s="1">
        <v>1</v>
      </c>
      <c r="P1437" t="s">
        <v>15107</v>
      </c>
      <c r="Q1437" t="s">
        <v>15108</v>
      </c>
      <c r="S1437" t="s">
        <v>166</v>
      </c>
      <c r="T1437" t="s">
        <v>838</v>
      </c>
      <c r="U1437" t="s">
        <v>15109</v>
      </c>
      <c r="V1437">
        <v>1</v>
      </c>
      <c r="AE1437" t="s">
        <v>74</v>
      </c>
      <c r="AF1437" t="s">
        <v>13176</v>
      </c>
      <c r="AG1437" t="s">
        <v>15110</v>
      </c>
      <c r="AH1437" t="str">
        <f>HYPERLINK("http://compartments.jensenlab.org/Entity?figures=subcell_cell_%&amp;knowledge=10&amp;textmining=10&amp;experiments=10&amp;predictions=10&amp;type1=9606&amp;type2=-22&amp;id1=ENSP00000458791","link")</f>
        <v>link</v>
      </c>
      <c r="AK1437" t="str">
        <f>HYPERLINK("http://www.proteinatlas.org/Q6DWJ6","HPA046596")</f>
        <v>HPA046596</v>
      </c>
      <c r="AM1437">
        <v>124274</v>
      </c>
    </row>
    <row r="1438" spans="1:39" x14ac:dyDescent="0.35">
      <c r="A1438" t="s">
        <v>15111</v>
      </c>
      <c r="B1438" t="str">
        <f>HYPERLINK("http://www.uniprot.org/uniprot/Q6EMK4","Q6EMK4")</f>
        <v>Q6EMK4</v>
      </c>
      <c r="C1438" t="s">
        <v>15112</v>
      </c>
      <c r="D1438" t="s">
        <v>15113</v>
      </c>
      <c r="E1438" t="s">
        <v>39</v>
      </c>
      <c r="F1438" t="s">
        <v>40</v>
      </c>
      <c r="H1438">
        <v>673</v>
      </c>
      <c r="I1438">
        <v>1</v>
      </c>
      <c r="J1438">
        <v>1</v>
      </c>
      <c r="K1438" t="s">
        <v>15114</v>
      </c>
      <c r="L1438" t="s">
        <v>101</v>
      </c>
      <c r="N1438">
        <v>0.92420000000000002</v>
      </c>
      <c r="O1438" s="1">
        <v>1</v>
      </c>
      <c r="P1438" t="s">
        <v>15115</v>
      </c>
      <c r="Q1438" t="s">
        <v>15116</v>
      </c>
      <c r="S1438" t="s">
        <v>91</v>
      </c>
      <c r="T1438" t="s">
        <v>260</v>
      </c>
      <c r="U1438" t="s">
        <v>15117</v>
      </c>
      <c r="V1438">
        <v>5</v>
      </c>
      <c r="W1438" t="s">
        <v>15117</v>
      </c>
      <c r="X1438">
        <v>361</v>
      </c>
      <c r="Z1438" t="s">
        <v>107</v>
      </c>
      <c r="AA1438">
        <v>9</v>
      </c>
      <c r="AB1438" t="s">
        <v>15118</v>
      </c>
      <c r="AC1438" t="s">
        <v>15119</v>
      </c>
      <c r="AD1438" t="s">
        <v>15120</v>
      </c>
      <c r="AE1438" t="s">
        <v>1434</v>
      </c>
      <c r="AF1438" t="s">
        <v>15121</v>
      </c>
      <c r="AG1438" t="s">
        <v>15122</v>
      </c>
      <c r="AH1438" t="str">
        <f>HYPERLINK("http://compartments.jensenlab.org/Entity?figures=subcell_cell_%&amp;knowledge=10&amp;textmining=10&amp;experiments=10&amp;predictions=10&amp;type1=9606&amp;type2=-22&amp;id1=ENSP00000306864","link")</f>
        <v>link</v>
      </c>
      <c r="AI1438" t="s">
        <v>113</v>
      </c>
      <c r="AJ1438" t="s">
        <v>902</v>
      </c>
      <c r="AK1438" t="str">
        <f>HYPERLINK("http://www.proteinatlas.org/Q6EMK4","HPA011246")</f>
        <v>HPA011246</v>
      </c>
      <c r="AM1438">
        <v>114990</v>
      </c>
    </row>
    <row r="1439" spans="1:39" x14ac:dyDescent="0.35">
      <c r="A1439" t="s">
        <v>15123</v>
      </c>
      <c r="B1439" t="str">
        <f>HYPERLINK("http://www.uniprot.org/uniprot/Q6GTX8","Q6GTX8")</f>
        <v>Q6GTX8</v>
      </c>
      <c r="C1439" t="s">
        <v>15124</v>
      </c>
      <c r="D1439" t="s">
        <v>15125</v>
      </c>
      <c r="E1439" t="s">
        <v>39</v>
      </c>
      <c r="F1439" t="s">
        <v>55</v>
      </c>
      <c r="H1439">
        <v>287</v>
      </c>
      <c r="I1439">
        <v>1</v>
      </c>
      <c r="J1439">
        <v>1</v>
      </c>
      <c r="K1439" t="s">
        <v>15126</v>
      </c>
      <c r="L1439" t="s">
        <v>101</v>
      </c>
      <c r="M1439" t="s">
        <v>39</v>
      </c>
      <c r="N1439">
        <v>0.90529999999999999</v>
      </c>
      <c r="O1439" s="1">
        <v>1</v>
      </c>
      <c r="P1439" t="s">
        <v>15127</v>
      </c>
      <c r="Q1439" t="s">
        <v>15128</v>
      </c>
      <c r="R1439" t="s">
        <v>15129</v>
      </c>
      <c r="S1439" t="s">
        <v>60</v>
      </c>
      <c r="T1439" t="s">
        <v>60</v>
      </c>
      <c r="U1439">
        <v>69</v>
      </c>
      <c r="V1439">
        <v>1</v>
      </c>
      <c r="Z1439" t="s">
        <v>107</v>
      </c>
      <c r="AA1439">
        <v>2</v>
      </c>
      <c r="AB1439" t="s">
        <v>15130</v>
      </c>
      <c r="AC1439">
        <v>69</v>
      </c>
      <c r="AD1439" t="s">
        <v>15131</v>
      </c>
      <c r="AE1439" t="s">
        <v>1023</v>
      </c>
      <c r="AF1439" t="s">
        <v>15132</v>
      </c>
      <c r="AG1439" t="s">
        <v>15133</v>
      </c>
      <c r="AH1439" t="str">
        <f>HYPERLINK("http://compartments.jensenlab.org/Entity?figures=subcell_cell_%&amp;knowledge=10&amp;textmining=10&amp;experiments=10&amp;predictions=10&amp;type1=9606&amp;type2=-22&amp;id1=ENSP00000301193","link")</f>
        <v>link</v>
      </c>
      <c r="AI1439" t="s">
        <v>65</v>
      </c>
      <c r="AJ1439" t="s">
        <v>51</v>
      </c>
      <c r="AK1439" t="str">
        <f>HYPERLINK("http://www.proteinatlas.org/Q6GTX8","HPA011155")</f>
        <v>HPA011155</v>
      </c>
      <c r="AM1439">
        <v>3903</v>
      </c>
    </row>
    <row r="1440" spans="1:39" x14ac:dyDescent="0.35">
      <c r="A1440" t="s">
        <v>15134</v>
      </c>
      <c r="B1440" t="str">
        <f>HYPERLINK("http://www.uniprot.org/uniprot/Q6GV28","Q6GV28")</f>
        <v>Q6GV28</v>
      </c>
      <c r="C1440" t="s">
        <v>15135</v>
      </c>
      <c r="D1440" t="s">
        <v>15136</v>
      </c>
      <c r="E1440" t="s">
        <v>39</v>
      </c>
      <c r="F1440" t="s">
        <v>40</v>
      </c>
      <c r="H1440">
        <v>225</v>
      </c>
      <c r="I1440">
        <v>4</v>
      </c>
      <c r="J1440">
        <v>0</v>
      </c>
      <c r="K1440" t="s">
        <v>15137</v>
      </c>
      <c r="L1440" t="s">
        <v>42</v>
      </c>
      <c r="N1440">
        <v>0.65669999999999995</v>
      </c>
      <c r="O1440" s="1">
        <v>2</v>
      </c>
      <c r="P1440" t="s">
        <v>15138</v>
      </c>
      <c r="Q1440" t="s">
        <v>15139</v>
      </c>
      <c r="S1440" t="s">
        <v>60</v>
      </c>
      <c r="T1440" t="s">
        <v>60</v>
      </c>
      <c r="U1440" t="s">
        <v>15140</v>
      </c>
      <c r="V1440">
        <v>1</v>
      </c>
      <c r="AE1440" t="s">
        <v>48</v>
      </c>
      <c r="AF1440" t="s">
        <v>15141</v>
      </c>
      <c r="AG1440" t="s">
        <v>15142</v>
      </c>
      <c r="AH1440" t="str">
        <f>HYPERLINK("http://compartments.jensenlab.org/Entity?figures=subcell_cell_%&amp;knowledge=10&amp;textmining=10&amp;experiments=10&amp;predictions=10&amp;type1=9606&amp;type2=-22&amp;id1=ENSP00000364166","link")</f>
        <v>link</v>
      </c>
      <c r="AJ1440" t="s">
        <v>51</v>
      </c>
      <c r="AK1440" t="str">
        <f>HYPERLINK("http://www.proteinatlas.org/Q6GV28","HPA015052")</f>
        <v>HPA015052</v>
      </c>
      <c r="AM1440">
        <v>338661</v>
      </c>
    </row>
    <row r="1441" spans="1:39" x14ac:dyDescent="0.35">
      <c r="A1441" t="s">
        <v>15143</v>
      </c>
      <c r="B1441" t="str">
        <f>HYPERLINK("http://www.uniprot.org/uniprot/Q6H3X3","Q6H3X3")</f>
        <v>Q6H3X3</v>
      </c>
      <c r="C1441" t="s">
        <v>15144</v>
      </c>
      <c r="D1441" t="s">
        <v>15145</v>
      </c>
      <c r="E1441" t="s">
        <v>39</v>
      </c>
      <c r="F1441" t="s">
        <v>239</v>
      </c>
      <c r="H1441">
        <v>334</v>
      </c>
      <c r="I1441">
        <v>1</v>
      </c>
      <c r="J1441">
        <v>1</v>
      </c>
      <c r="K1441" t="s">
        <v>15146</v>
      </c>
      <c r="L1441" t="s">
        <v>57</v>
      </c>
      <c r="N1441">
        <v>0.63670000000000004</v>
      </c>
      <c r="O1441" s="1">
        <v>2</v>
      </c>
      <c r="P1441" t="s">
        <v>15147</v>
      </c>
      <c r="Q1441" t="s">
        <v>15148</v>
      </c>
      <c r="S1441" t="s">
        <v>91</v>
      </c>
      <c r="T1441" t="s">
        <v>14971</v>
      </c>
      <c r="U1441">
        <v>82</v>
      </c>
      <c r="V1441">
        <v>1</v>
      </c>
      <c r="X1441">
        <v>214</v>
      </c>
      <c r="AE1441" t="s">
        <v>15149</v>
      </c>
      <c r="AF1441" t="s">
        <v>15150</v>
      </c>
      <c r="AG1441" t="s">
        <v>15151</v>
      </c>
      <c r="AH1441" t="str">
        <f>HYPERLINK("http://compartments.jensenlab.org/Entity?figures=subcell_cell_%&amp;knowledge=10&amp;textmining=10&amp;experiments=10&amp;predictions=10&amp;type1=9606&amp;type2=-22&amp;id1=ENSP00000356329","link")</f>
        <v>link</v>
      </c>
      <c r="AI1441" t="s">
        <v>65</v>
      </c>
      <c r="AJ1441" t="s">
        <v>51</v>
      </c>
      <c r="AK1441" t="str">
        <f>HYPERLINK("http://www.proteinatlas.org/Q6H3X3","no")</f>
        <v>no</v>
      </c>
      <c r="AM1441">
        <v>353091</v>
      </c>
    </row>
    <row r="1442" spans="1:39" x14ac:dyDescent="0.35">
      <c r="A1442" t="s">
        <v>15152</v>
      </c>
      <c r="B1442" t="str">
        <f>HYPERLINK("http://www.uniprot.org/uniprot/Q6IA17","Q6IA17")</f>
        <v>Q6IA17</v>
      </c>
      <c r="C1442" t="s">
        <v>15153</v>
      </c>
      <c r="D1442" t="s">
        <v>15154</v>
      </c>
      <c r="E1442" t="s">
        <v>39</v>
      </c>
      <c r="F1442" t="s">
        <v>40</v>
      </c>
      <c r="H1442">
        <v>410</v>
      </c>
      <c r="I1442">
        <v>1</v>
      </c>
      <c r="J1442">
        <v>0</v>
      </c>
      <c r="K1442" t="s">
        <v>15155</v>
      </c>
      <c r="L1442" t="s">
        <v>57</v>
      </c>
      <c r="N1442">
        <v>0.61280000000000001</v>
      </c>
      <c r="O1442" s="1">
        <v>2</v>
      </c>
      <c r="P1442" t="s">
        <v>15156</v>
      </c>
      <c r="Q1442" t="s">
        <v>15157</v>
      </c>
      <c r="S1442" t="s">
        <v>166</v>
      </c>
      <c r="T1442" t="s">
        <v>3171</v>
      </c>
      <c r="U1442" t="s">
        <v>15158</v>
      </c>
      <c r="V1442">
        <v>4</v>
      </c>
      <c r="AE1442" t="s">
        <v>1305</v>
      </c>
      <c r="AF1442" t="s">
        <v>15159</v>
      </c>
      <c r="AG1442" t="s">
        <v>15160</v>
      </c>
      <c r="AH1442" t="str">
        <f>HYPERLINK("http://compartments.jensenlab.org/Entity?figures=subcell_cell_%&amp;knowledge=10&amp;textmining=10&amp;experiments=10&amp;predictions=10&amp;type1=9606&amp;type2=-22&amp;id1=ENSP00000333656","link")</f>
        <v>link</v>
      </c>
      <c r="AJ1442" t="s">
        <v>113</v>
      </c>
      <c r="AK1442" t="str">
        <f>HYPERLINK("http://www.proteinatlas.org/Q6IA17","HPA023188")</f>
        <v>HPA023188</v>
      </c>
      <c r="AM1442">
        <v>59307</v>
      </c>
    </row>
    <row r="1443" spans="1:39" x14ac:dyDescent="0.35">
      <c r="A1443" t="s">
        <v>15161</v>
      </c>
      <c r="B1443" t="str">
        <f>HYPERLINK("http://www.uniprot.org/uniprot/Q6ICI0","Q6ICI0")</f>
        <v>Q6ICI0</v>
      </c>
      <c r="C1443" t="s">
        <v>15162</v>
      </c>
      <c r="D1443" t="s">
        <v>15163</v>
      </c>
      <c r="E1443" t="s">
        <v>39</v>
      </c>
      <c r="F1443" t="s">
        <v>40</v>
      </c>
      <c r="H1443">
        <v>200</v>
      </c>
      <c r="I1443">
        <v>3</v>
      </c>
      <c r="J1443">
        <v>1</v>
      </c>
      <c r="K1443" t="s">
        <v>15164</v>
      </c>
      <c r="L1443" t="s">
        <v>42</v>
      </c>
      <c r="N1443">
        <v>0.76249999999999996</v>
      </c>
      <c r="O1443" s="1">
        <v>1</v>
      </c>
      <c r="P1443" t="s">
        <v>15165</v>
      </c>
      <c r="Q1443" t="s">
        <v>15166</v>
      </c>
      <c r="S1443" t="s">
        <v>91</v>
      </c>
      <c r="T1443" t="s">
        <v>15167</v>
      </c>
      <c r="U1443">
        <v>49</v>
      </c>
      <c r="V1443">
        <v>1</v>
      </c>
      <c r="AE1443" t="s">
        <v>48</v>
      </c>
      <c r="AF1443" t="s">
        <v>15168</v>
      </c>
      <c r="AG1443" t="s">
        <v>15169</v>
      </c>
      <c r="AH1443" t="str">
        <f>HYPERLINK("http://compartments.jensenlab.org/Entity?figures=subcell_cell_%&amp;knowledge=10&amp;textmining=10&amp;experiments=10&amp;predictions=10&amp;type1=9606&amp;type2=-22&amp;id1=ENSP00000385494","link")</f>
        <v>link</v>
      </c>
      <c r="AK1443" t="str">
        <f>HYPERLINK("http://www.proteinatlas.org/Q6ICI0","HPA066784")</f>
        <v>HPA066784</v>
      </c>
      <c r="AM1443">
        <v>255349</v>
      </c>
    </row>
    <row r="1444" spans="1:39" x14ac:dyDescent="0.35">
      <c r="A1444" t="s">
        <v>15170</v>
      </c>
      <c r="B1444" t="str">
        <f>HYPERLINK("http://www.uniprot.org/uniprot/Q6IEE7","Q6IEE7")</f>
        <v>Q6IEE7</v>
      </c>
      <c r="C1444" t="s">
        <v>15171</v>
      </c>
      <c r="D1444" t="s">
        <v>15172</v>
      </c>
      <c r="E1444" t="s">
        <v>39</v>
      </c>
      <c r="F1444" t="s">
        <v>40</v>
      </c>
      <c r="H1444">
        <v>984</v>
      </c>
      <c r="I1444">
        <v>1</v>
      </c>
      <c r="J1444">
        <v>1</v>
      </c>
      <c r="K1444" t="s">
        <v>15173</v>
      </c>
      <c r="L1444" t="s">
        <v>101</v>
      </c>
      <c r="N1444">
        <v>0.84630000000000005</v>
      </c>
      <c r="O1444" s="1">
        <v>1</v>
      </c>
      <c r="P1444" t="s">
        <v>15174</v>
      </c>
      <c r="Q1444" t="s">
        <v>15175</v>
      </c>
      <c r="S1444" t="s">
        <v>91</v>
      </c>
      <c r="T1444" t="s">
        <v>13396</v>
      </c>
      <c r="U1444" t="s">
        <v>15176</v>
      </c>
      <c r="V1444">
        <v>4</v>
      </c>
      <c r="Z1444" t="s">
        <v>107</v>
      </c>
      <c r="AA1444">
        <v>1</v>
      </c>
      <c r="AB1444" t="s">
        <v>15177</v>
      </c>
      <c r="AC1444">
        <v>70</v>
      </c>
      <c r="AD1444" t="s">
        <v>15178</v>
      </c>
      <c r="AE1444" t="s">
        <v>144</v>
      </c>
      <c r="AF1444" t="s">
        <v>409</v>
      </c>
      <c r="AG1444" t="s">
        <v>15179</v>
      </c>
      <c r="AH1444" t="str">
        <f>HYPERLINK("http://compartments.jensenlab.org/Entity?figures=subcell_cell_%&amp;knowledge=10&amp;textmining=10&amp;experiments=10&amp;predictions=10&amp;type1=9606&amp;type2=-22&amp;id1=ENSP00000316532","link")</f>
        <v>link</v>
      </c>
      <c r="AJ1444" t="s">
        <v>51</v>
      </c>
      <c r="AK1444" t="str">
        <f>HYPERLINK("http://www.proteinatlas.org/Q6IEE7","no")</f>
        <v>no</v>
      </c>
      <c r="AM1444">
        <v>124842</v>
      </c>
    </row>
    <row r="1445" spans="1:39" x14ac:dyDescent="0.35">
      <c r="A1445" t="s">
        <v>15180</v>
      </c>
      <c r="B1445" t="str">
        <f>HYPERLINK("http://www.uniprot.org/uniprot/Q6IEU7","Q6IEU7")</f>
        <v>Q6IEU7</v>
      </c>
      <c r="C1445" t="s">
        <v>15181</v>
      </c>
      <c r="D1445" t="s">
        <v>15182</v>
      </c>
      <c r="E1445" t="s">
        <v>39</v>
      </c>
      <c r="F1445" t="s">
        <v>40</v>
      </c>
      <c r="H1445">
        <v>315</v>
      </c>
      <c r="I1445">
        <v>7</v>
      </c>
      <c r="J1445">
        <v>0</v>
      </c>
      <c r="K1445" t="s">
        <v>15183</v>
      </c>
      <c r="L1445" t="s">
        <v>57</v>
      </c>
      <c r="N1445">
        <v>0.89019999999999999</v>
      </c>
      <c r="O1445" s="1">
        <v>1</v>
      </c>
      <c r="P1445" t="s">
        <v>15184</v>
      </c>
      <c r="Q1445" t="s">
        <v>15185</v>
      </c>
      <c r="S1445" t="s">
        <v>166</v>
      </c>
      <c r="T1445" t="s">
        <v>167</v>
      </c>
      <c r="U1445" t="s">
        <v>15186</v>
      </c>
      <c r="V1445">
        <v>1</v>
      </c>
      <c r="AE1445" t="s">
        <v>74</v>
      </c>
      <c r="AF1445" t="s">
        <v>169</v>
      </c>
      <c r="AG1445" t="s">
        <v>15187</v>
      </c>
      <c r="AH1445" t="str">
        <f>HYPERLINK("http://compartments.jensenlab.org/Entity?figures=subcell_cell_%&amp;knowledge=10&amp;textmining=10&amp;experiments=10&amp;predictions=10&amp;type1=9606&amp;type2=-22&amp;id1=ENSP00000436004","link")</f>
        <v>link</v>
      </c>
      <c r="AK1445" t="str">
        <f>HYPERLINK("http://www.proteinatlas.org/Q6IEU7","no")</f>
        <v>no</v>
      </c>
      <c r="AM1445">
        <v>390167</v>
      </c>
    </row>
    <row r="1446" spans="1:39" x14ac:dyDescent="0.35">
      <c r="A1446" t="s">
        <v>15188</v>
      </c>
      <c r="B1446" t="str">
        <f>HYPERLINK("http://www.uniprot.org/uniprot/Q6IEV9","Q6IEV9")</f>
        <v>Q6IEV9</v>
      </c>
      <c r="C1446" t="s">
        <v>15189</v>
      </c>
      <c r="D1446" t="s">
        <v>15190</v>
      </c>
      <c r="E1446" t="s">
        <v>39</v>
      </c>
      <c r="F1446" t="s">
        <v>55</v>
      </c>
      <c r="H1446">
        <v>310</v>
      </c>
      <c r="I1446">
        <v>7</v>
      </c>
      <c r="J1446">
        <v>0</v>
      </c>
      <c r="K1446" t="s">
        <v>15191</v>
      </c>
      <c r="L1446" t="s">
        <v>57</v>
      </c>
      <c r="N1446">
        <v>0.95809999999999995</v>
      </c>
      <c r="O1446" s="1">
        <v>1</v>
      </c>
      <c r="P1446" t="s">
        <v>15192</v>
      </c>
      <c r="Q1446" t="s">
        <v>15193</v>
      </c>
      <c r="S1446" t="s">
        <v>166</v>
      </c>
      <c r="T1446" t="s">
        <v>167</v>
      </c>
      <c r="U1446" t="s">
        <v>15194</v>
      </c>
      <c r="V1446">
        <v>1</v>
      </c>
      <c r="AE1446" t="s">
        <v>74</v>
      </c>
      <c r="AF1446" t="s">
        <v>169</v>
      </c>
      <c r="AG1446" t="s">
        <v>15195</v>
      </c>
      <c r="AH1446" t="str">
        <f>HYPERLINK("http://compartments.jensenlab.org/Entity?figures=subcell_cell_%&amp;knowledge=10&amp;textmining=10&amp;experiments=10&amp;predictions=10&amp;type1=9606&amp;type2=-22&amp;id1=ENSP00000306651","link")</f>
        <v>link</v>
      </c>
      <c r="AI1446" t="s">
        <v>65</v>
      </c>
      <c r="AJ1446" t="s">
        <v>51</v>
      </c>
      <c r="AK1446" t="str">
        <f>HYPERLINK("http://www.proteinatlas.org/Q6IEV9","no")</f>
        <v>no</v>
      </c>
      <c r="AM1446">
        <v>219429</v>
      </c>
    </row>
    <row r="1447" spans="1:39" x14ac:dyDescent="0.35">
      <c r="A1447" t="s">
        <v>15196</v>
      </c>
      <c r="B1447" t="str">
        <f>HYPERLINK("http://www.uniprot.org/uniprot/Q6IEY1","Q6IEY1")</f>
        <v>Q6IEY1</v>
      </c>
      <c r="C1447" t="s">
        <v>15197</v>
      </c>
      <c r="D1447" t="s">
        <v>15198</v>
      </c>
      <c r="E1447" t="s">
        <v>39</v>
      </c>
      <c r="F1447" t="s">
        <v>55</v>
      </c>
      <c r="H1447">
        <v>312</v>
      </c>
      <c r="I1447">
        <v>7</v>
      </c>
      <c r="J1447">
        <v>0</v>
      </c>
      <c r="K1447" t="s">
        <v>3081</v>
      </c>
      <c r="L1447" t="s">
        <v>57</v>
      </c>
      <c r="M1447" t="s">
        <v>39</v>
      </c>
      <c r="N1447">
        <v>0.98819999999999997</v>
      </c>
      <c r="O1447" s="1">
        <v>1</v>
      </c>
      <c r="P1447" t="s">
        <v>15199</v>
      </c>
      <c r="Q1447" t="s">
        <v>15200</v>
      </c>
      <c r="S1447" t="s">
        <v>166</v>
      </c>
      <c r="T1447" t="s">
        <v>167</v>
      </c>
      <c r="U1447">
        <v>5</v>
      </c>
      <c r="V1447">
        <v>1</v>
      </c>
      <c r="AE1447" t="s">
        <v>74</v>
      </c>
      <c r="AF1447" t="s">
        <v>549</v>
      </c>
      <c r="AG1447" t="s">
        <v>15201</v>
      </c>
      <c r="AH1447" t="str">
        <f>HYPERLINK("http://compartments.jensenlab.org/Entity?figures=subcell_cell_%&amp;knowledge=10&amp;textmining=10&amp;experiments=10&amp;predictions=10&amp;type1=9606&amp;type2=-22&amp;id1=ENSP00000329982","link")</f>
        <v>link</v>
      </c>
      <c r="AI1447" t="s">
        <v>2883</v>
      </c>
      <c r="AJ1447" t="s">
        <v>2884</v>
      </c>
      <c r="AK1447" t="str">
        <f>HYPERLINK("http://www.proteinatlas.org/Q6IEY1","HPA047705")</f>
        <v>HPA047705</v>
      </c>
      <c r="AM1447" t="s">
        <v>15202</v>
      </c>
    </row>
    <row r="1448" spans="1:39" x14ac:dyDescent="0.35">
      <c r="A1448" t="s">
        <v>15203</v>
      </c>
      <c r="B1448" t="str">
        <f>HYPERLINK("http://www.uniprot.org/uniprot/Q6IEZ7","Q6IEZ7")</f>
        <v>Q6IEZ7</v>
      </c>
      <c r="C1448" t="s">
        <v>15204</v>
      </c>
      <c r="D1448" t="s">
        <v>15205</v>
      </c>
      <c r="E1448" t="s">
        <v>39</v>
      </c>
      <c r="F1448" t="s">
        <v>55</v>
      </c>
      <c r="H1448">
        <v>315</v>
      </c>
      <c r="I1448">
        <v>7</v>
      </c>
      <c r="J1448">
        <v>0</v>
      </c>
      <c r="K1448" t="s">
        <v>15206</v>
      </c>
      <c r="L1448" t="s">
        <v>57</v>
      </c>
      <c r="N1448">
        <v>0.996</v>
      </c>
      <c r="O1448" s="1">
        <v>1</v>
      </c>
      <c r="P1448" t="s">
        <v>15207</v>
      </c>
      <c r="Q1448" t="s">
        <v>15208</v>
      </c>
      <c r="S1448" t="s">
        <v>166</v>
      </c>
      <c r="T1448" t="s">
        <v>167</v>
      </c>
      <c r="U1448" t="s">
        <v>15209</v>
      </c>
      <c r="V1448">
        <v>2</v>
      </c>
      <c r="AE1448" t="s">
        <v>74</v>
      </c>
      <c r="AF1448" t="s">
        <v>549</v>
      </c>
      <c r="AG1448" t="s">
        <v>15210</v>
      </c>
      <c r="AH1448" t="str">
        <f>HYPERLINK("http://compartments.jensenlab.org/Entity?figures=subcell_cell_%&amp;knowledge=10&amp;textmining=10&amp;experiments=10&amp;predictions=10&amp;type1=9606&amp;type2=-22&amp;id1=ENSP00000355429","link")</f>
        <v>link</v>
      </c>
      <c r="AI1448" t="s">
        <v>65</v>
      </c>
      <c r="AJ1448" t="s">
        <v>51</v>
      </c>
      <c r="AK1448" t="str">
        <f>HYPERLINK("http://www.proteinatlas.org/Q6IEZ7","no")</f>
        <v>no</v>
      </c>
      <c r="AM1448">
        <v>401993</v>
      </c>
    </row>
    <row r="1449" spans="1:39" x14ac:dyDescent="0.35">
      <c r="A1449" t="s">
        <v>15211</v>
      </c>
      <c r="B1449" t="str">
        <f>HYPERLINK("http://www.uniprot.org/uniprot/Q6IF00","Q6IF00")</f>
        <v>Q6IF00</v>
      </c>
      <c r="C1449" t="s">
        <v>15212</v>
      </c>
      <c r="D1449" t="s">
        <v>15213</v>
      </c>
      <c r="E1449" t="s">
        <v>39</v>
      </c>
      <c r="F1449" t="s">
        <v>55</v>
      </c>
      <c r="H1449">
        <v>324</v>
      </c>
      <c r="I1449">
        <v>7</v>
      </c>
      <c r="J1449">
        <v>0</v>
      </c>
      <c r="K1449" t="s">
        <v>15214</v>
      </c>
      <c r="L1449" t="s">
        <v>57</v>
      </c>
      <c r="N1449">
        <v>1</v>
      </c>
      <c r="O1449" s="1">
        <v>1</v>
      </c>
      <c r="P1449" t="s">
        <v>15215</v>
      </c>
      <c r="Q1449" t="s">
        <v>15216</v>
      </c>
      <c r="S1449" t="s">
        <v>166</v>
      </c>
      <c r="T1449" t="s">
        <v>167</v>
      </c>
      <c r="U1449">
        <v>9</v>
      </c>
      <c r="V1449">
        <v>1</v>
      </c>
      <c r="AE1449" t="s">
        <v>74</v>
      </c>
      <c r="AF1449" t="s">
        <v>549</v>
      </c>
      <c r="AG1449" t="s">
        <v>15217</v>
      </c>
      <c r="AH1449" t="str">
        <f>HYPERLINK("http://compartments.jensenlab.org/Entity?figures=subcell_cell_%&amp;knowledge=10&amp;textmining=10&amp;experiments=10&amp;predictions=10&amp;type1=9606&amp;type2=-22&amp;id1=ENSP00000343062","link")</f>
        <v>link</v>
      </c>
      <c r="AI1449" t="s">
        <v>65</v>
      </c>
      <c r="AJ1449" t="s">
        <v>51</v>
      </c>
      <c r="AK1449" t="str">
        <f>HYPERLINK("http://www.proteinatlas.org/Q6IF00","no")</f>
        <v>no</v>
      </c>
      <c r="AM1449">
        <v>401992</v>
      </c>
    </row>
    <row r="1450" spans="1:39" x14ac:dyDescent="0.35">
      <c r="A1450" t="s">
        <v>15218</v>
      </c>
      <c r="B1450" t="str">
        <f>HYPERLINK("http://www.uniprot.org/uniprot/Q6IF42","Q6IF42")</f>
        <v>Q6IF42</v>
      </c>
      <c r="C1450" t="s">
        <v>15219</v>
      </c>
      <c r="D1450" t="s">
        <v>15220</v>
      </c>
      <c r="E1450" t="s">
        <v>39</v>
      </c>
      <c r="F1450" t="s">
        <v>55</v>
      </c>
      <c r="H1450">
        <v>318</v>
      </c>
      <c r="I1450">
        <v>7</v>
      </c>
      <c r="J1450">
        <v>0</v>
      </c>
      <c r="K1450" t="s">
        <v>15221</v>
      </c>
      <c r="L1450" t="s">
        <v>57</v>
      </c>
      <c r="M1450" t="s">
        <v>39</v>
      </c>
      <c r="N1450">
        <v>0.98909999999999998</v>
      </c>
      <c r="O1450" s="1">
        <v>1</v>
      </c>
      <c r="P1450" t="s">
        <v>15222</v>
      </c>
      <c r="Q1450" t="s">
        <v>15223</v>
      </c>
      <c r="S1450" t="s">
        <v>166</v>
      </c>
      <c r="T1450" t="s">
        <v>167</v>
      </c>
      <c r="U1450">
        <v>4</v>
      </c>
      <c r="V1450">
        <v>1</v>
      </c>
      <c r="AE1450" t="s">
        <v>74</v>
      </c>
      <c r="AF1450" t="s">
        <v>455</v>
      </c>
      <c r="AG1450" t="s">
        <v>15224</v>
      </c>
      <c r="AH1450" t="str">
        <f>HYPERLINK("http://compartments.jensenlab.org/Entity?figures=subcell_cell_%&amp;knowledge=10&amp;textmining=10&amp;experiments=10&amp;predictions=10&amp;type1=9606&amp;type2=-22&amp;id1=ENSP00000386209","link")</f>
        <v>link</v>
      </c>
      <c r="AI1450" t="s">
        <v>65</v>
      </c>
      <c r="AJ1450" t="s">
        <v>51</v>
      </c>
      <c r="AK1450" t="str">
        <f>HYPERLINK("http://www.proteinatlas.org/Q6IF42","no")</f>
        <v>no</v>
      </c>
      <c r="AM1450">
        <v>442361</v>
      </c>
    </row>
    <row r="1451" spans="1:39" x14ac:dyDescent="0.35">
      <c r="A1451" t="s">
        <v>15225</v>
      </c>
      <c r="B1451" t="str">
        <f>HYPERLINK("http://www.uniprot.org/uniprot/Q6IF63","Q6IF63")</f>
        <v>Q6IF63</v>
      </c>
      <c r="C1451" t="s">
        <v>15226</v>
      </c>
      <c r="D1451" t="s">
        <v>15227</v>
      </c>
      <c r="E1451" t="s">
        <v>39</v>
      </c>
      <c r="F1451" t="s">
        <v>55</v>
      </c>
      <c r="H1451">
        <v>320</v>
      </c>
      <c r="I1451">
        <v>7</v>
      </c>
      <c r="J1451">
        <v>0</v>
      </c>
      <c r="K1451" t="s">
        <v>15228</v>
      </c>
      <c r="L1451" t="s">
        <v>57</v>
      </c>
      <c r="M1451" t="s">
        <v>39</v>
      </c>
      <c r="N1451">
        <v>0.88460000000000005</v>
      </c>
      <c r="O1451" s="1">
        <v>1</v>
      </c>
      <c r="P1451" t="s">
        <v>15229</v>
      </c>
      <c r="Q1451" t="s">
        <v>15230</v>
      </c>
      <c r="S1451" t="s">
        <v>166</v>
      </c>
      <c r="T1451" t="s">
        <v>167</v>
      </c>
      <c r="U1451">
        <v>8</v>
      </c>
      <c r="V1451">
        <v>1</v>
      </c>
      <c r="AE1451" t="s">
        <v>74</v>
      </c>
      <c r="AF1451" t="s">
        <v>455</v>
      </c>
      <c r="AG1451" t="s">
        <v>15231</v>
      </c>
      <c r="AH1451" t="str">
        <f>HYPERLINK("http://compartments.jensenlab.org/Entity?figures=subcell_cell_%&amp;knowledge=10&amp;textmining=10&amp;experiments=10&amp;predictions=10&amp;type1=9606&amp;type2=-22&amp;id1=ENSP00000309673","link")</f>
        <v>link</v>
      </c>
      <c r="AI1451" t="s">
        <v>65</v>
      </c>
      <c r="AJ1451" t="s">
        <v>51</v>
      </c>
      <c r="AK1451" t="str">
        <f>HYPERLINK("http://www.proteinatlas.org/Q6IF63","no")</f>
        <v>no</v>
      </c>
      <c r="AM1451">
        <v>120787</v>
      </c>
    </row>
    <row r="1452" spans="1:39" x14ac:dyDescent="0.35">
      <c r="A1452" t="s">
        <v>15232</v>
      </c>
      <c r="B1452" t="str">
        <f>HYPERLINK("http://www.uniprot.org/uniprot/Q6IF82","Q6IF82")</f>
        <v>Q6IF82</v>
      </c>
      <c r="C1452" t="s">
        <v>15233</v>
      </c>
      <c r="D1452" t="s">
        <v>15234</v>
      </c>
      <c r="E1452" t="s">
        <v>39</v>
      </c>
      <c r="F1452" t="s">
        <v>55</v>
      </c>
      <c r="H1452">
        <v>309</v>
      </c>
      <c r="I1452">
        <v>7</v>
      </c>
      <c r="J1452">
        <v>0</v>
      </c>
      <c r="K1452" t="s">
        <v>15235</v>
      </c>
      <c r="L1452" t="s">
        <v>57</v>
      </c>
      <c r="N1452">
        <v>0.98799999999999999</v>
      </c>
      <c r="O1452" s="1">
        <v>1</v>
      </c>
      <c r="P1452" t="s">
        <v>15236</v>
      </c>
      <c r="Q1452" t="s">
        <v>15237</v>
      </c>
      <c r="S1452" t="s">
        <v>166</v>
      </c>
      <c r="T1452" t="s">
        <v>167</v>
      </c>
      <c r="U1452" t="s">
        <v>15238</v>
      </c>
      <c r="V1452">
        <v>2</v>
      </c>
      <c r="AE1452" t="s">
        <v>74</v>
      </c>
      <c r="AF1452" t="s">
        <v>169</v>
      </c>
      <c r="AG1452" t="s">
        <v>15239</v>
      </c>
      <c r="AH1452" t="str">
        <f>HYPERLINK("http://compartments.jensenlab.org/Entity?figures=subcell_cell_%&amp;knowledge=10&amp;textmining=10&amp;experiments=10&amp;predictions=10&amp;type1=9606&amp;type2=-22&amp;id1=ENSP00000412752","link")</f>
        <v>link</v>
      </c>
      <c r="AI1452" t="s">
        <v>65</v>
      </c>
      <c r="AJ1452" t="s">
        <v>51</v>
      </c>
      <c r="AK1452" t="str">
        <f>HYPERLINK("http://www.proteinatlas.org/Q6IF82","HPA059763")</f>
        <v>HPA059763</v>
      </c>
      <c r="AM1452">
        <v>403253</v>
      </c>
    </row>
    <row r="1453" spans="1:39" x14ac:dyDescent="0.35">
      <c r="A1453" t="s">
        <v>15240</v>
      </c>
      <c r="B1453" t="str">
        <f>HYPERLINK("http://www.uniprot.org/uniprot/Q6IF99","Q6IF99")</f>
        <v>Q6IF99</v>
      </c>
      <c r="C1453" t="s">
        <v>15241</v>
      </c>
      <c r="D1453" t="s">
        <v>15242</v>
      </c>
      <c r="E1453" t="s">
        <v>39</v>
      </c>
      <c r="F1453" t="s">
        <v>55</v>
      </c>
      <c r="H1453">
        <v>312</v>
      </c>
      <c r="I1453">
        <v>7</v>
      </c>
      <c r="J1453">
        <v>0</v>
      </c>
      <c r="K1453" t="s">
        <v>15243</v>
      </c>
      <c r="L1453" t="s">
        <v>57</v>
      </c>
      <c r="N1453">
        <v>0.86229999999999996</v>
      </c>
      <c r="O1453" s="1">
        <v>1</v>
      </c>
      <c r="P1453" t="s">
        <v>15244</v>
      </c>
      <c r="Q1453" t="s">
        <v>15245</v>
      </c>
      <c r="S1453" t="s">
        <v>166</v>
      </c>
      <c r="T1453" t="s">
        <v>167</v>
      </c>
      <c r="U1453" t="s">
        <v>15246</v>
      </c>
      <c r="V1453">
        <v>2</v>
      </c>
      <c r="AE1453" t="s">
        <v>74</v>
      </c>
      <c r="AF1453" t="s">
        <v>455</v>
      </c>
      <c r="AG1453" t="s">
        <v>15247</v>
      </c>
      <c r="AH1453" t="str">
        <f>HYPERLINK("http://compartments.jensenlab.org/Entity?figures=subcell_cell_%&amp;knowledge=10&amp;textmining=10&amp;experiments=10&amp;predictions=10&amp;type1=9606&amp;type2=-22&amp;id1=ENSP00000324251","link")</f>
        <v>link</v>
      </c>
      <c r="AI1453" t="s">
        <v>65</v>
      </c>
      <c r="AJ1453" t="s">
        <v>51</v>
      </c>
      <c r="AK1453" t="str">
        <f>HYPERLINK("http://www.proteinatlas.org/Q6IF99","HPA059125")</f>
        <v>HPA059125</v>
      </c>
      <c r="AM1453">
        <v>391107</v>
      </c>
    </row>
    <row r="1454" spans="1:39" x14ac:dyDescent="0.35">
      <c r="A1454" t="s">
        <v>15248</v>
      </c>
      <c r="B1454" t="str">
        <f>HYPERLINK("http://www.uniprot.org/uniprot/Q6IFG1","Q6IFG1")</f>
        <v>Q6IFG1</v>
      </c>
      <c r="C1454" t="s">
        <v>15249</v>
      </c>
      <c r="D1454" t="s">
        <v>15250</v>
      </c>
      <c r="E1454" t="s">
        <v>39</v>
      </c>
      <c r="F1454" t="s">
        <v>40</v>
      </c>
      <c r="H1454">
        <v>317</v>
      </c>
      <c r="I1454">
        <v>7</v>
      </c>
      <c r="J1454">
        <v>0</v>
      </c>
      <c r="K1454" t="s">
        <v>15251</v>
      </c>
      <c r="L1454" t="s">
        <v>57</v>
      </c>
      <c r="N1454">
        <v>0.91020000000000001</v>
      </c>
      <c r="O1454" s="1">
        <v>1</v>
      </c>
      <c r="P1454" t="s">
        <v>15252</v>
      </c>
      <c r="Q1454" t="s">
        <v>15253</v>
      </c>
      <c r="S1454" t="s">
        <v>166</v>
      </c>
      <c r="T1454" t="s">
        <v>167</v>
      </c>
      <c r="U1454" t="s">
        <v>15254</v>
      </c>
      <c r="V1454">
        <v>1</v>
      </c>
      <c r="AE1454" t="s">
        <v>74</v>
      </c>
      <c r="AF1454" t="s">
        <v>549</v>
      </c>
      <c r="AG1454" t="s">
        <v>15255</v>
      </c>
      <c r="AH1454" t="str">
        <f>HYPERLINK("http://compartments.jensenlab.org/Entity?figures=subcell_cell_%&amp;knowledge=10&amp;textmining=10&amp;experiments=10&amp;predictions=10&amp;type1=9606&amp;type2=-22&amp;id1=ENSP00000444054","link")</f>
        <v>link</v>
      </c>
      <c r="AK1454" t="str">
        <f>HYPERLINK("http://www.proteinatlas.org/Q6IFG1","no")</f>
        <v>no</v>
      </c>
      <c r="AM1454">
        <v>390079</v>
      </c>
    </row>
    <row r="1455" spans="1:39" x14ac:dyDescent="0.35">
      <c r="A1455" t="s">
        <v>15256</v>
      </c>
      <c r="B1455" t="str">
        <f>HYPERLINK("http://www.uniprot.org/uniprot/Q6IFH4","Q6IFH4")</f>
        <v>Q6IFH4</v>
      </c>
      <c r="C1455" t="s">
        <v>15257</v>
      </c>
      <c r="D1455" t="s">
        <v>15258</v>
      </c>
      <c r="E1455" t="s">
        <v>39</v>
      </c>
      <c r="F1455" t="s">
        <v>40</v>
      </c>
      <c r="H1455">
        <v>312</v>
      </c>
      <c r="I1455">
        <v>7</v>
      </c>
      <c r="J1455">
        <v>0</v>
      </c>
      <c r="K1455" t="s">
        <v>15259</v>
      </c>
      <c r="L1455" t="s">
        <v>57</v>
      </c>
      <c r="N1455">
        <v>0.86229999999999996</v>
      </c>
      <c r="O1455" s="1">
        <v>1</v>
      </c>
      <c r="P1455" t="s">
        <v>15260</v>
      </c>
      <c r="Q1455" t="s">
        <v>15261</v>
      </c>
      <c r="S1455" t="s">
        <v>166</v>
      </c>
      <c r="T1455" t="s">
        <v>167</v>
      </c>
      <c r="U1455">
        <v>5</v>
      </c>
      <c r="V1455">
        <v>1</v>
      </c>
      <c r="AE1455" t="s">
        <v>74</v>
      </c>
      <c r="AF1455" t="s">
        <v>169</v>
      </c>
      <c r="AG1455" t="s">
        <v>15262</v>
      </c>
      <c r="AH1455" t="str">
        <f>HYPERLINK("http://compartments.jensenlab.org/Entity?figures=subcell_cell_%&amp;knowledge=10&amp;textmining=10&amp;experiments=10&amp;predictions=10&amp;type1=9606&amp;type2=-22&amp;id1=ENSP00000384563","link")</f>
        <v>link</v>
      </c>
      <c r="AK1455" t="str">
        <f>HYPERLINK("http://www.proteinatlas.org/Q6IFH4","HPA047529")</f>
        <v>HPA047529</v>
      </c>
      <c r="AM1455">
        <v>389090</v>
      </c>
    </row>
    <row r="1456" spans="1:39" x14ac:dyDescent="0.35">
      <c r="A1456" t="s">
        <v>15263</v>
      </c>
      <c r="B1456" t="str">
        <f>HYPERLINK("http://www.uniprot.org/uniprot/Q6IFN5","Q6IFN5")</f>
        <v>Q6IFN5</v>
      </c>
      <c r="C1456" t="s">
        <v>15264</v>
      </c>
      <c r="D1456" t="s">
        <v>15265</v>
      </c>
      <c r="E1456" t="s">
        <v>39</v>
      </c>
      <c r="F1456" t="s">
        <v>55</v>
      </c>
      <c r="H1456">
        <v>339</v>
      </c>
      <c r="I1456">
        <v>7</v>
      </c>
      <c r="J1456">
        <v>0</v>
      </c>
      <c r="K1456" t="s">
        <v>15266</v>
      </c>
      <c r="L1456" t="s">
        <v>57</v>
      </c>
      <c r="N1456">
        <v>0.89219999999999999</v>
      </c>
      <c r="O1456" s="1">
        <v>1</v>
      </c>
      <c r="P1456" t="s">
        <v>15267</v>
      </c>
      <c r="Q1456" t="s">
        <v>15268</v>
      </c>
      <c r="S1456" t="s">
        <v>166</v>
      </c>
      <c r="T1456" t="s">
        <v>167</v>
      </c>
      <c r="U1456" t="s">
        <v>15269</v>
      </c>
      <c r="V1456">
        <v>1</v>
      </c>
      <c r="AE1456" t="s">
        <v>74</v>
      </c>
      <c r="AF1456" t="s">
        <v>169</v>
      </c>
      <c r="AG1456" t="s">
        <v>15270</v>
      </c>
      <c r="AH1456" t="str">
        <f>HYPERLINK("http://compartments.jensenlab.org/Entity?figures=subcell_cell_%&amp;knowledge=10&amp;textmining=10&amp;experiments=10&amp;predictions=10&amp;type1=9606&amp;type2=-22&amp;id1=ENSP00000387523","link")</f>
        <v>link</v>
      </c>
      <c r="AI1456" t="s">
        <v>65</v>
      </c>
      <c r="AJ1456" t="s">
        <v>51</v>
      </c>
      <c r="AK1456" t="str">
        <f>HYPERLINK("http://www.proteinatlas.org/Q6IFN5","no")</f>
        <v>no</v>
      </c>
      <c r="AM1456">
        <v>26648</v>
      </c>
    </row>
    <row r="1457" spans="1:39" x14ac:dyDescent="0.35">
      <c r="A1457" t="s">
        <v>15271</v>
      </c>
      <c r="B1457" t="str">
        <f>HYPERLINK("http://www.uniprot.org/uniprot/Q6ISU1","Q6ISU1")</f>
        <v>Q6ISU1</v>
      </c>
      <c r="C1457" t="s">
        <v>15272</v>
      </c>
      <c r="D1457" t="s">
        <v>15273</v>
      </c>
      <c r="E1457" t="s">
        <v>39</v>
      </c>
      <c r="F1457" t="s">
        <v>40</v>
      </c>
      <c r="H1457">
        <v>281</v>
      </c>
      <c r="I1457">
        <v>1</v>
      </c>
      <c r="J1457">
        <v>1</v>
      </c>
      <c r="K1457" t="s">
        <v>15274</v>
      </c>
      <c r="L1457" t="s">
        <v>57</v>
      </c>
      <c r="N1457">
        <v>0.5988</v>
      </c>
      <c r="O1457" s="1">
        <v>2</v>
      </c>
      <c r="P1457" t="s">
        <v>15275</v>
      </c>
      <c r="Q1457" t="s">
        <v>15276</v>
      </c>
      <c r="U1457">
        <v>67</v>
      </c>
      <c r="V1457">
        <v>1</v>
      </c>
      <c r="AE1457" t="s">
        <v>144</v>
      </c>
      <c r="AF1457" t="s">
        <v>15277</v>
      </c>
      <c r="AG1457" t="s">
        <v>15278</v>
      </c>
      <c r="AH1457" t="str">
        <f>HYPERLINK("http://compartments.jensenlab.org/Entity?figures=subcell_cell_%&amp;knowledge=10&amp;textmining=10&amp;experiments=10&amp;predictions=10&amp;type1=9606&amp;type2=-22&amp;id1=ENSP00000304447","link")</f>
        <v>link</v>
      </c>
      <c r="AJ1457" t="s">
        <v>51</v>
      </c>
      <c r="AK1457" t="str">
        <f>HYPERLINK("http://www.proteinatlas.org/Q6ISU1","no")</f>
        <v>no</v>
      </c>
      <c r="AM1457">
        <v>171558</v>
      </c>
    </row>
    <row r="1458" spans="1:39" x14ac:dyDescent="0.35">
      <c r="A1458" t="s">
        <v>15279</v>
      </c>
      <c r="B1458" t="str">
        <f>HYPERLINK("http://www.uniprot.org/uniprot/Q6IWH7","Q6IWH7")</f>
        <v>Q6IWH7</v>
      </c>
      <c r="C1458" t="s">
        <v>15280</v>
      </c>
      <c r="D1458" t="s">
        <v>15281</v>
      </c>
      <c r="E1458" t="s">
        <v>39</v>
      </c>
      <c r="F1458" t="s">
        <v>40</v>
      </c>
      <c r="H1458">
        <v>933</v>
      </c>
      <c r="I1458">
        <v>8</v>
      </c>
      <c r="J1458">
        <v>0</v>
      </c>
      <c r="K1458" t="s">
        <v>15282</v>
      </c>
      <c r="L1458" t="s">
        <v>57</v>
      </c>
      <c r="N1458">
        <v>0.8044</v>
      </c>
      <c r="O1458" s="1">
        <v>1</v>
      </c>
      <c r="P1458" t="s">
        <v>15283</v>
      </c>
      <c r="Q1458" t="s">
        <v>15284</v>
      </c>
      <c r="S1458" t="s">
        <v>91</v>
      </c>
      <c r="T1458" t="s">
        <v>104</v>
      </c>
      <c r="U1458" t="s">
        <v>15285</v>
      </c>
      <c r="V1458">
        <v>2</v>
      </c>
      <c r="Y1458" t="s">
        <v>15286</v>
      </c>
      <c r="AE1458" t="s">
        <v>15287</v>
      </c>
      <c r="AF1458" t="s">
        <v>15288</v>
      </c>
      <c r="AG1458" t="s">
        <v>15289</v>
      </c>
      <c r="AH1458" t="str">
        <f>HYPERLINK("http://compartments.jensenlab.org/Entity?figures=subcell_cell_%&amp;knowledge=10&amp;textmining=10&amp;experiments=10&amp;predictions=10&amp;type1=9606&amp;type2=-22&amp;id1=ENSP00000274979","link")</f>
        <v>link</v>
      </c>
      <c r="AI1458" t="s">
        <v>11700</v>
      </c>
      <c r="AJ1458" t="s">
        <v>15290</v>
      </c>
      <c r="AK1458" t="str">
        <f>HYPERLINK("http://www.proteinatlas.org/Q6IWH7","HPA035730;HPA035731")</f>
        <v>HPA035730;HPA035731</v>
      </c>
      <c r="AM1458">
        <v>50636</v>
      </c>
    </row>
    <row r="1459" spans="1:39" x14ac:dyDescent="0.35">
      <c r="A1459" t="s">
        <v>15291</v>
      </c>
      <c r="B1459" t="str">
        <f>HYPERLINK("http://www.uniprot.org/uniprot/Q6J4K2","Q6J4K2")</f>
        <v>Q6J4K2</v>
      </c>
      <c r="C1459" t="s">
        <v>15292</v>
      </c>
      <c r="D1459" t="s">
        <v>15293</v>
      </c>
      <c r="E1459" t="s">
        <v>39</v>
      </c>
      <c r="F1459" t="s">
        <v>55</v>
      </c>
      <c r="H1459">
        <v>584</v>
      </c>
      <c r="I1459">
        <v>13</v>
      </c>
      <c r="J1459">
        <v>0</v>
      </c>
      <c r="K1459" t="s">
        <v>15294</v>
      </c>
      <c r="L1459" t="s">
        <v>101</v>
      </c>
      <c r="M1459" t="s">
        <v>39</v>
      </c>
      <c r="N1459">
        <v>0.89200000000000002</v>
      </c>
      <c r="O1459" s="1">
        <v>1</v>
      </c>
      <c r="P1459" t="s">
        <v>15295</v>
      </c>
      <c r="Q1459" t="s">
        <v>15296</v>
      </c>
      <c r="S1459" t="s">
        <v>45</v>
      </c>
      <c r="T1459" t="s">
        <v>15297</v>
      </c>
      <c r="U1459" t="s">
        <v>15298</v>
      </c>
      <c r="V1459">
        <v>2</v>
      </c>
      <c r="Z1459" t="s">
        <v>107</v>
      </c>
      <c r="AA1459">
        <v>1</v>
      </c>
      <c r="AB1459" t="s">
        <v>15299</v>
      </c>
      <c r="AC1459">
        <v>60</v>
      </c>
      <c r="AD1459" t="s">
        <v>15300</v>
      </c>
      <c r="AE1459" t="s">
        <v>15301</v>
      </c>
      <c r="AF1459" t="s">
        <v>15302</v>
      </c>
      <c r="AG1459" t="s">
        <v>15303</v>
      </c>
      <c r="AH1459" t="str">
        <f>HYPERLINK("http://compartments.jensenlab.org/Entity?figures=subcell_cell_%&amp;knowledge=10&amp;textmining=10&amp;experiments=10&amp;predictions=10&amp;type1=9606&amp;type2=-22&amp;id1=ENSP00000202831","link")</f>
        <v>link</v>
      </c>
      <c r="AI1459" t="s">
        <v>65</v>
      </c>
      <c r="AJ1459" t="s">
        <v>51</v>
      </c>
      <c r="AK1459" t="str">
        <f>HYPERLINK("http://www.proteinatlas.org/Q6J4K2","HPA040668")</f>
        <v>HPA040668</v>
      </c>
      <c r="AM1459">
        <v>80024</v>
      </c>
    </row>
    <row r="1460" spans="1:39" x14ac:dyDescent="0.35">
      <c r="A1460" t="s">
        <v>15304</v>
      </c>
      <c r="B1460" t="str">
        <f>HYPERLINK("http://www.uniprot.org/uniprot/Q6MZM0","Q6MZM0")</f>
        <v>Q6MZM0</v>
      </c>
      <c r="C1460" t="s">
        <v>15305</v>
      </c>
      <c r="D1460" t="s">
        <v>15306</v>
      </c>
      <c r="E1460" t="s">
        <v>39</v>
      </c>
      <c r="F1460" t="s">
        <v>40</v>
      </c>
      <c r="H1460">
        <v>1159</v>
      </c>
      <c r="I1460">
        <v>1</v>
      </c>
      <c r="J1460">
        <v>1</v>
      </c>
      <c r="K1460" t="s">
        <v>15307</v>
      </c>
      <c r="L1460" t="s">
        <v>57</v>
      </c>
      <c r="N1460">
        <v>0.73450000000000004</v>
      </c>
      <c r="O1460" s="1">
        <v>2</v>
      </c>
      <c r="P1460" t="s">
        <v>15308</v>
      </c>
      <c r="Q1460" t="s">
        <v>15309</v>
      </c>
      <c r="S1460" t="s">
        <v>60</v>
      </c>
      <c r="T1460" t="s">
        <v>60</v>
      </c>
      <c r="U1460" t="s">
        <v>15310</v>
      </c>
      <c r="V1460">
        <v>6</v>
      </c>
      <c r="AE1460" t="s">
        <v>144</v>
      </c>
      <c r="AF1460" t="s">
        <v>15311</v>
      </c>
      <c r="AG1460" t="s">
        <v>15312</v>
      </c>
      <c r="AH1460" t="str">
        <f>HYPERLINK("http://compartments.jensenlab.org/Entity?figures=subcell_cell_%&amp;knowledge=10&amp;textmining=10&amp;experiments=10&amp;predictions=10&amp;type1=9606&amp;type2=-22&amp;id1=ENSP00000313699","link")</f>
        <v>link</v>
      </c>
      <c r="AJ1460" t="s">
        <v>51</v>
      </c>
      <c r="AK1460" t="str">
        <f>HYPERLINK("http://www.proteinatlas.org/Q6MZM0","HPA031517")</f>
        <v>HPA031517</v>
      </c>
      <c r="AM1460">
        <v>341208</v>
      </c>
    </row>
    <row r="1461" spans="1:39" x14ac:dyDescent="0.35">
      <c r="A1461" t="s">
        <v>15313</v>
      </c>
      <c r="B1461" t="str">
        <f>HYPERLINK("http://www.uniprot.org/uniprot/Q6N022","Q6N022")</f>
        <v>Q6N022</v>
      </c>
      <c r="C1461" t="s">
        <v>15314</v>
      </c>
      <c r="D1461" t="s">
        <v>15315</v>
      </c>
      <c r="E1461" t="s">
        <v>39</v>
      </c>
      <c r="F1461" t="s">
        <v>40</v>
      </c>
      <c r="H1461">
        <v>2769</v>
      </c>
      <c r="I1461">
        <v>1</v>
      </c>
      <c r="J1461">
        <v>0</v>
      </c>
      <c r="K1461" t="s">
        <v>15316</v>
      </c>
      <c r="L1461" t="s">
        <v>101</v>
      </c>
      <c r="N1461">
        <v>0.73850000000000005</v>
      </c>
      <c r="O1461" s="1">
        <v>2</v>
      </c>
      <c r="P1461" t="s">
        <v>15317</v>
      </c>
      <c r="Q1461" t="s">
        <v>15318</v>
      </c>
      <c r="S1461" t="s">
        <v>91</v>
      </c>
      <c r="T1461" t="s">
        <v>15319</v>
      </c>
      <c r="U1461" t="s">
        <v>15320</v>
      </c>
      <c r="V1461">
        <v>13</v>
      </c>
      <c r="Y1461">
        <v>987</v>
      </c>
      <c r="Z1461" t="s">
        <v>123</v>
      </c>
      <c r="AA1461">
        <v>7</v>
      </c>
      <c r="AB1461" t="s">
        <v>15321</v>
      </c>
      <c r="AC1461" t="s">
        <v>15322</v>
      </c>
      <c r="AD1461" t="s">
        <v>15323</v>
      </c>
      <c r="AE1461" t="s">
        <v>15324</v>
      </c>
      <c r="AF1461" t="s">
        <v>15325</v>
      </c>
      <c r="AG1461" t="s">
        <v>15326</v>
      </c>
      <c r="AH1461" t="str">
        <f>HYPERLINK("http://compartments.jensenlab.org/Entity?figures=subcell_cell_%&amp;knowledge=10&amp;textmining=10&amp;experiments=10&amp;predictions=10&amp;type1=9606&amp;type2=-22&amp;id1=ENSP00000278550","link")</f>
        <v>link</v>
      </c>
      <c r="AJ1461" t="s">
        <v>51</v>
      </c>
      <c r="AK1461" t="str">
        <f>HYPERLINK("http://www.proteinatlas.org/Q6N022","no")</f>
        <v>no</v>
      </c>
      <c r="AM1461">
        <v>26011</v>
      </c>
    </row>
    <row r="1462" spans="1:39" x14ac:dyDescent="0.35">
      <c r="A1462" t="s">
        <v>15327</v>
      </c>
      <c r="B1462" t="str">
        <f>HYPERLINK("http://www.uniprot.org/uniprot/Q6N075","Q6N075")</f>
        <v>Q6N075</v>
      </c>
      <c r="C1462" t="s">
        <v>15328</v>
      </c>
      <c r="D1462" t="s">
        <v>15329</v>
      </c>
      <c r="E1462" t="s">
        <v>39</v>
      </c>
      <c r="F1462" t="s">
        <v>40</v>
      </c>
      <c r="H1462">
        <v>450</v>
      </c>
      <c r="I1462">
        <v>11</v>
      </c>
      <c r="J1462">
        <v>1</v>
      </c>
      <c r="K1462" t="s">
        <v>15330</v>
      </c>
      <c r="L1462" t="s">
        <v>42</v>
      </c>
      <c r="N1462">
        <v>0.58879999999999999</v>
      </c>
      <c r="O1462" s="1">
        <v>2</v>
      </c>
      <c r="P1462" t="s">
        <v>15331</v>
      </c>
      <c r="Q1462" t="s">
        <v>15332</v>
      </c>
      <c r="S1462" t="s">
        <v>60</v>
      </c>
      <c r="T1462" t="s">
        <v>60</v>
      </c>
      <c r="V1462">
        <v>0</v>
      </c>
      <c r="AE1462" t="s">
        <v>74</v>
      </c>
      <c r="AF1462" t="s">
        <v>15333</v>
      </c>
      <c r="AG1462" t="s">
        <v>15334</v>
      </c>
      <c r="AH1462" t="str">
        <f>HYPERLINK("http://compartments.jensenlab.org/Entity?figures=subcell_cell_%&amp;knowledge=10&amp;textmining=10&amp;experiments=10&amp;predictions=10&amp;type1=9606&amp;type2=-22&amp;id1=ENSP00000332624","link")</f>
        <v>link</v>
      </c>
      <c r="AJ1462" t="s">
        <v>51</v>
      </c>
      <c r="AK1462" t="str">
        <f>HYPERLINK("http://www.proteinatlas.org/Q6N075","HPA039773")</f>
        <v>HPA039773</v>
      </c>
      <c r="AM1462">
        <v>84975</v>
      </c>
    </row>
    <row r="1463" spans="1:39" x14ac:dyDescent="0.35">
      <c r="A1463" t="s">
        <v>15335</v>
      </c>
      <c r="B1463" t="str">
        <f>HYPERLINK("http://www.uniprot.org/uniprot/Q6NUJ2","Q6NUJ2")</f>
        <v>Q6NUJ2</v>
      </c>
      <c r="C1463" t="s">
        <v>15336</v>
      </c>
      <c r="D1463" t="s">
        <v>15337</v>
      </c>
      <c r="E1463" t="s">
        <v>39</v>
      </c>
      <c r="F1463" t="s">
        <v>40</v>
      </c>
      <c r="H1463">
        <v>197</v>
      </c>
      <c r="I1463">
        <v>1</v>
      </c>
      <c r="J1463">
        <v>1</v>
      </c>
      <c r="K1463" t="s">
        <v>15338</v>
      </c>
      <c r="L1463" t="s">
        <v>57</v>
      </c>
      <c r="N1463">
        <v>0.74450000000000005</v>
      </c>
      <c r="O1463" s="1">
        <v>2</v>
      </c>
      <c r="P1463" t="s">
        <v>15339</v>
      </c>
      <c r="Q1463" t="s">
        <v>15340</v>
      </c>
      <c r="S1463" t="s">
        <v>60</v>
      </c>
      <c r="T1463" t="s">
        <v>60</v>
      </c>
      <c r="U1463" t="s">
        <v>15341</v>
      </c>
      <c r="V1463">
        <v>1</v>
      </c>
      <c r="AE1463" t="s">
        <v>144</v>
      </c>
      <c r="AF1463" t="s">
        <v>409</v>
      </c>
      <c r="AG1463" t="s">
        <v>15342</v>
      </c>
      <c r="AH1463" t="str">
        <f>HYPERLINK("http://compartments.jensenlab.org/Entity?figures=subcell_cell_%&amp;knowledge=10&amp;textmining=10&amp;experiments=10&amp;predictions=10&amp;type1=9606&amp;type2=-22&amp;id1=ENSP00000331581","link")</f>
        <v>link</v>
      </c>
      <c r="AJ1463" t="s">
        <v>51</v>
      </c>
      <c r="AK1463" t="str">
        <f>HYPERLINK("http://www.proteinatlas.org/Q6NUJ2","HPA034656")</f>
        <v>HPA034656</v>
      </c>
      <c r="AM1463">
        <v>399947</v>
      </c>
    </row>
    <row r="1464" spans="1:39" x14ac:dyDescent="0.35">
      <c r="A1464" t="s">
        <v>15343</v>
      </c>
      <c r="B1464" t="str">
        <f>HYPERLINK("http://www.uniprot.org/uniprot/Q6NUS6","Q6NUS6")</f>
        <v>Q6NUS6</v>
      </c>
      <c r="C1464" t="s">
        <v>15344</v>
      </c>
      <c r="D1464" t="s">
        <v>15345</v>
      </c>
      <c r="E1464" t="s">
        <v>39</v>
      </c>
      <c r="F1464" t="s">
        <v>40</v>
      </c>
      <c r="H1464">
        <v>607</v>
      </c>
      <c r="I1464">
        <v>1</v>
      </c>
      <c r="J1464">
        <v>1</v>
      </c>
      <c r="K1464" t="s">
        <v>15346</v>
      </c>
      <c r="L1464" t="s">
        <v>57</v>
      </c>
      <c r="N1464">
        <v>0.64070000000000005</v>
      </c>
      <c r="O1464" s="1">
        <v>2</v>
      </c>
      <c r="P1464" t="s">
        <v>15347</v>
      </c>
      <c r="Q1464" t="s">
        <v>15348</v>
      </c>
      <c r="S1464" t="s">
        <v>60</v>
      </c>
      <c r="T1464" t="s">
        <v>60</v>
      </c>
      <c r="U1464" t="s">
        <v>15349</v>
      </c>
      <c r="V1464">
        <v>8</v>
      </c>
      <c r="AE1464" t="s">
        <v>144</v>
      </c>
      <c r="AF1464" t="s">
        <v>15350</v>
      </c>
      <c r="AG1464" t="s">
        <v>15351</v>
      </c>
      <c r="AH1464" t="str">
        <f>HYPERLINK("http://compartments.jensenlab.org/Entity?figures=subcell_cell_%&amp;knowledge=10&amp;textmining=10&amp;experiments=10&amp;predictions=10&amp;type1=9606&amp;type2=-22&amp;id1=ENSP00000265993","link")</f>
        <v>link</v>
      </c>
      <c r="AJ1464" t="s">
        <v>51</v>
      </c>
      <c r="AK1464" t="str">
        <f>HYPERLINK("http://www.proteinatlas.org/Q6NUS6","HPA026987")</f>
        <v>HPA026987</v>
      </c>
      <c r="AM1464">
        <v>26123</v>
      </c>
    </row>
    <row r="1465" spans="1:39" x14ac:dyDescent="0.35">
      <c r="A1465" t="s">
        <v>15352</v>
      </c>
      <c r="B1465" t="str">
        <f>HYPERLINK("http://www.uniprot.org/uniprot/Q6NUT3","Q6NUT3")</f>
        <v>Q6NUT3</v>
      </c>
      <c r="C1465" t="s">
        <v>15353</v>
      </c>
      <c r="D1465" t="s">
        <v>15354</v>
      </c>
      <c r="E1465" t="s">
        <v>39</v>
      </c>
      <c r="F1465" t="s">
        <v>40</v>
      </c>
      <c r="H1465">
        <v>480</v>
      </c>
      <c r="I1465">
        <v>11</v>
      </c>
      <c r="J1465">
        <v>0</v>
      </c>
      <c r="K1465" t="s">
        <v>15355</v>
      </c>
      <c r="L1465" t="s">
        <v>42</v>
      </c>
      <c r="N1465">
        <v>0.63270000000000004</v>
      </c>
      <c r="O1465" s="1">
        <v>2</v>
      </c>
      <c r="P1465" t="s">
        <v>15356</v>
      </c>
      <c r="Q1465" t="s">
        <v>15357</v>
      </c>
      <c r="S1465" t="s">
        <v>60</v>
      </c>
      <c r="T1465" t="s">
        <v>60</v>
      </c>
      <c r="U1465" t="s">
        <v>15358</v>
      </c>
      <c r="V1465">
        <v>0</v>
      </c>
      <c r="Y1465">
        <v>268</v>
      </c>
      <c r="AE1465" t="s">
        <v>48</v>
      </c>
      <c r="AF1465" t="s">
        <v>15359</v>
      </c>
      <c r="AG1465" t="s">
        <v>15360</v>
      </c>
      <c r="AH1465" t="str">
        <f>HYPERLINK("http://compartments.jensenlab.org/Entity?figures=subcell_cell_%&amp;knowledge=10&amp;textmining=10&amp;experiments=10&amp;predictions=10&amp;type1=9606&amp;type2=-22&amp;id1=ENSP00000347583","link")</f>
        <v>link</v>
      </c>
      <c r="AK1465" t="str">
        <f>HYPERLINK("http://www.proteinatlas.org/Q6NUT3","HPA042149;HPA043088")</f>
        <v>HPA042149;HPA043088</v>
      </c>
      <c r="AM1465">
        <v>126321</v>
      </c>
    </row>
    <row r="1466" spans="1:39" x14ac:dyDescent="0.35">
      <c r="A1466" t="s">
        <v>15361</v>
      </c>
      <c r="B1466" t="str">
        <f>HYPERLINK("http://www.uniprot.org/uniprot/Q6NV75","Q6NV75")</f>
        <v>Q6NV75</v>
      </c>
      <c r="C1466" t="s">
        <v>15362</v>
      </c>
      <c r="D1466" t="s">
        <v>15363</v>
      </c>
      <c r="E1466" t="s">
        <v>39</v>
      </c>
      <c r="F1466" t="s">
        <v>55</v>
      </c>
      <c r="H1466">
        <v>609</v>
      </c>
      <c r="I1466">
        <v>7</v>
      </c>
      <c r="J1466">
        <v>0</v>
      </c>
      <c r="K1466" t="s">
        <v>15364</v>
      </c>
      <c r="L1466" t="s">
        <v>57</v>
      </c>
      <c r="M1466" t="s">
        <v>39</v>
      </c>
      <c r="N1466">
        <v>0.62890000000000001</v>
      </c>
      <c r="O1466" s="1">
        <v>2</v>
      </c>
      <c r="P1466" t="s">
        <v>15365</v>
      </c>
      <c r="Q1466" t="s">
        <v>15366</v>
      </c>
      <c r="S1466" t="s">
        <v>166</v>
      </c>
      <c r="T1466" t="s">
        <v>838</v>
      </c>
      <c r="V1466">
        <v>0</v>
      </c>
      <c r="AE1466" t="s">
        <v>74</v>
      </c>
      <c r="AF1466" t="s">
        <v>10163</v>
      </c>
      <c r="AG1466" t="s">
        <v>15367</v>
      </c>
      <c r="AH1466" t="str">
        <f>HYPERLINK("http://compartments.jensenlab.org/Entity?figures=subcell_cell_%&amp;knowledge=10&amp;textmining=10&amp;experiments=10&amp;predictions=10&amp;type1=9606&amp;type2=-22&amp;id1=ENSP00000367125","link")</f>
        <v>link</v>
      </c>
      <c r="AI1466" t="s">
        <v>65</v>
      </c>
      <c r="AJ1466" t="s">
        <v>51</v>
      </c>
      <c r="AK1466" t="str">
        <f>HYPERLINK("http://www.proteinatlas.org/Q6NV75","HPA007159")</f>
        <v>HPA007159</v>
      </c>
      <c r="AM1466">
        <v>387509</v>
      </c>
    </row>
    <row r="1467" spans="1:39" x14ac:dyDescent="0.35">
      <c r="A1467" t="s">
        <v>15368</v>
      </c>
      <c r="B1467" t="str">
        <f>HYPERLINK("http://www.uniprot.org/uniprot/Q6NVV3","Q6NVV3")</f>
        <v>Q6NVV3</v>
      </c>
      <c r="C1467" t="s">
        <v>15369</v>
      </c>
      <c r="D1467" t="s">
        <v>15370</v>
      </c>
      <c r="E1467" t="s">
        <v>39</v>
      </c>
      <c r="F1467" t="s">
        <v>40</v>
      </c>
      <c r="H1467">
        <v>410</v>
      </c>
      <c r="I1467">
        <v>9</v>
      </c>
      <c r="J1467">
        <v>0</v>
      </c>
      <c r="K1467" t="s">
        <v>15371</v>
      </c>
      <c r="L1467" t="s">
        <v>57</v>
      </c>
      <c r="N1467">
        <v>0.59279999999999999</v>
      </c>
      <c r="O1467" s="1">
        <v>2</v>
      </c>
      <c r="P1467" t="s">
        <v>15372</v>
      </c>
      <c r="Q1467" t="s">
        <v>15373</v>
      </c>
      <c r="S1467" t="s">
        <v>45</v>
      </c>
      <c r="T1467" t="s">
        <v>12290</v>
      </c>
      <c r="U1467" t="s">
        <v>15374</v>
      </c>
      <c r="V1467">
        <v>4</v>
      </c>
      <c r="Y1467">
        <v>115</v>
      </c>
      <c r="AE1467" t="s">
        <v>48</v>
      </c>
      <c r="AF1467" t="s">
        <v>15375</v>
      </c>
      <c r="AG1467" t="s">
        <v>15376</v>
      </c>
      <c r="AH1467" t="str">
        <f>HYPERLINK("http://compartments.jensenlab.org/Entity?figures=subcell_cell_%&amp;knowledge=10&amp;textmining=10&amp;experiments=10&amp;predictions=10&amp;type1=9606&amp;type2=-22&amp;id1=ENSP00000295461","link")</f>
        <v>link</v>
      </c>
      <c r="AJ1467" t="s">
        <v>51</v>
      </c>
      <c r="AK1467" t="str">
        <f>HYPERLINK("http://www.proteinatlas.org/Q6NVV3","HPA036765")</f>
        <v>HPA036765</v>
      </c>
      <c r="AM1467">
        <v>152519</v>
      </c>
    </row>
    <row r="1468" spans="1:39" x14ac:dyDescent="0.35">
      <c r="A1468" t="s">
        <v>15377</v>
      </c>
      <c r="B1468" t="str">
        <f>HYPERLINK("http://www.uniprot.org/uniprot/Q6NW40","Q6NW40")</f>
        <v>Q6NW40</v>
      </c>
      <c r="C1468" t="s">
        <v>15378</v>
      </c>
      <c r="D1468" t="s">
        <v>15379</v>
      </c>
      <c r="E1468" t="s">
        <v>39</v>
      </c>
      <c r="F1468" t="s">
        <v>239</v>
      </c>
      <c r="H1468">
        <v>437</v>
      </c>
      <c r="I1468">
        <v>0</v>
      </c>
      <c r="J1468">
        <v>1</v>
      </c>
      <c r="K1468" t="s">
        <v>15380</v>
      </c>
      <c r="L1468" t="s">
        <v>57</v>
      </c>
      <c r="N1468">
        <v>0.66869999999999996</v>
      </c>
      <c r="O1468" s="1" t="s">
        <v>241</v>
      </c>
      <c r="P1468" t="s">
        <v>15381</v>
      </c>
      <c r="Q1468" t="s">
        <v>15382</v>
      </c>
      <c r="U1468" t="s">
        <v>15383</v>
      </c>
      <c r="V1468">
        <v>3</v>
      </c>
      <c r="W1468" t="s">
        <v>15384</v>
      </c>
      <c r="X1468" t="s">
        <v>15385</v>
      </c>
      <c r="AE1468" t="s">
        <v>15386</v>
      </c>
      <c r="AF1468" t="s">
        <v>15387</v>
      </c>
      <c r="AG1468" t="s">
        <v>15388</v>
      </c>
      <c r="AH1468" t="str">
        <f>HYPERLINK("http://compartments.jensenlab.org/Entity?figures=subcell_cell_%&amp;knowledge=10&amp;textmining=10&amp;experiments=10&amp;predictions=10&amp;type1=9606&amp;type2=-22&amp;id1=ENSP00000423256","link")</f>
        <v>link</v>
      </c>
      <c r="AK1468" t="str">
        <f>HYPERLINK("http://www.proteinatlas.org/Q6NW40","HPA016993")</f>
        <v>HPA016993</v>
      </c>
      <c r="AM1468">
        <v>285704</v>
      </c>
    </row>
    <row r="1469" spans="1:39" x14ac:dyDescent="0.35">
      <c r="A1469" t="s">
        <v>15389</v>
      </c>
      <c r="B1469" t="str">
        <f>HYPERLINK("http://www.uniprot.org/uniprot/Q6P1J6","Q6P1J6")</f>
        <v>Q6P1J6</v>
      </c>
      <c r="C1469" t="s">
        <v>15390</v>
      </c>
      <c r="D1469" t="s">
        <v>15391</v>
      </c>
      <c r="E1469" t="s">
        <v>39</v>
      </c>
      <c r="F1469" t="s">
        <v>40</v>
      </c>
      <c r="H1469">
        <v>1458</v>
      </c>
      <c r="I1469">
        <v>1</v>
      </c>
      <c r="J1469">
        <v>1</v>
      </c>
      <c r="K1469" t="s">
        <v>15392</v>
      </c>
      <c r="L1469" t="s">
        <v>57</v>
      </c>
      <c r="N1469">
        <v>0.79239999999999999</v>
      </c>
      <c r="O1469" s="1">
        <v>1</v>
      </c>
      <c r="P1469" t="s">
        <v>15393</v>
      </c>
      <c r="Q1469" t="s">
        <v>15394</v>
      </c>
      <c r="S1469" t="s">
        <v>60</v>
      </c>
      <c r="T1469" t="s">
        <v>60</v>
      </c>
      <c r="U1469" t="s">
        <v>15395</v>
      </c>
      <c r="V1469">
        <v>14</v>
      </c>
      <c r="Y1469">
        <v>306</v>
      </c>
      <c r="AE1469" t="s">
        <v>15396</v>
      </c>
      <c r="AF1469" t="s">
        <v>15397</v>
      </c>
      <c r="AG1469" t="s">
        <v>15398</v>
      </c>
      <c r="AH1469" t="str">
        <f>HYPERLINK("http://compartments.jensenlab.org/Entity?figures=subcell_cell_%&amp;knowledge=10&amp;textmining=10&amp;experiments=10&amp;predictions=10&amp;type1=9606&amp;type2=-22&amp;id1=ENSP00000330442","link")</f>
        <v>link</v>
      </c>
      <c r="AI1469" t="s">
        <v>65</v>
      </c>
      <c r="AJ1469" t="s">
        <v>51</v>
      </c>
      <c r="AK1469" t="str">
        <f>HYPERLINK("http://www.proteinatlas.org/Q6P1J6","HPA014045")</f>
        <v>HPA014045</v>
      </c>
      <c r="AM1469">
        <v>151056</v>
      </c>
    </row>
    <row r="1470" spans="1:39" x14ac:dyDescent="0.35">
      <c r="A1470" t="s">
        <v>15399</v>
      </c>
      <c r="B1470" t="str">
        <f>HYPERLINK("http://www.uniprot.org/uniprot/Q6P499","Q6P499")</f>
        <v>Q6P499</v>
      </c>
      <c r="C1470" t="s">
        <v>15400</v>
      </c>
      <c r="D1470" t="s">
        <v>15401</v>
      </c>
      <c r="E1470" t="s">
        <v>39</v>
      </c>
      <c r="F1470" t="s">
        <v>40</v>
      </c>
      <c r="H1470">
        <v>406</v>
      </c>
      <c r="I1470">
        <v>9</v>
      </c>
      <c r="J1470">
        <v>0</v>
      </c>
      <c r="K1470" t="s">
        <v>15402</v>
      </c>
      <c r="L1470" t="s">
        <v>42</v>
      </c>
      <c r="N1470">
        <v>0.64870000000000005</v>
      </c>
      <c r="O1470" s="1">
        <v>2</v>
      </c>
      <c r="P1470" t="s">
        <v>15403</v>
      </c>
      <c r="Q1470" t="s">
        <v>15404</v>
      </c>
      <c r="S1470" t="s">
        <v>45</v>
      </c>
      <c r="T1470" t="s">
        <v>12290</v>
      </c>
      <c r="U1470" t="s">
        <v>15405</v>
      </c>
      <c r="V1470">
        <v>1</v>
      </c>
      <c r="AE1470" t="s">
        <v>48</v>
      </c>
      <c r="AF1470" t="s">
        <v>15406</v>
      </c>
      <c r="AG1470" t="s">
        <v>15407</v>
      </c>
      <c r="AH1470" t="str">
        <f>HYPERLINK("http://compartments.jensenlab.org/Entity?figures=subcell_cell_%&amp;knowledge=10&amp;textmining=10&amp;experiments=10&amp;predictions=10&amp;type1=9606&amp;type2=-22&amp;id1=ENSP00000363520","link")</f>
        <v>link</v>
      </c>
      <c r="AJ1470" t="s">
        <v>51</v>
      </c>
      <c r="AK1470" t="str">
        <f>HYPERLINK("http://www.proteinatlas.org/Q6P499","HPA039978")</f>
        <v>HPA039978</v>
      </c>
      <c r="AM1470">
        <v>57185</v>
      </c>
    </row>
    <row r="1471" spans="1:39" x14ac:dyDescent="0.35">
      <c r="A1471" t="s">
        <v>15408</v>
      </c>
      <c r="B1471" t="str">
        <f>HYPERLINK("http://www.uniprot.org/uniprot/Q6P4Q7","Q6P4Q7")</f>
        <v>Q6P4Q7</v>
      </c>
      <c r="C1471" t="s">
        <v>15409</v>
      </c>
      <c r="D1471" t="s">
        <v>15410</v>
      </c>
      <c r="E1471" t="s">
        <v>39</v>
      </c>
      <c r="F1471" t="s">
        <v>55</v>
      </c>
      <c r="H1471">
        <v>775</v>
      </c>
      <c r="I1471">
        <v>3</v>
      </c>
      <c r="J1471">
        <v>0</v>
      </c>
      <c r="K1471" t="s">
        <v>15411</v>
      </c>
      <c r="L1471" t="s">
        <v>101</v>
      </c>
      <c r="M1471" t="s">
        <v>39</v>
      </c>
      <c r="N1471">
        <v>0.49759999999999999</v>
      </c>
      <c r="O1471" s="1">
        <v>3</v>
      </c>
      <c r="P1471" t="s">
        <v>15412</v>
      </c>
      <c r="Q1471" t="s">
        <v>15413</v>
      </c>
      <c r="S1471" t="s">
        <v>60</v>
      </c>
      <c r="T1471" t="s">
        <v>60</v>
      </c>
      <c r="U1471" t="s">
        <v>15414</v>
      </c>
      <c r="V1471">
        <v>4</v>
      </c>
      <c r="Y1471">
        <v>160</v>
      </c>
      <c r="Z1471" t="s">
        <v>107</v>
      </c>
      <c r="AA1471">
        <v>5</v>
      </c>
      <c r="AB1471" t="s">
        <v>15415</v>
      </c>
      <c r="AC1471" t="s">
        <v>15416</v>
      </c>
      <c r="AD1471" t="s">
        <v>15417</v>
      </c>
      <c r="AE1471" t="s">
        <v>74</v>
      </c>
      <c r="AF1471" t="s">
        <v>15418</v>
      </c>
      <c r="AG1471" t="s">
        <v>15419</v>
      </c>
      <c r="AH1471" t="str">
        <f>HYPERLINK("http://compartments.jensenlab.org/Entity?figures=subcell_cell_%&amp;knowledge=10&amp;textmining=10&amp;experiments=10&amp;predictions=10&amp;type1=9606&amp;type2=-22&amp;id1=ENSP00000366275","link")</f>
        <v>link</v>
      </c>
      <c r="AI1471" t="s">
        <v>65</v>
      </c>
      <c r="AJ1471" t="s">
        <v>51</v>
      </c>
      <c r="AK1471" t="str">
        <f>HYPERLINK("http://www.proteinatlas.org/Q6P4Q7","HPA017732")</f>
        <v>HPA017732</v>
      </c>
      <c r="AM1471">
        <v>26504</v>
      </c>
    </row>
    <row r="1472" spans="1:39" x14ac:dyDescent="0.35">
      <c r="A1472" t="s">
        <v>15420</v>
      </c>
      <c r="B1472" t="str">
        <f>HYPERLINK("http://www.uniprot.org/uniprot/Q6P5W5","Q6P5W5")</f>
        <v>Q6P5W5</v>
      </c>
      <c r="C1472" t="s">
        <v>15421</v>
      </c>
      <c r="D1472" t="s">
        <v>15422</v>
      </c>
      <c r="E1472" t="s">
        <v>39</v>
      </c>
      <c r="F1472" t="s">
        <v>40</v>
      </c>
      <c r="H1472">
        <v>647</v>
      </c>
      <c r="I1472">
        <v>6</v>
      </c>
      <c r="J1472">
        <v>1</v>
      </c>
      <c r="K1472" t="s">
        <v>15423</v>
      </c>
      <c r="L1472" t="s">
        <v>57</v>
      </c>
      <c r="N1472">
        <v>0.5948</v>
      </c>
      <c r="O1472" s="1">
        <v>2</v>
      </c>
      <c r="P1472" t="s">
        <v>15424</v>
      </c>
      <c r="Q1472" t="s">
        <v>15425</v>
      </c>
      <c r="S1472" t="s">
        <v>45</v>
      </c>
      <c r="T1472" t="s">
        <v>12712</v>
      </c>
      <c r="U1472">
        <v>261</v>
      </c>
      <c r="V1472">
        <v>1</v>
      </c>
      <c r="AE1472" t="s">
        <v>15426</v>
      </c>
      <c r="AF1472" t="s">
        <v>15427</v>
      </c>
      <c r="AG1472" t="s">
        <v>15428</v>
      </c>
      <c r="AH1472" t="str">
        <f>HYPERLINK("http://compartments.jensenlab.org/Entity?figures=subcell_cell_%&amp;knowledge=10&amp;textmining=10&amp;experiments=10&amp;predictions=10&amp;type1=9606&amp;type2=-22&amp;id1=ENSP00000301305","link")</f>
        <v>link</v>
      </c>
      <c r="AI1472" t="s">
        <v>4125</v>
      </c>
      <c r="AJ1472" t="s">
        <v>1791</v>
      </c>
      <c r="AK1472" t="str">
        <f>HYPERLINK("http://www.proteinatlas.org/Q6P5W5","HPA031507")</f>
        <v>HPA031507</v>
      </c>
      <c r="AM1472">
        <v>55630</v>
      </c>
    </row>
    <row r="1473" spans="1:39" x14ac:dyDescent="0.35">
      <c r="A1473" t="s">
        <v>15429</v>
      </c>
      <c r="B1473" t="str">
        <f>HYPERLINK("http://www.uniprot.org/uniprot/Q6P995","Q6P995")</f>
        <v>Q6P995</v>
      </c>
      <c r="C1473" t="s">
        <v>15430</v>
      </c>
      <c r="D1473" t="s">
        <v>15431</v>
      </c>
      <c r="E1473" t="s">
        <v>39</v>
      </c>
      <c r="F1473" t="s">
        <v>40</v>
      </c>
      <c r="H1473">
        <v>826</v>
      </c>
      <c r="I1473">
        <v>1</v>
      </c>
      <c r="J1473">
        <v>1</v>
      </c>
      <c r="K1473" t="s">
        <v>15432</v>
      </c>
      <c r="L1473" t="s">
        <v>57</v>
      </c>
      <c r="N1473">
        <v>0.87619999999999998</v>
      </c>
      <c r="O1473" s="1">
        <v>1</v>
      </c>
      <c r="P1473" t="s">
        <v>15433</v>
      </c>
      <c r="Q1473" t="s">
        <v>15434</v>
      </c>
      <c r="S1473" t="s">
        <v>60</v>
      </c>
      <c r="T1473" t="s">
        <v>60</v>
      </c>
      <c r="U1473" t="s">
        <v>15435</v>
      </c>
      <c r="V1473">
        <v>4</v>
      </c>
      <c r="AE1473" t="s">
        <v>144</v>
      </c>
      <c r="AF1473" t="s">
        <v>13398</v>
      </c>
      <c r="AG1473" t="s">
        <v>15436</v>
      </c>
      <c r="AH1473" t="str">
        <f>HYPERLINK("http://compartments.jensenlab.org/Entity?figures=subcell_cell_%&amp;knowledge=10&amp;textmining=10&amp;experiments=10&amp;predictions=10&amp;type1=9606&amp;type2=-22&amp;id1=ENSP00000304108","link")</f>
        <v>link</v>
      </c>
      <c r="AJ1473" t="s">
        <v>51</v>
      </c>
      <c r="AK1473" t="str">
        <f>HYPERLINK("http://www.proteinatlas.org/Q6P995","HPA010639;HPA013434")</f>
        <v>HPA010639;HPA013434</v>
      </c>
      <c r="AM1473">
        <v>165215</v>
      </c>
    </row>
    <row r="1474" spans="1:39" x14ac:dyDescent="0.35">
      <c r="A1474" t="s">
        <v>15437</v>
      </c>
      <c r="B1474" t="str">
        <f>HYPERLINK("http://www.uniprot.org/uniprot/Q6P9G4","Q6P9G4")</f>
        <v>Q6P9G4</v>
      </c>
      <c r="C1474" t="s">
        <v>15438</v>
      </c>
      <c r="D1474" t="s">
        <v>15439</v>
      </c>
      <c r="E1474" t="s">
        <v>39</v>
      </c>
      <c r="F1474" t="s">
        <v>40</v>
      </c>
      <c r="H1474">
        <v>183</v>
      </c>
      <c r="I1474">
        <v>1</v>
      </c>
      <c r="J1474">
        <v>1</v>
      </c>
      <c r="K1474" t="s">
        <v>15440</v>
      </c>
      <c r="L1474" t="s">
        <v>57</v>
      </c>
      <c r="N1474">
        <v>0.72060000000000002</v>
      </c>
      <c r="O1474" s="1">
        <v>2</v>
      </c>
      <c r="P1474" t="s">
        <v>15441</v>
      </c>
      <c r="Q1474" t="s">
        <v>15442</v>
      </c>
      <c r="S1474" t="s">
        <v>60</v>
      </c>
      <c r="T1474" t="s">
        <v>60</v>
      </c>
      <c r="U1474">
        <v>63</v>
      </c>
      <c r="V1474">
        <v>1</v>
      </c>
      <c r="AE1474" t="s">
        <v>144</v>
      </c>
      <c r="AF1474" t="s">
        <v>15443</v>
      </c>
      <c r="AG1474" t="s">
        <v>15444</v>
      </c>
      <c r="AH1474" t="str">
        <f>HYPERLINK("http://compartments.jensenlab.org/Entity?figures=subcell_cell_%&amp;knowledge=10&amp;textmining=10&amp;experiments=10&amp;predictions=10&amp;type1=9606&amp;type2=-22&amp;id1=ENSP00000302144","link")</f>
        <v>link</v>
      </c>
      <c r="AJ1474" t="s">
        <v>51</v>
      </c>
      <c r="AK1474" t="str">
        <f>HYPERLINK("http://www.proteinatlas.org/Q6P9G4","HPA019184;HPA055411")</f>
        <v>HPA019184;HPA055411</v>
      </c>
      <c r="AM1474">
        <v>201799</v>
      </c>
    </row>
    <row r="1475" spans="1:39" x14ac:dyDescent="0.35">
      <c r="A1475" t="s">
        <v>15445</v>
      </c>
      <c r="B1475" t="str">
        <f>HYPERLINK("http://www.uniprot.org/uniprot/Q6PCB8","Q6PCB8")</f>
        <v>Q6PCB8</v>
      </c>
      <c r="C1475" t="s">
        <v>15446</v>
      </c>
      <c r="D1475" t="s">
        <v>15447</v>
      </c>
      <c r="E1475" t="s">
        <v>39</v>
      </c>
      <c r="F1475" t="s">
        <v>55</v>
      </c>
      <c r="H1475">
        <v>327</v>
      </c>
      <c r="I1475">
        <v>1</v>
      </c>
      <c r="J1475">
        <v>1</v>
      </c>
      <c r="K1475" t="s">
        <v>15448</v>
      </c>
      <c r="L1475" t="s">
        <v>101</v>
      </c>
      <c r="M1475" t="s">
        <v>39</v>
      </c>
      <c r="N1475">
        <v>0.70589999999999997</v>
      </c>
      <c r="O1475" s="1">
        <v>2</v>
      </c>
      <c r="P1475" t="s">
        <v>15449</v>
      </c>
      <c r="Q1475" t="s">
        <v>15450</v>
      </c>
      <c r="S1475" t="s">
        <v>60</v>
      </c>
      <c r="T1475" t="s">
        <v>60</v>
      </c>
      <c r="U1475" t="s">
        <v>15451</v>
      </c>
      <c r="V1475">
        <v>9</v>
      </c>
      <c r="Z1475" t="s">
        <v>107</v>
      </c>
      <c r="AA1475">
        <v>21</v>
      </c>
      <c r="AB1475" t="s">
        <v>15452</v>
      </c>
      <c r="AC1475" t="s">
        <v>15453</v>
      </c>
      <c r="AD1475" t="s">
        <v>15454</v>
      </c>
      <c r="AE1475" t="s">
        <v>11111</v>
      </c>
      <c r="AF1475" t="s">
        <v>15455</v>
      </c>
      <c r="AG1475" t="s">
        <v>15456</v>
      </c>
      <c r="AH1475" t="str">
        <f>HYPERLINK("http://compartments.jensenlab.org/Entity?figures=subcell_cell_%&amp;knowledge=10&amp;textmining=10&amp;experiments=10&amp;predictions=10&amp;type1=9606&amp;type2=-22&amp;id1=ENSP00000302289","link")</f>
        <v>link</v>
      </c>
      <c r="AJ1475" t="s">
        <v>51</v>
      </c>
      <c r="AK1475" t="str">
        <f>HYPERLINK("http://www.proteinatlas.org/Q6PCB8","HPA017740")</f>
        <v>HPA017740</v>
      </c>
      <c r="AM1475">
        <v>133418</v>
      </c>
    </row>
    <row r="1476" spans="1:39" x14ac:dyDescent="0.35">
      <c r="A1476" t="s">
        <v>15457</v>
      </c>
      <c r="B1476" t="str">
        <f>HYPERLINK("http://www.uniprot.org/uniprot/Q6PEY0","Q6PEY0")</f>
        <v>Q6PEY0</v>
      </c>
      <c r="C1476" t="s">
        <v>15458</v>
      </c>
      <c r="D1476" t="s">
        <v>15459</v>
      </c>
      <c r="E1476" t="s">
        <v>39</v>
      </c>
      <c r="F1476" t="s">
        <v>40</v>
      </c>
      <c r="H1476">
        <v>223</v>
      </c>
      <c r="I1476">
        <v>4</v>
      </c>
      <c r="J1476">
        <v>0</v>
      </c>
      <c r="K1476" t="s">
        <v>15460</v>
      </c>
      <c r="L1476" t="s">
        <v>57</v>
      </c>
      <c r="N1476">
        <v>0.58479999999999999</v>
      </c>
      <c r="O1476" s="1">
        <v>2</v>
      </c>
      <c r="P1476" t="s">
        <v>15461</v>
      </c>
      <c r="Q1476" t="s">
        <v>15462</v>
      </c>
      <c r="S1476" t="s">
        <v>91</v>
      </c>
      <c r="T1476" t="s">
        <v>2797</v>
      </c>
      <c r="V1476">
        <v>0</v>
      </c>
      <c r="AE1476" t="s">
        <v>2798</v>
      </c>
      <c r="AF1476" t="s">
        <v>8622</v>
      </c>
      <c r="AG1476" t="s">
        <v>15463</v>
      </c>
      <c r="AH1476" t="str">
        <f>HYPERLINK("http://compartments.jensenlab.org/Entity?figures=subcell_cell_%&amp;knowledge=10&amp;textmining=10&amp;experiments=10&amp;predictions=10&amp;type1=9606&amp;type2=-22&amp;id1=ENSP00000296882","link")</f>
        <v>link</v>
      </c>
      <c r="AI1476" t="s">
        <v>65</v>
      </c>
      <c r="AJ1476" t="s">
        <v>51</v>
      </c>
      <c r="AK1476" t="str">
        <f>HYPERLINK("http://www.proteinatlas.org/Q6PEY0","no")</f>
        <v>no</v>
      </c>
      <c r="AM1476">
        <v>375519</v>
      </c>
    </row>
    <row r="1477" spans="1:39" x14ac:dyDescent="0.35">
      <c r="A1477" t="s">
        <v>15464</v>
      </c>
      <c r="B1477" t="str">
        <f>HYPERLINK("http://www.uniprot.org/uniprot/Q6PI73","Q6PI73")</f>
        <v>Q6PI73</v>
      </c>
      <c r="C1477" t="s">
        <v>15465</v>
      </c>
      <c r="D1477" t="s">
        <v>15466</v>
      </c>
      <c r="E1477" t="s">
        <v>39</v>
      </c>
      <c r="F1477" t="s">
        <v>40</v>
      </c>
      <c r="H1477">
        <v>481</v>
      </c>
      <c r="I1477">
        <v>1</v>
      </c>
      <c r="J1477">
        <v>1</v>
      </c>
      <c r="K1477" t="s">
        <v>15467</v>
      </c>
      <c r="L1477" t="s">
        <v>57</v>
      </c>
      <c r="N1477">
        <v>0.63470000000000004</v>
      </c>
      <c r="O1477" s="1">
        <v>2</v>
      </c>
      <c r="P1477" t="s">
        <v>15468</v>
      </c>
      <c r="Q1477" t="s">
        <v>15469</v>
      </c>
      <c r="S1477" t="s">
        <v>166</v>
      </c>
      <c r="T1477" t="s">
        <v>418</v>
      </c>
      <c r="U1477" t="s">
        <v>2474</v>
      </c>
      <c r="V1477">
        <v>4</v>
      </c>
      <c r="AE1477" t="s">
        <v>144</v>
      </c>
      <c r="AF1477" t="s">
        <v>2465</v>
      </c>
      <c r="AG1477" t="s">
        <v>15470</v>
      </c>
      <c r="AH1477" t="str">
        <f>HYPERLINK("http://compartments.jensenlab.org/Entity?figures=subcell_cell_%&amp;knowledge=10&amp;textmining=10&amp;experiments=10&amp;predictions=10&amp;type1=9606&amp;type2=-22&amp;id1=ENSP00000375615","link")</f>
        <v>link</v>
      </c>
      <c r="AJ1477" t="s">
        <v>51</v>
      </c>
      <c r="AK1477" t="str">
        <f>HYPERLINK("http://www.proteinatlas.org/Q6PI73","no")</f>
        <v>no</v>
      </c>
      <c r="AM1477">
        <v>11025</v>
      </c>
    </row>
    <row r="1478" spans="1:39" x14ac:dyDescent="0.35">
      <c r="A1478" t="s">
        <v>15471</v>
      </c>
      <c r="B1478" t="str">
        <f>HYPERLINK("http://www.uniprot.org/uniprot/Q6PIZ9","Q6PIZ9")</f>
        <v>Q6PIZ9</v>
      </c>
      <c r="C1478" t="s">
        <v>15472</v>
      </c>
      <c r="D1478" t="s">
        <v>15473</v>
      </c>
      <c r="E1478" t="s">
        <v>39</v>
      </c>
      <c r="F1478" t="s">
        <v>55</v>
      </c>
      <c r="H1478">
        <v>186</v>
      </c>
      <c r="I1478">
        <v>1</v>
      </c>
      <c r="J1478">
        <v>0</v>
      </c>
      <c r="K1478" t="s">
        <v>15474</v>
      </c>
      <c r="L1478" t="s">
        <v>57</v>
      </c>
      <c r="M1478" t="s">
        <v>39</v>
      </c>
      <c r="N1478">
        <v>0.17100000000000001</v>
      </c>
      <c r="O1478" s="1"/>
      <c r="P1478" t="s">
        <v>15475</v>
      </c>
      <c r="Q1478" t="s">
        <v>15476</v>
      </c>
      <c r="S1478" t="s">
        <v>60</v>
      </c>
      <c r="T1478" t="s">
        <v>60</v>
      </c>
      <c r="U1478" t="s">
        <v>15477</v>
      </c>
      <c r="V1478">
        <v>0</v>
      </c>
      <c r="W1478">
        <v>104</v>
      </c>
      <c r="AE1478" t="s">
        <v>3973</v>
      </c>
      <c r="AF1478" t="s">
        <v>15478</v>
      </c>
      <c r="AG1478" t="s">
        <v>15479</v>
      </c>
      <c r="AH1478" t="str">
        <f>HYPERLINK("http://compartments.jensenlab.org/Entity?figures=subcell_cell_%&amp;knowledge=10&amp;textmining=10&amp;experiments=10&amp;predictions=10&amp;type1=9606&amp;type2=-22&amp;id1=ENSP00000295756","link")</f>
        <v>link</v>
      </c>
      <c r="AI1478" t="s">
        <v>65</v>
      </c>
      <c r="AJ1478" t="s">
        <v>51</v>
      </c>
      <c r="AK1478" t="str">
        <f>HYPERLINK("http://www.proteinatlas.org/Q6PIZ9","HPA002356;CAB026130")</f>
        <v>HPA002356;CAB026130</v>
      </c>
      <c r="AM1478">
        <v>50852</v>
      </c>
    </row>
    <row r="1479" spans="1:39" x14ac:dyDescent="0.35">
      <c r="A1479" t="s">
        <v>15480</v>
      </c>
      <c r="B1479" t="str">
        <f>HYPERLINK("http://www.uniprot.org/uniprot/Q6PJF5","Q6PJF5")</f>
        <v>Q6PJF5</v>
      </c>
      <c r="C1479" t="s">
        <v>15481</v>
      </c>
      <c r="D1479" t="s">
        <v>15482</v>
      </c>
      <c r="E1479" t="s">
        <v>39</v>
      </c>
      <c r="F1479" t="s">
        <v>55</v>
      </c>
      <c r="H1479">
        <v>856</v>
      </c>
      <c r="I1479">
        <v>7</v>
      </c>
      <c r="J1479">
        <v>0</v>
      </c>
      <c r="K1479" t="s">
        <v>15483</v>
      </c>
      <c r="L1479" t="s">
        <v>101</v>
      </c>
      <c r="M1479" t="s">
        <v>39</v>
      </c>
      <c r="N1479">
        <v>0.57889999999999997</v>
      </c>
      <c r="O1479" s="1">
        <v>3</v>
      </c>
      <c r="P1479" t="s">
        <v>15484</v>
      </c>
      <c r="Q1479" t="s">
        <v>15485</v>
      </c>
      <c r="S1479" t="s">
        <v>60</v>
      </c>
      <c r="T1479" t="s">
        <v>60</v>
      </c>
      <c r="U1479" t="s">
        <v>15486</v>
      </c>
      <c r="V1479">
        <v>1</v>
      </c>
      <c r="Z1479" t="s">
        <v>107</v>
      </c>
      <c r="AA1479">
        <v>1</v>
      </c>
      <c r="AB1479" t="s">
        <v>15487</v>
      </c>
      <c r="AC1479">
        <v>584</v>
      </c>
      <c r="AD1479" t="s">
        <v>15488</v>
      </c>
      <c r="AE1479" t="s">
        <v>15489</v>
      </c>
      <c r="AF1479" t="s">
        <v>15490</v>
      </c>
      <c r="AG1479" t="s">
        <v>15491</v>
      </c>
      <c r="AH1479" t="str">
        <f>HYPERLINK("http://compartments.jensenlab.org/Entity?figures=subcell_cell_%&amp;knowledge=10&amp;textmining=10&amp;experiments=10&amp;predictions=10&amp;type1=9606&amp;type2=-22&amp;id1=ENSP00000322775","link")</f>
        <v>link</v>
      </c>
      <c r="AI1479" t="s">
        <v>1500</v>
      </c>
      <c r="AJ1479" t="s">
        <v>345</v>
      </c>
      <c r="AK1479" t="str">
        <f>HYPERLINK("http://www.proteinatlas.org/Q6PJF5","HPA018080")</f>
        <v>HPA018080</v>
      </c>
      <c r="AM1479">
        <v>79651</v>
      </c>
    </row>
    <row r="1480" spans="1:39" x14ac:dyDescent="0.35">
      <c r="A1480" t="s">
        <v>15492</v>
      </c>
      <c r="B1480" t="str">
        <f>HYPERLINK("http://www.uniprot.org/uniprot/Q6PJG9","Q6PJG9")</f>
        <v>Q6PJG9</v>
      </c>
      <c r="C1480" t="s">
        <v>15493</v>
      </c>
      <c r="D1480" t="s">
        <v>15494</v>
      </c>
      <c r="E1480" t="s">
        <v>39</v>
      </c>
      <c r="F1480" t="s">
        <v>40</v>
      </c>
      <c r="H1480">
        <v>635</v>
      </c>
      <c r="I1480">
        <v>1</v>
      </c>
      <c r="J1480">
        <v>1</v>
      </c>
      <c r="K1480" t="s">
        <v>15495</v>
      </c>
      <c r="L1480" t="s">
        <v>57</v>
      </c>
      <c r="N1480">
        <v>0.91420000000000001</v>
      </c>
      <c r="O1480" s="1">
        <v>1</v>
      </c>
      <c r="P1480" t="s">
        <v>15496</v>
      </c>
      <c r="Q1480" t="s">
        <v>15497</v>
      </c>
      <c r="S1480" t="s">
        <v>91</v>
      </c>
      <c r="T1480" t="s">
        <v>260</v>
      </c>
      <c r="U1480" t="s">
        <v>15498</v>
      </c>
      <c r="V1480">
        <v>6</v>
      </c>
      <c r="AE1480" t="s">
        <v>144</v>
      </c>
      <c r="AF1480" t="s">
        <v>15499</v>
      </c>
      <c r="AG1480" t="s">
        <v>15500</v>
      </c>
      <c r="AH1480" t="str">
        <f>HYPERLINK("http://compartments.jensenlab.org/Entity?figures=subcell_cell_%&amp;knowledge=10&amp;textmining=10&amp;experiments=10&amp;predictions=10&amp;type1=9606&amp;type2=-22&amp;id1=ENSP00000312535","link")</f>
        <v>link</v>
      </c>
      <c r="AJ1480" t="s">
        <v>51</v>
      </c>
      <c r="AK1480" t="str">
        <f>HYPERLINK("http://www.proteinatlas.org/Q6PJG9","no")</f>
        <v>no</v>
      </c>
      <c r="AM1480">
        <v>78999</v>
      </c>
    </row>
    <row r="1481" spans="1:39" x14ac:dyDescent="0.35">
      <c r="A1481" t="s">
        <v>15501</v>
      </c>
      <c r="B1481" t="str">
        <f>HYPERLINK("http://www.uniprot.org/uniprot/Q6PRD1","Q6PRD1")</f>
        <v>Q6PRD1</v>
      </c>
      <c r="C1481" t="s">
        <v>15502</v>
      </c>
      <c r="D1481" t="s">
        <v>15503</v>
      </c>
      <c r="E1481" t="s">
        <v>39</v>
      </c>
      <c r="F1481" t="s">
        <v>40</v>
      </c>
      <c r="H1481">
        <v>2367</v>
      </c>
      <c r="I1481">
        <v>7</v>
      </c>
      <c r="J1481">
        <v>1</v>
      </c>
      <c r="K1481" t="s">
        <v>15504</v>
      </c>
      <c r="L1481" t="s">
        <v>57</v>
      </c>
      <c r="N1481">
        <v>0.72460000000000002</v>
      </c>
      <c r="O1481" s="1">
        <v>2</v>
      </c>
      <c r="S1481" t="s">
        <v>166</v>
      </c>
      <c r="T1481" t="s">
        <v>874</v>
      </c>
      <c r="U1481" t="s">
        <v>15505</v>
      </c>
      <c r="V1481">
        <v>2</v>
      </c>
      <c r="AE1481" t="s">
        <v>74</v>
      </c>
      <c r="AF1481" t="s">
        <v>15506</v>
      </c>
      <c r="AG1481" t="s">
        <v>15507</v>
      </c>
      <c r="AK1481" t="str">
        <f>HYPERLINK("http://www.proteinatlas.org/Q6PRD1","no")</f>
        <v>no</v>
      </c>
      <c r="AM1481">
        <v>440435</v>
      </c>
    </row>
    <row r="1482" spans="1:39" x14ac:dyDescent="0.35">
      <c r="A1482" t="s">
        <v>15508</v>
      </c>
      <c r="B1482" t="str">
        <f>HYPERLINK("http://www.uniprot.org/uniprot/Q6PXP3","Q6PXP3")</f>
        <v>Q6PXP3</v>
      </c>
      <c r="C1482" t="s">
        <v>15509</v>
      </c>
      <c r="D1482" t="s">
        <v>15510</v>
      </c>
      <c r="E1482" t="s">
        <v>39</v>
      </c>
      <c r="F1482" t="s">
        <v>40</v>
      </c>
      <c r="H1482">
        <v>512</v>
      </c>
      <c r="I1482">
        <v>12</v>
      </c>
      <c r="J1482">
        <v>0</v>
      </c>
      <c r="K1482" t="s">
        <v>15511</v>
      </c>
      <c r="L1482" t="s">
        <v>57</v>
      </c>
      <c r="N1482">
        <v>0.81640000000000001</v>
      </c>
      <c r="O1482" s="1">
        <v>1</v>
      </c>
      <c r="P1482" t="s">
        <v>15512</v>
      </c>
      <c r="Q1482" t="s">
        <v>15513</v>
      </c>
      <c r="S1482" t="s">
        <v>45</v>
      </c>
      <c r="T1482" t="s">
        <v>3338</v>
      </c>
      <c r="U1482" t="s">
        <v>15514</v>
      </c>
      <c r="V1482">
        <v>2</v>
      </c>
      <c r="AE1482" t="s">
        <v>48</v>
      </c>
      <c r="AF1482" t="s">
        <v>15515</v>
      </c>
      <c r="AG1482" t="s">
        <v>15516</v>
      </c>
      <c r="AH1482" t="str">
        <f>HYPERLINK("http://compartments.jensenlab.org/Entity?figures=subcell_cell_%&amp;knowledge=10&amp;textmining=10&amp;experiments=10&amp;predictions=10&amp;type1=9606&amp;type2=-22&amp;id1=ENSP00000383698","link")</f>
        <v>link</v>
      </c>
      <c r="AJ1482" t="s">
        <v>51</v>
      </c>
      <c r="AK1482" t="str">
        <f>HYPERLINK("http://www.proteinatlas.org/Q6PXP3","HPA039931")</f>
        <v>HPA039931</v>
      </c>
      <c r="AM1482">
        <v>155184</v>
      </c>
    </row>
    <row r="1483" spans="1:39" x14ac:dyDescent="0.35">
      <c r="A1483" t="s">
        <v>15517</v>
      </c>
      <c r="B1483" t="str">
        <f>HYPERLINK("http://www.uniprot.org/uniprot/Q6Q8B3","Q6Q8B3")</f>
        <v>Q6Q8B3</v>
      </c>
      <c r="C1483" t="s">
        <v>15518</v>
      </c>
      <c r="D1483" t="s">
        <v>15519</v>
      </c>
      <c r="E1483" t="s">
        <v>39</v>
      </c>
      <c r="F1483" t="s">
        <v>40</v>
      </c>
      <c r="H1483">
        <v>271</v>
      </c>
      <c r="I1483">
        <v>1</v>
      </c>
      <c r="J1483">
        <v>1</v>
      </c>
      <c r="K1483" t="s">
        <v>15520</v>
      </c>
      <c r="L1483" t="s">
        <v>57</v>
      </c>
      <c r="N1483">
        <v>0.72460000000000002</v>
      </c>
      <c r="O1483" s="1">
        <v>2</v>
      </c>
      <c r="P1483" t="s">
        <v>15521</v>
      </c>
      <c r="Q1483" t="s">
        <v>15522</v>
      </c>
      <c r="S1483" t="s">
        <v>166</v>
      </c>
      <c r="T1483" t="s">
        <v>3629</v>
      </c>
      <c r="U1483" t="s">
        <v>15523</v>
      </c>
      <c r="V1483">
        <v>7</v>
      </c>
      <c r="AE1483" t="s">
        <v>144</v>
      </c>
      <c r="AF1483" t="s">
        <v>15524</v>
      </c>
      <c r="AG1483" t="s">
        <v>15525</v>
      </c>
      <c r="AH1483" t="str">
        <f>HYPERLINK("http://compartments.jensenlab.org/Entity?figures=subcell_cell_%&amp;knowledge=10&amp;textmining=10&amp;experiments=10&amp;predictions=10&amp;type1=9606&amp;type2=-22&amp;id1=ENSP00000381272","link")</f>
        <v>link</v>
      </c>
      <c r="AJ1483" t="s">
        <v>51</v>
      </c>
      <c r="AK1483" t="str">
        <f>HYPERLINK("http://www.proteinatlas.org/Q6Q8B3","no")</f>
        <v>no</v>
      </c>
      <c r="AM1483">
        <v>344807</v>
      </c>
    </row>
    <row r="1484" spans="1:39" x14ac:dyDescent="0.35">
      <c r="A1484" t="s">
        <v>15526</v>
      </c>
      <c r="B1484" t="str">
        <f>HYPERLINK("http://www.uniprot.org/uniprot/Q6QNK2","Q6QNK2")</f>
        <v>Q6QNK2</v>
      </c>
      <c r="C1484" t="s">
        <v>15527</v>
      </c>
      <c r="D1484" t="s">
        <v>15528</v>
      </c>
      <c r="E1484" t="s">
        <v>39</v>
      </c>
      <c r="F1484" t="s">
        <v>55</v>
      </c>
      <c r="H1484">
        <v>874</v>
      </c>
      <c r="I1484">
        <v>7</v>
      </c>
      <c r="J1484">
        <v>1</v>
      </c>
      <c r="K1484" t="s">
        <v>15529</v>
      </c>
      <c r="L1484" t="s">
        <v>57</v>
      </c>
      <c r="M1484" t="s">
        <v>39</v>
      </c>
      <c r="N1484">
        <v>0.95140000000000002</v>
      </c>
      <c r="O1484" s="1">
        <v>1</v>
      </c>
      <c r="P1484" t="s">
        <v>15530</v>
      </c>
      <c r="Q1484" t="s">
        <v>15531</v>
      </c>
      <c r="S1484" t="s">
        <v>166</v>
      </c>
      <c r="T1484" t="s">
        <v>1149</v>
      </c>
      <c r="U1484" t="s">
        <v>15532</v>
      </c>
      <c r="V1484">
        <v>9</v>
      </c>
      <c r="Y1484">
        <v>10</v>
      </c>
      <c r="AE1484" t="s">
        <v>74</v>
      </c>
      <c r="AF1484" t="s">
        <v>14793</v>
      </c>
      <c r="AG1484" t="s">
        <v>15533</v>
      </c>
      <c r="AH1484" t="str">
        <f>HYPERLINK("http://compartments.jensenlab.org/Entity?figures=subcell_cell_%&amp;knowledge=10&amp;textmining=10&amp;experiments=10&amp;predictions=10&amp;type1=9606&amp;type2=-22&amp;id1=ENSP00000261654","link")</f>
        <v>link</v>
      </c>
      <c r="AI1484" t="s">
        <v>65</v>
      </c>
      <c r="AJ1484" t="s">
        <v>51</v>
      </c>
      <c r="AK1484" t="str">
        <f>HYPERLINK("http://www.proteinatlas.org/Q6QNK2","HPA042395")</f>
        <v>HPA042395</v>
      </c>
      <c r="AM1484">
        <v>283383</v>
      </c>
    </row>
    <row r="1485" spans="1:39" x14ac:dyDescent="0.35">
      <c r="A1485" t="s">
        <v>15534</v>
      </c>
      <c r="B1485" t="str">
        <f>HYPERLINK("http://www.uniprot.org/uniprot/Q6T423","Q6T423")</f>
        <v>Q6T423</v>
      </c>
      <c r="C1485" t="s">
        <v>15535</v>
      </c>
      <c r="D1485" t="s">
        <v>15536</v>
      </c>
      <c r="E1485" t="s">
        <v>39</v>
      </c>
      <c r="F1485" t="s">
        <v>40</v>
      </c>
      <c r="H1485">
        <v>547</v>
      </c>
      <c r="I1485">
        <v>12</v>
      </c>
      <c r="J1485">
        <v>0</v>
      </c>
      <c r="K1485" t="s">
        <v>15537</v>
      </c>
      <c r="L1485" t="s">
        <v>57</v>
      </c>
      <c r="N1485">
        <v>0.62280000000000002</v>
      </c>
      <c r="O1485" s="1">
        <v>2</v>
      </c>
      <c r="P1485" t="s">
        <v>15538</v>
      </c>
      <c r="Q1485" t="s">
        <v>15539</v>
      </c>
      <c r="S1485" t="s">
        <v>45</v>
      </c>
      <c r="T1485" t="s">
        <v>121</v>
      </c>
      <c r="U1485" t="s">
        <v>15540</v>
      </c>
      <c r="V1485">
        <v>3</v>
      </c>
      <c r="AE1485" t="s">
        <v>48</v>
      </c>
      <c r="AF1485" t="s">
        <v>15541</v>
      </c>
      <c r="AG1485" t="s">
        <v>15542</v>
      </c>
      <c r="AH1485" t="str">
        <f>HYPERLINK("http://compartments.jensenlab.org/Entity?figures=subcell_cell_%&amp;knowledge=10&amp;textmining=10&amp;experiments=10&amp;predictions=10&amp;type1=9606&amp;type2=-22&amp;id1=ENSP00000307443","link")</f>
        <v>link</v>
      </c>
      <c r="AJ1485" t="s">
        <v>51</v>
      </c>
      <c r="AK1485" t="str">
        <f>HYPERLINK("http://www.proteinatlas.org/Q6T423","HPA039390")</f>
        <v>HPA039390</v>
      </c>
      <c r="AM1485">
        <v>387601</v>
      </c>
    </row>
    <row r="1486" spans="1:39" x14ac:dyDescent="0.35">
      <c r="A1486" t="s">
        <v>15543</v>
      </c>
      <c r="B1486" t="str">
        <f>HYPERLINK("http://www.uniprot.org/uniprot/Q6U736","Q6U736")</f>
        <v>Q6U736</v>
      </c>
      <c r="C1486" t="s">
        <v>15544</v>
      </c>
      <c r="D1486" t="s">
        <v>15545</v>
      </c>
      <c r="E1486" t="s">
        <v>39</v>
      </c>
      <c r="F1486" t="s">
        <v>40</v>
      </c>
      <c r="H1486">
        <v>354</v>
      </c>
      <c r="I1486">
        <v>7</v>
      </c>
      <c r="J1486">
        <v>0</v>
      </c>
      <c r="K1486" t="s">
        <v>15546</v>
      </c>
      <c r="L1486" t="s">
        <v>57</v>
      </c>
      <c r="N1486">
        <v>0.80640000000000001</v>
      </c>
      <c r="O1486" s="1">
        <v>1</v>
      </c>
      <c r="P1486" t="s">
        <v>15547</v>
      </c>
      <c r="Q1486" t="s">
        <v>15548</v>
      </c>
      <c r="S1486" t="s">
        <v>166</v>
      </c>
      <c r="T1486" t="s">
        <v>838</v>
      </c>
      <c r="U1486">
        <v>4</v>
      </c>
      <c r="V1486">
        <v>1</v>
      </c>
      <c r="Y1486">
        <v>108</v>
      </c>
      <c r="AE1486" t="s">
        <v>48</v>
      </c>
      <c r="AF1486" t="s">
        <v>15549</v>
      </c>
      <c r="AG1486" t="s">
        <v>15550</v>
      </c>
      <c r="AH1486" t="str">
        <f>HYPERLINK("http://compartments.jensenlab.org/Entity?figures=subcell_cell_%&amp;knowledge=10&amp;textmining=10&amp;experiments=10&amp;predictions=10&amp;type1=9606&amp;type2=-22&amp;id1=ENSP00000360255","link")</f>
        <v>link</v>
      </c>
      <c r="AK1486" t="str">
        <f>HYPERLINK("http://www.proteinatlas.org/Q6U736","no")</f>
        <v>no</v>
      </c>
      <c r="AM1486">
        <v>221391</v>
      </c>
    </row>
    <row r="1487" spans="1:39" x14ac:dyDescent="0.35">
      <c r="A1487" t="s">
        <v>15551</v>
      </c>
      <c r="B1487" t="str">
        <f>HYPERLINK("http://www.uniprot.org/uniprot/Q6U841","Q6U841")</f>
        <v>Q6U841</v>
      </c>
      <c r="C1487" t="s">
        <v>15552</v>
      </c>
      <c r="D1487" t="s">
        <v>15553</v>
      </c>
      <c r="E1487" t="s">
        <v>39</v>
      </c>
      <c r="F1487" t="s">
        <v>40</v>
      </c>
      <c r="H1487">
        <v>1118</v>
      </c>
      <c r="I1487">
        <v>12</v>
      </c>
      <c r="J1487">
        <v>0</v>
      </c>
      <c r="K1487" t="s">
        <v>15554</v>
      </c>
      <c r="L1487" t="s">
        <v>57</v>
      </c>
      <c r="N1487">
        <v>0.73450000000000004</v>
      </c>
      <c r="O1487" s="1">
        <v>2</v>
      </c>
      <c r="P1487" t="s">
        <v>15555</v>
      </c>
      <c r="Q1487" t="s">
        <v>15556</v>
      </c>
      <c r="S1487" t="s">
        <v>45</v>
      </c>
      <c r="T1487" t="s">
        <v>3762</v>
      </c>
      <c r="U1487" t="s">
        <v>15557</v>
      </c>
      <c r="V1487">
        <v>3</v>
      </c>
      <c r="X1487" t="s">
        <v>15558</v>
      </c>
      <c r="AE1487" t="s">
        <v>74</v>
      </c>
      <c r="AF1487" t="s">
        <v>15559</v>
      </c>
      <c r="AG1487" t="s">
        <v>15560</v>
      </c>
      <c r="AH1487" t="str">
        <f>HYPERLINK("http://compartments.jensenlab.org/Entity?figures=subcell_cell_%&amp;knowledge=10&amp;textmining=10&amp;experiments=10&amp;predictions=10&amp;type1=9606&amp;type2=-22&amp;id1=ENSP00000393066","link")</f>
        <v>link</v>
      </c>
      <c r="AK1487" t="str">
        <f>HYPERLINK("http://www.proteinatlas.org/Q6U841","HPA034755")</f>
        <v>HPA034755</v>
      </c>
      <c r="AM1487">
        <v>57282</v>
      </c>
    </row>
    <row r="1488" spans="1:39" x14ac:dyDescent="0.35">
      <c r="A1488" t="s">
        <v>15561</v>
      </c>
      <c r="B1488" t="str">
        <f>HYPERLINK("http://www.uniprot.org/uniprot/Q6UQ28","Q6UQ28")</f>
        <v>Q6UQ28</v>
      </c>
      <c r="C1488" t="s">
        <v>15562</v>
      </c>
      <c r="D1488" t="s">
        <v>15563</v>
      </c>
      <c r="E1488" t="s">
        <v>39</v>
      </c>
      <c r="F1488" t="s">
        <v>239</v>
      </c>
      <c r="H1488">
        <v>207</v>
      </c>
      <c r="I1488">
        <v>0</v>
      </c>
      <c r="J1488">
        <v>1</v>
      </c>
      <c r="K1488" t="s">
        <v>15564</v>
      </c>
      <c r="L1488" t="s">
        <v>57</v>
      </c>
      <c r="N1488">
        <v>0.67659999999999998</v>
      </c>
      <c r="O1488" s="1" t="s">
        <v>241</v>
      </c>
      <c r="P1488" t="s">
        <v>15565</v>
      </c>
      <c r="Q1488" t="s">
        <v>15566</v>
      </c>
      <c r="U1488" t="s">
        <v>15567</v>
      </c>
      <c r="V1488">
        <v>3</v>
      </c>
      <c r="W1488" t="s">
        <v>15568</v>
      </c>
      <c r="AE1488" t="s">
        <v>15569</v>
      </c>
      <c r="AF1488" t="s">
        <v>15570</v>
      </c>
      <c r="AG1488" t="s">
        <v>15571</v>
      </c>
      <c r="AH1488" t="str">
        <f>HYPERLINK("http://compartments.jensenlab.org/Entity?figures=subcell_cell_%&amp;knowledge=10&amp;textmining=10&amp;experiments=10&amp;predictions=10&amp;type1=9606&amp;type2=-22&amp;id1=ENSP00000341412","link")</f>
        <v>link</v>
      </c>
      <c r="AJ1488" t="s">
        <v>51</v>
      </c>
      <c r="AK1488" t="str">
        <f>HYPERLINK("http://www.proteinatlas.org/Q6UQ28","HPA040237")</f>
        <v>HPA040237</v>
      </c>
      <c r="AM1488">
        <v>349633</v>
      </c>
    </row>
    <row r="1489" spans="1:39" x14ac:dyDescent="0.35">
      <c r="A1489" t="s">
        <v>15572</v>
      </c>
      <c r="B1489" t="str">
        <f>HYPERLINK("http://www.uniprot.org/uniprot/Q6UVK1","Q6UVK1")</f>
        <v>Q6UVK1</v>
      </c>
      <c r="C1489" t="s">
        <v>15573</v>
      </c>
      <c r="D1489" t="s">
        <v>15574</v>
      </c>
      <c r="E1489" t="s">
        <v>39</v>
      </c>
      <c r="F1489" t="s">
        <v>55</v>
      </c>
      <c r="H1489">
        <v>2322</v>
      </c>
      <c r="I1489">
        <v>1</v>
      </c>
      <c r="J1489">
        <v>1</v>
      </c>
      <c r="K1489" t="s">
        <v>15575</v>
      </c>
      <c r="L1489" t="s">
        <v>101</v>
      </c>
      <c r="M1489" t="s">
        <v>39</v>
      </c>
      <c r="N1489">
        <v>0.88570000000000004</v>
      </c>
      <c r="O1489" s="1">
        <v>1</v>
      </c>
      <c r="P1489" t="s">
        <v>15576</v>
      </c>
      <c r="Q1489" t="s">
        <v>15577</v>
      </c>
      <c r="S1489" t="s">
        <v>60</v>
      </c>
      <c r="T1489" t="s">
        <v>60</v>
      </c>
      <c r="U1489" t="s">
        <v>15578</v>
      </c>
      <c r="V1489">
        <v>15</v>
      </c>
      <c r="W1489" t="s">
        <v>15578</v>
      </c>
      <c r="X1489" t="s">
        <v>15579</v>
      </c>
      <c r="Y1489">
        <v>446</v>
      </c>
      <c r="Z1489" t="s">
        <v>107</v>
      </c>
      <c r="AA1489">
        <v>29</v>
      </c>
      <c r="AB1489" t="s">
        <v>15580</v>
      </c>
      <c r="AC1489" t="s">
        <v>15581</v>
      </c>
      <c r="AD1489" t="s">
        <v>15582</v>
      </c>
      <c r="AE1489" t="s">
        <v>15583</v>
      </c>
      <c r="AF1489" t="s">
        <v>15584</v>
      </c>
      <c r="AG1489" t="s">
        <v>15585</v>
      </c>
      <c r="AH1489" t="str">
        <f>HYPERLINK("http://compartments.jensenlab.org/Entity?figures=subcell_cell_%&amp;knowledge=10&amp;textmining=10&amp;experiments=10&amp;predictions=10&amp;type1=9606&amp;type2=-22&amp;id1=ENSP00000312506","link")</f>
        <v>link</v>
      </c>
      <c r="AI1489" t="s">
        <v>65</v>
      </c>
      <c r="AJ1489" t="s">
        <v>113</v>
      </c>
      <c r="AK1489" t="str">
        <f>HYPERLINK("http://www.proteinatlas.org/Q6UVK1","HPA002951;CAB016189;HPA042785")</f>
        <v>HPA002951;CAB016189;HPA042785</v>
      </c>
      <c r="AM1489">
        <v>1464</v>
      </c>
    </row>
    <row r="1490" spans="1:39" x14ac:dyDescent="0.35">
      <c r="A1490" t="s">
        <v>15586</v>
      </c>
      <c r="B1490" t="str">
        <f>HYPERLINK("http://www.uniprot.org/uniprot/Q6UW56","Q6UW56")</f>
        <v>Q6UW56</v>
      </c>
      <c r="C1490" t="s">
        <v>15587</v>
      </c>
      <c r="D1490" t="s">
        <v>15588</v>
      </c>
      <c r="E1490" t="s">
        <v>39</v>
      </c>
      <c r="F1490" t="s">
        <v>55</v>
      </c>
      <c r="H1490">
        <v>229</v>
      </c>
      <c r="I1490">
        <v>1</v>
      </c>
      <c r="J1490">
        <v>1</v>
      </c>
      <c r="K1490" t="s">
        <v>15589</v>
      </c>
      <c r="L1490" t="s">
        <v>101</v>
      </c>
      <c r="M1490" t="s">
        <v>39</v>
      </c>
      <c r="N1490">
        <v>0.6724</v>
      </c>
      <c r="O1490" s="1">
        <v>2</v>
      </c>
      <c r="P1490" t="s">
        <v>15590</v>
      </c>
      <c r="Q1490" t="s">
        <v>15591</v>
      </c>
      <c r="S1490" t="s">
        <v>60</v>
      </c>
      <c r="T1490" t="s">
        <v>60</v>
      </c>
      <c r="U1490" t="s">
        <v>15592</v>
      </c>
      <c r="V1490">
        <v>4</v>
      </c>
      <c r="Z1490" t="s">
        <v>107</v>
      </c>
      <c r="AA1490">
        <v>3</v>
      </c>
      <c r="AB1490" t="s">
        <v>15593</v>
      </c>
      <c r="AC1490" t="s">
        <v>15594</v>
      </c>
      <c r="AD1490" t="s">
        <v>15595</v>
      </c>
      <c r="AE1490" t="s">
        <v>15596</v>
      </c>
      <c r="AF1490" t="s">
        <v>15597</v>
      </c>
      <c r="AG1490" t="s">
        <v>15598</v>
      </c>
      <c r="AH1490" t="str">
        <f>HYPERLINK("http://compartments.jensenlab.org/Entity?figures=subcell_cell_%&amp;knowledge=10&amp;textmining=10&amp;experiments=10&amp;predictions=10&amp;type1=9606&amp;type2=-22&amp;id1=ENSP00000476080","link")</f>
        <v>link</v>
      </c>
      <c r="AK1490" t="str">
        <f>HYPERLINK("http://www.proteinatlas.org/Q6UW56","HPA051353")</f>
        <v>HPA051353</v>
      </c>
      <c r="AM1490">
        <v>51374</v>
      </c>
    </row>
    <row r="1491" spans="1:39" x14ac:dyDescent="0.35">
      <c r="A1491" t="s">
        <v>15599</v>
      </c>
      <c r="B1491" t="str">
        <f>HYPERLINK("http://www.uniprot.org/uniprot/Q6UW88","Q6UW88")</f>
        <v>Q6UW88</v>
      </c>
      <c r="C1491" t="s">
        <v>15600</v>
      </c>
      <c r="D1491" t="s">
        <v>15601</v>
      </c>
      <c r="E1491" t="s">
        <v>39</v>
      </c>
      <c r="F1491" t="s">
        <v>40</v>
      </c>
      <c r="H1491">
        <v>154</v>
      </c>
      <c r="I1491">
        <v>1</v>
      </c>
      <c r="J1491">
        <v>1</v>
      </c>
      <c r="K1491" t="s">
        <v>15602</v>
      </c>
      <c r="L1491" t="s">
        <v>57</v>
      </c>
      <c r="N1491">
        <v>0.86229999999999996</v>
      </c>
      <c r="O1491" s="1">
        <v>1</v>
      </c>
      <c r="P1491" t="s">
        <v>15603</v>
      </c>
      <c r="Q1491" t="s">
        <v>15604</v>
      </c>
      <c r="S1491" t="s">
        <v>60</v>
      </c>
      <c r="T1491" t="s">
        <v>60</v>
      </c>
      <c r="U1491" t="s">
        <v>8100</v>
      </c>
      <c r="V1491">
        <v>2</v>
      </c>
      <c r="W1491" t="s">
        <v>8100</v>
      </c>
      <c r="AE1491" t="s">
        <v>15605</v>
      </c>
      <c r="AF1491" t="s">
        <v>15606</v>
      </c>
      <c r="AG1491" t="s">
        <v>15607</v>
      </c>
      <c r="AH1491" t="str">
        <f>HYPERLINK("http://compartments.jensenlab.org/Entity?figures=subcell_cell_%&amp;knowledge=10&amp;textmining=10&amp;experiments=10&amp;predictions=10&amp;type1=9606&amp;type2=-22&amp;id1=ENSP00000411898","link")</f>
        <v>link</v>
      </c>
      <c r="AK1491" t="str">
        <f>HYPERLINK("http://www.proteinatlas.org/Q6UW88","HPA014369;HPA014420")</f>
        <v>HPA014369;HPA014420</v>
      </c>
      <c r="AM1491">
        <v>255324</v>
      </c>
    </row>
    <row r="1492" spans="1:39" x14ac:dyDescent="0.35">
      <c r="A1492" t="s">
        <v>15608</v>
      </c>
      <c r="B1492" t="str">
        <f>HYPERLINK("http://www.uniprot.org/uniprot/Q6UWB1","Q6UWB1")</f>
        <v>Q6UWB1</v>
      </c>
      <c r="C1492" t="s">
        <v>15609</v>
      </c>
      <c r="D1492" t="s">
        <v>15610</v>
      </c>
      <c r="E1492" t="s">
        <v>39</v>
      </c>
      <c r="F1492" t="s">
        <v>40</v>
      </c>
      <c r="H1492">
        <v>636</v>
      </c>
      <c r="I1492">
        <v>1</v>
      </c>
      <c r="J1492">
        <v>1</v>
      </c>
      <c r="K1492" t="s">
        <v>15611</v>
      </c>
      <c r="L1492" t="s">
        <v>101</v>
      </c>
      <c r="N1492">
        <v>0.91220000000000001</v>
      </c>
      <c r="O1492" s="1">
        <v>1</v>
      </c>
      <c r="P1492" t="s">
        <v>15612</v>
      </c>
      <c r="Q1492" t="s">
        <v>15613</v>
      </c>
      <c r="S1492" t="s">
        <v>60</v>
      </c>
      <c r="T1492" t="s">
        <v>60</v>
      </c>
      <c r="U1492" t="s">
        <v>15614</v>
      </c>
      <c r="V1492">
        <v>7</v>
      </c>
      <c r="W1492" t="s">
        <v>15615</v>
      </c>
      <c r="Y1492">
        <v>217</v>
      </c>
      <c r="Z1492" t="s">
        <v>107</v>
      </c>
      <c r="AA1492">
        <v>3</v>
      </c>
      <c r="AB1492" t="s">
        <v>15616</v>
      </c>
      <c r="AC1492" t="s">
        <v>15617</v>
      </c>
      <c r="AD1492" t="s">
        <v>15618</v>
      </c>
      <c r="AE1492" t="s">
        <v>144</v>
      </c>
      <c r="AF1492" t="s">
        <v>15619</v>
      </c>
      <c r="AG1492" t="s">
        <v>15620</v>
      </c>
      <c r="AH1492" t="str">
        <f>HYPERLINK("http://compartments.jensenlab.org/Entity?figures=subcell_cell_%&amp;knowledge=10&amp;textmining=10&amp;experiments=10&amp;predictions=10&amp;type1=9606&amp;type2=-22&amp;id1=ENSP00000263379","link")</f>
        <v>link</v>
      </c>
      <c r="AJ1492" t="s">
        <v>51</v>
      </c>
      <c r="AK1492" t="str">
        <f>HYPERLINK("http://www.proteinatlas.org/Q6UWB1","no")</f>
        <v>no</v>
      </c>
      <c r="AM1492">
        <v>9466</v>
      </c>
    </row>
    <row r="1493" spans="1:39" x14ac:dyDescent="0.35">
      <c r="A1493" t="s">
        <v>15621</v>
      </c>
      <c r="B1493" t="str">
        <f>HYPERLINK("http://www.uniprot.org/uniprot/Q6UWI2","Q6UWI2")</f>
        <v>Q6UWI2</v>
      </c>
      <c r="C1493" t="s">
        <v>15622</v>
      </c>
      <c r="D1493" t="s">
        <v>15623</v>
      </c>
      <c r="E1493" t="s">
        <v>39</v>
      </c>
      <c r="F1493" t="s">
        <v>55</v>
      </c>
      <c r="H1493">
        <v>310</v>
      </c>
      <c r="I1493">
        <v>1</v>
      </c>
      <c r="J1493">
        <v>1</v>
      </c>
      <c r="K1493" t="s">
        <v>15624</v>
      </c>
      <c r="L1493" t="s">
        <v>101</v>
      </c>
      <c r="M1493" t="s">
        <v>39</v>
      </c>
      <c r="N1493">
        <v>0.86880000000000002</v>
      </c>
      <c r="O1493" s="1">
        <v>1</v>
      </c>
      <c r="P1493" t="s">
        <v>15625</v>
      </c>
      <c r="Q1493" t="s">
        <v>15626</v>
      </c>
      <c r="S1493" t="s">
        <v>60</v>
      </c>
      <c r="T1493" t="s">
        <v>60</v>
      </c>
      <c r="U1493" t="s">
        <v>15627</v>
      </c>
      <c r="V1493">
        <v>4</v>
      </c>
      <c r="W1493" t="s">
        <v>15627</v>
      </c>
      <c r="Z1493" t="s">
        <v>107</v>
      </c>
      <c r="AA1493">
        <v>1</v>
      </c>
      <c r="AB1493" t="s">
        <v>15628</v>
      </c>
      <c r="AC1493">
        <v>80</v>
      </c>
      <c r="AD1493" t="s">
        <v>15629</v>
      </c>
      <c r="AE1493" t="s">
        <v>15630</v>
      </c>
      <c r="AF1493" t="s">
        <v>15631</v>
      </c>
      <c r="AG1493" t="s">
        <v>15632</v>
      </c>
      <c r="AH1493" t="str">
        <f>HYPERLINK("http://compartments.jensenlab.org/Entity?figures=subcell_cell_%&amp;knowledge=10&amp;textmining=10&amp;experiments=10&amp;predictions=10&amp;type1=9606&amp;type2=-22&amp;id1=ENSP00000370224","link")</f>
        <v>link</v>
      </c>
      <c r="AI1493" t="s">
        <v>15633</v>
      </c>
      <c r="AJ1493" t="s">
        <v>15634</v>
      </c>
      <c r="AK1493" t="str">
        <f>HYPERLINK("http://www.proteinatlas.org/Q6UWI2","HPA038236")</f>
        <v>HPA038236</v>
      </c>
      <c r="AM1493">
        <v>25849</v>
      </c>
    </row>
    <row r="1494" spans="1:39" x14ac:dyDescent="0.35">
      <c r="A1494" t="s">
        <v>15635</v>
      </c>
      <c r="B1494" t="str">
        <f>HYPERLINK("http://www.uniprot.org/uniprot/Q6UWJ1","Q6UWJ1")</f>
        <v>Q6UWJ1</v>
      </c>
      <c r="C1494" t="s">
        <v>15636</v>
      </c>
      <c r="D1494" t="s">
        <v>15637</v>
      </c>
      <c r="E1494" t="s">
        <v>39</v>
      </c>
      <c r="F1494" t="s">
        <v>40</v>
      </c>
      <c r="H1494">
        <v>677</v>
      </c>
      <c r="I1494">
        <v>10</v>
      </c>
      <c r="J1494">
        <v>1</v>
      </c>
      <c r="K1494" t="s">
        <v>15638</v>
      </c>
      <c r="L1494" t="s">
        <v>118</v>
      </c>
      <c r="N1494">
        <v>0.82240000000000002</v>
      </c>
      <c r="O1494" s="1">
        <v>1</v>
      </c>
      <c r="P1494" t="s">
        <v>15639</v>
      </c>
      <c r="Q1494" t="s">
        <v>15640</v>
      </c>
      <c r="S1494" t="s">
        <v>60</v>
      </c>
      <c r="T1494" t="s">
        <v>60</v>
      </c>
      <c r="U1494" t="s">
        <v>15641</v>
      </c>
      <c r="V1494">
        <v>4</v>
      </c>
      <c r="Z1494" t="s">
        <v>107</v>
      </c>
      <c r="AA1494">
        <v>2</v>
      </c>
      <c r="AB1494" t="s">
        <v>15642</v>
      </c>
      <c r="AC1494" t="s">
        <v>15643</v>
      </c>
      <c r="AD1494" t="s">
        <v>15644</v>
      </c>
      <c r="AE1494" t="s">
        <v>48</v>
      </c>
      <c r="AF1494" t="s">
        <v>15645</v>
      </c>
      <c r="AG1494" t="s">
        <v>15646</v>
      </c>
      <c r="AH1494" t="str">
        <f>HYPERLINK("http://compartments.jensenlab.org/Entity?figures=subcell_cell_%&amp;knowledge=10&amp;textmining=10&amp;experiments=10&amp;predictions=10&amp;type1=9606&amp;type2=-22&amp;id1=ENSP00000389399","link")</f>
        <v>link</v>
      </c>
      <c r="AJ1494" t="s">
        <v>51</v>
      </c>
      <c r="AK1494" t="str">
        <f>HYPERLINK("http://www.proteinatlas.org/Q6UWJ1","HPA039561;HPA048126")</f>
        <v>HPA039561;HPA048126</v>
      </c>
      <c r="AM1494">
        <v>55002</v>
      </c>
    </row>
    <row r="1495" spans="1:39" x14ac:dyDescent="0.35">
      <c r="A1495" t="s">
        <v>15647</v>
      </c>
      <c r="B1495" t="str">
        <f>HYPERLINK("http://www.uniprot.org/uniprot/Q6UWJ8","Q6UWJ8")</f>
        <v>Q6UWJ8</v>
      </c>
      <c r="C1495" t="s">
        <v>15648</v>
      </c>
      <c r="D1495" t="s">
        <v>15649</v>
      </c>
      <c r="E1495" t="s">
        <v>39</v>
      </c>
      <c r="F1495" t="s">
        <v>40</v>
      </c>
      <c r="H1495">
        <v>174</v>
      </c>
      <c r="I1495">
        <v>1</v>
      </c>
      <c r="J1495">
        <v>1</v>
      </c>
      <c r="K1495" t="s">
        <v>15650</v>
      </c>
      <c r="L1495" t="s">
        <v>57</v>
      </c>
      <c r="N1495">
        <v>0.77249999999999996</v>
      </c>
      <c r="O1495" s="1">
        <v>1</v>
      </c>
      <c r="P1495" t="s">
        <v>15651</v>
      </c>
      <c r="Q1495" t="s">
        <v>15652</v>
      </c>
      <c r="S1495" t="s">
        <v>60</v>
      </c>
      <c r="T1495" t="s">
        <v>60</v>
      </c>
      <c r="U1495" t="s">
        <v>15653</v>
      </c>
      <c r="V1495">
        <v>2</v>
      </c>
      <c r="AE1495" t="s">
        <v>144</v>
      </c>
      <c r="AF1495" t="s">
        <v>14554</v>
      </c>
      <c r="AG1495" t="s">
        <v>15654</v>
      </c>
      <c r="AH1495" t="str">
        <f>HYPERLINK("http://compartments.jensenlab.org/Entity?figures=subcell_cell_%&amp;knowledge=10&amp;textmining=10&amp;experiments=10&amp;predictions=10&amp;type1=9606&amp;type2=-22&amp;id1=ENSP00000363139","link")</f>
        <v>link</v>
      </c>
      <c r="AJ1495" t="s">
        <v>51</v>
      </c>
      <c r="AK1495" t="str">
        <f>HYPERLINK("http://www.proteinatlas.org/Q6UWJ8","HPA062915")</f>
        <v>HPA062915</v>
      </c>
      <c r="AM1495">
        <v>388611</v>
      </c>
    </row>
    <row r="1496" spans="1:39" x14ac:dyDescent="0.35">
      <c r="A1496" t="s">
        <v>15655</v>
      </c>
      <c r="B1496" t="str">
        <f>HYPERLINK("http://www.uniprot.org/uniprot/Q6UWL2","Q6UWL2")</f>
        <v>Q6UWL2</v>
      </c>
      <c r="C1496" t="s">
        <v>15656</v>
      </c>
      <c r="D1496" t="s">
        <v>15657</v>
      </c>
      <c r="E1496" t="s">
        <v>39</v>
      </c>
      <c r="F1496" t="s">
        <v>40</v>
      </c>
      <c r="H1496">
        <v>747</v>
      </c>
      <c r="I1496">
        <v>1</v>
      </c>
      <c r="J1496">
        <v>1</v>
      </c>
      <c r="K1496" t="s">
        <v>15658</v>
      </c>
      <c r="L1496" t="s">
        <v>101</v>
      </c>
      <c r="N1496">
        <v>0.73650000000000004</v>
      </c>
      <c r="O1496" s="1">
        <v>2</v>
      </c>
      <c r="P1496" t="s">
        <v>15659</v>
      </c>
      <c r="Q1496" t="s">
        <v>15660</v>
      </c>
      <c r="S1496" t="s">
        <v>60</v>
      </c>
      <c r="T1496" t="s">
        <v>60</v>
      </c>
      <c r="U1496" t="s">
        <v>15661</v>
      </c>
      <c r="V1496">
        <v>18</v>
      </c>
      <c r="Z1496" t="s">
        <v>107</v>
      </c>
      <c r="AA1496">
        <v>5</v>
      </c>
      <c r="AB1496" t="s">
        <v>15662</v>
      </c>
      <c r="AC1496" t="s">
        <v>15663</v>
      </c>
      <c r="AD1496" t="s">
        <v>15664</v>
      </c>
      <c r="AE1496" t="s">
        <v>144</v>
      </c>
      <c r="AF1496" t="s">
        <v>15665</v>
      </c>
      <c r="AG1496" t="s">
        <v>15666</v>
      </c>
      <c r="AH1496" t="str">
        <f>HYPERLINK("http://compartments.jensenlab.org/Entity?figures=subcell_cell_%&amp;knowledge=10&amp;textmining=10&amp;experiments=10&amp;predictions=10&amp;type1=9606&amp;type2=-22&amp;id1=ENSP00000363388","link")</f>
        <v>link</v>
      </c>
      <c r="AJ1496" t="s">
        <v>51</v>
      </c>
      <c r="AK1496" t="str">
        <f>HYPERLINK("http://www.proteinatlas.org/Q6UWL2","HPA048554")</f>
        <v>HPA048554</v>
      </c>
      <c r="AM1496">
        <v>64420</v>
      </c>
    </row>
    <row r="1497" spans="1:39" x14ac:dyDescent="0.35">
      <c r="A1497" t="s">
        <v>15667</v>
      </c>
      <c r="B1497" t="str">
        <f>HYPERLINK("http://www.uniprot.org/uniprot/Q6UWL6","Q6UWL6")</f>
        <v>Q6UWL6</v>
      </c>
      <c r="C1497" t="s">
        <v>15668</v>
      </c>
      <c r="D1497" t="s">
        <v>15669</v>
      </c>
      <c r="E1497" t="s">
        <v>39</v>
      </c>
      <c r="F1497" t="s">
        <v>40</v>
      </c>
      <c r="H1497">
        <v>708</v>
      </c>
      <c r="I1497">
        <v>1</v>
      </c>
      <c r="J1497">
        <v>1</v>
      </c>
      <c r="K1497" t="s">
        <v>15670</v>
      </c>
      <c r="L1497" t="s">
        <v>57</v>
      </c>
      <c r="N1497">
        <v>0.84230000000000005</v>
      </c>
      <c r="O1497" s="1">
        <v>1</v>
      </c>
      <c r="P1497" t="s">
        <v>15671</v>
      </c>
      <c r="Q1497" t="s">
        <v>15672</v>
      </c>
      <c r="S1497" t="s">
        <v>91</v>
      </c>
      <c r="T1497" t="s">
        <v>14321</v>
      </c>
      <c r="U1497" t="s">
        <v>15673</v>
      </c>
      <c r="V1497">
        <v>3</v>
      </c>
      <c r="AE1497" t="s">
        <v>332</v>
      </c>
      <c r="AF1497" t="s">
        <v>15674</v>
      </c>
      <c r="AG1497" t="s">
        <v>15675</v>
      </c>
      <c r="AH1497" t="str">
        <f>HYPERLINK("http://compartments.jensenlab.org/Entity?figures=subcell_cell_%&amp;knowledge=10&amp;textmining=10&amp;experiments=10&amp;predictions=10&amp;type1=9606&amp;type2=-22&amp;id1=ENSP00000353331","link")</f>
        <v>link</v>
      </c>
      <c r="AI1497" t="s">
        <v>65</v>
      </c>
      <c r="AJ1497" t="s">
        <v>51</v>
      </c>
      <c r="AK1497" t="str">
        <f>HYPERLINK("http://www.proteinatlas.org/Q6UWL6","no")</f>
        <v>no</v>
      </c>
      <c r="AM1497">
        <v>84063</v>
      </c>
    </row>
    <row r="1498" spans="1:39" x14ac:dyDescent="0.35">
      <c r="A1498" t="s">
        <v>15676</v>
      </c>
      <c r="B1498" t="str">
        <f>HYPERLINK("http://www.uniprot.org/uniprot/Q6UWN0","Q6UWN0")</f>
        <v>Q6UWN0</v>
      </c>
      <c r="C1498" t="s">
        <v>15677</v>
      </c>
      <c r="D1498" t="s">
        <v>15678</v>
      </c>
      <c r="E1498" t="s">
        <v>39</v>
      </c>
      <c r="F1498" t="s">
        <v>239</v>
      </c>
      <c r="H1498">
        <v>246</v>
      </c>
      <c r="I1498">
        <v>0</v>
      </c>
      <c r="J1498">
        <v>1</v>
      </c>
      <c r="K1498" t="s">
        <v>15679</v>
      </c>
      <c r="L1498" t="s">
        <v>57</v>
      </c>
      <c r="N1498">
        <v>0.76249999999999996</v>
      </c>
      <c r="O1498" s="1" t="s">
        <v>997</v>
      </c>
      <c r="P1498" t="s">
        <v>15680</v>
      </c>
      <c r="Q1498" t="s">
        <v>15681</v>
      </c>
      <c r="U1498" t="s">
        <v>15682</v>
      </c>
      <c r="V1498">
        <v>2</v>
      </c>
      <c r="W1498" t="s">
        <v>15682</v>
      </c>
      <c r="AE1498" t="s">
        <v>243</v>
      </c>
      <c r="AF1498" t="s">
        <v>15683</v>
      </c>
      <c r="AG1498" t="s">
        <v>15684</v>
      </c>
      <c r="AH1498" t="str">
        <f>HYPERLINK("http://compartments.jensenlab.org/Entity?figures=subcell_cell_%&amp;knowledge=10&amp;textmining=10&amp;experiments=10&amp;predictions=10&amp;type1=9606&amp;type2=-22&amp;id1=ENSP00000476510","link")</f>
        <v>link</v>
      </c>
      <c r="AK1498" t="str">
        <f>HYPERLINK("http://www.proteinatlas.org/Q6UWN0","no")</f>
        <v>no</v>
      </c>
      <c r="AM1498">
        <v>147719</v>
      </c>
    </row>
    <row r="1499" spans="1:39" x14ac:dyDescent="0.35">
      <c r="A1499" t="s">
        <v>15685</v>
      </c>
      <c r="B1499" t="str">
        <f>HYPERLINK("http://www.uniprot.org/uniprot/Q6UWN5","Q6UWN5")</f>
        <v>Q6UWN5</v>
      </c>
      <c r="C1499" t="s">
        <v>15686</v>
      </c>
      <c r="D1499" t="s">
        <v>15687</v>
      </c>
      <c r="E1499" t="s">
        <v>39</v>
      </c>
      <c r="F1499" t="s">
        <v>239</v>
      </c>
      <c r="H1499">
        <v>251</v>
      </c>
      <c r="I1499">
        <v>0</v>
      </c>
      <c r="J1499">
        <v>1</v>
      </c>
      <c r="K1499" t="s">
        <v>15688</v>
      </c>
      <c r="L1499" t="s">
        <v>57</v>
      </c>
      <c r="N1499">
        <v>0.78839999999999999</v>
      </c>
      <c r="O1499" s="1" t="s">
        <v>997</v>
      </c>
      <c r="P1499" t="s">
        <v>15689</v>
      </c>
      <c r="Q1499" t="s">
        <v>15690</v>
      </c>
      <c r="S1499" t="s">
        <v>60</v>
      </c>
      <c r="T1499" t="s">
        <v>60</v>
      </c>
      <c r="U1499" t="s">
        <v>15691</v>
      </c>
      <c r="V1499">
        <v>2</v>
      </c>
      <c r="W1499" t="s">
        <v>15691</v>
      </c>
      <c r="AE1499" t="s">
        <v>243</v>
      </c>
      <c r="AF1499" t="s">
        <v>15692</v>
      </c>
      <c r="AG1499" t="s">
        <v>15693</v>
      </c>
      <c r="AH1499" t="str">
        <f>HYPERLINK("http://compartments.jensenlab.org/Entity?figures=subcell_cell_%&amp;knowledge=10&amp;textmining=10&amp;experiments=10&amp;predictions=10&amp;type1=9606&amp;type2=-22&amp;id1=ENSP00000367185","link")</f>
        <v>link</v>
      </c>
      <c r="AI1499" t="s">
        <v>65</v>
      </c>
      <c r="AJ1499" t="s">
        <v>51</v>
      </c>
      <c r="AK1499" t="str">
        <f>HYPERLINK("http://www.proteinatlas.org/Q6UWN5","HPA042511")</f>
        <v>HPA042511</v>
      </c>
      <c r="AM1499">
        <v>284348</v>
      </c>
    </row>
    <row r="1500" spans="1:39" x14ac:dyDescent="0.35">
      <c r="A1500" t="s">
        <v>15694</v>
      </c>
      <c r="B1500" t="str">
        <f>HYPERLINK("http://www.uniprot.org/uniprot/Q6UWR7","Q6UWR7")</f>
        <v>Q6UWR7</v>
      </c>
      <c r="C1500" t="s">
        <v>15695</v>
      </c>
      <c r="D1500" t="s">
        <v>15696</v>
      </c>
      <c r="E1500" t="s">
        <v>39</v>
      </c>
      <c r="F1500" t="s">
        <v>239</v>
      </c>
      <c r="H1500">
        <v>440</v>
      </c>
      <c r="I1500">
        <v>0</v>
      </c>
      <c r="J1500">
        <v>1</v>
      </c>
      <c r="K1500" t="s">
        <v>15697</v>
      </c>
      <c r="L1500" t="s">
        <v>57</v>
      </c>
      <c r="N1500">
        <v>0.65069999999999995</v>
      </c>
      <c r="O1500" s="1" t="s">
        <v>241</v>
      </c>
      <c r="P1500" t="s">
        <v>15698</v>
      </c>
      <c r="Q1500" t="s">
        <v>15699</v>
      </c>
      <c r="U1500" t="s">
        <v>15700</v>
      </c>
      <c r="V1500">
        <v>4</v>
      </c>
      <c r="W1500" t="s">
        <v>15700</v>
      </c>
      <c r="AE1500" t="s">
        <v>243</v>
      </c>
      <c r="AF1500" t="s">
        <v>15701</v>
      </c>
      <c r="AG1500" t="s">
        <v>15702</v>
      </c>
      <c r="AH1500" t="str">
        <f>HYPERLINK("http://compartments.jensenlab.org/Entity?figures=subcell_cell_%&amp;knowledge=10&amp;textmining=10&amp;experiments=10&amp;predictions=10&amp;type1=9606&amp;type2=-22&amp;id1=ENSP00000296741","link")</f>
        <v>link</v>
      </c>
      <c r="AI1500" t="s">
        <v>1058</v>
      </c>
      <c r="AJ1500" t="s">
        <v>902</v>
      </c>
      <c r="AK1500" t="str">
        <f>HYPERLINK("http://www.proteinatlas.org/Q6UWR7","HPA042740")</f>
        <v>HPA042740</v>
      </c>
      <c r="AM1500">
        <v>133121</v>
      </c>
    </row>
    <row r="1501" spans="1:39" x14ac:dyDescent="0.35">
      <c r="A1501" t="s">
        <v>15703</v>
      </c>
      <c r="B1501" t="str">
        <f>HYPERLINK("http://www.uniprot.org/uniprot/Q6UWV2","Q6UWV2")</f>
        <v>Q6UWV2</v>
      </c>
      <c r="C1501" t="s">
        <v>15704</v>
      </c>
      <c r="D1501" t="s">
        <v>15705</v>
      </c>
      <c r="E1501" t="s">
        <v>39</v>
      </c>
      <c r="F1501" t="s">
        <v>40</v>
      </c>
      <c r="H1501">
        <v>235</v>
      </c>
      <c r="I1501">
        <v>1</v>
      </c>
      <c r="J1501">
        <v>1</v>
      </c>
      <c r="K1501" t="s">
        <v>15706</v>
      </c>
      <c r="L1501" t="s">
        <v>57</v>
      </c>
      <c r="N1501">
        <v>0.78839999999999999</v>
      </c>
      <c r="O1501" s="1">
        <v>1</v>
      </c>
      <c r="P1501" t="s">
        <v>15707</v>
      </c>
      <c r="Q1501" t="s">
        <v>15708</v>
      </c>
      <c r="S1501" t="s">
        <v>91</v>
      </c>
      <c r="T1501" t="s">
        <v>2240</v>
      </c>
      <c r="U1501">
        <v>123</v>
      </c>
      <c r="V1501">
        <v>1</v>
      </c>
      <c r="AE1501" t="s">
        <v>144</v>
      </c>
      <c r="AF1501" t="s">
        <v>15709</v>
      </c>
      <c r="AG1501" t="s">
        <v>15710</v>
      </c>
      <c r="AH1501" t="str">
        <f>HYPERLINK("http://compartments.jensenlab.org/Entity?figures=subcell_cell_%&amp;knowledge=10&amp;textmining=10&amp;experiments=10&amp;predictions=10&amp;type1=9606&amp;type2=-22&amp;id1=ENSP00000278949","link")</f>
        <v>link</v>
      </c>
      <c r="AJ1501" t="s">
        <v>51</v>
      </c>
      <c r="AK1501" t="str">
        <f>HYPERLINK("http://www.proteinatlas.org/Q6UWV2","HPA029116")</f>
        <v>HPA029116</v>
      </c>
      <c r="AM1501">
        <v>196264</v>
      </c>
    </row>
    <row r="1502" spans="1:39" x14ac:dyDescent="0.35">
      <c r="A1502" t="s">
        <v>15711</v>
      </c>
      <c r="B1502" t="str">
        <f>HYPERLINK("http://www.uniprot.org/uniprot/Q6UX01","Q6UX01")</f>
        <v>Q6UX01</v>
      </c>
      <c r="C1502" t="s">
        <v>15712</v>
      </c>
      <c r="D1502" t="s">
        <v>15713</v>
      </c>
      <c r="E1502" t="s">
        <v>39</v>
      </c>
      <c r="F1502" t="s">
        <v>40</v>
      </c>
      <c r="H1502">
        <v>489</v>
      </c>
      <c r="I1502">
        <v>9</v>
      </c>
      <c r="J1502">
        <v>0</v>
      </c>
      <c r="K1502" t="s">
        <v>15714</v>
      </c>
      <c r="L1502" t="s">
        <v>57</v>
      </c>
      <c r="N1502">
        <v>0.76449999999999996</v>
      </c>
      <c r="O1502" s="1">
        <v>1</v>
      </c>
      <c r="P1502" t="s">
        <v>15715</v>
      </c>
      <c r="Q1502" t="s">
        <v>15716</v>
      </c>
      <c r="S1502" t="s">
        <v>60</v>
      </c>
      <c r="T1502" t="s">
        <v>60</v>
      </c>
      <c r="U1502" t="s">
        <v>15717</v>
      </c>
      <c r="V1502">
        <v>1</v>
      </c>
      <c r="AE1502" t="s">
        <v>74</v>
      </c>
      <c r="AF1502" t="s">
        <v>15718</v>
      </c>
      <c r="AG1502" t="s">
        <v>15719</v>
      </c>
      <c r="AH1502" t="str">
        <f>HYPERLINK("http://compartments.jensenlab.org/Entity?figures=subcell_cell_%&amp;knowledge=10&amp;textmining=10&amp;experiments=10&amp;predictions=10&amp;type1=9606&amp;type2=-22&amp;id1=ENSP00000267102","link")</f>
        <v>link</v>
      </c>
      <c r="AI1502" t="s">
        <v>65</v>
      </c>
      <c r="AJ1502" t="s">
        <v>51</v>
      </c>
      <c r="AK1502" t="str">
        <f>HYPERLINK("http://www.proteinatlas.org/Q6UX01","HPA057569")</f>
        <v>HPA057569</v>
      </c>
      <c r="AM1502">
        <v>55716</v>
      </c>
    </row>
    <row r="1503" spans="1:39" x14ac:dyDescent="0.35">
      <c r="A1503" t="s">
        <v>15720</v>
      </c>
      <c r="B1503" t="str">
        <f>HYPERLINK("http://www.uniprot.org/uniprot/Q6UX15","Q6UX15")</f>
        <v>Q6UX15</v>
      </c>
      <c r="C1503" t="s">
        <v>15721</v>
      </c>
      <c r="D1503" t="s">
        <v>15722</v>
      </c>
      <c r="E1503" t="s">
        <v>39</v>
      </c>
      <c r="F1503" t="s">
        <v>40</v>
      </c>
      <c r="H1503">
        <v>382</v>
      </c>
      <c r="I1503">
        <v>1</v>
      </c>
      <c r="J1503">
        <v>1</v>
      </c>
      <c r="K1503" t="s">
        <v>15723</v>
      </c>
      <c r="L1503" t="s">
        <v>57</v>
      </c>
      <c r="N1503">
        <v>0.88019999999999998</v>
      </c>
      <c r="O1503" s="1">
        <v>1</v>
      </c>
      <c r="P1503" t="s">
        <v>15724</v>
      </c>
      <c r="Q1503" t="s">
        <v>15725</v>
      </c>
      <c r="S1503" t="s">
        <v>166</v>
      </c>
      <c r="T1503" t="s">
        <v>4251</v>
      </c>
      <c r="U1503" t="s">
        <v>15726</v>
      </c>
      <c r="V1503">
        <v>1</v>
      </c>
      <c r="W1503" t="s">
        <v>15727</v>
      </c>
      <c r="AE1503" t="s">
        <v>144</v>
      </c>
      <c r="AF1503" t="s">
        <v>15728</v>
      </c>
      <c r="AG1503" t="s">
        <v>15729</v>
      </c>
      <c r="AH1503" t="str">
        <f>HYPERLINK("http://compartments.jensenlab.org/Entity?figures=subcell_cell_%&amp;knowledge=10&amp;textmining=10&amp;experiments=10&amp;predictions=10&amp;type1=9606&amp;type2=-22&amp;id1=ENSP00000364765","link")</f>
        <v>link</v>
      </c>
      <c r="AK1503" t="str">
        <f>HYPERLINK("http://www.proteinatlas.org/Q6UX15","HPA040087")</f>
        <v>HPA040087</v>
      </c>
      <c r="AM1503">
        <v>143903</v>
      </c>
    </row>
    <row r="1504" spans="1:39" x14ac:dyDescent="0.35">
      <c r="A1504" t="s">
        <v>15730</v>
      </c>
      <c r="B1504" t="str">
        <f>HYPERLINK("http://www.uniprot.org/uniprot/Q6UX27","Q6UX27")</f>
        <v>Q6UX27</v>
      </c>
      <c r="C1504" t="s">
        <v>15731</v>
      </c>
      <c r="D1504" t="s">
        <v>15732</v>
      </c>
      <c r="E1504" t="s">
        <v>39</v>
      </c>
      <c r="F1504" t="s">
        <v>40</v>
      </c>
      <c r="H1504">
        <v>236</v>
      </c>
      <c r="I1504">
        <v>1</v>
      </c>
      <c r="J1504">
        <v>1</v>
      </c>
      <c r="K1504" t="s">
        <v>15733</v>
      </c>
      <c r="L1504" t="s">
        <v>101</v>
      </c>
      <c r="N1504">
        <v>0.83630000000000004</v>
      </c>
      <c r="O1504" s="1">
        <v>1</v>
      </c>
      <c r="P1504" t="s">
        <v>15734</v>
      </c>
      <c r="Q1504" t="s">
        <v>15735</v>
      </c>
      <c r="S1504" t="s">
        <v>91</v>
      </c>
      <c r="T1504" t="s">
        <v>14321</v>
      </c>
      <c r="U1504" t="s">
        <v>15736</v>
      </c>
      <c r="V1504">
        <v>3</v>
      </c>
      <c r="Z1504" t="s">
        <v>107</v>
      </c>
      <c r="AA1504">
        <v>1</v>
      </c>
      <c r="AB1504" t="s">
        <v>15737</v>
      </c>
      <c r="AC1504">
        <v>44</v>
      </c>
      <c r="AD1504" t="s">
        <v>15738</v>
      </c>
      <c r="AE1504" t="s">
        <v>15739</v>
      </c>
      <c r="AF1504" t="s">
        <v>15740</v>
      </c>
      <c r="AG1504" t="s">
        <v>15741</v>
      </c>
      <c r="AH1504" t="str">
        <f>HYPERLINK("http://compartments.jensenlab.org/Entity?figures=subcell_cell_%&amp;knowledge=10&amp;textmining=10&amp;experiments=10&amp;predictions=10&amp;type1=9606&amp;type2=-22&amp;id1=ENSP00000343366","link")</f>
        <v>link</v>
      </c>
      <c r="AJ1504" t="s">
        <v>51</v>
      </c>
      <c r="AK1504" t="str">
        <f>HYPERLINK("http://www.proteinatlas.org/Q6UX27","HPA059365;HPA060396")</f>
        <v>HPA059365;HPA060396</v>
      </c>
      <c r="AM1504">
        <v>284415</v>
      </c>
    </row>
    <row r="1505" spans="1:39" x14ac:dyDescent="0.35">
      <c r="A1505" t="s">
        <v>15742</v>
      </c>
      <c r="B1505" t="str">
        <f>HYPERLINK("http://www.uniprot.org/uniprot/Q6UX71","Q6UX71")</f>
        <v>Q6UX71</v>
      </c>
      <c r="C1505" t="s">
        <v>15743</v>
      </c>
      <c r="D1505" t="s">
        <v>15744</v>
      </c>
      <c r="E1505" t="s">
        <v>39</v>
      </c>
      <c r="F1505" t="s">
        <v>40</v>
      </c>
      <c r="H1505">
        <v>529</v>
      </c>
      <c r="I1505">
        <v>1</v>
      </c>
      <c r="J1505">
        <v>1</v>
      </c>
      <c r="K1505" t="s">
        <v>15745</v>
      </c>
      <c r="L1505" t="s">
        <v>57</v>
      </c>
      <c r="N1505">
        <v>0.90620000000000001</v>
      </c>
      <c r="O1505" s="1">
        <v>1</v>
      </c>
      <c r="P1505" t="s">
        <v>15746</v>
      </c>
      <c r="Q1505" t="s">
        <v>15747</v>
      </c>
      <c r="S1505" t="s">
        <v>60</v>
      </c>
      <c r="T1505" t="s">
        <v>60</v>
      </c>
      <c r="U1505" t="s">
        <v>15748</v>
      </c>
      <c r="V1505">
        <v>6</v>
      </c>
      <c r="X1505" t="s">
        <v>15749</v>
      </c>
      <c r="AE1505" t="s">
        <v>144</v>
      </c>
      <c r="AF1505" t="s">
        <v>158</v>
      </c>
      <c r="AG1505" t="s">
        <v>15750</v>
      </c>
      <c r="AH1505" t="str">
        <f>HYPERLINK("http://compartments.jensenlab.org/Entity?figures=subcell_cell_%&amp;knowledge=10&amp;textmining=10&amp;experiments=10&amp;predictions=10&amp;type1=9606&amp;type2=-22&amp;id1=ENSP00000366460","link")</f>
        <v>link</v>
      </c>
      <c r="AJ1505" t="s">
        <v>51</v>
      </c>
      <c r="AK1505" t="str">
        <f>HYPERLINK("http://www.proteinatlas.org/Q6UX71","HPA017268")</f>
        <v>HPA017268</v>
      </c>
      <c r="AM1505">
        <v>84898</v>
      </c>
    </row>
    <row r="1506" spans="1:39" x14ac:dyDescent="0.35">
      <c r="A1506" t="s">
        <v>15751</v>
      </c>
      <c r="B1506" t="str">
        <f>HYPERLINK("http://www.uniprot.org/uniprot/Q6UX82","Q6UX82")</f>
        <v>Q6UX82</v>
      </c>
      <c r="C1506" t="s">
        <v>15752</v>
      </c>
      <c r="D1506" t="s">
        <v>15753</v>
      </c>
      <c r="E1506" t="s">
        <v>39</v>
      </c>
      <c r="F1506" t="s">
        <v>239</v>
      </c>
      <c r="H1506">
        <v>237</v>
      </c>
      <c r="I1506">
        <v>0</v>
      </c>
      <c r="J1506">
        <v>1</v>
      </c>
      <c r="K1506" t="s">
        <v>15754</v>
      </c>
      <c r="L1506" t="s">
        <v>57</v>
      </c>
      <c r="N1506">
        <v>0.78639999999999999</v>
      </c>
      <c r="O1506" s="1" t="s">
        <v>997</v>
      </c>
      <c r="S1506" t="s">
        <v>60</v>
      </c>
      <c r="T1506" t="s">
        <v>60</v>
      </c>
      <c r="U1506" t="s">
        <v>15755</v>
      </c>
      <c r="V1506">
        <v>8</v>
      </c>
      <c r="W1506" t="s">
        <v>15755</v>
      </c>
      <c r="AE1506" t="s">
        <v>243</v>
      </c>
      <c r="AF1506" t="s">
        <v>14370</v>
      </c>
      <c r="AG1506" t="s">
        <v>15756</v>
      </c>
      <c r="AK1506" t="str">
        <f>HYPERLINK("http://www.proteinatlas.org/Q6UX82","no")</f>
        <v>no</v>
      </c>
      <c r="AM1506">
        <v>646627</v>
      </c>
    </row>
    <row r="1507" spans="1:39" x14ac:dyDescent="0.35">
      <c r="A1507" t="s">
        <v>15757</v>
      </c>
      <c r="B1507" t="str">
        <f>HYPERLINK("http://www.uniprot.org/uniprot/Q6UXB3","Q6UXB3")</f>
        <v>Q6UXB3</v>
      </c>
      <c r="C1507" t="s">
        <v>15758</v>
      </c>
      <c r="D1507" t="s">
        <v>15759</v>
      </c>
      <c r="E1507" t="s">
        <v>39</v>
      </c>
      <c r="F1507" t="s">
        <v>239</v>
      </c>
      <c r="H1507">
        <v>125</v>
      </c>
      <c r="I1507">
        <v>0</v>
      </c>
      <c r="J1507">
        <v>1</v>
      </c>
      <c r="K1507" t="s">
        <v>15760</v>
      </c>
      <c r="L1507" t="s">
        <v>57</v>
      </c>
      <c r="N1507">
        <v>0.74250000000000005</v>
      </c>
      <c r="O1507" s="1" t="s">
        <v>241</v>
      </c>
      <c r="P1507" t="s">
        <v>15761</v>
      </c>
      <c r="Q1507" t="s">
        <v>15762</v>
      </c>
      <c r="U1507">
        <v>46</v>
      </c>
      <c r="V1507">
        <v>1</v>
      </c>
      <c r="W1507">
        <v>46</v>
      </c>
      <c r="AE1507" t="s">
        <v>243</v>
      </c>
      <c r="AF1507" t="s">
        <v>7097</v>
      </c>
      <c r="AG1507" t="s">
        <v>15763</v>
      </c>
      <c r="AH1507" t="str">
        <f>HYPERLINK("http://compartments.jensenlab.org/Entity?figures=subcell_cell_%&amp;knowledge=10&amp;textmining=10&amp;experiments=10&amp;predictions=10&amp;type1=9606&amp;type2=-22&amp;id1=ENSP00000352163","link")</f>
        <v>link</v>
      </c>
      <c r="AI1507" t="s">
        <v>65</v>
      </c>
      <c r="AJ1507" t="s">
        <v>51</v>
      </c>
      <c r="AK1507" t="str">
        <f>HYPERLINK("http://www.proteinatlas.org/Q6UXB3","HPA028599")</f>
        <v>HPA028599</v>
      </c>
      <c r="AM1507">
        <v>137797</v>
      </c>
    </row>
    <row r="1508" spans="1:39" x14ac:dyDescent="0.35">
      <c r="A1508" t="s">
        <v>15764</v>
      </c>
      <c r="B1508" t="str">
        <f>HYPERLINK("http://www.uniprot.org/uniprot/Q6UXB4","Q6UXB4")</f>
        <v>Q6UXB4</v>
      </c>
      <c r="C1508" t="s">
        <v>15765</v>
      </c>
      <c r="D1508" t="s">
        <v>15766</v>
      </c>
      <c r="E1508" t="s">
        <v>39</v>
      </c>
      <c r="F1508" t="s">
        <v>40</v>
      </c>
      <c r="H1508">
        <v>293</v>
      </c>
      <c r="I1508">
        <v>1</v>
      </c>
      <c r="J1508">
        <v>0</v>
      </c>
      <c r="K1508" t="s">
        <v>15767</v>
      </c>
      <c r="L1508" t="s">
        <v>57</v>
      </c>
      <c r="N1508">
        <v>0.61480000000000001</v>
      </c>
      <c r="O1508" s="1">
        <v>2</v>
      </c>
      <c r="P1508" t="s">
        <v>15768</v>
      </c>
      <c r="Q1508" t="s">
        <v>15769</v>
      </c>
      <c r="S1508" t="s">
        <v>166</v>
      </c>
      <c r="T1508" t="s">
        <v>4251</v>
      </c>
      <c r="U1508" t="s">
        <v>15770</v>
      </c>
      <c r="V1508">
        <v>2</v>
      </c>
      <c r="Y1508" t="s">
        <v>15771</v>
      </c>
      <c r="AE1508" t="s">
        <v>359</v>
      </c>
      <c r="AF1508" t="s">
        <v>15772</v>
      </c>
      <c r="AG1508" t="s">
        <v>15773</v>
      </c>
      <c r="AH1508" t="str">
        <f>HYPERLINK("http://compartments.jensenlab.org/Entity?figures=subcell_cell_%&amp;knowledge=10&amp;textmining=10&amp;experiments=10&amp;predictions=10&amp;type1=9606&amp;type2=-22&amp;id1=ENSP00000327599","link")</f>
        <v>link</v>
      </c>
      <c r="AJ1508" t="s">
        <v>51</v>
      </c>
      <c r="AK1508" t="str">
        <f>HYPERLINK("http://www.proteinatlas.org/Q6UXB4","CAB003789;HPA014044")</f>
        <v>CAB003789;HPA014044</v>
      </c>
      <c r="AM1508">
        <v>339390</v>
      </c>
    </row>
    <row r="1509" spans="1:39" x14ac:dyDescent="0.35">
      <c r="A1509" t="s">
        <v>15774</v>
      </c>
      <c r="B1509" t="str">
        <f>HYPERLINK("http://www.uniprot.org/uniprot/Q6UXB8","Q6UXB8")</f>
        <v>Q6UXB8</v>
      </c>
      <c r="C1509" t="s">
        <v>15775</v>
      </c>
      <c r="D1509" t="s">
        <v>15776</v>
      </c>
      <c r="E1509" t="s">
        <v>39</v>
      </c>
      <c r="F1509" t="s">
        <v>40</v>
      </c>
      <c r="H1509">
        <v>463</v>
      </c>
      <c r="I1509">
        <v>1</v>
      </c>
      <c r="J1509">
        <v>1</v>
      </c>
      <c r="K1509" t="s">
        <v>15777</v>
      </c>
      <c r="L1509" t="s">
        <v>101</v>
      </c>
      <c r="N1509">
        <v>0.67069999999999996</v>
      </c>
      <c r="O1509" s="1">
        <v>2</v>
      </c>
      <c r="P1509" t="s">
        <v>15778</v>
      </c>
      <c r="Q1509" t="s">
        <v>15779</v>
      </c>
      <c r="S1509" t="s">
        <v>60</v>
      </c>
      <c r="T1509" t="s">
        <v>60</v>
      </c>
      <c r="U1509" t="s">
        <v>15780</v>
      </c>
      <c r="V1509">
        <v>3</v>
      </c>
      <c r="W1509" t="s">
        <v>15780</v>
      </c>
      <c r="Z1509" t="s">
        <v>107</v>
      </c>
      <c r="AA1509">
        <v>2</v>
      </c>
      <c r="AB1509" t="s">
        <v>15781</v>
      </c>
      <c r="AC1509">
        <v>114</v>
      </c>
      <c r="AD1509" t="s">
        <v>15782</v>
      </c>
      <c r="AE1509" t="s">
        <v>144</v>
      </c>
      <c r="AF1509" t="s">
        <v>15783</v>
      </c>
      <c r="AG1509" t="s">
        <v>15784</v>
      </c>
      <c r="AH1509" t="str">
        <f>HYPERLINK("http://compartments.jensenlab.org/Entity?figures=subcell_cell_%&amp;knowledge=10&amp;textmining=10&amp;experiments=10&amp;predictions=10&amp;type1=9606&amp;type2=-22&amp;id1=ENSP00000362778","link")</f>
        <v>link</v>
      </c>
      <c r="AJ1509" t="s">
        <v>902</v>
      </c>
      <c r="AK1509" t="str">
        <f>HYPERLINK("http://www.proteinatlas.org/Q6UXB8","HPA043763")</f>
        <v>HPA043763</v>
      </c>
      <c r="AM1509">
        <v>221476</v>
      </c>
    </row>
    <row r="1510" spans="1:39" x14ac:dyDescent="0.35">
      <c r="A1510" t="s">
        <v>15785</v>
      </c>
      <c r="B1510" t="str">
        <f>HYPERLINK("http://www.uniprot.org/uniprot/Q6UXC1","Q6UXC1")</f>
        <v>Q6UXC1</v>
      </c>
      <c r="C1510" t="s">
        <v>15786</v>
      </c>
      <c r="D1510" t="s">
        <v>15787</v>
      </c>
      <c r="E1510" t="s">
        <v>39</v>
      </c>
      <c r="F1510" t="s">
        <v>40</v>
      </c>
      <c r="H1510">
        <v>1216</v>
      </c>
      <c r="I1510">
        <v>1</v>
      </c>
      <c r="J1510">
        <v>1</v>
      </c>
      <c r="K1510" t="s">
        <v>15788</v>
      </c>
      <c r="L1510" t="s">
        <v>57</v>
      </c>
      <c r="N1510">
        <v>0.75049999999999994</v>
      </c>
      <c r="O1510" s="1">
        <v>1</v>
      </c>
      <c r="P1510" t="s">
        <v>15789</v>
      </c>
      <c r="Q1510" t="s">
        <v>15790</v>
      </c>
      <c r="S1510" t="s">
        <v>60</v>
      </c>
      <c r="T1510" t="s">
        <v>60</v>
      </c>
      <c r="U1510" t="s">
        <v>15791</v>
      </c>
      <c r="V1510">
        <v>6</v>
      </c>
      <c r="Y1510" t="s">
        <v>15792</v>
      </c>
      <c r="AE1510" t="s">
        <v>144</v>
      </c>
      <c r="AF1510" t="s">
        <v>15793</v>
      </c>
      <c r="AG1510" t="s">
        <v>15794</v>
      </c>
      <c r="AH1510" t="str">
        <f>HYPERLINK("http://compartments.jensenlab.org/Entity?figures=subcell_cell_%&amp;knowledge=10&amp;textmining=10&amp;experiments=10&amp;predictions=10&amp;type1=9606&amp;type2=-22&amp;id1=ENSP00000411339","link")</f>
        <v>link</v>
      </c>
      <c r="AK1510" t="str">
        <f>HYPERLINK("http://www.proteinatlas.org/Q6UXC1","CAB026377;HPA059977")</f>
        <v>CAB026377;HPA059977</v>
      </c>
      <c r="AM1510">
        <v>158056</v>
      </c>
    </row>
    <row r="1511" spans="1:39" x14ac:dyDescent="0.35">
      <c r="A1511" t="s">
        <v>15795</v>
      </c>
      <c r="B1511" t="str">
        <f>HYPERLINK("http://www.uniprot.org/uniprot/Q6UXD5","Q6UXD5")</f>
        <v>Q6UXD5</v>
      </c>
      <c r="C1511" t="s">
        <v>15796</v>
      </c>
      <c r="D1511" t="s">
        <v>15797</v>
      </c>
      <c r="E1511" t="s">
        <v>39</v>
      </c>
      <c r="F1511" t="s">
        <v>55</v>
      </c>
      <c r="H1511">
        <v>910</v>
      </c>
      <c r="I1511">
        <v>1</v>
      </c>
      <c r="J1511">
        <v>1</v>
      </c>
      <c r="K1511" t="s">
        <v>15798</v>
      </c>
      <c r="L1511" t="s">
        <v>101</v>
      </c>
      <c r="M1511" t="s">
        <v>39</v>
      </c>
      <c r="N1511">
        <v>0.88300000000000001</v>
      </c>
      <c r="O1511" s="1">
        <v>1</v>
      </c>
      <c r="P1511" t="s">
        <v>15799</v>
      </c>
      <c r="Q1511" t="s">
        <v>15800</v>
      </c>
      <c r="S1511" t="s">
        <v>60</v>
      </c>
      <c r="T1511" t="s">
        <v>60</v>
      </c>
      <c r="U1511" t="s">
        <v>15801</v>
      </c>
      <c r="V1511">
        <v>9</v>
      </c>
      <c r="Z1511" t="s">
        <v>107</v>
      </c>
      <c r="AA1511">
        <v>2</v>
      </c>
      <c r="AB1511" t="s">
        <v>15802</v>
      </c>
      <c r="AC1511" t="s">
        <v>15803</v>
      </c>
      <c r="AD1511" t="s">
        <v>15804</v>
      </c>
      <c r="AE1511" t="s">
        <v>7124</v>
      </c>
      <c r="AF1511" t="s">
        <v>15805</v>
      </c>
      <c r="AG1511" t="s">
        <v>15806</v>
      </c>
      <c r="AH1511" t="str">
        <f>HYPERLINK("http://compartments.jensenlab.org/Entity?figures=subcell_cell_%&amp;knowledge=10&amp;textmining=10&amp;experiments=10&amp;predictions=10&amp;type1=9606&amp;type2=-22&amp;id1=ENSP00000312550","link")</f>
        <v>link</v>
      </c>
      <c r="AI1511" t="s">
        <v>1500</v>
      </c>
      <c r="AJ1511" t="s">
        <v>345</v>
      </c>
      <c r="AK1511" t="str">
        <f>HYPERLINK("http://www.proteinatlas.org/Q6UXD5","HPA064471")</f>
        <v>HPA064471</v>
      </c>
      <c r="AM1511">
        <v>26470</v>
      </c>
    </row>
    <row r="1512" spans="1:39" x14ac:dyDescent="0.35">
      <c r="A1512" t="s">
        <v>15807</v>
      </c>
      <c r="B1512" t="str">
        <f>HYPERLINK("http://www.uniprot.org/uniprot/Q6UXD7","Q6UXD7")</f>
        <v>Q6UXD7</v>
      </c>
      <c r="C1512" t="s">
        <v>15808</v>
      </c>
      <c r="D1512" t="s">
        <v>15809</v>
      </c>
      <c r="E1512" t="s">
        <v>39</v>
      </c>
      <c r="F1512" t="s">
        <v>40</v>
      </c>
      <c r="H1512">
        <v>560</v>
      </c>
      <c r="I1512">
        <v>12</v>
      </c>
      <c r="J1512">
        <v>0</v>
      </c>
      <c r="K1512" t="s">
        <v>15810</v>
      </c>
      <c r="L1512" t="s">
        <v>42</v>
      </c>
      <c r="N1512">
        <v>0.70860000000000001</v>
      </c>
      <c r="O1512" s="1">
        <v>2</v>
      </c>
      <c r="P1512" t="s">
        <v>15811</v>
      </c>
      <c r="Q1512" t="s">
        <v>15812</v>
      </c>
      <c r="S1512" t="s">
        <v>60</v>
      </c>
      <c r="T1512" t="s">
        <v>60</v>
      </c>
      <c r="U1512" t="s">
        <v>15813</v>
      </c>
      <c r="V1512">
        <v>0</v>
      </c>
      <c r="AE1512" t="s">
        <v>48</v>
      </c>
      <c r="AF1512" t="s">
        <v>15359</v>
      </c>
      <c r="AG1512" t="s">
        <v>15814</v>
      </c>
      <c r="AH1512" t="str">
        <f>HYPERLINK("http://compartments.jensenlab.org/Entity?figures=subcell_cell_%&amp;knowledge=10&amp;textmining=10&amp;experiments=10&amp;predictions=10&amp;type1=9606&amp;type2=-22&amp;id1=ENSP00000384616","link")</f>
        <v>link</v>
      </c>
      <c r="AK1512" t="str">
        <f>HYPERLINK("http://www.proteinatlas.org/Q6UXD7","HPA043593")</f>
        <v>HPA043593</v>
      </c>
      <c r="AM1512">
        <v>84179</v>
      </c>
    </row>
    <row r="1513" spans="1:39" x14ac:dyDescent="0.35">
      <c r="A1513" t="s">
        <v>15815</v>
      </c>
      <c r="B1513" t="str">
        <f>HYPERLINK("http://www.uniprot.org/uniprot/Q6UXE8","Q6UXE8")</f>
        <v>Q6UXE8</v>
      </c>
      <c r="C1513" t="s">
        <v>15816</v>
      </c>
      <c r="D1513" t="s">
        <v>15817</v>
      </c>
      <c r="E1513" t="s">
        <v>39</v>
      </c>
      <c r="F1513" t="s">
        <v>40</v>
      </c>
      <c r="H1513">
        <v>466</v>
      </c>
      <c r="I1513">
        <v>1</v>
      </c>
      <c r="J1513">
        <v>1</v>
      </c>
      <c r="K1513" t="s">
        <v>15818</v>
      </c>
      <c r="L1513" t="s">
        <v>57</v>
      </c>
      <c r="N1513">
        <v>0.73450000000000004</v>
      </c>
      <c r="O1513" s="1">
        <v>2</v>
      </c>
      <c r="P1513" t="s">
        <v>15819</v>
      </c>
      <c r="Q1513" t="s">
        <v>15820</v>
      </c>
      <c r="S1513" t="s">
        <v>91</v>
      </c>
      <c r="T1513" t="s">
        <v>1012</v>
      </c>
      <c r="U1513" t="s">
        <v>15821</v>
      </c>
      <c r="V1513">
        <v>1</v>
      </c>
      <c r="AE1513" t="s">
        <v>144</v>
      </c>
      <c r="AF1513" t="s">
        <v>15822</v>
      </c>
      <c r="AG1513" t="s">
        <v>15823</v>
      </c>
      <c r="AH1513" t="str">
        <f>HYPERLINK("http://compartments.jensenlab.org/Entity?figures=subcell_cell_%&amp;knowledge=10&amp;textmining=10&amp;experiments=10&amp;predictions=10&amp;type1=9606&amp;type2=-22&amp;id1=ENSP00000341787","link")</f>
        <v>link</v>
      </c>
      <c r="AJ1513" t="s">
        <v>51</v>
      </c>
      <c r="AK1513" t="str">
        <f>HYPERLINK("http://www.proteinatlas.org/Q6UXE8","no")</f>
        <v>no</v>
      </c>
      <c r="AM1513">
        <v>10917</v>
      </c>
    </row>
    <row r="1514" spans="1:39" x14ac:dyDescent="0.35">
      <c r="A1514" t="s">
        <v>15824</v>
      </c>
      <c r="B1514" t="str">
        <f>HYPERLINK("http://www.uniprot.org/uniprot/Q6UXF1","Q6UXF1")</f>
        <v>Q6UXF1</v>
      </c>
      <c r="C1514" t="s">
        <v>15825</v>
      </c>
      <c r="D1514" t="s">
        <v>15826</v>
      </c>
      <c r="E1514" t="s">
        <v>39</v>
      </c>
      <c r="F1514" t="s">
        <v>40</v>
      </c>
      <c r="H1514">
        <v>575</v>
      </c>
      <c r="I1514">
        <v>1</v>
      </c>
      <c r="J1514">
        <v>1</v>
      </c>
      <c r="K1514" t="s">
        <v>15827</v>
      </c>
      <c r="L1514" t="s">
        <v>57</v>
      </c>
      <c r="N1514">
        <v>0.76849999999999996</v>
      </c>
      <c r="O1514" s="1">
        <v>1</v>
      </c>
      <c r="P1514" t="s">
        <v>15828</v>
      </c>
      <c r="Q1514" t="s">
        <v>15829</v>
      </c>
      <c r="S1514" t="s">
        <v>60</v>
      </c>
      <c r="T1514" t="s">
        <v>60</v>
      </c>
      <c r="U1514" t="s">
        <v>15830</v>
      </c>
      <c r="V1514">
        <v>4</v>
      </c>
      <c r="AE1514" t="s">
        <v>144</v>
      </c>
      <c r="AF1514" t="s">
        <v>13398</v>
      </c>
      <c r="AG1514" t="s">
        <v>15831</v>
      </c>
      <c r="AH1514" t="str">
        <f>HYPERLINK("http://compartments.jensenlab.org/Entity?figures=subcell_cell_%&amp;knowledge=10&amp;textmining=10&amp;experiments=10&amp;predictions=10&amp;type1=9606&amp;type2=-22&amp;id1=ENSP00000324651","link")</f>
        <v>link</v>
      </c>
      <c r="AJ1514" t="s">
        <v>51</v>
      </c>
      <c r="AK1514" t="str">
        <f>HYPERLINK("http://www.proteinatlas.org/Q6UXF1","HPA063350")</f>
        <v>HPA063350</v>
      </c>
      <c r="AM1514">
        <v>66000</v>
      </c>
    </row>
    <row r="1515" spans="1:39" x14ac:dyDescent="0.35">
      <c r="A1515" t="s">
        <v>15832</v>
      </c>
      <c r="B1515" t="str">
        <f>HYPERLINK("http://www.uniprot.org/uniprot/Q6UXG2","Q6UXG2")</f>
        <v>Q6UXG2</v>
      </c>
      <c r="C1515" t="s">
        <v>15833</v>
      </c>
      <c r="D1515" t="s">
        <v>15834</v>
      </c>
      <c r="E1515" t="s">
        <v>39</v>
      </c>
      <c r="F1515" t="s">
        <v>40</v>
      </c>
      <c r="H1515">
        <v>1013</v>
      </c>
      <c r="I1515">
        <v>1</v>
      </c>
      <c r="J1515">
        <v>1</v>
      </c>
      <c r="K1515" t="s">
        <v>15835</v>
      </c>
      <c r="L1515" t="s">
        <v>57</v>
      </c>
      <c r="N1515">
        <v>0.7984</v>
      </c>
      <c r="O1515" s="1">
        <v>1</v>
      </c>
      <c r="P1515" t="s">
        <v>15836</v>
      </c>
      <c r="Q1515" t="s">
        <v>15837</v>
      </c>
      <c r="S1515" t="s">
        <v>60</v>
      </c>
      <c r="T1515" t="s">
        <v>60</v>
      </c>
      <c r="U1515" t="s">
        <v>15838</v>
      </c>
      <c r="V1515">
        <v>8</v>
      </c>
      <c r="W1515" t="s">
        <v>15839</v>
      </c>
      <c r="AE1515" t="s">
        <v>15840</v>
      </c>
      <c r="AF1515" t="s">
        <v>15841</v>
      </c>
      <c r="AG1515" t="s">
        <v>15842</v>
      </c>
      <c r="AH1515" t="str">
        <f>HYPERLINK("http://compartments.jensenlab.org/Entity?figures=subcell_cell_%&amp;knowledge=10&amp;textmining=10&amp;experiments=10&amp;predictions=10&amp;type1=9606&amp;type2=-22&amp;id1=ENSP00000358955","link")</f>
        <v>link</v>
      </c>
      <c r="AK1515" t="str">
        <f>HYPERLINK("http://www.proteinatlas.org/Q6UXG2","HPA029869")</f>
        <v>HPA029869</v>
      </c>
      <c r="AM1515">
        <v>57535</v>
      </c>
    </row>
    <row r="1516" spans="1:39" x14ac:dyDescent="0.35">
      <c r="A1516" t="s">
        <v>15843</v>
      </c>
      <c r="B1516" t="str">
        <f>HYPERLINK("http://www.uniprot.org/uniprot/Q6UXG3","Q6UXG3")</f>
        <v>Q6UXG3</v>
      </c>
      <c r="C1516" t="s">
        <v>15844</v>
      </c>
      <c r="D1516" t="s">
        <v>15845</v>
      </c>
      <c r="E1516" t="s">
        <v>39</v>
      </c>
      <c r="F1516" t="s">
        <v>40</v>
      </c>
      <c r="H1516">
        <v>332</v>
      </c>
      <c r="I1516">
        <v>1</v>
      </c>
      <c r="J1516">
        <v>1</v>
      </c>
      <c r="K1516" t="s">
        <v>15846</v>
      </c>
      <c r="L1516" t="s">
        <v>57</v>
      </c>
      <c r="N1516">
        <v>0.76449999999999996</v>
      </c>
      <c r="O1516" s="1">
        <v>1</v>
      </c>
      <c r="P1516" t="s">
        <v>15847</v>
      </c>
      <c r="Q1516" t="s">
        <v>15848</v>
      </c>
      <c r="R1516" t="s">
        <v>15849</v>
      </c>
      <c r="S1516" t="s">
        <v>166</v>
      </c>
      <c r="T1516" t="s">
        <v>12245</v>
      </c>
      <c r="U1516">
        <v>96</v>
      </c>
      <c r="V1516">
        <v>1</v>
      </c>
      <c r="AE1516" t="s">
        <v>15850</v>
      </c>
      <c r="AF1516" t="s">
        <v>15851</v>
      </c>
      <c r="AG1516" t="s">
        <v>15852</v>
      </c>
      <c r="AH1516" t="str">
        <f>HYPERLINK("http://compartments.jensenlab.org/Entity?figures=subcell_cell_%&amp;knowledge=10&amp;textmining=10&amp;experiments=10&amp;predictions=10&amp;type1=9606&amp;type2=-22&amp;id1=ENSP00000321005","link")</f>
        <v>link</v>
      </c>
      <c r="AI1516" t="s">
        <v>4125</v>
      </c>
      <c r="AJ1516" t="s">
        <v>1791</v>
      </c>
      <c r="AK1516" t="str">
        <f>HYPERLINK("http://www.proteinatlas.org/Q6UXG3","HPA004131")</f>
        <v>HPA004131</v>
      </c>
      <c r="AM1516">
        <v>146894</v>
      </c>
    </row>
    <row r="1517" spans="1:39" x14ac:dyDescent="0.35">
      <c r="A1517" t="s">
        <v>15853</v>
      </c>
      <c r="B1517" t="str">
        <f>HYPERLINK("http://www.uniprot.org/uniprot/Q6UXG8","Q6UXG8")</f>
        <v>Q6UXG8</v>
      </c>
      <c r="C1517" t="s">
        <v>15854</v>
      </c>
      <c r="D1517" t="s">
        <v>15855</v>
      </c>
      <c r="E1517" t="s">
        <v>39</v>
      </c>
      <c r="F1517" t="s">
        <v>40</v>
      </c>
      <c r="H1517">
        <v>535</v>
      </c>
      <c r="I1517">
        <v>1</v>
      </c>
      <c r="J1517">
        <v>1</v>
      </c>
      <c r="K1517" t="s">
        <v>15856</v>
      </c>
      <c r="L1517" t="s">
        <v>57</v>
      </c>
      <c r="N1517">
        <v>0.74250000000000005</v>
      </c>
      <c r="O1517" s="1">
        <v>2</v>
      </c>
      <c r="P1517" t="s">
        <v>15857</v>
      </c>
      <c r="Q1517" t="s">
        <v>15858</v>
      </c>
      <c r="S1517" t="s">
        <v>91</v>
      </c>
      <c r="T1517" t="s">
        <v>1012</v>
      </c>
      <c r="U1517" t="s">
        <v>15859</v>
      </c>
      <c r="V1517">
        <v>3</v>
      </c>
      <c r="AE1517" t="s">
        <v>144</v>
      </c>
      <c r="AF1517" t="s">
        <v>15860</v>
      </c>
      <c r="AG1517" t="s">
        <v>15861</v>
      </c>
      <c r="AH1517" t="str">
        <f>HYPERLINK("http://compartments.jensenlab.org/Entity?figures=subcell_cell_%&amp;knowledge=10&amp;textmining=10&amp;experiments=10&amp;predictions=10&amp;type1=9606&amp;type2=-22&amp;id1=ENSP00000330200","link")</f>
        <v>link</v>
      </c>
      <c r="AJ1517" t="s">
        <v>51</v>
      </c>
      <c r="AK1517" t="str">
        <f>HYPERLINK("http://www.proteinatlas.org/Q6UXG8","HPA043429")</f>
        <v>HPA043429</v>
      </c>
      <c r="AM1517">
        <v>153579</v>
      </c>
    </row>
    <row r="1518" spans="1:39" x14ac:dyDescent="0.35">
      <c r="A1518" t="s">
        <v>15862</v>
      </c>
      <c r="B1518" t="str">
        <f>HYPERLINK("http://www.uniprot.org/uniprot/Q6UXK2","Q6UXK2")</f>
        <v>Q6UXK2</v>
      </c>
      <c r="C1518" t="s">
        <v>15863</v>
      </c>
      <c r="D1518" t="s">
        <v>15864</v>
      </c>
      <c r="E1518" t="s">
        <v>39</v>
      </c>
      <c r="F1518" t="s">
        <v>40</v>
      </c>
      <c r="H1518">
        <v>745</v>
      </c>
      <c r="I1518">
        <v>1</v>
      </c>
      <c r="J1518">
        <v>1</v>
      </c>
      <c r="K1518" t="s">
        <v>15865</v>
      </c>
      <c r="L1518" t="s">
        <v>57</v>
      </c>
      <c r="N1518">
        <v>0.97209999999999996</v>
      </c>
      <c r="O1518" s="1">
        <v>1</v>
      </c>
      <c r="P1518" t="s">
        <v>15866</v>
      </c>
      <c r="Q1518" t="s">
        <v>15867</v>
      </c>
      <c r="S1518" t="s">
        <v>91</v>
      </c>
      <c r="T1518" t="s">
        <v>260</v>
      </c>
      <c r="U1518" t="s">
        <v>15868</v>
      </c>
      <c r="V1518">
        <v>6</v>
      </c>
      <c r="W1518" t="s">
        <v>15868</v>
      </c>
      <c r="Y1518">
        <v>8</v>
      </c>
      <c r="AE1518" t="s">
        <v>3665</v>
      </c>
      <c r="AF1518" t="s">
        <v>15869</v>
      </c>
      <c r="AG1518" t="s">
        <v>15870</v>
      </c>
      <c r="AH1518" t="str">
        <f>HYPERLINK("http://compartments.jensenlab.org/Entity?figures=subcell_cell_%&amp;knowledge=10&amp;textmining=10&amp;experiments=10&amp;predictions=10&amp;type1=9606&amp;type2=-22&amp;id1=ENSP00000355402","link")</f>
        <v>link</v>
      </c>
      <c r="AK1518" t="str">
        <f>HYPERLINK("http://www.proteinatlas.org/Q6UXK2","no")</f>
        <v>no</v>
      </c>
      <c r="AM1518">
        <v>57611</v>
      </c>
    </row>
    <row r="1519" spans="1:39" x14ac:dyDescent="0.35">
      <c r="A1519" t="s">
        <v>15871</v>
      </c>
      <c r="B1519" t="str">
        <f>HYPERLINK("http://www.uniprot.org/uniprot/Q6UXK5","Q6UXK5")</f>
        <v>Q6UXK5</v>
      </c>
      <c r="C1519" t="s">
        <v>15872</v>
      </c>
      <c r="D1519" t="s">
        <v>15873</v>
      </c>
      <c r="E1519" t="s">
        <v>39</v>
      </c>
      <c r="F1519" t="s">
        <v>40</v>
      </c>
      <c r="H1519">
        <v>716</v>
      </c>
      <c r="I1519">
        <v>1</v>
      </c>
      <c r="J1519">
        <v>1</v>
      </c>
      <c r="K1519" t="s">
        <v>15874</v>
      </c>
      <c r="L1519" t="s">
        <v>101</v>
      </c>
      <c r="N1519">
        <v>0.91420000000000001</v>
      </c>
      <c r="O1519" s="1">
        <v>1</v>
      </c>
      <c r="P1519" t="s">
        <v>15875</v>
      </c>
      <c r="Q1519" t="s">
        <v>15876</v>
      </c>
      <c r="S1519" t="s">
        <v>91</v>
      </c>
      <c r="T1519" t="s">
        <v>260</v>
      </c>
      <c r="U1519" t="s">
        <v>15877</v>
      </c>
      <c r="V1519">
        <v>8</v>
      </c>
      <c r="Z1519" t="s">
        <v>107</v>
      </c>
      <c r="AA1519">
        <v>1</v>
      </c>
      <c r="AB1519" t="s">
        <v>15878</v>
      </c>
      <c r="AC1519">
        <v>517</v>
      </c>
      <c r="AD1519" t="s">
        <v>15879</v>
      </c>
      <c r="AE1519" t="s">
        <v>144</v>
      </c>
      <c r="AF1519" t="s">
        <v>15880</v>
      </c>
      <c r="AG1519" t="s">
        <v>15881</v>
      </c>
      <c r="AH1519" t="str">
        <f>HYPERLINK("http://compartments.jensenlab.org/Entity?figures=subcell_cell_%&amp;knowledge=10&amp;textmining=10&amp;experiments=10&amp;predictions=10&amp;type1=9606&amp;type2=-22&amp;id1=ENSP00000314901","link")</f>
        <v>link</v>
      </c>
      <c r="AJ1519" t="s">
        <v>51</v>
      </c>
      <c r="AK1519" t="str">
        <f>HYPERLINK("http://www.proteinatlas.org/Q6UXK5","HPA011071")</f>
        <v>HPA011071</v>
      </c>
      <c r="AM1519">
        <v>57633</v>
      </c>
    </row>
    <row r="1520" spans="1:39" x14ac:dyDescent="0.35">
      <c r="A1520" t="s">
        <v>15882</v>
      </c>
      <c r="B1520" t="str">
        <f>HYPERLINK("http://www.uniprot.org/uniprot/Q6UXL0","Q6UXL0")</f>
        <v>Q6UXL0</v>
      </c>
      <c r="C1520" t="s">
        <v>15883</v>
      </c>
      <c r="D1520" t="s">
        <v>15884</v>
      </c>
      <c r="E1520" t="s">
        <v>39</v>
      </c>
      <c r="F1520" t="s">
        <v>40</v>
      </c>
      <c r="H1520">
        <v>311</v>
      </c>
      <c r="I1520">
        <v>1</v>
      </c>
      <c r="J1520">
        <v>1</v>
      </c>
      <c r="K1520" t="s">
        <v>15885</v>
      </c>
      <c r="L1520" t="s">
        <v>57</v>
      </c>
      <c r="N1520">
        <v>0.7984</v>
      </c>
      <c r="O1520" s="1">
        <v>1</v>
      </c>
      <c r="P1520" t="s">
        <v>15886</v>
      </c>
      <c r="Q1520" t="s">
        <v>15887</v>
      </c>
      <c r="S1520" t="s">
        <v>166</v>
      </c>
      <c r="T1520" t="s">
        <v>5643</v>
      </c>
      <c r="U1520" t="s">
        <v>15888</v>
      </c>
      <c r="V1520">
        <v>2</v>
      </c>
      <c r="AE1520" t="s">
        <v>144</v>
      </c>
      <c r="AF1520" t="s">
        <v>15889</v>
      </c>
      <c r="AG1520" t="s">
        <v>15890</v>
      </c>
      <c r="AH1520" t="str">
        <f>HYPERLINK("http://compartments.jensenlab.org/Entity?figures=subcell_cell_%&amp;knowledge=10&amp;textmining=10&amp;experiments=10&amp;predictions=10&amp;type1=9606&amp;type2=-22&amp;id1=ENSP00000328133","link")</f>
        <v>link</v>
      </c>
      <c r="AJ1520" t="s">
        <v>51</v>
      </c>
      <c r="AK1520" t="str">
        <f>HYPERLINK("http://www.proteinatlas.org/Q6UXL0","HPA019772")</f>
        <v>HPA019772</v>
      </c>
      <c r="AM1520">
        <v>53833</v>
      </c>
    </row>
    <row r="1521" spans="1:39" x14ac:dyDescent="0.35">
      <c r="A1521" t="s">
        <v>15891</v>
      </c>
      <c r="B1521" t="str">
        <f>HYPERLINK("http://www.uniprot.org/uniprot/Q6UXM1","Q6UXM1")</f>
        <v>Q6UXM1</v>
      </c>
      <c r="C1521" t="s">
        <v>15892</v>
      </c>
      <c r="D1521" t="s">
        <v>15893</v>
      </c>
      <c r="E1521" t="s">
        <v>39</v>
      </c>
      <c r="F1521" t="s">
        <v>40</v>
      </c>
      <c r="H1521">
        <v>1119</v>
      </c>
      <c r="I1521">
        <v>1</v>
      </c>
      <c r="J1521">
        <v>1</v>
      </c>
      <c r="K1521" t="s">
        <v>15894</v>
      </c>
      <c r="L1521" t="s">
        <v>42</v>
      </c>
      <c r="N1521">
        <v>0.92220000000000002</v>
      </c>
      <c r="O1521" s="1">
        <v>1</v>
      </c>
      <c r="P1521" t="s">
        <v>15895</v>
      </c>
      <c r="Q1521" t="s">
        <v>15896</v>
      </c>
      <c r="S1521" t="s">
        <v>91</v>
      </c>
      <c r="T1521" t="s">
        <v>260</v>
      </c>
      <c r="U1521" t="s">
        <v>15897</v>
      </c>
      <c r="V1521">
        <v>8</v>
      </c>
      <c r="X1521">
        <v>1001</v>
      </c>
      <c r="AE1521" t="s">
        <v>15898</v>
      </c>
      <c r="AF1521" t="s">
        <v>15899</v>
      </c>
      <c r="AG1521" t="s">
        <v>15900</v>
      </c>
      <c r="AH1521" t="str">
        <f>HYPERLINK("http://compartments.jensenlab.org/Entity?figures=subcell_cell_%&amp;knowledge=10&amp;textmining=10&amp;experiments=10&amp;predictions=10&amp;type1=9606&amp;type2=-22&amp;id1=ENSP00000326759","link")</f>
        <v>link</v>
      </c>
      <c r="AJ1521" t="s">
        <v>51</v>
      </c>
      <c r="AK1521" t="str">
        <f>HYPERLINK("http://www.proteinatlas.org/Q6UXM1","HPA010773")</f>
        <v>HPA010773</v>
      </c>
      <c r="AM1521">
        <v>121227</v>
      </c>
    </row>
    <row r="1522" spans="1:39" x14ac:dyDescent="0.35">
      <c r="A1522" t="s">
        <v>15901</v>
      </c>
      <c r="B1522" t="str">
        <f>HYPERLINK("http://www.uniprot.org/uniprot/Q6UXN8","Q6UXN8")</f>
        <v>Q6UXN8</v>
      </c>
      <c r="C1522" t="s">
        <v>15902</v>
      </c>
      <c r="D1522" t="s">
        <v>15903</v>
      </c>
      <c r="E1522" t="s">
        <v>39</v>
      </c>
      <c r="F1522" t="s">
        <v>40</v>
      </c>
      <c r="H1522">
        <v>241</v>
      </c>
      <c r="I1522">
        <v>1</v>
      </c>
      <c r="J1522">
        <v>0</v>
      </c>
      <c r="K1522" t="s">
        <v>15904</v>
      </c>
      <c r="L1522" t="s">
        <v>57</v>
      </c>
      <c r="N1522">
        <v>0.83630000000000004</v>
      </c>
      <c r="O1522" s="1">
        <v>1</v>
      </c>
      <c r="P1522" t="s">
        <v>15905</v>
      </c>
      <c r="Q1522" t="s">
        <v>15906</v>
      </c>
      <c r="S1522" t="s">
        <v>166</v>
      </c>
      <c r="T1522" t="s">
        <v>4251</v>
      </c>
      <c r="U1522" t="s">
        <v>15907</v>
      </c>
      <c r="V1522">
        <v>3</v>
      </c>
      <c r="W1522" t="s">
        <v>15907</v>
      </c>
      <c r="Y1522">
        <v>131</v>
      </c>
      <c r="AE1522" t="s">
        <v>359</v>
      </c>
      <c r="AF1522" t="s">
        <v>15908</v>
      </c>
      <c r="AG1522" t="s">
        <v>15909</v>
      </c>
      <c r="AH1522" t="str">
        <f>HYPERLINK("http://compartments.jensenlab.org/Entity?figures=subcell_cell_%&amp;knowledge=10&amp;textmining=10&amp;experiments=10&amp;predictions=10&amp;type1=9606&amp;type2=-22&amp;id1=ENSP00000348074","link")</f>
        <v>link</v>
      </c>
      <c r="AJ1522" t="s">
        <v>51</v>
      </c>
      <c r="AK1522" t="str">
        <f>HYPERLINK("http://www.proteinatlas.org/Q6UXN8","no")</f>
        <v>no</v>
      </c>
      <c r="AM1522">
        <v>283420</v>
      </c>
    </row>
    <row r="1523" spans="1:39" x14ac:dyDescent="0.35">
      <c r="A1523" t="s">
        <v>15910</v>
      </c>
      <c r="B1523" t="str">
        <f>HYPERLINK("http://www.uniprot.org/uniprot/Q6UXU4","Q6UXU4")</f>
        <v>Q6UXU4</v>
      </c>
      <c r="C1523" t="s">
        <v>15911</v>
      </c>
      <c r="D1523" t="s">
        <v>15912</v>
      </c>
      <c r="E1523" t="s">
        <v>39</v>
      </c>
      <c r="F1523" t="s">
        <v>40</v>
      </c>
      <c r="H1523">
        <v>331</v>
      </c>
      <c r="I1523">
        <v>4</v>
      </c>
      <c r="J1523">
        <v>0</v>
      </c>
      <c r="K1523" t="s">
        <v>15913</v>
      </c>
      <c r="L1523" t="s">
        <v>57</v>
      </c>
      <c r="N1523">
        <v>0.7026</v>
      </c>
      <c r="O1523" s="1">
        <v>2</v>
      </c>
      <c r="P1523" t="s">
        <v>15914</v>
      </c>
      <c r="Q1523" t="s">
        <v>15915</v>
      </c>
      <c r="S1523" t="s">
        <v>60</v>
      </c>
      <c r="T1523" t="s">
        <v>60</v>
      </c>
      <c r="U1523" t="s">
        <v>15916</v>
      </c>
      <c r="V1523">
        <v>2</v>
      </c>
      <c r="AE1523" t="s">
        <v>11727</v>
      </c>
      <c r="AF1523" t="s">
        <v>15917</v>
      </c>
      <c r="AG1523" t="s">
        <v>15918</v>
      </c>
      <c r="AH1523" t="str">
        <f>HYPERLINK("http://compartments.jensenlab.org/Entity?figures=subcell_cell_%&amp;knowledge=10&amp;textmining=10&amp;experiments=10&amp;predictions=10&amp;type1=9606&amp;type2=-22&amp;id1=ENSP00000394954","link")</f>
        <v>link</v>
      </c>
      <c r="AJ1523" t="s">
        <v>51</v>
      </c>
      <c r="AK1523" t="str">
        <f>HYPERLINK("http://www.proteinatlas.org/Q6UXU4","HPA014479")</f>
        <v>HPA014479</v>
      </c>
      <c r="AM1523">
        <v>146395</v>
      </c>
    </row>
    <row r="1524" spans="1:39" x14ac:dyDescent="0.35">
      <c r="A1524" t="s">
        <v>15919</v>
      </c>
      <c r="B1524" t="str">
        <f>HYPERLINK("http://www.uniprot.org/uniprot/Q6UXV0","Q6UXV0")</f>
        <v>Q6UXV0</v>
      </c>
      <c r="C1524" t="s">
        <v>15920</v>
      </c>
      <c r="D1524" t="s">
        <v>15921</v>
      </c>
      <c r="E1524" t="s">
        <v>39</v>
      </c>
      <c r="F1524" t="s">
        <v>40</v>
      </c>
      <c r="H1524">
        <v>394</v>
      </c>
      <c r="I1524">
        <v>1</v>
      </c>
      <c r="J1524">
        <v>1</v>
      </c>
      <c r="K1524" t="s">
        <v>15922</v>
      </c>
      <c r="L1524" t="s">
        <v>57</v>
      </c>
      <c r="N1524">
        <v>0.69259999999999999</v>
      </c>
      <c r="O1524" s="1">
        <v>2</v>
      </c>
      <c r="P1524" t="s">
        <v>15923</v>
      </c>
      <c r="Q1524" t="s">
        <v>15924</v>
      </c>
      <c r="S1524" t="s">
        <v>60</v>
      </c>
      <c r="T1524" t="s">
        <v>60</v>
      </c>
      <c r="U1524" t="s">
        <v>15925</v>
      </c>
      <c r="V1524">
        <v>6</v>
      </c>
      <c r="X1524">
        <v>387</v>
      </c>
      <c r="AE1524" t="s">
        <v>94</v>
      </c>
      <c r="AF1524" t="s">
        <v>15926</v>
      </c>
      <c r="AG1524" t="s">
        <v>15927</v>
      </c>
      <c r="AH1524" t="str">
        <f>HYPERLINK("http://compartments.jensenlab.org/Entity?figures=subcell_cell_%&amp;knowledge=10&amp;textmining=10&amp;experiments=10&amp;predictions=10&amp;type1=9606&amp;type2=-22&amp;id1=ENSP00000343636","link")</f>
        <v>link</v>
      </c>
      <c r="AJ1524" t="s">
        <v>51</v>
      </c>
      <c r="AK1524" t="str">
        <f>HYPERLINK("http://www.proteinatlas.org/Q6UXV0","HPA047372")</f>
        <v>HPA047372</v>
      </c>
      <c r="AM1524">
        <v>389400</v>
      </c>
    </row>
    <row r="1525" spans="1:39" x14ac:dyDescent="0.35">
      <c r="A1525" t="s">
        <v>15928</v>
      </c>
      <c r="B1525" t="str">
        <f>HYPERLINK("http://www.uniprot.org/uniprot/Q6UXZ0","Q6UXZ0")</f>
        <v>Q6UXZ0</v>
      </c>
      <c r="C1525" t="s">
        <v>15929</v>
      </c>
      <c r="D1525" t="s">
        <v>15930</v>
      </c>
      <c r="E1525" t="s">
        <v>39</v>
      </c>
      <c r="F1525" t="s">
        <v>40</v>
      </c>
      <c r="H1525">
        <v>262</v>
      </c>
      <c r="I1525">
        <v>1</v>
      </c>
      <c r="J1525">
        <v>1</v>
      </c>
      <c r="K1525" t="s">
        <v>15931</v>
      </c>
      <c r="L1525" t="s">
        <v>57</v>
      </c>
      <c r="N1525">
        <v>0.79239999999999999</v>
      </c>
      <c r="O1525" s="1">
        <v>1</v>
      </c>
      <c r="P1525" t="s">
        <v>15932</v>
      </c>
      <c r="Q1525" t="s">
        <v>15933</v>
      </c>
      <c r="S1525" t="s">
        <v>60</v>
      </c>
      <c r="T1525" t="s">
        <v>60</v>
      </c>
      <c r="U1525" t="s">
        <v>15934</v>
      </c>
      <c r="V1525">
        <v>5</v>
      </c>
      <c r="AE1525" t="s">
        <v>144</v>
      </c>
      <c r="AF1525" t="s">
        <v>15935</v>
      </c>
      <c r="AG1525" t="s">
        <v>15936</v>
      </c>
      <c r="AH1525" t="str">
        <f>HYPERLINK("http://compartments.jensenlab.org/Entity?figures=subcell_cell_%&amp;knowledge=10&amp;textmining=10&amp;experiments=10&amp;predictions=10&amp;type1=9606&amp;type2=-22&amp;id1=ENSP00000332404","link")</f>
        <v>link</v>
      </c>
      <c r="AJ1525" t="s">
        <v>51</v>
      </c>
      <c r="AK1525" t="str">
        <f>HYPERLINK("http://www.proteinatlas.org/Q6UXZ0","HPA021946")</f>
        <v>HPA021946</v>
      </c>
      <c r="AM1525">
        <v>388364</v>
      </c>
    </row>
    <row r="1526" spans="1:39" x14ac:dyDescent="0.35">
      <c r="A1526" t="s">
        <v>15937</v>
      </c>
      <c r="B1526" t="str">
        <f>HYPERLINK("http://www.uniprot.org/uniprot/Q6UXZ3","Q6UXZ3")</f>
        <v>Q6UXZ3</v>
      </c>
      <c r="C1526" t="s">
        <v>15938</v>
      </c>
      <c r="D1526" t="s">
        <v>15939</v>
      </c>
      <c r="E1526" t="s">
        <v>39</v>
      </c>
      <c r="F1526" t="s">
        <v>40</v>
      </c>
      <c r="H1526">
        <v>194</v>
      </c>
      <c r="I1526">
        <v>1</v>
      </c>
      <c r="J1526">
        <v>1</v>
      </c>
      <c r="K1526" t="s">
        <v>15940</v>
      </c>
      <c r="L1526" t="s">
        <v>57</v>
      </c>
      <c r="N1526">
        <v>0.64670000000000005</v>
      </c>
      <c r="O1526" s="1">
        <v>2</v>
      </c>
      <c r="P1526" t="s">
        <v>15941</v>
      </c>
      <c r="Q1526" t="s">
        <v>15942</v>
      </c>
      <c r="R1526" t="s">
        <v>15943</v>
      </c>
      <c r="S1526" t="s">
        <v>166</v>
      </c>
      <c r="T1526" t="s">
        <v>3629</v>
      </c>
      <c r="U1526" t="s">
        <v>15944</v>
      </c>
      <c r="V1526">
        <v>2</v>
      </c>
      <c r="AE1526" t="s">
        <v>332</v>
      </c>
      <c r="AF1526" t="s">
        <v>14362</v>
      </c>
      <c r="AG1526" t="s">
        <v>15945</v>
      </c>
      <c r="AH1526" t="str">
        <f>HYPERLINK("http://compartments.jensenlab.org/Entity?figures=subcell_cell_%&amp;knowledge=10&amp;textmining=10&amp;experiments=10&amp;predictions=10&amp;type1=9606&amp;type2=-22&amp;id1=ENSP00000364501","link")</f>
        <v>link</v>
      </c>
      <c r="AI1526" t="s">
        <v>65</v>
      </c>
      <c r="AJ1526" t="s">
        <v>51</v>
      </c>
      <c r="AK1526" t="str">
        <f>HYPERLINK("http://www.proteinatlas.org/Q6UXZ3","HPA027756")</f>
        <v>HPA027756</v>
      </c>
      <c r="AM1526" s="4">
        <v>100000000</v>
      </c>
    </row>
    <row r="1527" spans="1:39" x14ac:dyDescent="0.35">
      <c r="A1527" t="s">
        <v>15946</v>
      </c>
      <c r="B1527" t="str">
        <f>HYPERLINK("http://www.uniprot.org/uniprot/Q6UXZ4","Q6UXZ4")</f>
        <v>Q6UXZ4</v>
      </c>
      <c r="C1527" t="s">
        <v>15947</v>
      </c>
      <c r="D1527" t="s">
        <v>15948</v>
      </c>
      <c r="E1527" t="s">
        <v>39</v>
      </c>
      <c r="F1527" t="s">
        <v>40</v>
      </c>
      <c r="H1527">
        <v>953</v>
      </c>
      <c r="I1527">
        <v>1</v>
      </c>
      <c r="J1527">
        <v>1</v>
      </c>
      <c r="K1527" t="s">
        <v>15949</v>
      </c>
      <c r="L1527" t="s">
        <v>57</v>
      </c>
      <c r="N1527">
        <v>0.93210000000000004</v>
      </c>
      <c r="O1527" s="1">
        <v>1</v>
      </c>
      <c r="P1527" t="s">
        <v>15950</v>
      </c>
      <c r="Q1527" t="s">
        <v>15951</v>
      </c>
      <c r="S1527" t="s">
        <v>166</v>
      </c>
      <c r="T1527" t="s">
        <v>3120</v>
      </c>
      <c r="U1527" t="s">
        <v>15952</v>
      </c>
      <c r="V1527">
        <v>4</v>
      </c>
      <c r="W1527" t="s">
        <v>15952</v>
      </c>
      <c r="Y1527" t="s">
        <v>15953</v>
      </c>
      <c r="AE1527" t="s">
        <v>144</v>
      </c>
      <c r="AF1527" t="s">
        <v>3123</v>
      </c>
      <c r="AG1527" t="s">
        <v>15954</v>
      </c>
      <c r="AH1527" t="str">
        <f>HYPERLINK("http://compartments.jensenlab.org/Entity?figures=subcell_cell_%&amp;knowledge=10&amp;textmining=10&amp;experiments=10&amp;predictions=10&amp;type1=9606&amp;type2=-22&amp;id1=ENSP00000385143","link")</f>
        <v>link</v>
      </c>
      <c r="AJ1527" t="s">
        <v>51</v>
      </c>
      <c r="AK1527" t="str">
        <f>HYPERLINK("http://www.proteinatlas.org/Q6UXZ4","HPA042940")</f>
        <v>HPA042940</v>
      </c>
      <c r="AM1527">
        <v>137970</v>
      </c>
    </row>
    <row r="1528" spans="1:39" x14ac:dyDescent="0.35">
      <c r="A1528" t="s">
        <v>15955</v>
      </c>
      <c r="B1528" t="str">
        <f>HYPERLINK("http://www.uniprot.org/uniprot/Q6UY09","Q6UY09")</f>
        <v>Q6UY09</v>
      </c>
      <c r="C1528" t="s">
        <v>15956</v>
      </c>
      <c r="D1528" t="s">
        <v>15957</v>
      </c>
      <c r="E1528" t="s">
        <v>39</v>
      </c>
      <c r="F1528" t="s">
        <v>40</v>
      </c>
      <c r="H1528">
        <v>585</v>
      </c>
      <c r="I1528">
        <v>1</v>
      </c>
      <c r="J1528">
        <v>1</v>
      </c>
      <c r="K1528" t="s">
        <v>15958</v>
      </c>
      <c r="L1528" t="s">
        <v>57</v>
      </c>
      <c r="N1528">
        <v>0.88619999999999999</v>
      </c>
      <c r="O1528" s="1">
        <v>1</v>
      </c>
      <c r="S1528" t="s">
        <v>91</v>
      </c>
      <c r="T1528" t="s">
        <v>555</v>
      </c>
      <c r="U1528" t="s">
        <v>15959</v>
      </c>
      <c r="V1528">
        <v>7</v>
      </c>
      <c r="AE1528" t="s">
        <v>144</v>
      </c>
      <c r="AF1528" t="s">
        <v>15960</v>
      </c>
      <c r="AG1528" t="s">
        <v>15961</v>
      </c>
      <c r="AK1528" t="str">
        <f>HYPERLINK("http://www.proteinatlas.org/Q6UY09","no")</f>
        <v>no</v>
      </c>
      <c r="AM1528">
        <v>125931</v>
      </c>
    </row>
    <row r="1529" spans="1:39" x14ac:dyDescent="0.35">
      <c r="A1529" t="s">
        <v>15962</v>
      </c>
      <c r="B1529" t="str">
        <f>HYPERLINK("http://www.uniprot.org/uniprot/Q6UY11","Q6UY11")</f>
        <v>Q6UY11</v>
      </c>
      <c r="C1529" t="s">
        <v>15963</v>
      </c>
      <c r="D1529" t="s">
        <v>15964</v>
      </c>
      <c r="E1529" t="s">
        <v>39</v>
      </c>
      <c r="F1529" t="s">
        <v>40</v>
      </c>
      <c r="H1529">
        <v>383</v>
      </c>
      <c r="I1529">
        <v>1</v>
      </c>
      <c r="J1529">
        <v>1</v>
      </c>
      <c r="K1529" t="s">
        <v>15965</v>
      </c>
      <c r="L1529" t="s">
        <v>57</v>
      </c>
      <c r="N1529">
        <v>0.77449999999999997</v>
      </c>
      <c r="O1529" s="1">
        <v>1</v>
      </c>
      <c r="P1529" t="s">
        <v>15966</v>
      </c>
      <c r="Q1529" t="s">
        <v>15967</v>
      </c>
      <c r="S1529" t="s">
        <v>91</v>
      </c>
      <c r="T1529" t="s">
        <v>1054</v>
      </c>
      <c r="U1529">
        <v>157</v>
      </c>
      <c r="V1529">
        <v>1</v>
      </c>
      <c r="AE1529" t="s">
        <v>144</v>
      </c>
      <c r="AF1529" t="s">
        <v>15968</v>
      </c>
      <c r="AG1529" t="s">
        <v>15969</v>
      </c>
      <c r="AH1529" t="str">
        <f>HYPERLINK("http://compartments.jensenlab.org/Entity?figures=subcell_cell_%&amp;knowledge=10&amp;textmining=10&amp;experiments=10&amp;predictions=10&amp;type1=9606&amp;type2=-22&amp;id1=ENSP00000349893","link")</f>
        <v>link</v>
      </c>
      <c r="AJ1529" t="s">
        <v>51</v>
      </c>
      <c r="AK1529" t="str">
        <f>HYPERLINK("http://www.proteinatlas.org/Q6UY11","HPA061223")</f>
        <v>HPA061223</v>
      </c>
      <c r="AM1529">
        <v>65989</v>
      </c>
    </row>
    <row r="1530" spans="1:39" x14ac:dyDescent="0.35">
      <c r="A1530" t="s">
        <v>15970</v>
      </c>
      <c r="B1530" t="str">
        <f>HYPERLINK("http://www.uniprot.org/uniprot/Q6UY18","Q6UY18")</f>
        <v>Q6UY18</v>
      </c>
      <c r="C1530" t="s">
        <v>15971</v>
      </c>
      <c r="D1530" t="s">
        <v>15972</v>
      </c>
      <c r="E1530" t="s">
        <v>39</v>
      </c>
      <c r="F1530" t="s">
        <v>40</v>
      </c>
      <c r="H1530">
        <v>593</v>
      </c>
      <c r="I1530">
        <v>1</v>
      </c>
      <c r="J1530">
        <v>1</v>
      </c>
      <c r="K1530" t="s">
        <v>15973</v>
      </c>
      <c r="L1530" t="s">
        <v>57</v>
      </c>
      <c r="N1530">
        <v>0.81840000000000002</v>
      </c>
      <c r="O1530" s="1">
        <v>1</v>
      </c>
      <c r="P1530" t="s">
        <v>15974</v>
      </c>
      <c r="Q1530" t="s">
        <v>15975</v>
      </c>
      <c r="S1530" t="s">
        <v>91</v>
      </c>
      <c r="T1530" t="s">
        <v>260</v>
      </c>
      <c r="U1530" t="s">
        <v>15976</v>
      </c>
      <c r="V1530">
        <v>6</v>
      </c>
      <c r="Y1530">
        <v>11</v>
      </c>
      <c r="AE1530" t="s">
        <v>144</v>
      </c>
      <c r="AF1530" t="s">
        <v>14465</v>
      </c>
      <c r="AG1530" t="s">
        <v>15977</v>
      </c>
      <c r="AH1530" t="str">
        <f>HYPERLINK("http://compartments.jensenlab.org/Entity?figures=subcell_cell_%&amp;knowledge=10&amp;textmining=10&amp;experiments=10&amp;predictions=10&amp;type1=9606&amp;type2=-22&amp;id1=ENSP00000357810","link")</f>
        <v>link</v>
      </c>
      <c r="AJ1530" t="s">
        <v>51</v>
      </c>
      <c r="AK1530" t="str">
        <f>HYPERLINK("http://www.proteinatlas.org/Q6UY18","HPA060781")</f>
        <v>HPA060781</v>
      </c>
      <c r="AM1530">
        <v>339398</v>
      </c>
    </row>
    <row r="1531" spans="1:39" x14ac:dyDescent="0.35">
      <c r="A1531" t="s">
        <v>15978</v>
      </c>
      <c r="B1531" t="str">
        <f>HYPERLINK("http://www.uniprot.org/uniprot/Q6V0I7","Q6V0I7")</f>
        <v>Q6V0I7</v>
      </c>
      <c r="C1531" t="s">
        <v>15979</v>
      </c>
      <c r="D1531" t="s">
        <v>15980</v>
      </c>
      <c r="E1531" t="s">
        <v>39</v>
      </c>
      <c r="F1531" t="s">
        <v>40</v>
      </c>
      <c r="H1531">
        <v>4981</v>
      </c>
      <c r="I1531">
        <v>1</v>
      </c>
      <c r="J1531">
        <v>1</v>
      </c>
      <c r="K1531" t="s">
        <v>15981</v>
      </c>
      <c r="L1531" t="s">
        <v>101</v>
      </c>
      <c r="N1531">
        <v>0.96409999999999996</v>
      </c>
      <c r="O1531" s="1">
        <v>1</v>
      </c>
      <c r="P1531" t="s">
        <v>15982</v>
      </c>
      <c r="Q1531" t="s">
        <v>15983</v>
      </c>
      <c r="S1531" t="s">
        <v>91</v>
      </c>
      <c r="T1531" t="s">
        <v>216</v>
      </c>
      <c r="U1531" t="s">
        <v>15984</v>
      </c>
      <c r="V1531">
        <v>39</v>
      </c>
      <c r="Z1531" t="s">
        <v>107</v>
      </c>
      <c r="AA1531">
        <v>11</v>
      </c>
      <c r="AB1531" t="s">
        <v>15985</v>
      </c>
      <c r="AC1531" t="s">
        <v>15986</v>
      </c>
      <c r="AD1531" t="s">
        <v>15987</v>
      </c>
      <c r="AE1531" t="s">
        <v>144</v>
      </c>
      <c r="AF1531" t="s">
        <v>15988</v>
      </c>
      <c r="AG1531" t="s">
        <v>15989</v>
      </c>
      <c r="AH1531" t="str">
        <f>HYPERLINK("http://compartments.jensenlab.org/Entity?figures=subcell_cell_%&amp;knowledge=10&amp;textmining=10&amp;experiments=10&amp;predictions=10&amp;type1=9606&amp;type2=-22&amp;id1=ENSP00000377862","link")</f>
        <v>link</v>
      </c>
      <c r="AJ1531" t="s">
        <v>51</v>
      </c>
      <c r="AK1531" t="str">
        <f>HYPERLINK("http://www.proteinatlas.org/Q6V0I7","HPA052819")</f>
        <v>HPA052819</v>
      </c>
      <c r="AM1531">
        <v>79633</v>
      </c>
    </row>
    <row r="1532" spans="1:39" x14ac:dyDescent="0.35">
      <c r="A1532" t="s">
        <v>15990</v>
      </c>
      <c r="B1532" t="str">
        <f>HYPERLINK("http://www.uniprot.org/uniprot/Q6V1P9","Q6V1P9")</f>
        <v>Q6V1P9</v>
      </c>
      <c r="C1532" t="s">
        <v>15991</v>
      </c>
      <c r="D1532" t="s">
        <v>15992</v>
      </c>
      <c r="E1532" t="s">
        <v>39</v>
      </c>
      <c r="F1532" t="s">
        <v>40</v>
      </c>
      <c r="H1532">
        <v>2916</v>
      </c>
      <c r="I1532">
        <v>1</v>
      </c>
      <c r="J1532">
        <v>0</v>
      </c>
      <c r="K1532" t="s">
        <v>15993</v>
      </c>
      <c r="L1532" t="s">
        <v>42</v>
      </c>
      <c r="N1532">
        <v>0.61480000000000001</v>
      </c>
      <c r="O1532" s="1">
        <v>2</v>
      </c>
      <c r="P1532" t="s">
        <v>15994</v>
      </c>
      <c r="Q1532" t="s">
        <v>15995</v>
      </c>
      <c r="S1532" t="s">
        <v>91</v>
      </c>
      <c r="T1532" t="s">
        <v>216</v>
      </c>
      <c r="U1532" t="s">
        <v>15996</v>
      </c>
      <c r="V1532">
        <v>20</v>
      </c>
      <c r="AE1532" t="s">
        <v>94</v>
      </c>
      <c r="AF1532" t="s">
        <v>15997</v>
      </c>
      <c r="AG1532" t="s">
        <v>15998</v>
      </c>
      <c r="AH1532" t="str">
        <f>HYPERLINK("http://compartments.jensenlab.org/Entity?figures=subcell_cell_%&amp;knowledge=10&amp;textmining=10&amp;experiments=10&amp;predictions=10&amp;type1=9606&amp;type2=-22&amp;id1=ENSP00000485514","link")</f>
        <v>link</v>
      </c>
      <c r="AK1532" t="str">
        <f>HYPERLINK("http://www.proteinatlas.org/Q6V1P9","HPA064159")</f>
        <v>HPA064159</v>
      </c>
      <c r="AM1532">
        <v>54798</v>
      </c>
    </row>
    <row r="1533" spans="1:39" x14ac:dyDescent="0.35">
      <c r="A1533" t="s">
        <v>15999</v>
      </c>
      <c r="B1533" t="str">
        <f>HYPERLINK("http://www.uniprot.org/uniprot/Q6W5P4","Q6W5P4")</f>
        <v>Q6W5P4</v>
      </c>
      <c r="C1533" t="s">
        <v>16000</v>
      </c>
      <c r="D1533" t="s">
        <v>16001</v>
      </c>
      <c r="E1533" t="s">
        <v>39</v>
      </c>
      <c r="F1533" t="s">
        <v>40</v>
      </c>
      <c r="H1533">
        <v>371</v>
      </c>
      <c r="I1533">
        <v>7</v>
      </c>
      <c r="J1533">
        <v>0</v>
      </c>
      <c r="K1533" t="s">
        <v>16002</v>
      </c>
      <c r="L1533" t="s">
        <v>57</v>
      </c>
      <c r="N1533">
        <v>0.92810000000000004</v>
      </c>
      <c r="O1533" s="1">
        <v>1</v>
      </c>
      <c r="P1533" t="s">
        <v>16003</v>
      </c>
      <c r="Q1533" t="s">
        <v>16004</v>
      </c>
      <c r="S1533" t="s">
        <v>166</v>
      </c>
      <c r="T1533" t="s">
        <v>838</v>
      </c>
      <c r="U1533" t="s">
        <v>16005</v>
      </c>
      <c r="V1533">
        <v>1</v>
      </c>
      <c r="Y1533">
        <v>198</v>
      </c>
      <c r="AE1533" t="s">
        <v>16006</v>
      </c>
      <c r="AF1533" t="s">
        <v>16007</v>
      </c>
      <c r="AG1533" t="s">
        <v>16008</v>
      </c>
      <c r="AH1533" t="str">
        <f>HYPERLINK("http://compartments.jensenlab.org/Entity?figures=subcell_cell_%&amp;knowledge=10&amp;textmining=10&amp;experiments=10&amp;predictions=10&amp;type1=9606&amp;type2=-22&amp;id1=ENSP00000353788","link")</f>
        <v>link</v>
      </c>
      <c r="AK1533" t="str">
        <f>HYPERLINK("http://www.proteinatlas.org/Q6W5P4","HPA007489")</f>
        <v>HPA007489</v>
      </c>
      <c r="AL1533" t="s">
        <v>4371</v>
      </c>
      <c r="AM1533">
        <v>387129</v>
      </c>
    </row>
    <row r="1534" spans="1:39" x14ac:dyDescent="0.35">
      <c r="A1534" t="s">
        <v>16009</v>
      </c>
      <c r="B1534" t="str">
        <f>HYPERLINK("http://www.uniprot.org/uniprot/Q6YBV0","Q6YBV0")</f>
        <v>Q6YBV0</v>
      </c>
      <c r="C1534" t="s">
        <v>16010</v>
      </c>
      <c r="D1534" t="s">
        <v>16011</v>
      </c>
      <c r="E1534" t="s">
        <v>39</v>
      </c>
      <c r="F1534" t="s">
        <v>40</v>
      </c>
      <c r="H1534">
        <v>504</v>
      </c>
      <c r="I1534">
        <v>10</v>
      </c>
      <c r="J1534">
        <v>0</v>
      </c>
      <c r="K1534" t="s">
        <v>16012</v>
      </c>
      <c r="L1534" t="s">
        <v>118</v>
      </c>
      <c r="N1534">
        <v>0.78839999999999999</v>
      </c>
      <c r="O1534" s="1">
        <v>1</v>
      </c>
      <c r="P1534" t="s">
        <v>16013</v>
      </c>
      <c r="Q1534" t="s">
        <v>16014</v>
      </c>
      <c r="S1534" t="s">
        <v>45</v>
      </c>
      <c r="T1534" t="s">
        <v>14333</v>
      </c>
      <c r="U1534" t="s">
        <v>16015</v>
      </c>
      <c r="V1534">
        <v>3</v>
      </c>
      <c r="Z1534" t="s">
        <v>123</v>
      </c>
      <c r="AA1534">
        <v>3</v>
      </c>
      <c r="AB1534" t="s">
        <v>16016</v>
      </c>
      <c r="AC1534" t="s">
        <v>16017</v>
      </c>
      <c r="AD1534" t="s">
        <v>16018</v>
      </c>
      <c r="AE1534" t="s">
        <v>48</v>
      </c>
      <c r="AF1534" t="s">
        <v>16019</v>
      </c>
      <c r="AG1534" t="s">
        <v>16020</v>
      </c>
      <c r="AH1534" t="str">
        <f>HYPERLINK("http://compartments.jensenlab.org/Entity?figures=subcell_cell_%&amp;knowledge=10&amp;textmining=10&amp;experiments=10&amp;predictions=10&amp;type1=9606&amp;type2=-22&amp;id1=ENSP00000317382","link")</f>
        <v>link</v>
      </c>
      <c r="AJ1534" t="s">
        <v>51</v>
      </c>
      <c r="AK1534" t="str">
        <f>HYPERLINK("http://www.proteinatlas.org/Q6YBV0","HPA017887")</f>
        <v>HPA017887</v>
      </c>
      <c r="AM1534">
        <v>120103</v>
      </c>
    </row>
    <row r="1535" spans="1:39" x14ac:dyDescent="0.35">
      <c r="A1535" t="s">
        <v>16021</v>
      </c>
      <c r="B1535" t="str">
        <f>HYPERLINK("http://www.uniprot.org/uniprot/Q6YHK3","Q6YHK3")</f>
        <v>Q6YHK3</v>
      </c>
      <c r="C1535" t="s">
        <v>16022</v>
      </c>
      <c r="D1535" t="s">
        <v>16023</v>
      </c>
      <c r="E1535" t="s">
        <v>39</v>
      </c>
      <c r="F1535" t="s">
        <v>239</v>
      </c>
      <c r="H1535">
        <v>1445</v>
      </c>
      <c r="I1535">
        <v>0</v>
      </c>
      <c r="J1535">
        <v>1</v>
      </c>
      <c r="K1535" t="s">
        <v>16024</v>
      </c>
      <c r="L1535" t="s">
        <v>996</v>
      </c>
      <c r="N1535">
        <v>0.73050000000000004</v>
      </c>
      <c r="O1535" s="1" t="s">
        <v>241</v>
      </c>
      <c r="P1535" t="s">
        <v>16025</v>
      </c>
      <c r="Q1535" t="s">
        <v>16026</v>
      </c>
      <c r="R1535" t="s">
        <v>16023</v>
      </c>
      <c r="U1535" t="s">
        <v>16027</v>
      </c>
      <c r="V1535">
        <v>19</v>
      </c>
      <c r="W1535" t="s">
        <v>16028</v>
      </c>
      <c r="Z1535" t="s">
        <v>107</v>
      </c>
      <c r="AA1535">
        <v>35</v>
      </c>
      <c r="AB1535" t="s">
        <v>16029</v>
      </c>
      <c r="AC1535" t="s">
        <v>16030</v>
      </c>
      <c r="AD1535" t="s">
        <v>16031</v>
      </c>
      <c r="AE1535" t="s">
        <v>243</v>
      </c>
      <c r="AF1535" t="s">
        <v>16032</v>
      </c>
      <c r="AG1535" t="s">
        <v>16033</v>
      </c>
      <c r="AH1535" t="str">
        <f>HYPERLINK("http://compartments.jensenlab.org/Entity?figures=subcell_cell_%&amp;knowledge=10&amp;textmining=10&amp;experiments=10&amp;predictions=10&amp;type1=9606&amp;type2=-22&amp;id1=ENSP00000287097","link")</f>
        <v>link</v>
      </c>
      <c r="AI1535" t="s">
        <v>65</v>
      </c>
      <c r="AJ1535" t="s">
        <v>902</v>
      </c>
      <c r="AK1535" t="str">
        <f>HYPERLINK("http://www.proteinatlas.org/Q6YHK3","HPA009292;HPA015113")</f>
        <v>HPA009292;HPA015113</v>
      </c>
      <c r="AM1535">
        <v>135228</v>
      </c>
    </row>
    <row r="1536" spans="1:39" x14ac:dyDescent="0.35">
      <c r="A1536" t="s">
        <v>16034</v>
      </c>
      <c r="B1536" t="str">
        <f>HYPERLINK("http://www.uniprot.org/uniprot/Q6ZMB5","Q6ZMB5")</f>
        <v>Q6ZMB5</v>
      </c>
      <c r="C1536" t="s">
        <v>16035</v>
      </c>
      <c r="D1536" t="s">
        <v>16036</v>
      </c>
      <c r="E1536" t="s">
        <v>39</v>
      </c>
      <c r="F1536" t="s">
        <v>40</v>
      </c>
      <c r="H1536">
        <v>413</v>
      </c>
      <c r="I1536">
        <v>7</v>
      </c>
      <c r="J1536">
        <v>0</v>
      </c>
      <c r="K1536" t="s">
        <v>16037</v>
      </c>
      <c r="L1536" t="s">
        <v>42</v>
      </c>
      <c r="N1536">
        <v>0.68259999999999998</v>
      </c>
      <c r="O1536" s="1">
        <v>2</v>
      </c>
      <c r="P1536" t="s">
        <v>16038</v>
      </c>
      <c r="Q1536" t="s">
        <v>16039</v>
      </c>
      <c r="S1536" t="s">
        <v>60</v>
      </c>
      <c r="T1536" t="s">
        <v>60</v>
      </c>
      <c r="U1536" t="s">
        <v>16040</v>
      </c>
      <c r="V1536">
        <v>2</v>
      </c>
      <c r="AE1536" t="s">
        <v>48</v>
      </c>
      <c r="AF1536" t="s">
        <v>15141</v>
      </c>
      <c r="AG1536" t="s">
        <v>16041</v>
      </c>
      <c r="AH1536" t="str">
        <f>HYPERLINK("http://compartments.jensenlab.org/Entity?figures=subcell_cell_%&amp;knowledge=10&amp;textmining=10&amp;experiments=10&amp;predictions=10&amp;type1=9606&amp;type2=-22&amp;id1=ENSP00000297477","link")</f>
        <v>link</v>
      </c>
      <c r="AJ1536" t="s">
        <v>51</v>
      </c>
      <c r="AK1536" t="str">
        <f>HYPERLINK("http://www.proteinatlas.org/Q6ZMB5","HPA053790")</f>
        <v>HPA053790</v>
      </c>
      <c r="AM1536">
        <v>202915</v>
      </c>
    </row>
    <row r="1537" spans="1:39" x14ac:dyDescent="0.35">
      <c r="A1537" t="s">
        <v>16042</v>
      </c>
      <c r="B1537" t="str">
        <f>HYPERLINK("http://www.uniprot.org/uniprot/Q6ZMC9","Q6ZMC9")</f>
        <v>Q6ZMC9</v>
      </c>
      <c r="C1537" t="s">
        <v>16043</v>
      </c>
      <c r="D1537" t="s">
        <v>16044</v>
      </c>
      <c r="E1537" t="s">
        <v>39</v>
      </c>
      <c r="F1537" t="s">
        <v>40</v>
      </c>
      <c r="H1537">
        <v>328</v>
      </c>
      <c r="I1537">
        <v>1</v>
      </c>
      <c r="J1537">
        <v>1</v>
      </c>
      <c r="K1537" t="s">
        <v>16045</v>
      </c>
      <c r="L1537" t="s">
        <v>57</v>
      </c>
      <c r="N1537">
        <v>0.75249999999999995</v>
      </c>
      <c r="O1537" s="1">
        <v>1</v>
      </c>
      <c r="P1537" t="s">
        <v>16046</v>
      </c>
      <c r="Q1537" t="s">
        <v>16047</v>
      </c>
      <c r="S1537" t="s">
        <v>91</v>
      </c>
      <c r="T1537" t="s">
        <v>555</v>
      </c>
      <c r="U1537" t="s">
        <v>16048</v>
      </c>
      <c r="V1537">
        <v>1</v>
      </c>
      <c r="AE1537" t="s">
        <v>144</v>
      </c>
      <c r="AF1537" t="s">
        <v>14258</v>
      </c>
      <c r="AG1537" t="s">
        <v>16049</v>
      </c>
      <c r="AH1537" t="str">
        <f>HYPERLINK("http://compartments.jensenlab.org/Entity?figures=subcell_cell_%&amp;knowledge=10&amp;textmining=10&amp;experiments=10&amp;predictions=10&amp;type1=9606&amp;type2=-22&amp;id1=ENSP00000374125","link")</f>
        <v>link</v>
      </c>
      <c r="AJ1537" t="s">
        <v>51</v>
      </c>
      <c r="AK1537" t="str">
        <f>HYPERLINK("http://www.proteinatlas.org/Q6ZMC9","no")</f>
        <v>no</v>
      </c>
      <c r="AM1537">
        <v>284266</v>
      </c>
    </row>
    <row r="1538" spans="1:39" x14ac:dyDescent="0.35">
      <c r="A1538" t="s">
        <v>16050</v>
      </c>
      <c r="B1538" t="str">
        <f>HYPERLINK("http://www.uniprot.org/uniprot/Q6ZMD2","Q6ZMD2")</f>
        <v>Q6ZMD2</v>
      </c>
      <c r="C1538" t="s">
        <v>16051</v>
      </c>
      <c r="D1538" t="s">
        <v>16052</v>
      </c>
      <c r="E1538" t="s">
        <v>39</v>
      </c>
      <c r="F1538" t="s">
        <v>40</v>
      </c>
      <c r="H1538">
        <v>512</v>
      </c>
      <c r="I1538">
        <v>11</v>
      </c>
      <c r="J1538">
        <v>0</v>
      </c>
      <c r="K1538" t="s">
        <v>16053</v>
      </c>
      <c r="L1538" t="s">
        <v>42</v>
      </c>
      <c r="N1538">
        <v>0.7046</v>
      </c>
      <c r="O1538" s="1">
        <v>2</v>
      </c>
      <c r="P1538" t="s">
        <v>16054</v>
      </c>
      <c r="Q1538" t="s">
        <v>16055</v>
      </c>
      <c r="S1538" t="s">
        <v>45</v>
      </c>
      <c r="T1538" t="s">
        <v>16056</v>
      </c>
      <c r="U1538">
        <v>257</v>
      </c>
      <c r="V1538">
        <v>0</v>
      </c>
      <c r="AE1538" t="s">
        <v>48</v>
      </c>
      <c r="AF1538" t="s">
        <v>16057</v>
      </c>
      <c r="AG1538" t="s">
        <v>16058</v>
      </c>
      <c r="AH1538" t="str">
        <f>HYPERLINK("http://compartments.jensenlab.org/Entity?figures=subcell_cell_%&amp;knowledge=10&amp;textmining=10&amp;experiments=10&amp;predictions=10&amp;type1=9606&amp;type2=-22&amp;id1=ENSP00000347721","link")</f>
        <v>link</v>
      </c>
      <c r="AJ1538" t="s">
        <v>51</v>
      </c>
      <c r="AK1538" t="str">
        <f>HYPERLINK("http://www.proteinatlas.org/Q6ZMD2","HPA023928")</f>
        <v>HPA023928</v>
      </c>
      <c r="AM1538">
        <v>201305</v>
      </c>
    </row>
    <row r="1539" spans="1:39" x14ac:dyDescent="0.35">
      <c r="A1539" t="s">
        <v>16059</v>
      </c>
      <c r="B1539" t="str">
        <f>HYPERLINK("http://www.uniprot.org/uniprot/Q6ZMH5","Q6ZMH5")</f>
        <v>Q6ZMH5</v>
      </c>
      <c r="C1539" t="s">
        <v>16060</v>
      </c>
      <c r="D1539" t="s">
        <v>16061</v>
      </c>
      <c r="E1539" t="s">
        <v>39</v>
      </c>
      <c r="F1539" t="s">
        <v>40</v>
      </c>
      <c r="H1539">
        <v>540</v>
      </c>
      <c r="I1539">
        <v>6</v>
      </c>
      <c r="J1539">
        <v>1</v>
      </c>
      <c r="K1539" t="s">
        <v>16062</v>
      </c>
      <c r="L1539" t="s">
        <v>57</v>
      </c>
      <c r="N1539">
        <v>0.78239999999999998</v>
      </c>
      <c r="O1539" s="1">
        <v>1</v>
      </c>
      <c r="P1539" t="s">
        <v>16063</v>
      </c>
      <c r="Q1539" t="s">
        <v>16064</v>
      </c>
      <c r="S1539" t="s">
        <v>45</v>
      </c>
      <c r="T1539" t="s">
        <v>12712</v>
      </c>
      <c r="U1539" t="s">
        <v>16065</v>
      </c>
      <c r="V1539">
        <v>3</v>
      </c>
      <c r="AE1539" t="s">
        <v>1460</v>
      </c>
      <c r="AF1539" t="s">
        <v>16066</v>
      </c>
      <c r="AG1539" t="s">
        <v>16067</v>
      </c>
      <c r="AH1539" t="str">
        <f>HYPERLINK("http://compartments.jensenlab.org/Entity?figures=subcell_cell_%&amp;knowledge=10&amp;textmining=10&amp;experiments=10&amp;predictions=10&amp;type1=9606&amp;type2=-22&amp;id1=ENSP00000266980","link")</f>
        <v>link</v>
      </c>
      <c r="AI1539" t="s">
        <v>65</v>
      </c>
      <c r="AJ1539" t="s">
        <v>51</v>
      </c>
      <c r="AK1539" t="str">
        <f>HYPERLINK("http://www.proteinatlas.org/Q6ZMH5","HPA018423")</f>
        <v>HPA018423</v>
      </c>
      <c r="AM1539">
        <v>283375</v>
      </c>
    </row>
    <row r="1540" spans="1:39" x14ac:dyDescent="0.35">
      <c r="A1540" t="s">
        <v>16068</v>
      </c>
      <c r="B1540" t="str">
        <f>HYPERLINK("http://www.uniprot.org/uniprot/Q6ZMI3","Q6ZMI3")</f>
        <v>Q6ZMI3</v>
      </c>
      <c r="C1540" t="s">
        <v>16069</v>
      </c>
      <c r="D1540" t="s">
        <v>16070</v>
      </c>
      <c r="E1540" t="s">
        <v>39</v>
      </c>
      <c r="F1540" t="s">
        <v>55</v>
      </c>
      <c r="H1540">
        <v>551</v>
      </c>
      <c r="I1540">
        <v>1</v>
      </c>
      <c r="J1540">
        <v>0</v>
      </c>
      <c r="K1540" t="s">
        <v>16071</v>
      </c>
      <c r="L1540" t="s">
        <v>57</v>
      </c>
      <c r="M1540" t="s">
        <v>39</v>
      </c>
      <c r="N1540">
        <v>0.47570000000000001</v>
      </c>
      <c r="O1540" s="1">
        <v>3</v>
      </c>
      <c r="P1540" t="s">
        <v>16072</v>
      </c>
      <c r="Q1540" t="s">
        <v>16073</v>
      </c>
      <c r="U1540" t="s">
        <v>16074</v>
      </c>
      <c r="V1540">
        <v>5</v>
      </c>
      <c r="W1540" t="s">
        <v>16074</v>
      </c>
      <c r="AE1540" t="s">
        <v>764</v>
      </c>
      <c r="AF1540" t="s">
        <v>16075</v>
      </c>
      <c r="AG1540" t="s">
        <v>16076</v>
      </c>
      <c r="AH1540" t="str">
        <f>HYPERLINK("http://compartments.jensenlab.org/Entity?figures=subcell_cell_%&amp;knowledge=10&amp;textmining=10&amp;experiments=10&amp;predictions=10&amp;type1=9606&amp;type2=-22&amp;id1=ENSP00000335196","link")</f>
        <v>link</v>
      </c>
      <c r="AI1540" t="s">
        <v>65</v>
      </c>
      <c r="AJ1540" t="s">
        <v>902</v>
      </c>
      <c r="AK1540" t="str">
        <f>HYPERLINK("http://www.proteinatlas.org/Q6ZMI3","HPA059441")</f>
        <v>HPA059441</v>
      </c>
      <c r="AM1540">
        <v>342035</v>
      </c>
    </row>
    <row r="1541" spans="1:39" x14ac:dyDescent="0.35">
      <c r="A1541" t="s">
        <v>16077</v>
      </c>
      <c r="B1541" t="str">
        <f>HYPERLINK("http://www.uniprot.org/uniprot/Q6ZMJ2","Q6ZMJ2")</f>
        <v>Q6ZMJ2</v>
      </c>
      <c r="C1541" t="s">
        <v>16078</v>
      </c>
      <c r="D1541" t="s">
        <v>16079</v>
      </c>
      <c r="E1541" t="s">
        <v>39</v>
      </c>
      <c r="F1541" t="s">
        <v>55</v>
      </c>
      <c r="H1541">
        <v>495</v>
      </c>
      <c r="I1541">
        <v>1</v>
      </c>
      <c r="J1541">
        <v>0</v>
      </c>
      <c r="K1541" t="s">
        <v>16080</v>
      </c>
      <c r="L1541" t="s">
        <v>101</v>
      </c>
      <c r="M1541" t="s">
        <v>39</v>
      </c>
      <c r="N1541">
        <v>0.68389999999999995</v>
      </c>
      <c r="O1541" s="1">
        <v>2</v>
      </c>
      <c r="P1541" t="s">
        <v>16081</v>
      </c>
      <c r="Q1541" t="s">
        <v>16082</v>
      </c>
      <c r="S1541" t="s">
        <v>60</v>
      </c>
      <c r="T1541" t="s">
        <v>60</v>
      </c>
      <c r="U1541" t="s">
        <v>16083</v>
      </c>
      <c r="V1541">
        <v>7</v>
      </c>
      <c r="W1541" t="s">
        <v>16083</v>
      </c>
      <c r="Z1541" t="s">
        <v>107</v>
      </c>
      <c r="AA1541">
        <v>1</v>
      </c>
      <c r="AB1541" t="s">
        <v>16084</v>
      </c>
      <c r="AC1541">
        <v>254</v>
      </c>
      <c r="AD1541" t="s">
        <v>16085</v>
      </c>
      <c r="AE1541" t="s">
        <v>764</v>
      </c>
      <c r="AF1541" t="s">
        <v>16086</v>
      </c>
      <c r="AG1541" t="s">
        <v>16087</v>
      </c>
      <c r="AH1541" t="str">
        <f>HYPERLINK("http://compartments.jensenlab.org/Entity?figures=subcell_cell_%&amp;knowledge=10&amp;textmining=10&amp;experiments=10&amp;predictions=10&amp;type1=9606&amp;type2=-22&amp;id1=ENSP00000346990","link")</f>
        <v>link</v>
      </c>
      <c r="AI1541" t="s">
        <v>65</v>
      </c>
      <c r="AJ1541" t="s">
        <v>51</v>
      </c>
      <c r="AK1541" t="str">
        <f>HYPERLINK("http://www.proteinatlas.org/Q6ZMJ2","HPA024661")</f>
        <v>HPA024661</v>
      </c>
      <c r="AM1541">
        <v>286133</v>
      </c>
    </row>
    <row r="1542" spans="1:39" x14ac:dyDescent="0.35">
      <c r="A1542" t="s">
        <v>16088</v>
      </c>
      <c r="B1542" t="str">
        <f>HYPERLINK("http://www.uniprot.org/uniprot/Q6ZN44","Q6ZN44")</f>
        <v>Q6ZN44</v>
      </c>
      <c r="C1542" t="s">
        <v>16089</v>
      </c>
      <c r="D1542" t="s">
        <v>16090</v>
      </c>
      <c r="E1542" t="s">
        <v>39</v>
      </c>
      <c r="F1542" t="s">
        <v>55</v>
      </c>
      <c r="H1542">
        <v>842</v>
      </c>
      <c r="I1542">
        <v>1</v>
      </c>
      <c r="J1542">
        <v>1</v>
      </c>
      <c r="K1542" t="s">
        <v>16091</v>
      </c>
      <c r="L1542" t="s">
        <v>101</v>
      </c>
      <c r="M1542" t="s">
        <v>39</v>
      </c>
      <c r="N1542">
        <v>0.94320000000000004</v>
      </c>
      <c r="O1542" s="1">
        <v>1</v>
      </c>
      <c r="P1542" t="s">
        <v>16092</v>
      </c>
      <c r="Q1542" t="s">
        <v>16093</v>
      </c>
      <c r="S1542" t="s">
        <v>166</v>
      </c>
      <c r="T1542" t="s">
        <v>3120</v>
      </c>
      <c r="U1542" t="s">
        <v>16094</v>
      </c>
      <c r="V1542">
        <v>3</v>
      </c>
      <c r="Y1542" t="s">
        <v>16095</v>
      </c>
      <c r="Z1542" t="s">
        <v>107</v>
      </c>
      <c r="AA1542">
        <v>1</v>
      </c>
      <c r="AB1542" t="s">
        <v>16096</v>
      </c>
      <c r="AC1542">
        <v>218</v>
      </c>
      <c r="AD1542" t="s">
        <v>16097</v>
      </c>
      <c r="AE1542" t="s">
        <v>332</v>
      </c>
      <c r="AF1542" t="s">
        <v>16098</v>
      </c>
      <c r="AG1542" t="s">
        <v>16099</v>
      </c>
      <c r="AH1542" t="str">
        <f>HYPERLINK("http://compartments.jensenlab.org/Entity?figures=subcell_cell_%&amp;knowledge=10&amp;textmining=10&amp;experiments=10&amp;predictions=10&amp;type1=9606&amp;type2=-22&amp;id1=ENSP00000332737","link")</f>
        <v>link</v>
      </c>
      <c r="AI1542" t="s">
        <v>65</v>
      </c>
      <c r="AJ1542" t="s">
        <v>51</v>
      </c>
      <c r="AK1542" t="str">
        <f>HYPERLINK("http://www.proteinatlas.org/Q6ZN44","no")</f>
        <v>no</v>
      </c>
      <c r="AM1542">
        <v>90249</v>
      </c>
    </row>
    <row r="1543" spans="1:39" x14ac:dyDescent="0.35">
      <c r="A1543" t="s">
        <v>16100</v>
      </c>
      <c r="B1543" t="str">
        <f>HYPERLINK("http://www.uniprot.org/uniprot/Q6ZNA5","Q6ZNA5")</f>
        <v>Q6ZNA5</v>
      </c>
      <c r="C1543" t="s">
        <v>16101</v>
      </c>
      <c r="D1543" t="s">
        <v>16102</v>
      </c>
      <c r="E1543" t="s">
        <v>39</v>
      </c>
      <c r="F1543" t="s">
        <v>40</v>
      </c>
      <c r="H1543">
        <v>592</v>
      </c>
      <c r="I1543">
        <v>6</v>
      </c>
      <c r="J1543">
        <v>1</v>
      </c>
      <c r="K1543" t="s">
        <v>16103</v>
      </c>
      <c r="L1543" t="s">
        <v>42</v>
      </c>
      <c r="N1543">
        <v>0.7006</v>
      </c>
      <c r="O1543" s="1">
        <v>2</v>
      </c>
      <c r="P1543" t="s">
        <v>16104</v>
      </c>
      <c r="S1543" t="s">
        <v>60</v>
      </c>
      <c r="T1543" t="s">
        <v>60</v>
      </c>
      <c r="U1543" t="s">
        <v>16105</v>
      </c>
      <c r="V1543">
        <v>3</v>
      </c>
      <c r="Y1543">
        <v>480</v>
      </c>
      <c r="AE1543" t="s">
        <v>48</v>
      </c>
      <c r="AF1543" t="s">
        <v>16106</v>
      </c>
      <c r="AG1543" t="s">
        <v>16107</v>
      </c>
      <c r="AK1543" t="str">
        <f>HYPERLINK("http://www.proteinatlas.org/Q6ZNA5","HPA017883")</f>
        <v>HPA017883</v>
      </c>
      <c r="AM1543">
        <v>391059</v>
      </c>
    </row>
    <row r="1544" spans="1:39" x14ac:dyDescent="0.35">
      <c r="A1544" t="s">
        <v>16108</v>
      </c>
      <c r="B1544" t="str">
        <f>HYPERLINK("http://www.uniprot.org/uniprot/Q6ZP29","Q6ZP29")</f>
        <v>Q6ZP29</v>
      </c>
      <c r="C1544" t="s">
        <v>16109</v>
      </c>
      <c r="D1544" t="s">
        <v>16110</v>
      </c>
      <c r="E1544" t="s">
        <v>39</v>
      </c>
      <c r="F1544" t="s">
        <v>40</v>
      </c>
      <c r="H1544">
        <v>291</v>
      </c>
      <c r="I1544">
        <v>7</v>
      </c>
      <c r="J1544">
        <v>0</v>
      </c>
      <c r="K1544" t="s">
        <v>16111</v>
      </c>
      <c r="L1544" t="s">
        <v>57</v>
      </c>
      <c r="N1544">
        <v>0.76449999999999996</v>
      </c>
      <c r="O1544" s="1">
        <v>1</v>
      </c>
      <c r="P1544" t="s">
        <v>16112</v>
      </c>
      <c r="Q1544" t="s">
        <v>16113</v>
      </c>
      <c r="S1544" t="s">
        <v>60</v>
      </c>
      <c r="T1544" t="s">
        <v>60</v>
      </c>
      <c r="U1544">
        <v>10</v>
      </c>
      <c r="V1544">
        <v>1</v>
      </c>
      <c r="AE1544" t="s">
        <v>2218</v>
      </c>
      <c r="AF1544" t="s">
        <v>16114</v>
      </c>
      <c r="AG1544" t="s">
        <v>16115</v>
      </c>
      <c r="AH1544" t="str">
        <f>HYPERLINK("http://compartments.jensenlab.org/Entity?figures=subcell_cell_%&amp;knowledge=10&amp;textmining=10&amp;experiments=10&amp;predictions=10&amp;type1=9606&amp;type2=-22&amp;id1=ENSP00000364295","link")</f>
        <v>link</v>
      </c>
      <c r="AJ1544" t="s">
        <v>51</v>
      </c>
      <c r="AK1544" t="str">
        <f>HYPERLINK("http://www.proteinatlas.org/Q6ZP29","HPA057810")</f>
        <v>HPA057810</v>
      </c>
      <c r="AM1544">
        <v>54896</v>
      </c>
    </row>
    <row r="1545" spans="1:39" x14ac:dyDescent="0.35">
      <c r="A1545" t="s">
        <v>16116</v>
      </c>
      <c r="B1545" t="str">
        <f>HYPERLINK("http://www.uniprot.org/uniprot/Q6ZP80","Q6ZP80")</f>
        <v>Q6ZP80</v>
      </c>
      <c r="C1545" t="s">
        <v>16117</v>
      </c>
      <c r="D1545" t="s">
        <v>16118</v>
      </c>
      <c r="E1545" t="s">
        <v>39</v>
      </c>
      <c r="F1545" t="s">
        <v>40</v>
      </c>
      <c r="H1545">
        <v>229</v>
      </c>
      <c r="I1545">
        <v>3</v>
      </c>
      <c r="J1545">
        <v>1</v>
      </c>
      <c r="K1545" t="s">
        <v>16119</v>
      </c>
      <c r="L1545" t="s">
        <v>57</v>
      </c>
      <c r="N1545">
        <v>0.74450000000000005</v>
      </c>
      <c r="O1545" s="1">
        <v>2</v>
      </c>
      <c r="P1545" t="s">
        <v>16120</v>
      </c>
      <c r="Q1545" t="s">
        <v>16121</v>
      </c>
      <c r="S1545" t="s">
        <v>60</v>
      </c>
      <c r="T1545" t="s">
        <v>60</v>
      </c>
      <c r="U1545" t="s">
        <v>16122</v>
      </c>
      <c r="V1545">
        <v>4</v>
      </c>
      <c r="Y1545" t="s">
        <v>16123</v>
      </c>
      <c r="AE1545" t="s">
        <v>48</v>
      </c>
      <c r="AF1545" t="s">
        <v>13398</v>
      </c>
      <c r="AG1545" t="s">
        <v>16124</v>
      </c>
      <c r="AH1545" t="str">
        <f>HYPERLINK("http://compartments.jensenlab.org/Entity?figures=subcell_cell_%&amp;knowledge=10&amp;textmining=10&amp;experiments=10&amp;predictions=10&amp;type1=9606&amp;type2=-22&amp;id1=ENSP00000394178","link")</f>
        <v>link</v>
      </c>
      <c r="AJ1545" t="s">
        <v>51</v>
      </c>
      <c r="AK1545" t="str">
        <f>HYPERLINK("http://www.proteinatlas.org/Q6ZP80","HPA045861")</f>
        <v>HPA045861</v>
      </c>
      <c r="AM1545">
        <v>130827</v>
      </c>
    </row>
    <row r="1546" spans="1:39" x14ac:dyDescent="0.35">
      <c r="A1546" t="s">
        <v>16125</v>
      </c>
      <c r="B1546" t="str">
        <f>HYPERLINK("http://www.uniprot.org/uniprot/Q6ZQN7","Q6ZQN7")</f>
        <v>Q6ZQN7</v>
      </c>
      <c r="C1546" t="s">
        <v>16126</v>
      </c>
      <c r="D1546" t="s">
        <v>16127</v>
      </c>
      <c r="E1546" t="s">
        <v>39</v>
      </c>
      <c r="F1546" t="s">
        <v>55</v>
      </c>
      <c r="H1546">
        <v>724</v>
      </c>
      <c r="I1546">
        <v>12</v>
      </c>
      <c r="J1546">
        <v>0</v>
      </c>
      <c r="K1546" t="s">
        <v>16128</v>
      </c>
      <c r="L1546" t="s">
        <v>101</v>
      </c>
      <c r="M1546" t="s">
        <v>39</v>
      </c>
      <c r="N1546">
        <v>0.96040000000000003</v>
      </c>
      <c r="O1546" s="1">
        <v>1</v>
      </c>
      <c r="P1546" t="s">
        <v>16129</v>
      </c>
      <c r="Q1546" t="s">
        <v>16130</v>
      </c>
      <c r="S1546" t="s">
        <v>45</v>
      </c>
      <c r="T1546" t="s">
        <v>797</v>
      </c>
      <c r="U1546" t="s">
        <v>16131</v>
      </c>
      <c r="V1546">
        <v>4</v>
      </c>
      <c r="Z1546" t="s">
        <v>107</v>
      </c>
      <c r="AA1546">
        <v>1</v>
      </c>
      <c r="AB1546" t="s">
        <v>16132</v>
      </c>
      <c r="AC1546">
        <v>544</v>
      </c>
      <c r="AD1546" t="s">
        <v>16133</v>
      </c>
      <c r="AE1546" t="s">
        <v>1460</v>
      </c>
      <c r="AF1546" t="s">
        <v>16134</v>
      </c>
      <c r="AG1546" t="s">
        <v>16135</v>
      </c>
      <c r="AH1546" t="str">
        <f>HYPERLINK("http://compartments.jensenlab.org/Entity?figures=subcell_cell_%&amp;knowledge=10&amp;textmining=10&amp;experiments=10&amp;predictions=10&amp;type1=9606&amp;type2=-22&amp;id1=ENSP00000309741","link")</f>
        <v>link</v>
      </c>
      <c r="AI1546" t="s">
        <v>65</v>
      </c>
      <c r="AJ1546" t="s">
        <v>51</v>
      </c>
      <c r="AK1546" t="str">
        <f>HYPERLINK("http://www.proteinatlas.org/Q6ZQN7","HPA036516")</f>
        <v>HPA036516</v>
      </c>
      <c r="AM1546">
        <v>353189</v>
      </c>
    </row>
    <row r="1547" spans="1:39" x14ac:dyDescent="0.35">
      <c r="A1547" t="s">
        <v>16136</v>
      </c>
      <c r="B1547" t="str">
        <f>HYPERLINK("http://www.uniprot.org/uniprot/Q6ZRH7","Q6ZRH7")</f>
        <v>Q6ZRH7</v>
      </c>
      <c r="C1547" t="s">
        <v>16137</v>
      </c>
      <c r="D1547" t="s">
        <v>16138</v>
      </c>
      <c r="E1547" t="s">
        <v>39</v>
      </c>
      <c r="F1547" t="s">
        <v>40</v>
      </c>
      <c r="H1547">
        <v>1159</v>
      </c>
      <c r="I1547">
        <v>1</v>
      </c>
      <c r="J1547">
        <v>1</v>
      </c>
      <c r="K1547" t="s">
        <v>16139</v>
      </c>
      <c r="L1547" t="s">
        <v>57</v>
      </c>
      <c r="N1547">
        <v>0.74850000000000005</v>
      </c>
      <c r="O1547" s="1">
        <v>1</v>
      </c>
      <c r="P1547" t="s">
        <v>16140</v>
      </c>
      <c r="Q1547" t="s">
        <v>16141</v>
      </c>
      <c r="S1547" t="s">
        <v>60</v>
      </c>
      <c r="T1547" t="s">
        <v>60</v>
      </c>
      <c r="U1547" t="s">
        <v>16142</v>
      </c>
      <c r="V1547">
        <v>4</v>
      </c>
      <c r="Y1547" t="s">
        <v>16143</v>
      </c>
      <c r="AE1547" t="s">
        <v>144</v>
      </c>
      <c r="AF1547" t="s">
        <v>16144</v>
      </c>
      <c r="AG1547" t="s">
        <v>16145</v>
      </c>
      <c r="AH1547" t="str">
        <f>HYPERLINK("http://compartments.jensenlab.org/Entity?figures=subcell_cell_%&amp;knowledge=10&amp;textmining=10&amp;experiments=10&amp;predictions=10&amp;type1=9606&amp;type2=-22&amp;id1=ENSP00000386962","link")</f>
        <v>link</v>
      </c>
      <c r="AK1547" t="str">
        <f>HYPERLINK("http://www.proteinatlas.org/Q6ZRH7","HPA052777")</f>
        <v>HPA052777</v>
      </c>
      <c r="AM1547">
        <v>57828</v>
      </c>
    </row>
    <row r="1548" spans="1:39" x14ac:dyDescent="0.35">
      <c r="A1548" t="s">
        <v>16146</v>
      </c>
      <c r="B1548" t="str">
        <f>HYPERLINK("http://www.uniprot.org/uniprot/Q6ZRP7","Q6ZRP7")</f>
        <v>Q6ZRP7</v>
      </c>
      <c r="C1548" t="s">
        <v>16147</v>
      </c>
      <c r="D1548" t="s">
        <v>16148</v>
      </c>
      <c r="E1548" t="s">
        <v>39</v>
      </c>
      <c r="F1548" t="s">
        <v>55</v>
      </c>
      <c r="H1548">
        <v>698</v>
      </c>
      <c r="I1548">
        <v>1</v>
      </c>
      <c r="J1548">
        <v>1</v>
      </c>
      <c r="K1548" t="s">
        <v>16149</v>
      </c>
      <c r="L1548" t="s">
        <v>118</v>
      </c>
      <c r="M1548" t="s">
        <v>39</v>
      </c>
      <c r="N1548">
        <v>0.50839999999999996</v>
      </c>
      <c r="O1548" s="1">
        <v>3</v>
      </c>
      <c r="P1548" t="s">
        <v>16150</v>
      </c>
      <c r="Q1548" t="s">
        <v>16151</v>
      </c>
      <c r="S1548" t="s">
        <v>947</v>
      </c>
      <c r="T1548" t="s">
        <v>948</v>
      </c>
      <c r="U1548" t="s">
        <v>16152</v>
      </c>
      <c r="V1548">
        <v>4</v>
      </c>
      <c r="W1548" t="s">
        <v>16152</v>
      </c>
      <c r="Z1548" t="s">
        <v>107</v>
      </c>
      <c r="AA1548">
        <v>3</v>
      </c>
      <c r="AB1548" t="s">
        <v>16153</v>
      </c>
      <c r="AC1548" t="s">
        <v>16154</v>
      </c>
      <c r="AD1548" t="s">
        <v>16155</v>
      </c>
      <c r="AE1548" t="s">
        <v>16156</v>
      </c>
      <c r="AF1548" t="s">
        <v>16157</v>
      </c>
      <c r="AG1548" t="s">
        <v>16158</v>
      </c>
      <c r="AH1548" t="str">
        <f>HYPERLINK("http://compartments.jensenlab.org/Entity?figures=subcell_cell_%&amp;knowledge=10&amp;textmining=10&amp;experiments=10&amp;predictions=10&amp;type1=9606&amp;type2=-22&amp;id1=ENSP00000351536","link")</f>
        <v>link</v>
      </c>
      <c r="AI1548" t="s">
        <v>16159</v>
      </c>
      <c r="AJ1548" t="s">
        <v>3586</v>
      </c>
      <c r="AK1548" t="str">
        <f>HYPERLINK("http://www.proteinatlas.org/Q6ZRP7","HPA012716")</f>
        <v>HPA012716</v>
      </c>
      <c r="AM1548">
        <v>169714</v>
      </c>
    </row>
    <row r="1549" spans="1:39" x14ac:dyDescent="0.35">
      <c r="A1549" t="s">
        <v>16160</v>
      </c>
      <c r="B1549" t="str">
        <f>HYPERLINK("http://www.uniprot.org/uniprot/Q6ZS10","Q6ZS10")</f>
        <v>Q6ZS10</v>
      </c>
      <c r="C1549" t="s">
        <v>16161</v>
      </c>
      <c r="D1549" t="s">
        <v>16162</v>
      </c>
      <c r="E1549" t="s">
        <v>39</v>
      </c>
      <c r="F1549" t="s">
        <v>40</v>
      </c>
      <c r="H1549">
        <v>378</v>
      </c>
      <c r="I1549">
        <v>1</v>
      </c>
      <c r="J1549">
        <v>0</v>
      </c>
      <c r="K1549" t="s">
        <v>16163</v>
      </c>
      <c r="L1549" t="s">
        <v>101</v>
      </c>
      <c r="N1549">
        <v>0.85229999999999995</v>
      </c>
      <c r="O1549" s="1">
        <v>1</v>
      </c>
      <c r="P1549" t="s">
        <v>16164</v>
      </c>
      <c r="Q1549" t="s">
        <v>16165</v>
      </c>
      <c r="S1549" t="s">
        <v>166</v>
      </c>
      <c r="T1549" t="s">
        <v>4251</v>
      </c>
      <c r="U1549" t="s">
        <v>16166</v>
      </c>
      <c r="V1549">
        <v>3</v>
      </c>
      <c r="W1549" t="s">
        <v>16166</v>
      </c>
      <c r="Z1549" t="s">
        <v>123</v>
      </c>
      <c r="AA1549">
        <v>1</v>
      </c>
      <c r="AB1549" t="s">
        <v>16167</v>
      </c>
      <c r="AC1549">
        <v>215</v>
      </c>
      <c r="AD1549" t="s">
        <v>16168</v>
      </c>
      <c r="AE1549" t="s">
        <v>359</v>
      </c>
      <c r="AF1549" t="s">
        <v>16169</v>
      </c>
      <c r="AG1549" t="s">
        <v>16170</v>
      </c>
      <c r="AH1549" t="str">
        <f>HYPERLINK("http://compartments.jensenlab.org/Entity?figures=subcell_cell_%&amp;knowledge=10&amp;textmining=10&amp;experiments=10&amp;predictions=10&amp;type1=9606&amp;type2=-22&amp;id1=ENSP00000393719","link")</f>
        <v>link</v>
      </c>
      <c r="AK1549" t="str">
        <f>HYPERLINK("http://www.proteinatlas.org/Q6ZS10","HPA031683")</f>
        <v>HPA031683</v>
      </c>
      <c r="AM1549">
        <v>388512</v>
      </c>
    </row>
    <row r="1550" spans="1:39" x14ac:dyDescent="0.35">
      <c r="A1550" t="s">
        <v>16171</v>
      </c>
      <c r="B1550" t="str">
        <f>HYPERLINK("http://www.uniprot.org/uniprot/Q6ZSJ9","Q6ZSJ9")</f>
        <v>Q6ZSJ9</v>
      </c>
      <c r="C1550" t="s">
        <v>16172</v>
      </c>
      <c r="D1550" t="s">
        <v>16173</v>
      </c>
      <c r="E1550" t="s">
        <v>39</v>
      </c>
      <c r="F1550" t="s">
        <v>40</v>
      </c>
      <c r="H1550">
        <v>500</v>
      </c>
      <c r="I1550">
        <v>1</v>
      </c>
      <c r="J1550">
        <v>1</v>
      </c>
      <c r="K1550" t="s">
        <v>16174</v>
      </c>
      <c r="L1550" t="s">
        <v>57</v>
      </c>
      <c r="N1550">
        <v>0.76649999999999996</v>
      </c>
      <c r="O1550" s="1">
        <v>1</v>
      </c>
      <c r="P1550" t="s">
        <v>16175</v>
      </c>
      <c r="Q1550" t="s">
        <v>16176</v>
      </c>
      <c r="U1550" t="s">
        <v>16177</v>
      </c>
      <c r="V1550">
        <v>4</v>
      </c>
      <c r="AE1550" t="s">
        <v>144</v>
      </c>
      <c r="AF1550" t="s">
        <v>16178</v>
      </c>
      <c r="AG1550" t="s">
        <v>16179</v>
      </c>
      <c r="AH1550" t="str">
        <f>HYPERLINK("http://compartments.jensenlab.org/Entity?figures=subcell_cell_%&amp;knowledge=10&amp;textmining=10&amp;experiments=10&amp;predictions=10&amp;type1=9606&amp;type2=-22&amp;id1=ENSP00000387157","link")</f>
        <v>link</v>
      </c>
      <c r="AK1550" t="str">
        <f>HYPERLINK("http://www.proteinatlas.org/Q6ZSJ9","HPA023440")</f>
        <v>HPA023440</v>
      </c>
      <c r="AM1550">
        <v>388336</v>
      </c>
    </row>
    <row r="1551" spans="1:39" x14ac:dyDescent="0.35">
      <c r="A1551" t="s">
        <v>16180</v>
      </c>
      <c r="B1551" t="str">
        <f>HYPERLINK("http://www.uniprot.org/uniprot/Q6ZSM3","Q6ZSM3")</f>
        <v>Q6ZSM3</v>
      </c>
      <c r="C1551" t="s">
        <v>16181</v>
      </c>
      <c r="D1551" t="s">
        <v>16182</v>
      </c>
      <c r="E1551" t="s">
        <v>39</v>
      </c>
      <c r="F1551" t="s">
        <v>40</v>
      </c>
      <c r="H1551">
        <v>486</v>
      </c>
      <c r="I1551">
        <v>12</v>
      </c>
      <c r="J1551">
        <v>0</v>
      </c>
      <c r="K1551" t="s">
        <v>16183</v>
      </c>
      <c r="L1551" t="s">
        <v>57</v>
      </c>
      <c r="N1551">
        <v>0.65269999999999995</v>
      </c>
      <c r="O1551" s="1">
        <v>2</v>
      </c>
      <c r="P1551" t="s">
        <v>16184</v>
      </c>
      <c r="Q1551" t="s">
        <v>16185</v>
      </c>
      <c r="S1551" t="s">
        <v>45</v>
      </c>
      <c r="T1551" t="s">
        <v>1507</v>
      </c>
      <c r="U1551" t="s">
        <v>16186</v>
      </c>
      <c r="V1551">
        <v>1</v>
      </c>
      <c r="AE1551" t="s">
        <v>74</v>
      </c>
      <c r="AF1551" t="s">
        <v>16187</v>
      </c>
      <c r="AG1551" t="s">
        <v>16188</v>
      </c>
      <c r="AH1551" t="str">
        <f>HYPERLINK("http://compartments.jensenlab.org/Entity?figures=subcell_cell_%&amp;knowledge=10&amp;textmining=10&amp;experiments=10&amp;predictions=10&amp;type1=9606&amp;type2=-22&amp;id1=ENSP00000343022","link")</f>
        <v>link</v>
      </c>
      <c r="AI1551" t="s">
        <v>65</v>
      </c>
      <c r="AJ1551" t="s">
        <v>51</v>
      </c>
      <c r="AK1551" t="str">
        <f>HYPERLINK("http://www.proteinatlas.org/Q6ZSM3","HPA037587")</f>
        <v>HPA037587</v>
      </c>
      <c r="AM1551">
        <v>387700</v>
      </c>
    </row>
    <row r="1552" spans="1:39" x14ac:dyDescent="0.35">
      <c r="A1552" t="s">
        <v>16189</v>
      </c>
      <c r="B1552" t="str">
        <f>HYPERLINK("http://www.uniprot.org/uniprot/Q6ZSS7","Q6ZSS7")</f>
        <v>Q6ZSS7</v>
      </c>
      <c r="C1552" t="s">
        <v>16190</v>
      </c>
      <c r="D1552" t="s">
        <v>16191</v>
      </c>
      <c r="E1552" t="s">
        <v>39</v>
      </c>
      <c r="F1552" t="s">
        <v>40</v>
      </c>
      <c r="H1552">
        <v>791</v>
      </c>
      <c r="I1552">
        <v>12</v>
      </c>
      <c r="J1552">
        <v>0</v>
      </c>
      <c r="K1552" t="s">
        <v>16192</v>
      </c>
      <c r="L1552" t="s">
        <v>42</v>
      </c>
      <c r="N1552">
        <v>0.69059999999999999</v>
      </c>
      <c r="O1552" s="1">
        <v>2</v>
      </c>
      <c r="P1552" t="s">
        <v>16193</v>
      </c>
      <c r="Q1552" t="s">
        <v>16194</v>
      </c>
      <c r="S1552" t="s">
        <v>60</v>
      </c>
      <c r="T1552" t="s">
        <v>60</v>
      </c>
      <c r="U1552" t="s">
        <v>16195</v>
      </c>
      <c r="V1552">
        <v>5</v>
      </c>
      <c r="AE1552" t="s">
        <v>48</v>
      </c>
      <c r="AF1552" t="s">
        <v>16196</v>
      </c>
      <c r="AG1552" t="s">
        <v>16197</v>
      </c>
      <c r="AH1552" t="str">
        <f>HYPERLINK("http://compartments.jensenlab.org/Entity?figures=subcell_cell_%&amp;knowledge=10&amp;textmining=10&amp;experiments=10&amp;predictions=10&amp;type1=9606&amp;type2=-22&amp;id1=ENSP00000281416","link")</f>
        <v>link</v>
      </c>
      <c r="AJ1552" t="s">
        <v>51</v>
      </c>
      <c r="AK1552" t="str">
        <f>HYPERLINK("http://www.proteinatlas.org/Q6ZSS7","HPA022274")</f>
        <v>HPA022274</v>
      </c>
      <c r="AM1552">
        <v>54842</v>
      </c>
    </row>
    <row r="1553" spans="1:39" x14ac:dyDescent="0.35">
      <c r="A1553" t="s">
        <v>16198</v>
      </c>
      <c r="B1553" t="str">
        <f>HYPERLINK("http://www.uniprot.org/uniprot/Q6ZTQ4","Q6ZTQ4")</f>
        <v>Q6ZTQ4</v>
      </c>
      <c r="C1553" t="s">
        <v>16199</v>
      </c>
      <c r="D1553" t="s">
        <v>16200</v>
      </c>
      <c r="E1553" t="s">
        <v>39</v>
      </c>
      <c r="F1553" t="s">
        <v>40</v>
      </c>
      <c r="H1553">
        <v>885</v>
      </c>
      <c r="I1553">
        <v>1</v>
      </c>
      <c r="J1553">
        <v>1</v>
      </c>
      <c r="K1553" t="s">
        <v>16201</v>
      </c>
      <c r="L1553" t="s">
        <v>57</v>
      </c>
      <c r="N1553">
        <v>0.90620000000000001</v>
      </c>
      <c r="O1553" s="1">
        <v>1</v>
      </c>
      <c r="P1553" t="s">
        <v>16202</v>
      </c>
      <c r="Q1553" t="s">
        <v>16203</v>
      </c>
      <c r="S1553" t="s">
        <v>60</v>
      </c>
      <c r="T1553" t="s">
        <v>60</v>
      </c>
      <c r="U1553" t="s">
        <v>16204</v>
      </c>
      <c r="V1553">
        <v>4</v>
      </c>
      <c r="AE1553" t="s">
        <v>332</v>
      </c>
      <c r="AF1553" t="s">
        <v>16205</v>
      </c>
      <c r="AG1553" t="s">
        <v>16206</v>
      </c>
      <c r="AH1553" t="str">
        <f>HYPERLINK("http://compartments.jensenlab.org/Entity?figures=subcell_cell_%&amp;knowledge=10&amp;textmining=10&amp;experiments=10&amp;predictions=10&amp;type1=9606&amp;type2=-22&amp;id1=ENSP00000325954","link")</f>
        <v>link</v>
      </c>
      <c r="AI1553" t="s">
        <v>65</v>
      </c>
      <c r="AJ1553" t="s">
        <v>51</v>
      </c>
      <c r="AK1553" t="str">
        <f>HYPERLINK("http://www.proteinatlas.org/Q6ZTQ4","HPA011218")</f>
        <v>HPA011218</v>
      </c>
      <c r="AM1553">
        <v>222256</v>
      </c>
    </row>
    <row r="1554" spans="1:39" x14ac:dyDescent="0.35">
      <c r="A1554" t="s">
        <v>16207</v>
      </c>
      <c r="B1554" t="str">
        <f>HYPERLINK("http://www.uniprot.org/uniprot/Q6ZUK4","Q6ZUK4")</f>
        <v>Q6ZUK4</v>
      </c>
      <c r="C1554" t="s">
        <v>16208</v>
      </c>
      <c r="D1554" t="s">
        <v>16209</v>
      </c>
      <c r="E1554" t="s">
        <v>39</v>
      </c>
      <c r="F1554" t="s">
        <v>40</v>
      </c>
      <c r="H1554">
        <v>368</v>
      </c>
      <c r="I1554">
        <v>7</v>
      </c>
      <c r="J1554">
        <v>1</v>
      </c>
      <c r="K1554" t="s">
        <v>16210</v>
      </c>
      <c r="L1554" t="s">
        <v>1592</v>
      </c>
      <c r="N1554">
        <v>0.68259999999999998</v>
      </c>
      <c r="O1554" s="1">
        <v>2</v>
      </c>
      <c r="P1554" t="s">
        <v>16211</v>
      </c>
      <c r="Q1554" t="s">
        <v>16212</v>
      </c>
      <c r="S1554" t="s">
        <v>60</v>
      </c>
      <c r="T1554" t="s">
        <v>60</v>
      </c>
      <c r="U1554" t="s">
        <v>16213</v>
      </c>
      <c r="V1554">
        <v>3</v>
      </c>
      <c r="Z1554" t="s">
        <v>123</v>
      </c>
      <c r="AA1554">
        <v>7</v>
      </c>
      <c r="AB1554" t="s">
        <v>16214</v>
      </c>
      <c r="AC1554" t="s">
        <v>16215</v>
      </c>
      <c r="AD1554" t="s">
        <v>16216</v>
      </c>
      <c r="AE1554" t="s">
        <v>48</v>
      </c>
      <c r="AF1554" t="s">
        <v>2332</v>
      </c>
      <c r="AG1554" t="s">
        <v>16217</v>
      </c>
      <c r="AH1554" t="str">
        <f>HYPERLINK("http://compartments.jensenlab.org/Entity?figures=subcell_cell_%&amp;knowledge=10&amp;textmining=10&amp;experiments=10&amp;predictions=10&amp;type1=9606&amp;type2=-22&amp;id1=ENSP00000382237","link")</f>
        <v>link</v>
      </c>
      <c r="AJ1554" t="s">
        <v>51</v>
      </c>
      <c r="AK1554" t="str">
        <f>HYPERLINK("http://www.proteinatlas.org/Q6ZUK4","HPA014350")</f>
        <v>HPA014350</v>
      </c>
      <c r="AM1554">
        <v>219623</v>
      </c>
    </row>
    <row r="1555" spans="1:39" x14ac:dyDescent="0.35">
      <c r="A1555" t="s">
        <v>16218</v>
      </c>
      <c r="B1555" t="str">
        <f>HYPERLINK("http://www.uniprot.org/uniprot/Q6ZVL6","Q6ZVL6")</f>
        <v>Q6ZVL6</v>
      </c>
      <c r="C1555" t="s">
        <v>16219</v>
      </c>
      <c r="D1555" t="s">
        <v>16220</v>
      </c>
      <c r="E1555" t="s">
        <v>39</v>
      </c>
      <c r="F1555" t="s">
        <v>40</v>
      </c>
      <c r="H1555">
        <v>1849</v>
      </c>
      <c r="I1555">
        <v>1</v>
      </c>
      <c r="J1555">
        <v>0</v>
      </c>
      <c r="K1555" t="s">
        <v>16221</v>
      </c>
      <c r="L1555" t="s">
        <v>42</v>
      </c>
      <c r="N1555">
        <v>0.6008</v>
      </c>
      <c r="O1555" s="1">
        <v>2</v>
      </c>
      <c r="P1555" t="s">
        <v>16222</v>
      </c>
      <c r="Q1555" t="s">
        <v>16223</v>
      </c>
      <c r="S1555" t="s">
        <v>60</v>
      </c>
      <c r="T1555" t="s">
        <v>60</v>
      </c>
      <c r="U1555" t="s">
        <v>16224</v>
      </c>
      <c r="V1555">
        <v>13</v>
      </c>
      <c r="X1555" t="s">
        <v>16225</v>
      </c>
      <c r="AE1555" t="s">
        <v>94</v>
      </c>
      <c r="AF1555" t="s">
        <v>16226</v>
      </c>
      <c r="AG1555" t="s">
        <v>16227</v>
      </c>
      <c r="AH1555" t="str">
        <f>HYPERLINK("http://compartments.jensenlab.org/Entity?figures=subcell_cell_%&amp;knowledge=10&amp;textmining=10&amp;experiments=10&amp;predictions=10&amp;type1=9606&amp;type2=-22&amp;id1=ENSP00000315295","link")</f>
        <v>link</v>
      </c>
      <c r="AK1555" t="str">
        <f>HYPERLINK("http://www.proteinatlas.org/Q6ZVL6","HPA010132;HPA051594")</f>
        <v>HPA010132;HPA051594</v>
      </c>
      <c r="AM1555">
        <v>25758</v>
      </c>
    </row>
    <row r="1556" spans="1:39" x14ac:dyDescent="0.35">
      <c r="A1556" t="s">
        <v>16228</v>
      </c>
      <c r="B1556" t="str">
        <f>HYPERLINK("http://www.uniprot.org/uniprot/Q6ZVN8","Q6ZVN8")</f>
        <v>Q6ZVN8</v>
      </c>
      <c r="C1556" t="s">
        <v>16229</v>
      </c>
      <c r="D1556" t="s">
        <v>16230</v>
      </c>
      <c r="E1556" t="s">
        <v>39</v>
      </c>
      <c r="F1556" t="s">
        <v>239</v>
      </c>
      <c r="H1556">
        <v>426</v>
      </c>
      <c r="I1556">
        <v>0</v>
      </c>
      <c r="J1556">
        <v>1</v>
      </c>
      <c r="K1556" t="s">
        <v>16231</v>
      </c>
      <c r="L1556" t="s">
        <v>57</v>
      </c>
      <c r="N1556">
        <v>0.72060000000000002</v>
      </c>
      <c r="O1556" s="1" t="s">
        <v>241</v>
      </c>
      <c r="P1556" t="s">
        <v>16232</v>
      </c>
      <c r="Q1556" t="s">
        <v>16233</v>
      </c>
      <c r="S1556" t="s">
        <v>60</v>
      </c>
      <c r="T1556" t="s">
        <v>60</v>
      </c>
      <c r="U1556" t="s">
        <v>16234</v>
      </c>
      <c r="V1556">
        <v>3</v>
      </c>
      <c r="W1556" t="s">
        <v>16234</v>
      </c>
      <c r="X1556">
        <v>125</v>
      </c>
      <c r="AE1556" t="s">
        <v>243</v>
      </c>
      <c r="AF1556" t="s">
        <v>16235</v>
      </c>
      <c r="AG1556" t="s">
        <v>16236</v>
      </c>
      <c r="AH1556" t="str">
        <f>HYPERLINK("http://compartments.jensenlab.org/Entity?figures=subcell_cell_%&amp;knowledge=10&amp;textmining=10&amp;experiments=10&amp;predictions=10&amp;type1=9606&amp;type2=-22&amp;id1=ENSP00000337014","link")</f>
        <v>link</v>
      </c>
      <c r="AI1556" t="s">
        <v>65</v>
      </c>
      <c r="AJ1556" t="s">
        <v>902</v>
      </c>
      <c r="AK1556" t="str">
        <f>HYPERLINK("http://www.proteinatlas.org/Q6ZVN8","HPA014472")</f>
        <v>HPA014472</v>
      </c>
      <c r="AM1556">
        <v>148738</v>
      </c>
    </row>
    <row r="1557" spans="1:39" x14ac:dyDescent="0.35">
      <c r="A1557" t="s">
        <v>16237</v>
      </c>
      <c r="B1557" t="str">
        <f>HYPERLINK("http://www.uniprot.org/uniprot/Q6ZW05","Q6ZW05")</f>
        <v>Q6ZW05</v>
      </c>
      <c r="C1557" t="s">
        <v>16238</v>
      </c>
      <c r="D1557" t="s">
        <v>16239</v>
      </c>
      <c r="E1557" t="s">
        <v>39</v>
      </c>
      <c r="F1557" t="s">
        <v>40</v>
      </c>
      <c r="H1557">
        <v>846</v>
      </c>
      <c r="I1557">
        <v>12</v>
      </c>
      <c r="J1557">
        <v>0</v>
      </c>
      <c r="K1557" t="s">
        <v>16240</v>
      </c>
      <c r="L1557" t="s">
        <v>42</v>
      </c>
      <c r="N1557">
        <v>0.73650000000000004</v>
      </c>
      <c r="O1557" s="1">
        <v>2</v>
      </c>
      <c r="P1557" t="s">
        <v>16241</v>
      </c>
      <c r="Q1557" t="s">
        <v>16242</v>
      </c>
      <c r="S1557" t="s">
        <v>60</v>
      </c>
      <c r="T1557" t="s">
        <v>60</v>
      </c>
      <c r="U1557" t="s">
        <v>16243</v>
      </c>
      <c r="V1557">
        <v>2</v>
      </c>
      <c r="Y1557">
        <v>13</v>
      </c>
      <c r="AE1557" t="s">
        <v>48</v>
      </c>
      <c r="AF1557" t="s">
        <v>2332</v>
      </c>
      <c r="AG1557" t="s">
        <v>16244</v>
      </c>
      <c r="AH1557" t="str">
        <f>HYPERLINK("http://compartments.jensenlab.org/Entity?figures=subcell_cell_%&amp;knowledge=10&amp;textmining=10&amp;experiments=10&amp;predictions=10&amp;type1=9606&amp;type2=-22&amp;id1=ENSP00000341914","link")</f>
        <v>link</v>
      </c>
      <c r="AJ1557" t="s">
        <v>51</v>
      </c>
      <c r="AK1557" t="str">
        <f>HYPERLINK("http://www.proteinatlas.org/Q6ZW05","HPA041276")</f>
        <v>HPA041276</v>
      </c>
      <c r="AM1557">
        <v>442213</v>
      </c>
    </row>
    <row r="1558" spans="1:39" x14ac:dyDescent="0.35">
      <c r="A1558" t="s">
        <v>16245</v>
      </c>
      <c r="B1558" t="str">
        <f>HYPERLINK("http://www.uniprot.org/uniprot/Q70Z44","Q70Z44")</f>
        <v>Q70Z44</v>
      </c>
      <c r="C1558" t="s">
        <v>16246</v>
      </c>
      <c r="D1558" t="s">
        <v>16247</v>
      </c>
      <c r="E1558" t="s">
        <v>39</v>
      </c>
      <c r="F1558" t="s">
        <v>40</v>
      </c>
      <c r="H1558">
        <v>454</v>
      </c>
      <c r="I1558">
        <v>4</v>
      </c>
      <c r="J1558">
        <v>1</v>
      </c>
      <c r="K1558" t="s">
        <v>16248</v>
      </c>
      <c r="L1558" t="s">
        <v>57</v>
      </c>
      <c r="N1558">
        <v>0.81840000000000002</v>
      </c>
      <c r="O1558" s="1">
        <v>1</v>
      </c>
      <c r="P1558" t="s">
        <v>16249</v>
      </c>
      <c r="Q1558" t="s">
        <v>16250</v>
      </c>
      <c r="S1558" t="s">
        <v>45</v>
      </c>
      <c r="T1558" t="s">
        <v>195</v>
      </c>
      <c r="U1558" t="s">
        <v>16251</v>
      </c>
      <c r="V1558">
        <v>3</v>
      </c>
      <c r="AE1558" t="s">
        <v>74</v>
      </c>
      <c r="AF1558" t="s">
        <v>16252</v>
      </c>
      <c r="AG1558" t="s">
        <v>16253</v>
      </c>
      <c r="AH1558" t="str">
        <f>HYPERLINK("http://compartments.jensenlab.org/Entity?figures=subcell_cell_%&amp;knowledge=10&amp;textmining=10&amp;experiments=10&amp;predictions=10&amp;type1=9606&amp;type2=-22&amp;id1=ENSP00000371929","link")</f>
        <v>link</v>
      </c>
      <c r="AK1558" t="str">
        <f>HYPERLINK("http://www.proteinatlas.org/Q70Z44","no")</f>
        <v>no</v>
      </c>
      <c r="AM1558">
        <v>200909</v>
      </c>
    </row>
    <row r="1559" spans="1:39" x14ac:dyDescent="0.35">
      <c r="A1559" t="s">
        <v>16254</v>
      </c>
      <c r="B1559" t="str">
        <f>HYPERLINK("http://www.uniprot.org/uniprot/Q71RS6","Q71RS6")</f>
        <v>Q71RS6</v>
      </c>
      <c r="C1559" t="s">
        <v>16255</v>
      </c>
      <c r="D1559" t="s">
        <v>16256</v>
      </c>
      <c r="E1559" t="s">
        <v>39</v>
      </c>
      <c r="F1559" t="s">
        <v>40</v>
      </c>
      <c r="H1559">
        <v>500</v>
      </c>
      <c r="I1559">
        <v>11</v>
      </c>
      <c r="J1559">
        <v>1</v>
      </c>
      <c r="K1559" t="s">
        <v>16257</v>
      </c>
      <c r="L1559" t="s">
        <v>57</v>
      </c>
      <c r="N1559">
        <v>0.75449999999999995</v>
      </c>
      <c r="O1559" s="1">
        <v>1</v>
      </c>
      <c r="P1559" t="s">
        <v>16258</v>
      </c>
      <c r="Q1559" t="s">
        <v>16259</v>
      </c>
      <c r="S1559" t="s">
        <v>45</v>
      </c>
      <c r="T1559" t="s">
        <v>15297</v>
      </c>
      <c r="U1559" t="s">
        <v>16260</v>
      </c>
      <c r="V1559">
        <v>1</v>
      </c>
      <c r="W1559" t="s">
        <v>16260</v>
      </c>
      <c r="AE1559" t="s">
        <v>16261</v>
      </c>
      <c r="AF1559" t="s">
        <v>16262</v>
      </c>
      <c r="AG1559" t="s">
        <v>16263</v>
      </c>
      <c r="AH1559" t="str">
        <f>HYPERLINK("http://compartments.jensenlab.org/Entity?figures=subcell_cell_%&amp;knowledge=10&amp;textmining=10&amp;experiments=10&amp;predictions=10&amp;type1=9606&amp;type2=-22&amp;id1=ENSP00000341550","link")</f>
        <v>link</v>
      </c>
      <c r="AJ1559" t="s">
        <v>51</v>
      </c>
      <c r="AK1559" t="str">
        <f>HYPERLINK("http://www.proteinatlas.org/Q71RS6","no")</f>
        <v>no</v>
      </c>
      <c r="AM1559">
        <v>283652</v>
      </c>
    </row>
    <row r="1560" spans="1:39" x14ac:dyDescent="0.35">
      <c r="A1560" t="s">
        <v>16264</v>
      </c>
      <c r="B1560" t="str">
        <f>HYPERLINK("http://www.uniprot.org/uniprot/Q75T13","Q75T13")</f>
        <v>Q75T13</v>
      </c>
      <c r="C1560" t="s">
        <v>16265</v>
      </c>
      <c r="D1560" t="s">
        <v>16266</v>
      </c>
      <c r="E1560" t="s">
        <v>39</v>
      </c>
      <c r="F1560" t="s">
        <v>40</v>
      </c>
      <c r="H1560">
        <v>922</v>
      </c>
      <c r="I1560">
        <v>7</v>
      </c>
      <c r="J1560">
        <v>0</v>
      </c>
      <c r="K1560" t="s">
        <v>16267</v>
      </c>
      <c r="L1560" t="s">
        <v>101</v>
      </c>
      <c r="N1560">
        <v>0.60880000000000001</v>
      </c>
      <c r="O1560" s="1">
        <v>2</v>
      </c>
      <c r="P1560" t="s">
        <v>16268</v>
      </c>
      <c r="Q1560" t="s">
        <v>16269</v>
      </c>
      <c r="S1560" t="s">
        <v>60</v>
      </c>
      <c r="T1560" t="s">
        <v>60</v>
      </c>
      <c r="U1560" t="s">
        <v>16270</v>
      </c>
      <c r="V1560">
        <v>4</v>
      </c>
      <c r="Z1560" t="s">
        <v>123</v>
      </c>
      <c r="AA1560">
        <v>2</v>
      </c>
      <c r="AB1560" t="s">
        <v>16271</v>
      </c>
      <c r="AC1560" t="s">
        <v>16272</v>
      </c>
      <c r="AD1560" t="s">
        <v>16273</v>
      </c>
      <c r="AE1560" t="s">
        <v>977</v>
      </c>
      <c r="AF1560" t="s">
        <v>16274</v>
      </c>
      <c r="AG1560" t="s">
        <v>16275</v>
      </c>
      <c r="AH1560" t="str">
        <f>HYPERLINK("http://compartments.jensenlab.org/Entity?figures=subcell_cell_%&amp;knowledge=10&amp;textmining=10&amp;experiments=10&amp;predictions=10&amp;type1=9606&amp;type2=-22&amp;id1=ENSP00000346809","link")</f>
        <v>link</v>
      </c>
      <c r="AI1560" t="s">
        <v>980</v>
      </c>
      <c r="AJ1560" t="s">
        <v>3965</v>
      </c>
      <c r="AK1560" t="str">
        <f>HYPERLINK("http://www.proteinatlas.org/Q75T13","HPA069704")</f>
        <v>HPA069704</v>
      </c>
      <c r="AM1560">
        <v>80055</v>
      </c>
    </row>
    <row r="1561" spans="1:39" x14ac:dyDescent="0.35">
      <c r="A1561" t="s">
        <v>16276</v>
      </c>
      <c r="B1561" t="str">
        <f>HYPERLINK("http://www.uniprot.org/uniprot/Q75V66","Q75V66")</f>
        <v>Q75V66</v>
      </c>
      <c r="C1561" t="s">
        <v>16277</v>
      </c>
      <c r="D1561" t="s">
        <v>16278</v>
      </c>
      <c r="E1561" t="s">
        <v>39</v>
      </c>
      <c r="F1561" t="s">
        <v>55</v>
      </c>
      <c r="H1561">
        <v>913</v>
      </c>
      <c r="I1561">
        <v>8</v>
      </c>
      <c r="J1561">
        <v>0</v>
      </c>
      <c r="K1561" t="s">
        <v>16279</v>
      </c>
      <c r="L1561" t="s">
        <v>101</v>
      </c>
      <c r="M1561" t="s">
        <v>39</v>
      </c>
      <c r="N1561">
        <v>0.69650000000000001</v>
      </c>
      <c r="O1561" s="1">
        <v>2</v>
      </c>
      <c r="P1561" t="s">
        <v>16280</v>
      </c>
      <c r="Q1561" t="s">
        <v>16281</v>
      </c>
      <c r="S1561" t="s">
        <v>91</v>
      </c>
      <c r="T1561" t="s">
        <v>104</v>
      </c>
      <c r="U1561" t="s">
        <v>16282</v>
      </c>
      <c r="V1561">
        <v>6</v>
      </c>
      <c r="Z1561" t="s">
        <v>107</v>
      </c>
      <c r="AA1561">
        <v>1</v>
      </c>
      <c r="AB1561" t="s">
        <v>16283</v>
      </c>
      <c r="AC1561">
        <v>366</v>
      </c>
      <c r="AD1561" t="s">
        <v>16284</v>
      </c>
      <c r="AE1561" t="s">
        <v>15489</v>
      </c>
      <c r="AF1561" t="s">
        <v>16285</v>
      </c>
      <c r="AG1561" t="s">
        <v>16286</v>
      </c>
      <c r="AH1561" t="str">
        <f>HYPERLINK("http://compartments.jensenlab.org/Entity?figures=subcell_cell_%&amp;knowledge=10&amp;textmining=10&amp;experiments=10&amp;predictions=10&amp;type1=9606&amp;type2=-22&amp;id1=ENSP00000315371","link")</f>
        <v>link</v>
      </c>
      <c r="AI1561" t="s">
        <v>980</v>
      </c>
      <c r="AJ1561" t="s">
        <v>3965</v>
      </c>
      <c r="AK1561" t="str">
        <f>HYPERLINK("http://www.proteinatlas.org/Q75V66","HPA058857")</f>
        <v>HPA058857</v>
      </c>
      <c r="AM1561">
        <v>203859</v>
      </c>
    </row>
    <row r="1562" spans="1:39" x14ac:dyDescent="0.35">
      <c r="A1562" t="s">
        <v>16287</v>
      </c>
      <c r="B1562" t="str">
        <f>HYPERLINK("http://www.uniprot.org/uniprot/Q7KYR7","Q7KYR7")</f>
        <v>Q7KYR7</v>
      </c>
      <c r="C1562" t="s">
        <v>16288</v>
      </c>
      <c r="D1562" t="s">
        <v>16289</v>
      </c>
      <c r="E1562" t="s">
        <v>39</v>
      </c>
      <c r="F1562" t="s">
        <v>40</v>
      </c>
      <c r="H1562">
        <v>527</v>
      </c>
      <c r="I1562">
        <v>1</v>
      </c>
      <c r="J1562">
        <v>1</v>
      </c>
      <c r="K1562" t="s">
        <v>16290</v>
      </c>
      <c r="L1562" t="s">
        <v>101</v>
      </c>
      <c r="N1562">
        <v>0.92020000000000002</v>
      </c>
      <c r="O1562" s="1">
        <v>1</v>
      </c>
      <c r="P1562" t="s">
        <v>16291</v>
      </c>
      <c r="S1562" t="s">
        <v>91</v>
      </c>
      <c r="T1562" t="s">
        <v>1012</v>
      </c>
      <c r="U1562" t="s">
        <v>16292</v>
      </c>
      <c r="V1562">
        <v>5</v>
      </c>
      <c r="W1562" t="s">
        <v>16293</v>
      </c>
      <c r="Z1562" t="s">
        <v>107</v>
      </c>
      <c r="AA1562">
        <v>8</v>
      </c>
      <c r="AB1562" t="s">
        <v>16294</v>
      </c>
      <c r="AC1562" t="s">
        <v>16292</v>
      </c>
      <c r="AD1562" t="s">
        <v>16295</v>
      </c>
      <c r="AE1562" t="s">
        <v>144</v>
      </c>
      <c r="AF1562" t="s">
        <v>15860</v>
      </c>
      <c r="AG1562" t="s">
        <v>16296</v>
      </c>
      <c r="AK1562" t="str">
        <f>HYPERLINK("http://www.proteinatlas.org/Q7KYR7","HPA019208")</f>
        <v>HPA019208</v>
      </c>
      <c r="AM1562">
        <v>11120</v>
      </c>
    </row>
    <row r="1563" spans="1:39" x14ac:dyDescent="0.35">
      <c r="A1563" t="s">
        <v>16297</v>
      </c>
      <c r="B1563" t="str">
        <f>HYPERLINK("http://www.uniprot.org/uniprot/Q7L0J3","Q7L0J3")</f>
        <v>Q7L0J3</v>
      </c>
      <c r="C1563" t="s">
        <v>16298</v>
      </c>
      <c r="D1563" t="s">
        <v>16299</v>
      </c>
      <c r="E1563" t="s">
        <v>39</v>
      </c>
      <c r="F1563" t="s">
        <v>40</v>
      </c>
      <c r="H1563">
        <v>742</v>
      </c>
      <c r="I1563">
        <v>12</v>
      </c>
      <c r="J1563">
        <v>0</v>
      </c>
      <c r="K1563" t="s">
        <v>16300</v>
      </c>
      <c r="L1563" t="s">
        <v>101</v>
      </c>
      <c r="N1563">
        <v>0.87029999999999996</v>
      </c>
      <c r="O1563" s="1">
        <v>1</v>
      </c>
      <c r="P1563" t="s">
        <v>16301</v>
      </c>
      <c r="Q1563" t="s">
        <v>16302</v>
      </c>
      <c r="S1563" t="s">
        <v>45</v>
      </c>
      <c r="T1563" t="s">
        <v>14378</v>
      </c>
      <c r="U1563" t="s">
        <v>16303</v>
      </c>
      <c r="V1563">
        <v>3</v>
      </c>
      <c r="Z1563" t="s">
        <v>107</v>
      </c>
      <c r="AA1563">
        <v>6</v>
      </c>
      <c r="AB1563" t="s">
        <v>16304</v>
      </c>
      <c r="AC1563" t="s">
        <v>16305</v>
      </c>
      <c r="AD1563" t="s">
        <v>16306</v>
      </c>
      <c r="AE1563" t="s">
        <v>16307</v>
      </c>
      <c r="AF1563" t="s">
        <v>16308</v>
      </c>
      <c r="AG1563" t="s">
        <v>16309</v>
      </c>
      <c r="AH1563" t="str">
        <f>HYPERLINK("http://compartments.jensenlab.org/Entity?figures=subcell_cell_%&amp;knowledge=10&amp;textmining=10&amp;experiments=10&amp;predictions=10&amp;type1=9606&amp;type2=-22&amp;id1=ENSP00000358142","link")</f>
        <v>link</v>
      </c>
      <c r="AJ1563" t="s">
        <v>3965</v>
      </c>
      <c r="AK1563" t="str">
        <f>HYPERLINK("http://www.proteinatlas.org/Q7L0J3","CAB002226;HPA007863")</f>
        <v>CAB002226;HPA007863</v>
      </c>
      <c r="AL1563" t="s">
        <v>16310</v>
      </c>
      <c r="AM1563">
        <v>9900</v>
      </c>
    </row>
    <row r="1564" spans="1:39" x14ac:dyDescent="0.35">
      <c r="A1564" t="s">
        <v>16311</v>
      </c>
      <c r="B1564" t="str">
        <f>HYPERLINK("http://www.uniprot.org/uniprot/Q7L0X0","Q7L0X0")</f>
        <v>Q7L0X0</v>
      </c>
      <c r="C1564" t="s">
        <v>16312</v>
      </c>
      <c r="D1564" t="s">
        <v>16313</v>
      </c>
      <c r="E1564" t="s">
        <v>39</v>
      </c>
      <c r="F1564" t="s">
        <v>40</v>
      </c>
      <c r="H1564">
        <v>811</v>
      </c>
      <c r="I1564">
        <v>1</v>
      </c>
      <c r="J1564">
        <v>1</v>
      </c>
      <c r="K1564" t="s">
        <v>16314</v>
      </c>
      <c r="L1564" t="s">
        <v>101</v>
      </c>
      <c r="N1564">
        <v>0.73650000000000004</v>
      </c>
      <c r="O1564" s="1">
        <v>2</v>
      </c>
      <c r="P1564" t="s">
        <v>16315</v>
      </c>
      <c r="Q1564" t="s">
        <v>16316</v>
      </c>
      <c r="S1564" t="s">
        <v>91</v>
      </c>
      <c r="T1564" t="s">
        <v>260</v>
      </c>
      <c r="U1564" t="s">
        <v>16317</v>
      </c>
      <c r="V1564">
        <v>5</v>
      </c>
      <c r="X1564" t="s">
        <v>16318</v>
      </c>
      <c r="Z1564" t="s">
        <v>107</v>
      </c>
      <c r="AA1564">
        <v>1</v>
      </c>
      <c r="AB1564" t="s">
        <v>16319</v>
      </c>
      <c r="AC1564">
        <v>209</v>
      </c>
      <c r="AD1564" t="s">
        <v>16320</v>
      </c>
      <c r="AE1564" t="s">
        <v>144</v>
      </c>
      <c r="AF1564" t="s">
        <v>16321</v>
      </c>
      <c r="AG1564" t="s">
        <v>16322</v>
      </c>
      <c r="AH1564" t="str">
        <f>HYPERLINK("http://compartments.jensenlab.org/Entity?figures=subcell_cell_%&amp;knowledge=10&amp;textmining=10&amp;experiments=10&amp;predictions=10&amp;type1=9606&amp;type2=-22&amp;id1=ENSP00000479256","link")</f>
        <v>link</v>
      </c>
      <c r="AK1564" t="str">
        <f>HYPERLINK("http://www.proteinatlas.org/Q7L0X0","no")</f>
        <v>no</v>
      </c>
      <c r="AM1564">
        <v>9865</v>
      </c>
    </row>
    <row r="1565" spans="1:39" x14ac:dyDescent="0.35">
      <c r="A1565" t="s">
        <v>16323</v>
      </c>
      <c r="B1565" t="str">
        <f>HYPERLINK("http://www.uniprot.org/uniprot/Q7L1I2","Q7L1I2")</f>
        <v>Q7L1I2</v>
      </c>
      <c r="C1565" t="s">
        <v>16324</v>
      </c>
      <c r="D1565" t="s">
        <v>16325</v>
      </c>
      <c r="E1565" t="s">
        <v>39</v>
      </c>
      <c r="F1565" t="s">
        <v>40</v>
      </c>
      <c r="H1565">
        <v>683</v>
      </c>
      <c r="I1565">
        <v>12</v>
      </c>
      <c r="J1565">
        <v>0</v>
      </c>
      <c r="K1565" t="s">
        <v>16326</v>
      </c>
      <c r="L1565" t="s">
        <v>57</v>
      </c>
      <c r="N1565">
        <v>0.79239999999999999</v>
      </c>
      <c r="O1565" s="1">
        <v>1</v>
      </c>
      <c r="P1565" t="s">
        <v>16327</v>
      </c>
      <c r="Q1565" t="s">
        <v>16328</v>
      </c>
      <c r="S1565" t="s">
        <v>45</v>
      </c>
      <c r="T1565" t="s">
        <v>14378</v>
      </c>
      <c r="U1565" t="s">
        <v>16329</v>
      </c>
      <c r="V1565">
        <v>3</v>
      </c>
      <c r="AE1565" t="s">
        <v>16330</v>
      </c>
      <c r="AF1565" t="s">
        <v>16308</v>
      </c>
      <c r="AG1565" t="s">
        <v>16331</v>
      </c>
      <c r="AH1565" t="str">
        <f>HYPERLINK("http://compartments.jensenlab.org/Entity?figures=subcell_cell_%&amp;knowledge=10&amp;textmining=10&amp;experiments=10&amp;predictions=10&amp;type1=9606&amp;type2=-22&amp;id1=ENSP00000332818","link")</f>
        <v>link</v>
      </c>
      <c r="AJ1565" t="s">
        <v>4458</v>
      </c>
      <c r="AK1565" t="str">
        <f>HYPERLINK("http://www.proteinatlas.org/Q7L1I2","HPA046247")</f>
        <v>HPA046247</v>
      </c>
      <c r="AM1565">
        <v>9899</v>
      </c>
    </row>
    <row r="1566" spans="1:39" x14ac:dyDescent="0.35">
      <c r="A1566" t="s">
        <v>16332</v>
      </c>
      <c r="B1566" t="str">
        <f>HYPERLINK("http://www.uniprot.org/uniprot/Q7L985","Q7L985")</f>
        <v>Q7L985</v>
      </c>
      <c r="C1566" t="s">
        <v>16333</v>
      </c>
      <c r="D1566" t="s">
        <v>16334</v>
      </c>
      <c r="E1566" t="s">
        <v>39</v>
      </c>
      <c r="F1566" t="s">
        <v>40</v>
      </c>
      <c r="H1566">
        <v>606</v>
      </c>
      <c r="I1566">
        <v>1</v>
      </c>
      <c r="J1566">
        <v>1</v>
      </c>
      <c r="K1566" t="s">
        <v>16335</v>
      </c>
      <c r="L1566" t="s">
        <v>57</v>
      </c>
      <c r="N1566">
        <v>0.88819999999999999</v>
      </c>
      <c r="O1566" s="1">
        <v>1</v>
      </c>
      <c r="P1566" t="s">
        <v>16336</v>
      </c>
      <c r="Q1566" t="s">
        <v>16337</v>
      </c>
      <c r="S1566" t="s">
        <v>91</v>
      </c>
      <c r="T1566" t="s">
        <v>260</v>
      </c>
      <c r="U1566" t="s">
        <v>16338</v>
      </c>
      <c r="V1566">
        <v>11</v>
      </c>
      <c r="AE1566" t="s">
        <v>144</v>
      </c>
      <c r="AF1566" t="s">
        <v>2643</v>
      </c>
      <c r="AG1566" t="s">
        <v>16339</v>
      </c>
      <c r="AH1566" t="str">
        <f>HYPERLINK("http://compartments.jensenlab.org/Entity?figures=subcell_cell_%&amp;knowledge=10&amp;textmining=10&amp;experiments=10&amp;predictions=10&amp;type1=9606&amp;type2=-22&amp;id1=ENSP00000310126","link")</f>
        <v>link</v>
      </c>
      <c r="AJ1566" t="s">
        <v>51</v>
      </c>
      <c r="AK1566" t="str">
        <f>HYPERLINK("http://www.proteinatlas.org/Q7L985","HPA016633;CAB025361")</f>
        <v>HPA016633;CAB025361</v>
      </c>
      <c r="AM1566">
        <v>158038</v>
      </c>
    </row>
    <row r="1567" spans="1:39" x14ac:dyDescent="0.35">
      <c r="A1567" t="s">
        <v>16340</v>
      </c>
      <c r="B1567" t="str">
        <f>HYPERLINK("http://www.uniprot.org/uniprot/Q7LBE3","Q7LBE3")</f>
        <v>Q7LBE3</v>
      </c>
      <c r="C1567" t="s">
        <v>16341</v>
      </c>
      <c r="D1567" t="s">
        <v>16342</v>
      </c>
      <c r="E1567" t="s">
        <v>39</v>
      </c>
      <c r="F1567" t="s">
        <v>40</v>
      </c>
      <c r="H1567">
        <v>791</v>
      </c>
      <c r="I1567">
        <v>10</v>
      </c>
      <c r="J1567">
        <v>0</v>
      </c>
      <c r="K1567" t="s">
        <v>16343</v>
      </c>
      <c r="L1567" t="s">
        <v>42</v>
      </c>
      <c r="N1567">
        <v>0.62870000000000004</v>
      </c>
      <c r="O1567" s="1">
        <v>2</v>
      </c>
      <c r="P1567" t="s">
        <v>16344</v>
      </c>
      <c r="Q1567" t="s">
        <v>16345</v>
      </c>
      <c r="S1567" t="s">
        <v>45</v>
      </c>
      <c r="T1567" t="s">
        <v>1861</v>
      </c>
      <c r="U1567" t="s">
        <v>16346</v>
      </c>
      <c r="V1567">
        <v>2</v>
      </c>
      <c r="AE1567" t="s">
        <v>48</v>
      </c>
      <c r="AF1567" t="s">
        <v>14609</v>
      </c>
      <c r="AG1567" t="s">
        <v>16347</v>
      </c>
      <c r="AH1567" t="str">
        <f>HYPERLINK("http://compartments.jensenlab.org/Entity?figures=subcell_cell_%&amp;knowledge=10&amp;textmining=10&amp;experiments=10&amp;predictions=10&amp;type1=9606&amp;type2=-22&amp;id1=ENSP00000356103","link")</f>
        <v>link</v>
      </c>
      <c r="AK1567" t="str">
        <f>HYPERLINK("http://www.proteinatlas.org/Q7LBE3","HPA051485")</f>
        <v>HPA051485</v>
      </c>
      <c r="AM1567">
        <v>115019</v>
      </c>
    </row>
    <row r="1568" spans="1:39" x14ac:dyDescent="0.35">
      <c r="A1568" t="s">
        <v>16348</v>
      </c>
      <c r="B1568" t="str">
        <f>HYPERLINK("http://www.uniprot.org/uniprot/Q7RTM1","Q7RTM1")</f>
        <v>Q7RTM1</v>
      </c>
      <c r="C1568" t="s">
        <v>16349</v>
      </c>
      <c r="D1568" t="s">
        <v>16350</v>
      </c>
      <c r="E1568" t="s">
        <v>39</v>
      </c>
      <c r="F1568" t="s">
        <v>40</v>
      </c>
      <c r="H1568">
        <v>612</v>
      </c>
      <c r="I1568">
        <v>12</v>
      </c>
      <c r="J1568">
        <v>0</v>
      </c>
      <c r="K1568" t="s">
        <v>16351</v>
      </c>
      <c r="L1568" t="s">
        <v>42</v>
      </c>
      <c r="N1568">
        <v>0.81240000000000001</v>
      </c>
      <c r="O1568" s="1">
        <v>1</v>
      </c>
      <c r="P1568" t="s">
        <v>16352</v>
      </c>
      <c r="Q1568" t="s">
        <v>16353</v>
      </c>
      <c r="S1568" t="s">
        <v>60</v>
      </c>
      <c r="T1568" t="s">
        <v>60</v>
      </c>
      <c r="U1568" t="s">
        <v>16354</v>
      </c>
      <c r="V1568">
        <v>3</v>
      </c>
      <c r="W1568" t="s">
        <v>16354</v>
      </c>
      <c r="Y1568">
        <v>106</v>
      </c>
      <c r="AE1568" t="s">
        <v>16355</v>
      </c>
      <c r="AF1568" t="s">
        <v>16356</v>
      </c>
      <c r="AG1568" t="s">
        <v>16357</v>
      </c>
      <c r="AH1568" t="str">
        <f>HYPERLINK("http://compartments.jensenlab.org/Entity?figures=subcell_cell_%&amp;knowledge=10&amp;textmining=10&amp;experiments=10&amp;predictions=10&amp;type1=9606&amp;type2=-22&amp;id1=ENSP00000296358","link")</f>
        <v>link</v>
      </c>
      <c r="AI1568" t="s">
        <v>113</v>
      </c>
      <c r="AJ1568" t="s">
        <v>902</v>
      </c>
      <c r="AK1568" t="str">
        <f>HYPERLINK("http://www.proteinatlas.org/Q7RTM1","HPA035599")</f>
        <v>HPA035599</v>
      </c>
      <c r="AM1568">
        <v>133060</v>
      </c>
    </row>
    <row r="1569" spans="1:39" x14ac:dyDescent="0.35">
      <c r="A1569" t="s">
        <v>16358</v>
      </c>
      <c r="B1569" t="str">
        <f>HYPERLINK("http://www.uniprot.org/uniprot/Q7RTS6","Q7RTS6")</f>
        <v>Q7RTS6</v>
      </c>
      <c r="C1569" t="s">
        <v>16359</v>
      </c>
      <c r="D1569" t="s">
        <v>16360</v>
      </c>
      <c r="E1569" t="s">
        <v>39</v>
      </c>
      <c r="F1569" t="s">
        <v>40</v>
      </c>
      <c r="H1569">
        <v>562</v>
      </c>
      <c r="I1569">
        <v>12</v>
      </c>
      <c r="J1569">
        <v>0</v>
      </c>
      <c r="K1569" t="s">
        <v>16361</v>
      </c>
      <c r="L1569" t="s">
        <v>42</v>
      </c>
      <c r="N1569">
        <v>0.84630000000000005</v>
      </c>
      <c r="O1569" s="1">
        <v>1</v>
      </c>
      <c r="P1569" t="s">
        <v>16362</v>
      </c>
      <c r="Q1569" t="s">
        <v>16363</v>
      </c>
      <c r="S1569" t="s">
        <v>60</v>
      </c>
      <c r="T1569" t="s">
        <v>60</v>
      </c>
      <c r="U1569" t="s">
        <v>16364</v>
      </c>
      <c r="V1569">
        <v>1</v>
      </c>
      <c r="AE1569" t="s">
        <v>48</v>
      </c>
      <c r="AF1569" t="s">
        <v>15141</v>
      </c>
      <c r="AG1569" t="s">
        <v>16365</v>
      </c>
      <c r="AH1569" t="str">
        <f>HYPERLINK("http://compartments.jensenlab.org/Entity?figures=subcell_cell_%&amp;knowledge=10&amp;textmining=10&amp;experiments=10&amp;predictions=10&amp;type1=9606&amp;type2=-22&amp;id1=ENSP00000332528","link")</f>
        <v>link</v>
      </c>
      <c r="AJ1569" t="s">
        <v>51</v>
      </c>
      <c r="AK1569" t="str">
        <f>HYPERLINK("http://www.proteinatlas.org/Q7RTS6","HPA024524;HPA053090")</f>
        <v>HPA024524;HPA053090</v>
      </c>
      <c r="AM1569">
        <v>92736</v>
      </c>
    </row>
    <row r="1570" spans="1:39" x14ac:dyDescent="0.35">
      <c r="A1570" t="s">
        <v>16366</v>
      </c>
      <c r="B1570" t="str">
        <f>HYPERLINK("http://www.uniprot.org/uniprot/Q7RTT9","Q7RTT9")</f>
        <v>Q7RTT9</v>
      </c>
      <c r="C1570" t="s">
        <v>16367</v>
      </c>
      <c r="D1570" t="s">
        <v>16368</v>
      </c>
      <c r="E1570" t="s">
        <v>39</v>
      </c>
      <c r="F1570" t="s">
        <v>55</v>
      </c>
      <c r="H1570">
        <v>530</v>
      </c>
      <c r="I1570">
        <v>10</v>
      </c>
      <c r="J1570">
        <v>0</v>
      </c>
      <c r="K1570" t="s">
        <v>16369</v>
      </c>
      <c r="L1570" t="s">
        <v>101</v>
      </c>
      <c r="M1570" t="s">
        <v>39</v>
      </c>
      <c r="N1570">
        <v>0.64800000000000002</v>
      </c>
      <c r="O1570" s="1">
        <v>2</v>
      </c>
      <c r="P1570" t="s">
        <v>16370</v>
      </c>
      <c r="Q1570" t="s">
        <v>16371</v>
      </c>
      <c r="S1570" t="s">
        <v>45</v>
      </c>
      <c r="T1570" t="s">
        <v>13218</v>
      </c>
      <c r="U1570" t="s">
        <v>16372</v>
      </c>
      <c r="V1570">
        <v>1</v>
      </c>
      <c r="Z1570" t="s">
        <v>107</v>
      </c>
      <c r="AA1570">
        <v>1</v>
      </c>
      <c r="AB1570" t="s">
        <v>16373</v>
      </c>
      <c r="AC1570">
        <v>523</v>
      </c>
      <c r="AD1570" t="s">
        <v>16374</v>
      </c>
      <c r="AE1570" t="s">
        <v>16375</v>
      </c>
      <c r="AF1570" t="s">
        <v>929</v>
      </c>
      <c r="AG1570" t="s">
        <v>16376</v>
      </c>
      <c r="AH1570" t="str">
        <f>HYPERLINK("http://compartments.jensenlab.org/Entity?figures=subcell_cell_%&amp;knowledge=10&amp;textmining=10&amp;experiments=10&amp;predictions=10&amp;type1=9606&amp;type2=-22&amp;id1=ENSP00000297195","link")</f>
        <v>link</v>
      </c>
      <c r="AI1570" t="s">
        <v>65</v>
      </c>
      <c r="AJ1570" t="s">
        <v>51</v>
      </c>
      <c r="AK1570" t="str">
        <f>HYPERLINK("http://www.proteinatlas.org/Q7RTT9","HPA052829")</f>
        <v>HPA052829</v>
      </c>
      <c r="AM1570">
        <v>222962</v>
      </c>
    </row>
    <row r="1571" spans="1:39" x14ac:dyDescent="0.35">
      <c r="A1571" t="s">
        <v>16377</v>
      </c>
      <c r="B1571" t="str">
        <f>HYPERLINK("http://www.uniprot.org/uniprot/Q7RTW8","Q7RTW8")</f>
        <v>Q7RTW8</v>
      </c>
      <c r="C1571" t="s">
        <v>16378</v>
      </c>
      <c r="D1571" t="s">
        <v>16379</v>
      </c>
      <c r="E1571" t="s">
        <v>39</v>
      </c>
      <c r="F1571" t="s">
        <v>239</v>
      </c>
      <c r="H1571">
        <v>1153</v>
      </c>
      <c r="I1571">
        <v>0</v>
      </c>
      <c r="J1571">
        <v>1</v>
      </c>
      <c r="K1571" t="s">
        <v>16380</v>
      </c>
      <c r="L1571" t="s">
        <v>57</v>
      </c>
      <c r="N1571">
        <v>0.52890000000000004</v>
      </c>
      <c r="O1571" s="1" t="s">
        <v>1752</v>
      </c>
      <c r="P1571" t="s">
        <v>16381</v>
      </c>
      <c r="Q1571" t="s">
        <v>16382</v>
      </c>
      <c r="U1571" t="s">
        <v>16383</v>
      </c>
      <c r="V1571">
        <v>12</v>
      </c>
      <c r="Y1571" t="s">
        <v>16384</v>
      </c>
      <c r="AE1571" t="s">
        <v>16385</v>
      </c>
      <c r="AF1571" t="s">
        <v>16386</v>
      </c>
      <c r="AG1571" t="s">
        <v>16387</v>
      </c>
      <c r="AH1571" t="str">
        <f>HYPERLINK("http://compartments.jensenlab.org/Entity?figures=subcell_cell_%&amp;knowledge=10&amp;textmining=10&amp;experiments=10&amp;predictions=10&amp;type1=9606&amp;type2=-22&amp;id1=ENSP00000286149","link")</f>
        <v>link</v>
      </c>
      <c r="AK1571" t="str">
        <f>HYPERLINK("http://www.proteinatlas.org/Q7RTW8","HPA041405")</f>
        <v>HPA041405</v>
      </c>
      <c r="AM1571">
        <v>146183</v>
      </c>
    </row>
    <row r="1572" spans="1:39" x14ac:dyDescent="0.35">
      <c r="A1572" t="s">
        <v>16388</v>
      </c>
      <c r="B1572" t="str">
        <f>HYPERLINK("http://www.uniprot.org/uniprot/Q7RTX0","Q7RTX0")</f>
        <v>Q7RTX0</v>
      </c>
      <c r="C1572" t="s">
        <v>16389</v>
      </c>
      <c r="D1572" t="s">
        <v>16390</v>
      </c>
      <c r="E1572" t="s">
        <v>39</v>
      </c>
      <c r="F1572" t="s">
        <v>55</v>
      </c>
      <c r="H1572">
        <v>852</v>
      </c>
      <c r="I1572">
        <v>7</v>
      </c>
      <c r="J1572">
        <v>1</v>
      </c>
      <c r="K1572" t="s">
        <v>16391</v>
      </c>
      <c r="L1572" t="s">
        <v>57</v>
      </c>
      <c r="M1572" t="s">
        <v>39</v>
      </c>
      <c r="N1572">
        <v>0.89419999999999999</v>
      </c>
      <c r="O1572" s="1">
        <v>1</v>
      </c>
      <c r="P1572" t="s">
        <v>16392</v>
      </c>
      <c r="Q1572" t="s">
        <v>16393</v>
      </c>
      <c r="S1572" t="s">
        <v>166</v>
      </c>
      <c r="T1572" t="s">
        <v>874</v>
      </c>
      <c r="U1572" t="s">
        <v>16394</v>
      </c>
      <c r="V1572">
        <v>8</v>
      </c>
      <c r="AE1572" t="s">
        <v>74</v>
      </c>
      <c r="AF1572" t="s">
        <v>16395</v>
      </c>
      <c r="AG1572" t="s">
        <v>16396</v>
      </c>
      <c r="AH1572" t="str">
        <f>HYPERLINK("http://compartments.jensenlab.org/Entity?figures=subcell_cell_%&amp;knowledge=10&amp;textmining=10&amp;experiments=10&amp;predictions=10&amp;type1=9606&amp;type2=-22&amp;id1=ENSP00000344411","link")</f>
        <v>link</v>
      </c>
      <c r="AI1572" t="s">
        <v>65</v>
      </c>
      <c r="AJ1572" t="s">
        <v>51</v>
      </c>
      <c r="AK1572" t="str">
        <f>HYPERLINK("http://www.proteinatlas.org/Q7RTX0","HPA053439")</f>
        <v>HPA053439</v>
      </c>
      <c r="AM1572">
        <v>83756</v>
      </c>
    </row>
    <row r="1573" spans="1:39" x14ac:dyDescent="0.35">
      <c r="A1573" t="s">
        <v>16397</v>
      </c>
      <c r="B1573" t="str">
        <f>HYPERLINK("http://www.uniprot.org/uniprot/Q7RTX1","Q7RTX1")</f>
        <v>Q7RTX1</v>
      </c>
      <c r="C1573" t="s">
        <v>16398</v>
      </c>
      <c r="D1573" t="s">
        <v>16399</v>
      </c>
      <c r="E1573" t="s">
        <v>39</v>
      </c>
      <c r="F1573" t="s">
        <v>55</v>
      </c>
      <c r="H1573">
        <v>841</v>
      </c>
      <c r="I1573">
        <v>7</v>
      </c>
      <c r="J1573">
        <v>1</v>
      </c>
      <c r="K1573" t="s">
        <v>16400</v>
      </c>
      <c r="L1573" t="s">
        <v>57</v>
      </c>
      <c r="M1573" t="s">
        <v>39</v>
      </c>
      <c r="N1573">
        <v>0.93789999999999996</v>
      </c>
      <c r="O1573" s="1">
        <v>1</v>
      </c>
      <c r="P1573" t="s">
        <v>16401</v>
      </c>
      <c r="Q1573" t="s">
        <v>16402</v>
      </c>
      <c r="S1573" t="s">
        <v>166</v>
      </c>
      <c r="T1573" t="s">
        <v>874</v>
      </c>
      <c r="U1573" t="s">
        <v>16403</v>
      </c>
      <c r="V1573">
        <v>6</v>
      </c>
      <c r="AE1573" t="s">
        <v>74</v>
      </c>
      <c r="AF1573" t="s">
        <v>16404</v>
      </c>
      <c r="AG1573" t="s">
        <v>16405</v>
      </c>
      <c r="AH1573" t="str">
        <f>HYPERLINK("http://compartments.jensenlab.org/Entity?figures=subcell_cell_%&amp;knowledge=10&amp;textmining=10&amp;experiments=10&amp;predictions=10&amp;type1=9606&amp;type2=-22&amp;id1=ENSP00000331867","link")</f>
        <v>link</v>
      </c>
      <c r="AI1573" t="s">
        <v>65</v>
      </c>
      <c r="AJ1573" t="s">
        <v>51</v>
      </c>
      <c r="AK1573" t="str">
        <f>HYPERLINK("http://www.proteinatlas.org/Q7RTX1","HPA034580")</f>
        <v>HPA034580</v>
      </c>
      <c r="AM1573">
        <v>80835</v>
      </c>
    </row>
    <row r="1574" spans="1:39" x14ac:dyDescent="0.35">
      <c r="A1574" t="s">
        <v>16406</v>
      </c>
      <c r="B1574" t="str">
        <f>HYPERLINK("http://www.uniprot.org/uniprot/Q7RTY9","Q7RTY9")</f>
        <v>Q7RTY9</v>
      </c>
      <c r="C1574" t="s">
        <v>16407</v>
      </c>
      <c r="D1574" t="s">
        <v>16408</v>
      </c>
      <c r="E1574" t="s">
        <v>39</v>
      </c>
      <c r="F1574" t="s">
        <v>239</v>
      </c>
      <c r="H1574">
        <v>318</v>
      </c>
      <c r="I1574">
        <v>0</v>
      </c>
      <c r="J1574">
        <v>1</v>
      </c>
      <c r="K1574" t="s">
        <v>16409</v>
      </c>
      <c r="L1574" t="s">
        <v>57</v>
      </c>
      <c r="N1574">
        <v>0.64470000000000005</v>
      </c>
      <c r="O1574" s="1" t="s">
        <v>241</v>
      </c>
      <c r="U1574" t="s">
        <v>16410</v>
      </c>
      <c r="V1574">
        <v>2</v>
      </c>
      <c r="W1574" t="s">
        <v>16411</v>
      </c>
      <c r="AE1574" t="s">
        <v>243</v>
      </c>
      <c r="AF1574" t="s">
        <v>16412</v>
      </c>
      <c r="AG1574" t="s">
        <v>16413</v>
      </c>
      <c r="AK1574" t="str">
        <f>HYPERLINK("http://www.proteinatlas.org/Q7RTY9","no")</f>
        <v>no</v>
      </c>
      <c r="AM1574">
        <v>360226</v>
      </c>
    </row>
    <row r="1575" spans="1:39" x14ac:dyDescent="0.35">
      <c r="A1575" t="s">
        <v>16414</v>
      </c>
      <c r="B1575" t="str">
        <f>HYPERLINK("http://www.uniprot.org/uniprot/Q7Z2D5","Q7Z2D5")</f>
        <v>Q7Z2D5</v>
      </c>
      <c r="C1575" t="s">
        <v>16415</v>
      </c>
      <c r="D1575" t="s">
        <v>16416</v>
      </c>
      <c r="E1575" t="s">
        <v>39</v>
      </c>
      <c r="F1575" t="s">
        <v>40</v>
      </c>
      <c r="H1575">
        <v>763</v>
      </c>
      <c r="I1575">
        <v>5</v>
      </c>
      <c r="J1575">
        <v>0</v>
      </c>
      <c r="K1575" t="s">
        <v>16417</v>
      </c>
      <c r="L1575" t="s">
        <v>42</v>
      </c>
      <c r="N1575">
        <v>0.64270000000000005</v>
      </c>
      <c r="O1575" s="1">
        <v>2</v>
      </c>
      <c r="S1575" t="s">
        <v>947</v>
      </c>
      <c r="T1575" t="s">
        <v>1117</v>
      </c>
      <c r="U1575" t="s">
        <v>16418</v>
      </c>
      <c r="V1575">
        <v>6</v>
      </c>
      <c r="AE1575" t="s">
        <v>48</v>
      </c>
      <c r="AF1575" t="s">
        <v>1958</v>
      </c>
      <c r="AG1575" t="s">
        <v>16419</v>
      </c>
      <c r="AK1575" t="str">
        <f>HYPERLINK("http://www.proteinatlas.org/Q7Z2D5","no")</f>
        <v>no</v>
      </c>
      <c r="AM1575">
        <v>9890</v>
      </c>
    </row>
    <row r="1576" spans="1:39" x14ac:dyDescent="0.35">
      <c r="A1576" t="s">
        <v>16420</v>
      </c>
      <c r="B1576" t="str">
        <f>HYPERLINK("http://www.uniprot.org/uniprot/Q7Z2H8","Q7Z2H8")</f>
        <v>Q7Z2H8</v>
      </c>
      <c r="C1576" t="s">
        <v>16421</v>
      </c>
      <c r="D1576" t="s">
        <v>16422</v>
      </c>
      <c r="E1576" t="s">
        <v>39</v>
      </c>
      <c r="F1576" t="s">
        <v>40</v>
      </c>
      <c r="H1576">
        <v>476</v>
      </c>
      <c r="I1576">
        <v>11</v>
      </c>
      <c r="J1576">
        <v>0</v>
      </c>
      <c r="K1576" t="s">
        <v>16423</v>
      </c>
      <c r="L1576" t="s">
        <v>57</v>
      </c>
      <c r="N1576">
        <v>0.92610000000000003</v>
      </c>
      <c r="O1576" s="1">
        <v>1</v>
      </c>
      <c r="P1576" t="s">
        <v>16424</v>
      </c>
      <c r="Q1576" t="s">
        <v>16425</v>
      </c>
      <c r="S1576" t="s">
        <v>45</v>
      </c>
      <c r="T1576" t="s">
        <v>14333</v>
      </c>
      <c r="U1576" t="s">
        <v>16426</v>
      </c>
      <c r="V1576">
        <v>3</v>
      </c>
      <c r="W1576" t="s">
        <v>16426</v>
      </c>
      <c r="AE1576" t="s">
        <v>16427</v>
      </c>
      <c r="AF1576" t="s">
        <v>16428</v>
      </c>
      <c r="AG1576" t="s">
        <v>16429</v>
      </c>
      <c r="AH1576" t="str">
        <f>HYPERLINK("http://compartments.jensenlab.org/Entity?figures=subcell_cell_%&amp;knowledge=10&amp;textmining=10&amp;experiments=10&amp;predictions=10&amp;type1=9606&amp;type2=-22&amp;id1=ENSP00000243389","link")</f>
        <v>link</v>
      </c>
      <c r="AI1576" t="s">
        <v>4732</v>
      </c>
      <c r="AJ1576" t="s">
        <v>16430</v>
      </c>
      <c r="AK1576" t="str">
        <f>HYPERLINK("http://www.proteinatlas.org/Q7Z2H8","HPA035937")</f>
        <v>HPA035937</v>
      </c>
      <c r="AL1576" t="s">
        <v>16431</v>
      </c>
      <c r="AM1576">
        <v>206358</v>
      </c>
    </row>
    <row r="1577" spans="1:39" x14ac:dyDescent="0.35">
      <c r="A1577" t="s">
        <v>16432</v>
      </c>
      <c r="B1577" t="str">
        <f>HYPERLINK("http://www.uniprot.org/uniprot/Q7Z2K6","Q7Z2K6")</f>
        <v>Q7Z2K6</v>
      </c>
      <c r="C1577" t="s">
        <v>16433</v>
      </c>
      <c r="D1577" t="s">
        <v>16434</v>
      </c>
      <c r="E1577" t="s">
        <v>39</v>
      </c>
      <c r="F1577" t="s">
        <v>40</v>
      </c>
      <c r="H1577">
        <v>904</v>
      </c>
      <c r="I1577">
        <v>9</v>
      </c>
      <c r="J1577">
        <v>0</v>
      </c>
      <c r="K1577" t="s">
        <v>16435</v>
      </c>
      <c r="L1577" t="s">
        <v>101</v>
      </c>
      <c r="N1577">
        <v>0.64470000000000005</v>
      </c>
      <c r="O1577" s="1">
        <v>2</v>
      </c>
      <c r="P1577" t="s">
        <v>16436</v>
      </c>
      <c r="Q1577" t="s">
        <v>16437</v>
      </c>
      <c r="S1577" t="s">
        <v>60</v>
      </c>
      <c r="T1577" t="s">
        <v>60</v>
      </c>
      <c r="U1577" t="s">
        <v>16438</v>
      </c>
      <c r="V1577">
        <v>3</v>
      </c>
      <c r="Y1577">
        <v>843</v>
      </c>
      <c r="Z1577" t="s">
        <v>123</v>
      </c>
      <c r="AA1577">
        <v>1</v>
      </c>
      <c r="AB1577" t="s">
        <v>16439</v>
      </c>
      <c r="AC1577">
        <v>730</v>
      </c>
      <c r="AD1577" t="s">
        <v>16440</v>
      </c>
      <c r="AE1577" t="s">
        <v>977</v>
      </c>
      <c r="AF1577" t="s">
        <v>16441</v>
      </c>
      <c r="AG1577" t="s">
        <v>16442</v>
      </c>
      <c r="AH1577" t="str">
        <f>HYPERLINK("http://compartments.jensenlab.org/Entity?figures=subcell_cell_%&amp;knowledge=10&amp;textmining=10&amp;experiments=10&amp;predictions=10&amp;type1=9606&amp;type2=-22&amp;id1=ENSP00000340427","link")</f>
        <v>link</v>
      </c>
      <c r="AI1577" t="s">
        <v>980</v>
      </c>
      <c r="AJ1577" t="s">
        <v>3965</v>
      </c>
      <c r="AK1577" t="str">
        <f>HYPERLINK("http://www.proteinatlas.org/Q7Z2K6","HPA020584")</f>
        <v>HPA020584</v>
      </c>
      <c r="AM1577">
        <v>79956</v>
      </c>
    </row>
    <row r="1578" spans="1:39" x14ac:dyDescent="0.35">
      <c r="A1578" t="s">
        <v>16443</v>
      </c>
      <c r="B1578" t="str">
        <f>HYPERLINK("http://www.uniprot.org/uniprot/Q7Z3B1","Q7Z3B1")</f>
        <v>Q7Z3B1</v>
      </c>
      <c r="C1578" t="s">
        <v>16444</v>
      </c>
      <c r="D1578" t="s">
        <v>16445</v>
      </c>
      <c r="E1578" t="s">
        <v>39</v>
      </c>
      <c r="F1578" t="s">
        <v>239</v>
      </c>
      <c r="H1578">
        <v>354</v>
      </c>
      <c r="I1578">
        <v>0</v>
      </c>
      <c r="J1578">
        <v>1</v>
      </c>
      <c r="K1578" t="s">
        <v>16446</v>
      </c>
      <c r="L1578" t="s">
        <v>996</v>
      </c>
      <c r="N1578">
        <v>0.77839999999999998</v>
      </c>
      <c r="O1578" s="1" t="s">
        <v>997</v>
      </c>
      <c r="P1578" t="s">
        <v>16447</v>
      </c>
      <c r="Q1578" t="s">
        <v>16448</v>
      </c>
      <c r="S1578" t="s">
        <v>60</v>
      </c>
      <c r="T1578" t="s">
        <v>60</v>
      </c>
      <c r="U1578" t="s">
        <v>16449</v>
      </c>
      <c r="V1578">
        <v>6</v>
      </c>
      <c r="W1578" t="s">
        <v>16449</v>
      </c>
      <c r="Z1578" t="s">
        <v>107</v>
      </c>
      <c r="AA1578">
        <v>8</v>
      </c>
      <c r="AB1578" t="s">
        <v>16450</v>
      </c>
      <c r="AC1578" t="s">
        <v>16451</v>
      </c>
      <c r="AD1578" t="s">
        <v>16452</v>
      </c>
      <c r="AE1578" t="s">
        <v>243</v>
      </c>
      <c r="AF1578" t="s">
        <v>16453</v>
      </c>
      <c r="AG1578" t="s">
        <v>16454</v>
      </c>
      <c r="AH1578" t="str">
        <f>HYPERLINK("http://compartments.jensenlab.org/Entity?figures=subcell_cell_%&amp;knowledge=10&amp;textmining=10&amp;experiments=10&amp;predictions=10&amp;type1=9606&amp;type2=-22&amp;id1=ENSP00000350364","link")</f>
        <v>link</v>
      </c>
      <c r="AI1578" t="s">
        <v>65</v>
      </c>
      <c r="AJ1578" t="s">
        <v>51</v>
      </c>
      <c r="AK1578" t="str">
        <f>HYPERLINK("http://www.proteinatlas.org/Q7Z3B1","HPA011894")</f>
        <v>HPA011894</v>
      </c>
      <c r="AM1578">
        <v>257194</v>
      </c>
    </row>
    <row r="1579" spans="1:39" x14ac:dyDescent="0.35">
      <c r="A1579" t="s">
        <v>16455</v>
      </c>
      <c r="B1579" t="str">
        <f>HYPERLINK("http://www.uniprot.org/uniprot/Q7Z3C6","Q7Z3C6")</f>
        <v>Q7Z3C6</v>
      </c>
      <c r="C1579" t="s">
        <v>16456</v>
      </c>
      <c r="D1579" t="s">
        <v>16457</v>
      </c>
      <c r="E1579" t="s">
        <v>39</v>
      </c>
      <c r="F1579" t="s">
        <v>40</v>
      </c>
      <c r="H1579">
        <v>839</v>
      </c>
      <c r="I1579">
        <v>6</v>
      </c>
      <c r="J1579">
        <v>0</v>
      </c>
      <c r="K1579" t="s">
        <v>16458</v>
      </c>
      <c r="L1579" t="s">
        <v>101</v>
      </c>
      <c r="N1579">
        <v>0.69259999999999999</v>
      </c>
      <c r="O1579" s="1">
        <v>2</v>
      </c>
      <c r="P1579" t="s">
        <v>16459</v>
      </c>
      <c r="Q1579" t="s">
        <v>16460</v>
      </c>
      <c r="S1579" t="s">
        <v>60</v>
      </c>
      <c r="T1579" t="s">
        <v>60</v>
      </c>
      <c r="U1579" t="s">
        <v>16461</v>
      </c>
      <c r="V1579">
        <v>2</v>
      </c>
      <c r="Z1579" t="s">
        <v>123</v>
      </c>
      <c r="AA1579">
        <v>1</v>
      </c>
      <c r="AB1579" t="s">
        <v>16462</v>
      </c>
      <c r="AC1579">
        <v>99</v>
      </c>
      <c r="AD1579" t="s">
        <v>16463</v>
      </c>
      <c r="AE1579" t="s">
        <v>16464</v>
      </c>
      <c r="AF1579" t="s">
        <v>16465</v>
      </c>
      <c r="AG1579" t="s">
        <v>16466</v>
      </c>
      <c r="AH1579" t="str">
        <f>HYPERLINK("http://compartments.jensenlab.org/Entity?figures=subcell_cell_%&amp;knowledge=10&amp;textmining=10&amp;experiments=10&amp;predictions=10&amp;type1=9606&amp;type2=-22&amp;id1=ENSP00000355173","link")</f>
        <v>link</v>
      </c>
      <c r="AI1579" t="s">
        <v>6033</v>
      </c>
      <c r="AJ1579" t="s">
        <v>16467</v>
      </c>
      <c r="AK1579" t="str">
        <f>HYPERLINK("http://www.proteinatlas.org/Q7Z3C6","HPA059551")</f>
        <v>HPA059551</v>
      </c>
      <c r="AM1579">
        <v>79065</v>
      </c>
    </row>
    <row r="1580" spans="1:39" x14ac:dyDescent="0.35">
      <c r="A1580" t="s">
        <v>16468</v>
      </c>
      <c r="B1580" t="str">
        <f>HYPERLINK("http://www.uniprot.org/uniprot/Q7Z3D4","Q7Z3D4")</f>
        <v>Q7Z3D4</v>
      </c>
      <c r="C1580" t="s">
        <v>16469</v>
      </c>
      <c r="D1580" t="s">
        <v>16470</v>
      </c>
      <c r="E1580" t="s">
        <v>39</v>
      </c>
      <c r="F1580" t="s">
        <v>40</v>
      </c>
      <c r="H1580">
        <v>306</v>
      </c>
      <c r="I1580">
        <v>1</v>
      </c>
      <c r="J1580">
        <v>0</v>
      </c>
      <c r="K1580" t="s">
        <v>16471</v>
      </c>
      <c r="L1580" t="s">
        <v>57</v>
      </c>
      <c r="N1580">
        <v>0.5988</v>
      </c>
      <c r="O1580" s="1">
        <v>2</v>
      </c>
      <c r="P1580" t="s">
        <v>16472</v>
      </c>
      <c r="Q1580" t="s">
        <v>16473</v>
      </c>
      <c r="S1580" t="s">
        <v>60</v>
      </c>
      <c r="T1580" t="s">
        <v>60</v>
      </c>
      <c r="U1580" t="s">
        <v>16474</v>
      </c>
      <c r="V1580">
        <v>3</v>
      </c>
      <c r="AE1580" t="s">
        <v>94</v>
      </c>
      <c r="AF1580" t="s">
        <v>2332</v>
      </c>
      <c r="AG1580" t="s">
        <v>16475</v>
      </c>
      <c r="AH1580" t="str">
        <f>HYPERLINK("http://compartments.jensenlab.org/Entity?figures=subcell_cell_%&amp;knowledge=10&amp;textmining=10&amp;experiments=10&amp;predictions=10&amp;type1=9606&amp;type2=-22&amp;id1=ENSP00000314518","link")</f>
        <v>link</v>
      </c>
      <c r="AJ1580" t="s">
        <v>51</v>
      </c>
      <c r="AK1580" t="str">
        <f>HYPERLINK("http://www.proteinatlas.org/Q7Z3D4","HPA018024")</f>
        <v>HPA018024</v>
      </c>
      <c r="AM1580">
        <v>116068</v>
      </c>
    </row>
    <row r="1581" spans="1:39" x14ac:dyDescent="0.35">
      <c r="A1581" t="s">
        <v>16476</v>
      </c>
      <c r="B1581" t="str">
        <f>HYPERLINK("http://www.uniprot.org/uniprot/Q7Z3F1","Q7Z3F1")</f>
        <v>Q7Z3F1</v>
      </c>
      <c r="C1581" t="s">
        <v>16477</v>
      </c>
      <c r="D1581" t="s">
        <v>16478</v>
      </c>
      <c r="E1581" t="s">
        <v>39</v>
      </c>
      <c r="F1581" t="s">
        <v>40</v>
      </c>
      <c r="H1581">
        <v>870</v>
      </c>
      <c r="I1581">
        <v>17</v>
      </c>
      <c r="J1581">
        <v>0</v>
      </c>
      <c r="K1581" t="s">
        <v>16479</v>
      </c>
      <c r="L1581" t="s">
        <v>118</v>
      </c>
      <c r="N1581">
        <v>0.7944</v>
      </c>
      <c r="O1581" s="1">
        <v>1</v>
      </c>
      <c r="P1581" t="s">
        <v>16480</v>
      </c>
      <c r="Q1581" t="s">
        <v>16481</v>
      </c>
      <c r="S1581" t="s">
        <v>60</v>
      </c>
      <c r="T1581" t="s">
        <v>60</v>
      </c>
      <c r="U1581" t="s">
        <v>16482</v>
      </c>
      <c r="V1581">
        <v>5</v>
      </c>
      <c r="Z1581" t="s">
        <v>123</v>
      </c>
      <c r="AA1581">
        <v>2</v>
      </c>
      <c r="AB1581" t="s">
        <v>16483</v>
      </c>
      <c r="AC1581" t="s">
        <v>16484</v>
      </c>
      <c r="AD1581" t="s">
        <v>16485</v>
      </c>
      <c r="AE1581" t="s">
        <v>48</v>
      </c>
      <c r="AF1581" t="s">
        <v>95</v>
      </c>
      <c r="AG1581" t="s">
        <v>16486</v>
      </c>
      <c r="AH1581" t="str">
        <f>HYPERLINK("http://compartments.jensenlab.org/Entity?figures=subcell_cell_%&amp;knowledge=10&amp;textmining=10&amp;experiments=10&amp;predictions=10&amp;type1=9606&amp;type2=-22&amp;id1=ENSP00000295500","link")</f>
        <v>link</v>
      </c>
      <c r="AJ1581" t="s">
        <v>113</v>
      </c>
      <c r="AK1581" t="str">
        <f>HYPERLINK("http://www.proteinatlas.org/Q7Z3F1","HPA036159")</f>
        <v>HPA036159</v>
      </c>
      <c r="AM1581">
        <v>151556</v>
      </c>
    </row>
    <row r="1582" spans="1:39" x14ac:dyDescent="0.35">
      <c r="A1582" t="s">
        <v>16487</v>
      </c>
      <c r="B1582" t="str">
        <f>HYPERLINK("http://www.uniprot.org/uniprot/Q7Z3Q1","Q7Z3Q1")</f>
        <v>Q7Z3Q1</v>
      </c>
      <c r="C1582" t="s">
        <v>16488</v>
      </c>
      <c r="D1582" t="s">
        <v>16489</v>
      </c>
      <c r="E1582" t="s">
        <v>39</v>
      </c>
      <c r="F1582" t="s">
        <v>40</v>
      </c>
      <c r="H1582">
        <v>461</v>
      </c>
      <c r="I1582">
        <v>11</v>
      </c>
      <c r="J1582">
        <v>1</v>
      </c>
      <c r="K1582" t="s">
        <v>16490</v>
      </c>
      <c r="L1582" t="s">
        <v>57</v>
      </c>
      <c r="N1582">
        <v>0.7964</v>
      </c>
      <c r="O1582" s="1">
        <v>1</v>
      </c>
      <c r="P1582" t="s">
        <v>16491</v>
      </c>
      <c r="Q1582" t="s">
        <v>16492</v>
      </c>
      <c r="S1582" t="s">
        <v>45</v>
      </c>
      <c r="T1582" t="s">
        <v>16493</v>
      </c>
      <c r="U1582" t="s">
        <v>16494</v>
      </c>
      <c r="V1582">
        <v>3</v>
      </c>
      <c r="AE1582" t="s">
        <v>48</v>
      </c>
      <c r="AF1582" t="s">
        <v>16495</v>
      </c>
      <c r="AG1582" t="s">
        <v>16496</v>
      </c>
      <c r="AH1582" t="str">
        <f>HYPERLINK("http://compartments.jensenlab.org/Entity?figures=subcell_cell_%&amp;knowledge=10&amp;textmining=10&amp;experiments=10&amp;predictions=10&amp;type1=9606&amp;type2=-22&amp;id1=ENSP00000266943","link")</f>
        <v>link</v>
      </c>
      <c r="AK1582" t="str">
        <f>HYPERLINK("http://www.proteinatlas.org/Q7Z3Q1","HPA039930")</f>
        <v>HPA039930</v>
      </c>
      <c r="AM1582">
        <v>283537</v>
      </c>
    </row>
    <row r="1583" spans="1:39" x14ac:dyDescent="0.35">
      <c r="A1583" t="s">
        <v>16497</v>
      </c>
      <c r="B1583" t="str">
        <f>HYPERLINK("http://www.uniprot.org/uniprot/Q7Z3T1","Q7Z3T1")</f>
        <v>Q7Z3T1</v>
      </c>
      <c r="C1583" t="s">
        <v>16498</v>
      </c>
      <c r="D1583" t="s">
        <v>16499</v>
      </c>
      <c r="E1583" t="s">
        <v>39</v>
      </c>
      <c r="F1583" t="s">
        <v>55</v>
      </c>
      <c r="H1583">
        <v>314</v>
      </c>
      <c r="I1583">
        <v>7</v>
      </c>
      <c r="J1583">
        <v>0</v>
      </c>
      <c r="K1583" t="s">
        <v>16500</v>
      </c>
      <c r="L1583" t="s">
        <v>57</v>
      </c>
      <c r="N1583">
        <v>0.99199999999999999</v>
      </c>
      <c r="O1583" s="1">
        <v>1</v>
      </c>
      <c r="P1583" t="s">
        <v>16501</v>
      </c>
      <c r="Q1583" t="s">
        <v>16502</v>
      </c>
      <c r="S1583" t="s">
        <v>166</v>
      </c>
      <c r="T1583" t="s">
        <v>167</v>
      </c>
      <c r="U1583" t="s">
        <v>16503</v>
      </c>
      <c r="V1583">
        <v>1</v>
      </c>
      <c r="AE1583" t="s">
        <v>74</v>
      </c>
      <c r="AF1583" t="s">
        <v>455</v>
      </c>
      <c r="AG1583" t="s">
        <v>16504</v>
      </c>
      <c r="AH1583" t="str">
        <f>HYPERLINK("http://compartments.jensenlab.org/Entity?figures=subcell_cell_%&amp;knowledge=10&amp;textmining=10&amp;experiments=10&amp;predictions=10&amp;type1=9606&amp;type2=-22&amp;id1=ENSP00000353516","link")</f>
        <v>link</v>
      </c>
      <c r="AI1583" t="s">
        <v>65</v>
      </c>
      <c r="AJ1583" t="s">
        <v>51</v>
      </c>
      <c r="AK1583" t="str">
        <f>HYPERLINK("http://www.proteinatlas.org/Q7Z3T1","HPA045594")</f>
        <v>HPA045594</v>
      </c>
      <c r="AM1583">
        <v>343171</v>
      </c>
    </row>
    <row r="1584" spans="1:39" x14ac:dyDescent="0.35">
      <c r="A1584" t="s">
        <v>16505</v>
      </c>
      <c r="B1584" t="str">
        <f>HYPERLINK("http://www.uniprot.org/uniprot/Q7Z402","Q7Z402")</f>
        <v>Q7Z402</v>
      </c>
      <c r="C1584" t="s">
        <v>16506</v>
      </c>
      <c r="D1584" t="s">
        <v>16507</v>
      </c>
      <c r="E1584" t="s">
        <v>39</v>
      </c>
      <c r="F1584" t="s">
        <v>40</v>
      </c>
      <c r="H1584">
        <v>723</v>
      </c>
      <c r="I1584">
        <v>9</v>
      </c>
      <c r="J1584">
        <v>0</v>
      </c>
      <c r="K1584" t="s">
        <v>16508</v>
      </c>
      <c r="L1584" t="s">
        <v>101</v>
      </c>
      <c r="N1584">
        <v>0.80840000000000001</v>
      </c>
      <c r="O1584" s="1">
        <v>1</v>
      </c>
      <c r="P1584" t="s">
        <v>16509</v>
      </c>
      <c r="Q1584" t="s">
        <v>16510</v>
      </c>
      <c r="S1584" t="s">
        <v>60</v>
      </c>
      <c r="T1584" t="s">
        <v>60</v>
      </c>
      <c r="U1584" t="s">
        <v>16511</v>
      </c>
      <c r="V1584">
        <v>5</v>
      </c>
      <c r="Y1584">
        <v>117</v>
      </c>
      <c r="Z1584" t="s">
        <v>123</v>
      </c>
      <c r="AA1584">
        <v>1</v>
      </c>
      <c r="AB1584" t="s">
        <v>16512</v>
      </c>
      <c r="AC1584">
        <v>638</v>
      </c>
      <c r="AD1584" t="s">
        <v>16513</v>
      </c>
      <c r="AE1584" t="s">
        <v>48</v>
      </c>
      <c r="AF1584" t="s">
        <v>13809</v>
      </c>
      <c r="AG1584" t="s">
        <v>16514</v>
      </c>
      <c r="AH1584" t="str">
        <f>HYPERLINK("http://compartments.jensenlab.org/Entity?figures=subcell_cell_%&amp;knowledge=10&amp;textmining=10&amp;experiments=10&amp;predictions=10&amp;type1=9606&amp;type2=-22&amp;id1=ENSP00000304710","link")</f>
        <v>link</v>
      </c>
      <c r="AJ1584" t="s">
        <v>51</v>
      </c>
      <c r="AK1584" t="str">
        <f>HYPERLINK("http://www.proteinatlas.org/Q7Z402","HPA029465")</f>
        <v>HPA029465</v>
      </c>
      <c r="AM1584">
        <v>79905</v>
      </c>
    </row>
    <row r="1585" spans="1:39" x14ac:dyDescent="0.35">
      <c r="A1585" t="s">
        <v>16515</v>
      </c>
      <c r="B1585" t="str">
        <f>HYPERLINK("http://www.uniprot.org/uniprot/Q7Z408","Q7Z408")</f>
        <v>Q7Z408</v>
      </c>
      <c r="C1585" t="s">
        <v>16516</v>
      </c>
      <c r="D1585" t="s">
        <v>16517</v>
      </c>
      <c r="E1585" t="s">
        <v>39</v>
      </c>
      <c r="F1585" t="s">
        <v>40</v>
      </c>
      <c r="H1585">
        <v>3487</v>
      </c>
      <c r="I1585">
        <v>1</v>
      </c>
      <c r="J1585">
        <v>0</v>
      </c>
      <c r="K1585" t="s">
        <v>16518</v>
      </c>
      <c r="L1585" t="s">
        <v>57</v>
      </c>
      <c r="N1585">
        <v>0.66069999999999995</v>
      </c>
      <c r="O1585" s="1">
        <v>2</v>
      </c>
      <c r="P1585" t="s">
        <v>16519</v>
      </c>
      <c r="Q1585" t="s">
        <v>16520</v>
      </c>
      <c r="S1585" t="s">
        <v>91</v>
      </c>
      <c r="T1585" t="s">
        <v>16521</v>
      </c>
      <c r="U1585" t="s">
        <v>16522</v>
      </c>
      <c r="V1585">
        <v>36</v>
      </c>
      <c r="AE1585" t="s">
        <v>3665</v>
      </c>
      <c r="AF1585" t="s">
        <v>16523</v>
      </c>
      <c r="AG1585" t="s">
        <v>16524</v>
      </c>
      <c r="AH1585" t="str">
        <f>HYPERLINK("http://compartments.jensenlab.org/Entity?figures=subcell_cell_%&amp;knowledge=10&amp;textmining=10&amp;experiments=10&amp;predictions=10&amp;type1=9606&amp;type2=-22&amp;id1=ENSP00000241312","link")</f>
        <v>link</v>
      </c>
      <c r="AI1585" t="s">
        <v>65</v>
      </c>
      <c r="AJ1585" t="s">
        <v>51</v>
      </c>
      <c r="AK1585" t="str">
        <f>HYPERLINK("http://www.proteinatlas.org/Q7Z408","HPA008622")</f>
        <v>HPA008622</v>
      </c>
      <c r="AM1585">
        <v>114784</v>
      </c>
    </row>
    <row r="1586" spans="1:39" x14ac:dyDescent="0.35">
      <c r="A1586" t="s">
        <v>16525</v>
      </c>
      <c r="B1586" t="str">
        <f>HYPERLINK("http://www.uniprot.org/uniprot/Q7Z418","Q7Z418")</f>
        <v>Q7Z418</v>
      </c>
      <c r="C1586" t="s">
        <v>16526</v>
      </c>
      <c r="D1586" t="s">
        <v>16527</v>
      </c>
      <c r="E1586" t="s">
        <v>39</v>
      </c>
      <c r="F1586" t="s">
        <v>55</v>
      </c>
      <c r="H1586">
        <v>384</v>
      </c>
      <c r="I1586">
        <v>4</v>
      </c>
      <c r="J1586">
        <v>0</v>
      </c>
      <c r="K1586" t="s">
        <v>16528</v>
      </c>
      <c r="L1586" t="s">
        <v>57</v>
      </c>
      <c r="M1586" t="s">
        <v>39</v>
      </c>
      <c r="N1586">
        <v>0.59089999999999998</v>
      </c>
      <c r="O1586" s="1">
        <v>2</v>
      </c>
      <c r="P1586" t="s">
        <v>16529</v>
      </c>
      <c r="Q1586" t="s">
        <v>16530</v>
      </c>
      <c r="S1586" t="s">
        <v>45</v>
      </c>
      <c r="T1586" t="s">
        <v>3202</v>
      </c>
      <c r="U1586" t="s">
        <v>16531</v>
      </c>
      <c r="V1586">
        <v>2</v>
      </c>
      <c r="W1586">
        <v>96</v>
      </c>
      <c r="AE1586" t="s">
        <v>74</v>
      </c>
      <c r="AF1586" t="s">
        <v>16532</v>
      </c>
      <c r="AG1586" t="s">
        <v>16533</v>
      </c>
      <c r="AH1586" t="str">
        <f>HYPERLINK("http://compartments.jensenlab.org/Entity?figures=subcell_cell_%&amp;knowledge=10&amp;textmining=10&amp;experiments=10&amp;predictions=10&amp;type1=9606&amp;type2=-22&amp;id1=ENSP00000334650","link")</f>
        <v>link</v>
      </c>
      <c r="AI1586" t="s">
        <v>65</v>
      </c>
      <c r="AJ1586" t="s">
        <v>51</v>
      </c>
      <c r="AK1586" t="str">
        <f>HYPERLINK("http://www.proteinatlas.org/Q7Z418","HPA044739")</f>
        <v>HPA044739</v>
      </c>
      <c r="AM1586">
        <v>338567</v>
      </c>
    </row>
    <row r="1587" spans="1:39" x14ac:dyDescent="0.35">
      <c r="A1587" t="s">
        <v>16534</v>
      </c>
      <c r="B1587" t="str">
        <f>HYPERLINK("http://www.uniprot.org/uniprot/Q7Z442","Q7Z442")</f>
        <v>Q7Z442</v>
      </c>
      <c r="C1587" t="s">
        <v>16535</v>
      </c>
      <c r="D1587" t="s">
        <v>16536</v>
      </c>
      <c r="E1587" t="s">
        <v>39</v>
      </c>
      <c r="F1587" t="s">
        <v>40</v>
      </c>
      <c r="H1587">
        <v>2459</v>
      </c>
      <c r="I1587">
        <v>12</v>
      </c>
      <c r="J1587">
        <v>1</v>
      </c>
      <c r="K1587" t="s">
        <v>16537</v>
      </c>
      <c r="L1587" t="s">
        <v>57</v>
      </c>
      <c r="N1587">
        <v>0.95009999999999994</v>
      </c>
      <c r="O1587" s="1">
        <v>1</v>
      </c>
      <c r="P1587" t="s">
        <v>16538</v>
      </c>
      <c r="S1587" t="s">
        <v>45</v>
      </c>
      <c r="T1587" t="s">
        <v>11602</v>
      </c>
      <c r="U1587" t="s">
        <v>16539</v>
      </c>
      <c r="V1587">
        <v>21</v>
      </c>
      <c r="Y1587">
        <v>600</v>
      </c>
      <c r="AE1587" t="s">
        <v>48</v>
      </c>
      <c r="AF1587" t="s">
        <v>16540</v>
      </c>
      <c r="AG1587" t="s">
        <v>16541</v>
      </c>
      <c r="AK1587" t="str">
        <f>HYPERLINK("http://www.proteinatlas.org/Q7Z442","no")</f>
        <v>no</v>
      </c>
      <c r="AM1587">
        <v>114780</v>
      </c>
    </row>
    <row r="1588" spans="1:39" x14ac:dyDescent="0.35">
      <c r="A1588" t="s">
        <v>16542</v>
      </c>
      <c r="B1588" t="str">
        <f>HYPERLINK("http://www.uniprot.org/uniprot/Q7Z443","Q7Z443")</f>
        <v>Q7Z443</v>
      </c>
      <c r="C1588" t="s">
        <v>16543</v>
      </c>
      <c r="D1588" t="s">
        <v>16544</v>
      </c>
      <c r="E1588" t="s">
        <v>39</v>
      </c>
      <c r="F1588" t="s">
        <v>40</v>
      </c>
      <c r="H1588">
        <v>1732</v>
      </c>
      <c r="I1588">
        <v>12</v>
      </c>
      <c r="J1588">
        <v>1</v>
      </c>
      <c r="K1588" t="s">
        <v>16545</v>
      </c>
      <c r="L1588" t="s">
        <v>57</v>
      </c>
      <c r="N1588">
        <v>0.91420000000000001</v>
      </c>
      <c r="O1588" s="1">
        <v>1</v>
      </c>
      <c r="P1588" t="s">
        <v>16546</v>
      </c>
      <c r="Q1588" t="s">
        <v>16547</v>
      </c>
      <c r="S1588" t="s">
        <v>45</v>
      </c>
      <c r="T1588" t="s">
        <v>11602</v>
      </c>
      <c r="U1588" t="s">
        <v>16548</v>
      </c>
      <c r="V1588">
        <v>14</v>
      </c>
      <c r="Y1588">
        <v>1028</v>
      </c>
      <c r="AE1588" t="s">
        <v>6534</v>
      </c>
      <c r="AF1588" t="s">
        <v>16549</v>
      </c>
      <c r="AG1588" t="s">
        <v>16550</v>
      </c>
      <c r="AH1588" t="str">
        <f>HYPERLINK("http://compartments.jensenlab.org/Entity?figures=subcell_cell_%&amp;knowledge=10&amp;textmining=10&amp;experiments=10&amp;predictions=10&amp;type1=9606&amp;type2=-22&amp;id1=ENSP00000480090","link")</f>
        <v>link</v>
      </c>
      <c r="AK1588" t="str">
        <f>HYPERLINK("http://www.proteinatlas.org/Q7Z443","no")</f>
        <v>no</v>
      </c>
      <c r="AM1588">
        <v>342372</v>
      </c>
    </row>
    <row r="1589" spans="1:39" x14ac:dyDescent="0.35">
      <c r="A1589" t="s">
        <v>16551</v>
      </c>
      <c r="B1589" t="str">
        <f>HYPERLINK("http://www.uniprot.org/uniprot/Q7Z4F1","Q7Z4F1")</f>
        <v>Q7Z4F1</v>
      </c>
      <c r="C1589" t="s">
        <v>16552</v>
      </c>
      <c r="D1589" t="s">
        <v>16553</v>
      </c>
      <c r="E1589" t="s">
        <v>39</v>
      </c>
      <c r="F1589" t="s">
        <v>40</v>
      </c>
      <c r="H1589">
        <v>713</v>
      </c>
      <c r="I1589">
        <v>1</v>
      </c>
      <c r="J1589">
        <v>1</v>
      </c>
      <c r="K1589" t="s">
        <v>16554</v>
      </c>
      <c r="L1589" t="s">
        <v>101</v>
      </c>
      <c r="N1589">
        <v>0.8962</v>
      </c>
      <c r="O1589" s="1">
        <v>1</v>
      </c>
      <c r="P1589" t="s">
        <v>16555</v>
      </c>
      <c r="Q1589" t="s">
        <v>16556</v>
      </c>
      <c r="S1589" t="s">
        <v>166</v>
      </c>
      <c r="T1589" t="s">
        <v>2518</v>
      </c>
      <c r="U1589" t="s">
        <v>16557</v>
      </c>
      <c r="V1589">
        <v>4</v>
      </c>
      <c r="X1589">
        <v>632</v>
      </c>
      <c r="Y1589" t="s">
        <v>16558</v>
      </c>
      <c r="Z1589" t="s">
        <v>107</v>
      </c>
      <c r="AA1589">
        <v>2</v>
      </c>
      <c r="AB1589" t="s">
        <v>16559</v>
      </c>
      <c r="AC1589" t="s">
        <v>16560</v>
      </c>
      <c r="AD1589" t="s">
        <v>16561</v>
      </c>
      <c r="AE1589" t="s">
        <v>2521</v>
      </c>
      <c r="AF1589" t="s">
        <v>16562</v>
      </c>
      <c r="AG1589" t="s">
        <v>16563</v>
      </c>
      <c r="AH1589" t="str">
        <f>HYPERLINK("http://compartments.jensenlab.org/Entity?figures=subcell_cell_%&amp;knowledge=10&amp;textmining=10&amp;experiments=10&amp;predictions=10&amp;type1=9606&amp;type2=-22&amp;id1=ENSP00000352601","link")</f>
        <v>link</v>
      </c>
      <c r="AJ1589" t="s">
        <v>51</v>
      </c>
      <c r="AK1589" t="str">
        <f>HYPERLINK("http://www.proteinatlas.org/Q7Z4F1","HPA000932")</f>
        <v>HPA000932</v>
      </c>
      <c r="AM1589">
        <v>26020</v>
      </c>
    </row>
    <row r="1590" spans="1:39" x14ac:dyDescent="0.35">
      <c r="A1590" t="s">
        <v>16564</v>
      </c>
      <c r="B1590" t="str">
        <f>HYPERLINK("http://www.uniprot.org/uniprot/Q7Z553","Q7Z553")</f>
        <v>Q7Z553</v>
      </c>
      <c r="C1590" t="s">
        <v>16565</v>
      </c>
      <c r="D1590" t="s">
        <v>16566</v>
      </c>
      <c r="E1590" t="s">
        <v>39</v>
      </c>
      <c r="F1590" t="s">
        <v>239</v>
      </c>
      <c r="H1590">
        <v>956</v>
      </c>
      <c r="I1590">
        <v>0</v>
      </c>
      <c r="J1590">
        <v>1</v>
      </c>
      <c r="K1590" t="s">
        <v>16567</v>
      </c>
      <c r="L1590" t="s">
        <v>57</v>
      </c>
      <c r="N1590">
        <v>0.71860000000000002</v>
      </c>
      <c r="O1590" s="1" t="s">
        <v>241</v>
      </c>
      <c r="P1590" t="s">
        <v>16568</v>
      </c>
      <c r="Q1590" t="s">
        <v>16569</v>
      </c>
      <c r="S1590" t="s">
        <v>60</v>
      </c>
      <c r="T1590" t="s">
        <v>60</v>
      </c>
      <c r="U1590" t="s">
        <v>16570</v>
      </c>
      <c r="V1590">
        <v>8</v>
      </c>
      <c r="W1590" t="s">
        <v>16570</v>
      </c>
      <c r="AE1590" t="s">
        <v>243</v>
      </c>
      <c r="AF1590" t="s">
        <v>16571</v>
      </c>
      <c r="AG1590" t="s">
        <v>16572</v>
      </c>
      <c r="AH1590" t="str">
        <f>HYPERLINK("http://compartments.jensenlab.org/Entity?figures=subcell_cell_%&amp;knowledge=10&amp;textmining=10&amp;experiments=10&amp;predictions=10&amp;type1=9606&amp;type2=-22&amp;id1=ENSP00000382178","link")</f>
        <v>link</v>
      </c>
      <c r="AI1590" t="s">
        <v>65</v>
      </c>
      <c r="AJ1590" t="s">
        <v>51</v>
      </c>
      <c r="AK1590" t="str">
        <f>HYPERLINK("http://www.proteinatlas.org/Q7Z553","HPA003084")</f>
        <v>HPA003084</v>
      </c>
      <c r="AM1590">
        <v>161357</v>
      </c>
    </row>
    <row r="1591" spans="1:39" x14ac:dyDescent="0.35">
      <c r="A1591" t="s">
        <v>16573</v>
      </c>
      <c r="B1591" t="str">
        <f>HYPERLINK("http://www.uniprot.org/uniprot/Q7Z5H5","Q7Z5H5")</f>
        <v>Q7Z5H5</v>
      </c>
      <c r="C1591" t="s">
        <v>16574</v>
      </c>
      <c r="D1591" t="s">
        <v>16575</v>
      </c>
      <c r="E1591" t="s">
        <v>39</v>
      </c>
      <c r="F1591" t="s">
        <v>40</v>
      </c>
      <c r="H1591">
        <v>301</v>
      </c>
      <c r="I1591">
        <v>7</v>
      </c>
      <c r="J1591">
        <v>0</v>
      </c>
      <c r="K1591" t="s">
        <v>16576</v>
      </c>
      <c r="L1591" t="s">
        <v>57</v>
      </c>
      <c r="N1591">
        <v>0.88219999999999998</v>
      </c>
      <c r="O1591" s="1">
        <v>1</v>
      </c>
      <c r="P1591" t="s">
        <v>16577</v>
      </c>
      <c r="Q1591" t="s">
        <v>16578</v>
      </c>
      <c r="S1591" t="s">
        <v>166</v>
      </c>
      <c r="T1591" t="s">
        <v>16579</v>
      </c>
      <c r="U1591" t="s">
        <v>16580</v>
      </c>
      <c r="V1591">
        <v>2</v>
      </c>
      <c r="AE1591" t="s">
        <v>74</v>
      </c>
      <c r="AF1591" t="s">
        <v>16581</v>
      </c>
      <c r="AG1591" t="s">
        <v>16582</v>
      </c>
      <c r="AH1591" t="str">
        <f>HYPERLINK("http://compartments.jensenlab.org/Entity?figures=subcell_cell_%&amp;knowledge=10&amp;textmining=10&amp;experiments=10&amp;predictions=10&amp;type1=9606&amp;type2=-22&amp;id1=ENSP00000310856","link")</f>
        <v>link</v>
      </c>
      <c r="AI1591" t="s">
        <v>65</v>
      </c>
      <c r="AJ1591" t="s">
        <v>1649</v>
      </c>
      <c r="AK1591" t="str">
        <f>HYPERLINK("http://www.proteinatlas.org/Q7Z5H5","HPA027018")</f>
        <v>HPA027018</v>
      </c>
      <c r="AM1591">
        <v>317703</v>
      </c>
    </row>
    <row r="1592" spans="1:39" x14ac:dyDescent="0.35">
      <c r="A1592" t="s">
        <v>16583</v>
      </c>
      <c r="B1592" t="str">
        <f>HYPERLINK("http://www.uniprot.org/uniprot/Q7Z5N4","Q7Z5N4")</f>
        <v>Q7Z5N4</v>
      </c>
      <c r="C1592" t="s">
        <v>16584</v>
      </c>
      <c r="D1592" t="s">
        <v>16585</v>
      </c>
      <c r="E1592" t="s">
        <v>39</v>
      </c>
      <c r="F1592" t="s">
        <v>40</v>
      </c>
      <c r="H1592">
        <v>2213</v>
      </c>
      <c r="I1592">
        <v>1</v>
      </c>
      <c r="J1592">
        <v>0</v>
      </c>
      <c r="K1592" t="s">
        <v>16586</v>
      </c>
      <c r="L1592" t="s">
        <v>101</v>
      </c>
      <c r="N1592">
        <v>0.64470000000000005</v>
      </c>
      <c r="O1592" s="1">
        <v>2</v>
      </c>
      <c r="P1592" t="s">
        <v>16587</v>
      </c>
      <c r="Q1592" t="s">
        <v>16588</v>
      </c>
      <c r="S1592" t="s">
        <v>91</v>
      </c>
      <c r="T1592" t="s">
        <v>555</v>
      </c>
      <c r="U1592" t="s">
        <v>16589</v>
      </c>
      <c r="V1592">
        <v>22</v>
      </c>
      <c r="Y1592">
        <v>1860</v>
      </c>
      <c r="Z1592" t="s">
        <v>107</v>
      </c>
      <c r="AA1592">
        <v>5</v>
      </c>
      <c r="AB1592" t="s">
        <v>16590</v>
      </c>
      <c r="AC1592" t="s">
        <v>16591</v>
      </c>
      <c r="AD1592" t="s">
        <v>16592</v>
      </c>
      <c r="AE1592" t="s">
        <v>94</v>
      </c>
      <c r="AF1592" t="s">
        <v>16593</v>
      </c>
      <c r="AG1592" t="s">
        <v>16594</v>
      </c>
      <c r="AH1592" t="str">
        <f>HYPERLINK("http://compartments.jensenlab.org/Entity?figures=subcell_cell_%&amp;knowledge=10&amp;textmining=10&amp;experiments=10&amp;predictions=10&amp;type1=9606&amp;type2=-22&amp;id1=ENSP00000385899","link")</f>
        <v>link</v>
      </c>
      <c r="AJ1592" t="s">
        <v>51</v>
      </c>
      <c r="AK1592" t="str">
        <f>HYPERLINK("http://www.proteinatlas.org/Q7Z5N4","HPA011392")</f>
        <v>HPA011392</v>
      </c>
      <c r="AM1592">
        <v>221935</v>
      </c>
    </row>
    <row r="1593" spans="1:39" x14ac:dyDescent="0.35">
      <c r="A1593" t="s">
        <v>16595</v>
      </c>
      <c r="B1593" t="str">
        <f>HYPERLINK("http://www.uniprot.org/uniprot/Q7Z601","Q7Z601")</f>
        <v>Q7Z601</v>
      </c>
      <c r="C1593" t="s">
        <v>16596</v>
      </c>
      <c r="D1593" t="s">
        <v>16597</v>
      </c>
      <c r="E1593" t="s">
        <v>39</v>
      </c>
      <c r="F1593" t="s">
        <v>40</v>
      </c>
      <c r="H1593">
        <v>462</v>
      </c>
      <c r="I1593">
        <v>7</v>
      </c>
      <c r="J1593">
        <v>0</v>
      </c>
      <c r="K1593" t="s">
        <v>16598</v>
      </c>
      <c r="L1593" t="s">
        <v>57</v>
      </c>
      <c r="N1593">
        <v>0.67659999999999998</v>
      </c>
      <c r="O1593" s="1">
        <v>2</v>
      </c>
      <c r="P1593" t="s">
        <v>16599</v>
      </c>
      <c r="Q1593" t="s">
        <v>16600</v>
      </c>
      <c r="S1593" t="s">
        <v>166</v>
      </c>
      <c r="T1593" t="s">
        <v>838</v>
      </c>
      <c r="V1593">
        <v>0</v>
      </c>
      <c r="AE1593" t="s">
        <v>74</v>
      </c>
      <c r="AF1593" t="s">
        <v>10163</v>
      </c>
      <c r="AG1593" t="s">
        <v>16601</v>
      </c>
      <c r="AH1593" t="str">
        <f>HYPERLINK("http://compartments.jensenlab.org/Entity?figures=subcell_cell_%&amp;knowledge=10&amp;textmining=10&amp;experiments=10&amp;predictions=10&amp;type1=9606&amp;type2=-22&amp;id1=ENSP00000335158","link")</f>
        <v>link</v>
      </c>
      <c r="AK1593" t="str">
        <f>HYPERLINK("http://www.proteinatlas.org/Q7Z601","HPA031392")</f>
        <v>HPA031392</v>
      </c>
      <c r="AM1593">
        <v>350383</v>
      </c>
    </row>
    <row r="1594" spans="1:39" x14ac:dyDescent="0.35">
      <c r="A1594" t="s">
        <v>16602</v>
      </c>
      <c r="B1594" t="str">
        <f>HYPERLINK("http://www.uniprot.org/uniprot/Q7Z602","Q7Z602")</f>
        <v>Q7Z602</v>
      </c>
      <c r="C1594" t="s">
        <v>16603</v>
      </c>
      <c r="D1594" t="s">
        <v>16604</v>
      </c>
      <c r="E1594" t="s">
        <v>39</v>
      </c>
      <c r="F1594" t="s">
        <v>55</v>
      </c>
      <c r="H1594">
        <v>305</v>
      </c>
      <c r="I1594">
        <v>7</v>
      </c>
      <c r="J1594">
        <v>0</v>
      </c>
      <c r="K1594" t="s">
        <v>16605</v>
      </c>
      <c r="L1594" t="s">
        <v>57</v>
      </c>
      <c r="M1594" t="s">
        <v>39</v>
      </c>
      <c r="N1594">
        <v>0.83160000000000001</v>
      </c>
      <c r="O1594" s="1">
        <v>1</v>
      </c>
      <c r="P1594" t="s">
        <v>16606</v>
      </c>
      <c r="Q1594" t="s">
        <v>16607</v>
      </c>
      <c r="S1594" t="s">
        <v>166</v>
      </c>
      <c r="T1594" t="s">
        <v>838</v>
      </c>
      <c r="U1594" t="s">
        <v>16608</v>
      </c>
      <c r="V1594">
        <v>2</v>
      </c>
      <c r="AE1594" t="s">
        <v>74</v>
      </c>
      <c r="AF1594" t="s">
        <v>13176</v>
      </c>
      <c r="AG1594" t="s">
        <v>16609</v>
      </c>
      <c r="AH1594" t="str">
        <f>HYPERLINK("http://compartments.jensenlab.org/Entity?figures=subcell_cell_%&amp;knowledge=10&amp;textmining=10&amp;experiments=10&amp;predictions=10&amp;type1=9606&amp;type2=-22&amp;id1=ENSP00000334540","link")</f>
        <v>link</v>
      </c>
      <c r="AI1594" t="s">
        <v>65</v>
      </c>
      <c r="AJ1594" t="s">
        <v>51</v>
      </c>
      <c r="AK1594" t="str">
        <f>HYPERLINK("http://www.proteinatlas.org/Q7Z602","no")</f>
        <v>no</v>
      </c>
      <c r="AM1594">
        <v>353345</v>
      </c>
    </row>
    <row r="1595" spans="1:39" x14ac:dyDescent="0.35">
      <c r="A1595" t="s">
        <v>16610</v>
      </c>
      <c r="B1595" t="str">
        <f>HYPERLINK("http://www.uniprot.org/uniprot/Q7Z692","Q7Z692")</f>
        <v>Q7Z692</v>
      </c>
      <c r="C1595" t="s">
        <v>16611</v>
      </c>
      <c r="D1595" t="s">
        <v>16612</v>
      </c>
      <c r="E1595" t="s">
        <v>39</v>
      </c>
      <c r="F1595" t="s">
        <v>40</v>
      </c>
      <c r="H1595">
        <v>300</v>
      </c>
      <c r="I1595">
        <v>1</v>
      </c>
      <c r="J1595">
        <v>1</v>
      </c>
      <c r="K1595" t="s">
        <v>16613</v>
      </c>
      <c r="L1595" t="s">
        <v>57</v>
      </c>
      <c r="N1595">
        <v>0.81640000000000001</v>
      </c>
      <c r="O1595" s="1">
        <v>1</v>
      </c>
      <c r="P1595" t="s">
        <v>16614</v>
      </c>
      <c r="Q1595" t="s">
        <v>16615</v>
      </c>
      <c r="S1595" t="s">
        <v>91</v>
      </c>
      <c r="T1595" t="s">
        <v>555</v>
      </c>
      <c r="U1595">
        <v>104</v>
      </c>
      <c r="V1595">
        <v>1</v>
      </c>
      <c r="AE1595" t="s">
        <v>144</v>
      </c>
      <c r="AF1595" t="s">
        <v>16495</v>
      </c>
      <c r="AG1595" t="s">
        <v>16616</v>
      </c>
      <c r="AH1595" t="str">
        <f>HYPERLINK("http://compartments.jensenlab.org/Entity?figures=subcell_cell_%&amp;knowledge=10&amp;textmining=10&amp;experiments=10&amp;predictions=10&amp;type1=9606&amp;type2=-22&amp;id1=ENSP00000384887","link")</f>
        <v>link</v>
      </c>
      <c r="AJ1595" t="s">
        <v>51</v>
      </c>
      <c r="AK1595" t="str">
        <f>HYPERLINK("http://www.proteinatlas.org/Q7Z692","HPA014462")</f>
        <v>HPA014462</v>
      </c>
      <c r="AM1595">
        <v>56971</v>
      </c>
    </row>
    <row r="1596" spans="1:39" x14ac:dyDescent="0.35">
      <c r="A1596" t="s">
        <v>16617</v>
      </c>
      <c r="B1596" t="str">
        <f>HYPERLINK("http://www.uniprot.org/uniprot/Q7Z6A9","Q7Z6A9")</f>
        <v>Q7Z6A9</v>
      </c>
      <c r="C1596" t="s">
        <v>16618</v>
      </c>
      <c r="D1596" t="s">
        <v>16619</v>
      </c>
      <c r="E1596" t="s">
        <v>39</v>
      </c>
      <c r="F1596" t="s">
        <v>40</v>
      </c>
      <c r="H1596">
        <v>289</v>
      </c>
      <c r="I1596">
        <v>1</v>
      </c>
      <c r="J1596">
        <v>1</v>
      </c>
      <c r="K1596" t="s">
        <v>16620</v>
      </c>
      <c r="L1596" t="s">
        <v>101</v>
      </c>
      <c r="N1596">
        <v>0.8982</v>
      </c>
      <c r="O1596" s="1">
        <v>1</v>
      </c>
      <c r="P1596" t="s">
        <v>16621</v>
      </c>
      <c r="Q1596" t="s">
        <v>16622</v>
      </c>
      <c r="R1596" t="s">
        <v>16623</v>
      </c>
      <c r="S1596" t="s">
        <v>60</v>
      </c>
      <c r="T1596" t="s">
        <v>60</v>
      </c>
      <c r="U1596" t="s">
        <v>16624</v>
      </c>
      <c r="V1596">
        <v>3</v>
      </c>
      <c r="W1596" t="s">
        <v>16624</v>
      </c>
      <c r="Z1596" t="s">
        <v>107</v>
      </c>
      <c r="AA1596">
        <v>4</v>
      </c>
      <c r="AB1596" t="s">
        <v>16625</v>
      </c>
      <c r="AC1596" t="s">
        <v>16626</v>
      </c>
      <c r="AD1596" t="s">
        <v>16627</v>
      </c>
      <c r="AE1596" t="s">
        <v>144</v>
      </c>
      <c r="AF1596" t="s">
        <v>16628</v>
      </c>
      <c r="AG1596" t="s">
        <v>16629</v>
      </c>
      <c r="AH1596" t="str">
        <f>HYPERLINK("http://compartments.jensenlab.org/Entity?figures=subcell_cell_%&amp;knowledge=10&amp;textmining=10&amp;experiments=10&amp;predictions=10&amp;type1=9606&amp;type2=-22&amp;id1=ENSP00000333919","link")</f>
        <v>link</v>
      </c>
      <c r="AJ1596" t="s">
        <v>51</v>
      </c>
      <c r="AK1596" t="str">
        <f>HYPERLINK("http://www.proteinatlas.org/Q7Z6A9","HPA047211")</f>
        <v>HPA047211</v>
      </c>
      <c r="AM1596">
        <v>151888</v>
      </c>
    </row>
    <row r="1597" spans="1:39" x14ac:dyDescent="0.35">
      <c r="A1597" t="s">
        <v>16630</v>
      </c>
      <c r="B1597" t="str">
        <f>HYPERLINK("http://www.uniprot.org/uniprot/Q7Z6M3","Q7Z6M3")</f>
        <v>Q7Z6M3</v>
      </c>
      <c r="C1597" t="s">
        <v>16631</v>
      </c>
      <c r="D1597" t="s">
        <v>16632</v>
      </c>
      <c r="E1597" t="s">
        <v>39</v>
      </c>
      <c r="F1597" t="s">
        <v>55</v>
      </c>
      <c r="H1597">
        <v>343</v>
      </c>
      <c r="I1597">
        <v>1</v>
      </c>
      <c r="J1597">
        <v>1</v>
      </c>
      <c r="K1597" t="s">
        <v>16633</v>
      </c>
      <c r="L1597" t="s">
        <v>101</v>
      </c>
      <c r="M1597" t="s">
        <v>39</v>
      </c>
      <c r="N1597">
        <v>0.97829999999999995</v>
      </c>
      <c r="O1597" s="1">
        <v>1</v>
      </c>
      <c r="P1597" t="s">
        <v>16634</v>
      </c>
      <c r="Q1597" t="s">
        <v>16635</v>
      </c>
      <c r="S1597" t="s">
        <v>91</v>
      </c>
      <c r="T1597" t="s">
        <v>14321</v>
      </c>
      <c r="U1597" t="s">
        <v>16636</v>
      </c>
      <c r="V1597">
        <v>6</v>
      </c>
      <c r="W1597" t="s">
        <v>16637</v>
      </c>
      <c r="Z1597" t="s">
        <v>107</v>
      </c>
      <c r="AA1597">
        <v>5</v>
      </c>
      <c r="AB1597" t="s">
        <v>16638</v>
      </c>
      <c r="AC1597" t="s">
        <v>16639</v>
      </c>
      <c r="AD1597" t="s">
        <v>16640</v>
      </c>
      <c r="AE1597" t="s">
        <v>332</v>
      </c>
      <c r="AF1597" t="s">
        <v>16641</v>
      </c>
      <c r="AG1597" t="s">
        <v>16642</v>
      </c>
      <c r="AH1597" t="str">
        <f>HYPERLINK("http://compartments.jensenlab.org/Entity?figures=subcell_cell_%&amp;knowledge=10&amp;textmining=10&amp;experiments=10&amp;predictions=10&amp;type1=9606&amp;type2=-22&amp;id1=ENSP00000480749","link")</f>
        <v>link</v>
      </c>
      <c r="AK1597" t="str">
        <f>HYPERLINK("http://www.proteinatlas.org/Q7Z6M3","no")</f>
        <v>no</v>
      </c>
      <c r="AM1597">
        <v>284021</v>
      </c>
    </row>
    <row r="1598" spans="1:39" x14ac:dyDescent="0.35">
      <c r="A1598" t="s">
        <v>16643</v>
      </c>
      <c r="B1598" t="str">
        <f>HYPERLINK("http://www.uniprot.org/uniprot/Q7Z7D3","Q7Z7D3")</f>
        <v>Q7Z7D3</v>
      </c>
      <c r="C1598" t="s">
        <v>16644</v>
      </c>
      <c r="D1598" t="s">
        <v>16645</v>
      </c>
      <c r="E1598" t="s">
        <v>39</v>
      </c>
      <c r="F1598" t="s">
        <v>40</v>
      </c>
      <c r="H1598">
        <v>282</v>
      </c>
      <c r="I1598">
        <v>1</v>
      </c>
      <c r="J1598">
        <v>1</v>
      </c>
      <c r="K1598" t="s">
        <v>16646</v>
      </c>
      <c r="L1598" t="s">
        <v>57</v>
      </c>
      <c r="N1598">
        <v>0.62670000000000003</v>
      </c>
      <c r="O1598" s="1">
        <v>2</v>
      </c>
      <c r="P1598" t="s">
        <v>16647</v>
      </c>
      <c r="Q1598" t="s">
        <v>16648</v>
      </c>
      <c r="S1598" t="s">
        <v>91</v>
      </c>
      <c r="T1598" t="s">
        <v>1012</v>
      </c>
      <c r="U1598" t="s">
        <v>16649</v>
      </c>
      <c r="V1598">
        <v>7</v>
      </c>
      <c r="W1598" t="s">
        <v>16650</v>
      </c>
      <c r="AE1598" t="s">
        <v>332</v>
      </c>
      <c r="AF1598" t="s">
        <v>16651</v>
      </c>
      <c r="AG1598" t="s">
        <v>16652</v>
      </c>
      <c r="AH1598" t="str">
        <f>HYPERLINK("http://compartments.jensenlab.org/Entity?figures=subcell_cell_%&amp;knowledge=10&amp;textmining=10&amp;experiments=10&amp;predictions=10&amp;type1=9606&amp;type2=-22&amp;id1=ENSP00000358470","link")</f>
        <v>link</v>
      </c>
      <c r="AI1598" t="s">
        <v>65</v>
      </c>
      <c r="AJ1598" t="s">
        <v>51</v>
      </c>
      <c r="AK1598" t="str">
        <f>HYPERLINK("http://www.proteinatlas.org/Q7Z7D3","HPA054200")</f>
        <v>HPA054200</v>
      </c>
      <c r="AM1598">
        <v>79679</v>
      </c>
    </row>
    <row r="1599" spans="1:39" x14ac:dyDescent="0.35">
      <c r="A1599" t="s">
        <v>16653</v>
      </c>
      <c r="B1599" t="str">
        <f>HYPERLINK("http://www.uniprot.org/uniprot/Q7Z7J7","Q7Z7J7")</f>
        <v>Q7Z7J7</v>
      </c>
      <c r="C1599" t="s">
        <v>16654</v>
      </c>
      <c r="D1599" t="s">
        <v>16655</v>
      </c>
      <c r="E1599" t="s">
        <v>39</v>
      </c>
      <c r="F1599" t="s">
        <v>40</v>
      </c>
      <c r="H1599">
        <v>247</v>
      </c>
      <c r="I1599">
        <v>4</v>
      </c>
      <c r="J1599">
        <v>0</v>
      </c>
      <c r="K1599" t="s">
        <v>16656</v>
      </c>
      <c r="L1599" t="s">
        <v>42</v>
      </c>
      <c r="N1599">
        <v>0.58879999999999999</v>
      </c>
      <c r="O1599" s="1">
        <v>2</v>
      </c>
      <c r="P1599" t="s">
        <v>16657</v>
      </c>
      <c r="Q1599" t="s">
        <v>16658</v>
      </c>
      <c r="S1599" t="s">
        <v>91</v>
      </c>
      <c r="T1599" t="s">
        <v>15167</v>
      </c>
      <c r="V1599">
        <v>0</v>
      </c>
      <c r="AE1599" t="s">
        <v>48</v>
      </c>
      <c r="AF1599" t="s">
        <v>15168</v>
      </c>
      <c r="AG1599" t="s">
        <v>16659</v>
      </c>
      <c r="AH1599" t="str">
        <f>HYPERLINK("http://compartments.jensenlab.org/Entity?figures=subcell_cell_%&amp;knowledge=10&amp;textmining=10&amp;experiments=10&amp;predictions=10&amp;type1=9606&amp;type2=-22&amp;id1=ENSP00000287585","link")</f>
        <v>link</v>
      </c>
      <c r="AJ1599" t="s">
        <v>51</v>
      </c>
      <c r="AK1599" t="str">
        <f>HYPERLINK("http://www.proteinatlas.org/Q7Z7J7","HPA041421")</f>
        <v>HPA041421</v>
      </c>
      <c r="AM1599">
        <v>375323</v>
      </c>
    </row>
    <row r="1600" spans="1:39" x14ac:dyDescent="0.35">
      <c r="A1600" t="s">
        <v>16660</v>
      </c>
      <c r="B1600" t="str">
        <f>HYPERLINK("http://www.uniprot.org/uniprot/Q7Z7M0","Q7Z7M0")</f>
        <v>Q7Z7M0</v>
      </c>
      <c r="C1600" t="s">
        <v>16661</v>
      </c>
      <c r="D1600" t="s">
        <v>16662</v>
      </c>
      <c r="E1600" t="s">
        <v>39</v>
      </c>
      <c r="F1600" t="s">
        <v>40</v>
      </c>
      <c r="H1600">
        <v>2845</v>
      </c>
      <c r="I1600">
        <v>1</v>
      </c>
      <c r="J1600">
        <v>1</v>
      </c>
      <c r="K1600" t="s">
        <v>16663</v>
      </c>
      <c r="L1600" t="s">
        <v>101</v>
      </c>
      <c r="N1600">
        <v>0.85429999999999995</v>
      </c>
      <c r="O1600" s="1">
        <v>1</v>
      </c>
      <c r="P1600" t="s">
        <v>16664</v>
      </c>
      <c r="Q1600" t="s">
        <v>16665</v>
      </c>
      <c r="S1600" t="s">
        <v>60</v>
      </c>
      <c r="T1600" t="s">
        <v>60</v>
      </c>
      <c r="U1600" t="s">
        <v>16666</v>
      </c>
      <c r="V1600">
        <v>31</v>
      </c>
      <c r="Y1600" t="s">
        <v>16667</v>
      </c>
      <c r="Z1600" t="s">
        <v>107</v>
      </c>
      <c r="AA1600">
        <v>3</v>
      </c>
      <c r="AB1600" t="s">
        <v>16668</v>
      </c>
      <c r="AC1600" t="s">
        <v>16669</v>
      </c>
      <c r="AD1600" t="s">
        <v>16670</v>
      </c>
      <c r="AE1600" t="s">
        <v>144</v>
      </c>
      <c r="AF1600" t="s">
        <v>16671</v>
      </c>
      <c r="AG1600" t="s">
        <v>16672</v>
      </c>
      <c r="AH1600" t="str">
        <f>HYPERLINK("http://compartments.jensenlab.org/Entity?figures=subcell_cell_%&amp;knowledge=10&amp;textmining=10&amp;experiments=10&amp;predictions=10&amp;type1=9606&amp;type2=-22&amp;id1=ENSP00000251268","link")</f>
        <v>link</v>
      </c>
      <c r="AK1600" t="str">
        <f>HYPERLINK("http://www.proteinatlas.org/Q7Z7M0","HPA049248")</f>
        <v>HPA049248</v>
      </c>
      <c r="AM1600">
        <v>1954</v>
      </c>
    </row>
    <row r="1601" spans="1:39" x14ac:dyDescent="0.35">
      <c r="A1601" t="s">
        <v>16673</v>
      </c>
      <c r="B1601" t="str">
        <f>HYPERLINK("http://www.uniprot.org/uniprot/Q7Z7M1","Q7Z7M1")</f>
        <v>Q7Z7M1</v>
      </c>
      <c r="C1601" t="s">
        <v>16674</v>
      </c>
      <c r="D1601" t="s">
        <v>16675</v>
      </c>
      <c r="E1601" t="s">
        <v>39</v>
      </c>
      <c r="F1601" t="s">
        <v>55</v>
      </c>
      <c r="H1601">
        <v>963</v>
      </c>
      <c r="I1601">
        <v>7</v>
      </c>
      <c r="J1601">
        <v>0</v>
      </c>
      <c r="K1601" t="s">
        <v>16676</v>
      </c>
      <c r="L1601" t="s">
        <v>57</v>
      </c>
      <c r="M1601" t="s">
        <v>39</v>
      </c>
      <c r="N1601">
        <v>0.4264</v>
      </c>
      <c r="O1601" s="1">
        <v>3</v>
      </c>
      <c r="P1601" t="s">
        <v>16677</v>
      </c>
      <c r="Q1601" t="s">
        <v>16678</v>
      </c>
      <c r="S1601" t="s">
        <v>166</v>
      </c>
      <c r="T1601" t="s">
        <v>1149</v>
      </c>
      <c r="U1601" t="s">
        <v>16679</v>
      </c>
      <c r="V1601">
        <v>2</v>
      </c>
      <c r="AE1601" t="s">
        <v>74</v>
      </c>
      <c r="AF1601" t="s">
        <v>13176</v>
      </c>
      <c r="AG1601" t="s">
        <v>16680</v>
      </c>
      <c r="AH1601" t="str">
        <f>HYPERLINK("http://compartments.jensenlab.org/Entity?figures=subcell_cell_%&amp;knowledge=10&amp;textmining=10&amp;experiments=10&amp;predictions=10&amp;type1=9606&amp;type2=-22&amp;id1=ENSP00000335156","link")</f>
        <v>link</v>
      </c>
      <c r="AI1601" t="s">
        <v>65</v>
      </c>
      <c r="AJ1601" t="s">
        <v>51</v>
      </c>
      <c r="AK1601" t="str">
        <f>HYPERLINK("http://www.proteinatlas.org/Q7Z7M1","HPA049597")</f>
        <v>HPA049597</v>
      </c>
      <c r="AM1601">
        <v>347088</v>
      </c>
    </row>
    <row r="1602" spans="1:39" x14ac:dyDescent="0.35">
      <c r="A1602" t="s">
        <v>16681</v>
      </c>
      <c r="B1602" t="str">
        <f>HYPERLINK("http://www.uniprot.org/uniprot/Q7Z7N9","Q7Z7N9")</f>
        <v>Q7Z7N9</v>
      </c>
      <c r="C1602" t="s">
        <v>16682</v>
      </c>
      <c r="D1602" t="s">
        <v>16683</v>
      </c>
      <c r="E1602" t="s">
        <v>39</v>
      </c>
      <c r="F1602" t="s">
        <v>40</v>
      </c>
      <c r="H1602">
        <v>219</v>
      </c>
      <c r="I1602">
        <v>3</v>
      </c>
      <c r="J1602">
        <v>1</v>
      </c>
      <c r="K1602" t="s">
        <v>16684</v>
      </c>
      <c r="L1602" t="s">
        <v>1592</v>
      </c>
      <c r="N1602">
        <v>0.74050000000000005</v>
      </c>
      <c r="O1602" s="1">
        <v>2</v>
      </c>
      <c r="P1602" t="s">
        <v>16685</v>
      </c>
      <c r="Q1602" t="s">
        <v>16686</v>
      </c>
      <c r="S1602" t="s">
        <v>60</v>
      </c>
      <c r="T1602" t="s">
        <v>60</v>
      </c>
      <c r="U1602" t="s">
        <v>16687</v>
      </c>
      <c r="V1602">
        <v>2</v>
      </c>
      <c r="Z1602" t="s">
        <v>123</v>
      </c>
      <c r="AA1602">
        <v>1</v>
      </c>
      <c r="AB1602" t="s">
        <v>16688</v>
      </c>
      <c r="AC1602">
        <v>136</v>
      </c>
      <c r="AD1602" t="s">
        <v>16689</v>
      </c>
      <c r="AE1602" t="s">
        <v>48</v>
      </c>
      <c r="AF1602" t="s">
        <v>16690</v>
      </c>
      <c r="AG1602" t="s">
        <v>16691</v>
      </c>
      <c r="AH1602" t="str">
        <f>HYPERLINK("http://compartments.jensenlab.org/Entity?figures=subcell_cell_%&amp;knowledge=10&amp;textmining=10&amp;experiments=10&amp;predictions=10&amp;type1=9606&amp;type2=-22&amp;id1=ENSP00000333697","link")</f>
        <v>link</v>
      </c>
      <c r="AJ1602" t="s">
        <v>51</v>
      </c>
      <c r="AK1602" t="str">
        <f>HYPERLINK("http://www.proteinatlas.org/Q7Z7N9","HPA016585")</f>
        <v>HPA016585</v>
      </c>
      <c r="AM1602">
        <v>374395</v>
      </c>
    </row>
    <row r="1603" spans="1:39" x14ac:dyDescent="0.35">
      <c r="A1603" t="s">
        <v>16692</v>
      </c>
      <c r="B1603" t="str">
        <f>HYPERLINK("http://www.uniprot.org/uniprot/Q86SJ2","Q86SJ2")</f>
        <v>Q86SJ2</v>
      </c>
      <c r="C1603" t="s">
        <v>16693</v>
      </c>
      <c r="D1603" t="s">
        <v>16694</v>
      </c>
      <c r="E1603" t="s">
        <v>39</v>
      </c>
      <c r="F1603" t="s">
        <v>55</v>
      </c>
      <c r="H1603">
        <v>522</v>
      </c>
      <c r="I1603">
        <v>1</v>
      </c>
      <c r="J1603">
        <v>1</v>
      </c>
      <c r="K1603" t="s">
        <v>16695</v>
      </c>
      <c r="L1603" t="s">
        <v>101</v>
      </c>
      <c r="M1603" t="s">
        <v>39</v>
      </c>
      <c r="N1603">
        <v>0.85629999999999995</v>
      </c>
      <c r="O1603" s="1">
        <v>1</v>
      </c>
      <c r="P1603" t="s">
        <v>16696</v>
      </c>
      <c r="Q1603" t="s">
        <v>16697</v>
      </c>
      <c r="S1603" t="s">
        <v>91</v>
      </c>
      <c r="T1603" t="s">
        <v>260</v>
      </c>
      <c r="U1603" t="s">
        <v>16698</v>
      </c>
      <c r="V1603">
        <v>8</v>
      </c>
      <c r="Z1603" t="s">
        <v>107</v>
      </c>
      <c r="AA1603">
        <v>4</v>
      </c>
      <c r="AB1603" t="s">
        <v>16699</v>
      </c>
      <c r="AC1603">
        <v>104</v>
      </c>
      <c r="AD1603" t="s">
        <v>16700</v>
      </c>
      <c r="AE1603" t="s">
        <v>9658</v>
      </c>
      <c r="AF1603" t="s">
        <v>16701</v>
      </c>
      <c r="AG1603" t="s">
        <v>16702</v>
      </c>
      <c r="AH1603" t="str">
        <f>HYPERLINK("http://compartments.jensenlab.org/Entity?figures=subcell_cell_%&amp;knowledge=10&amp;textmining=10&amp;experiments=10&amp;predictions=10&amp;type1=9606&amp;type2=-22&amp;id1=ENSP00000266581","link")</f>
        <v>link</v>
      </c>
      <c r="AI1603" t="s">
        <v>65</v>
      </c>
      <c r="AJ1603" t="s">
        <v>2873</v>
      </c>
      <c r="AK1603" t="str">
        <f>HYPERLINK("http://www.proteinatlas.org/Q86SJ2","HPA054004;HPA059601")</f>
        <v>HPA054004;HPA059601</v>
      </c>
      <c r="AM1603">
        <v>347902</v>
      </c>
    </row>
    <row r="1604" spans="1:39" x14ac:dyDescent="0.35">
      <c r="A1604" t="s">
        <v>16703</v>
      </c>
      <c r="B1604" t="str">
        <f>HYPERLINK("http://www.uniprot.org/uniprot/Q86SJ6","Q86SJ6")</f>
        <v>Q86SJ6</v>
      </c>
      <c r="C1604" t="s">
        <v>16704</v>
      </c>
      <c r="D1604" t="s">
        <v>16705</v>
      </c>
      <c r="E1604" t="s">
        <v>39</v>
      </c>
      <c r="F1604" t="s">
        <v>40</v>
      </c>
      <c r="H1604">
        <v>1040</v>
      </c>
      <c r="I1604">
        <v>1</v>
      </c>
      <c r="J1604">
        <v>1</v>
      </c>
      <c r="K1604" t="s">
        <v>16706</v>
      </c>
      <c r="L1604" t="s">
        <v>57</v>
      </c>
      <c r="N1604">
        <v>0.79039999999999999</v>
      </c>
      <c r="O1604" s="1">
        <v>1</v>
      </c>
      <c r="P1604" t="s">
        <v>16707</v>
      </c>
      <c r="Q1604" t="s">
        <v>16708</v>
      </c>
      <c r="S1604" t="s">
        <v>91</v>
      </c>
      <c r="T1604" t="s">
        <v>8359</v>
      </c>
      <c r="U1604" t="s">
        <v>16709</v>
      </c>
      <c r="V1604">
        <v>3</v>
      </c>
      <c r="AE1604" t="s">
        <v>8361</v>
      </c>
      <c r="AF1604" t="s">
        <v>16710</v>
      </c>
      <c r="AG1604" t="s">
        <v>16711</v>
      </c>
      <c r="AH1604" t="str">
        <f>HYPERLINK("http://compartments.jensenlab.org/Entity?figures=subcell_cell_%&amp;knowledge=10&amp;textmining=10&amp;experiments=10&amp;predictions=10&amp;type1=9606&amp;type2=-22&amp;id1=ENSP00000311859","link")</f>
        <v>link</v>
      </c>
      <c r="AK1604" t="str">
        <f>HYPERLINK("http://www.proteinatlas.org/Q86SJ6","HPA059456")</f>
        <v>HPA059456</v>
      </c>
      <c r="AM1604">
        <v>147409</v>
      </c>
    </row>
    <row r="1605" spans="1:39" x14ac:dyDescent="0.35">
      <c r="A1605" t="s">
        <v>16712</v>
      </c>
      <c r="B1605" t="str">
        <f>HYPERLINK("http://www.uniprot.org/uniprot/Q86SM5","Q86SM5")</f>
        <v>Q86SM5</v>
      </c>
      <c r="C1605" t="s">
        <v>16713</v>
      </c>
      <c r="D1605" t="s">
        <v>16714</v>
      </c>
      <c r="E1605" t="s">
        <v>39</v>
      </c>
      <c r="F1605" t="s">
        <v>55</v>
      </c>
      <c r="H1605">
        <v>289</v>
      </c>
      <c r="I1605">
        <v>7</v>
      </c>
      <c r="J1605">
        <v>0</v>
      </c>
      <c r="K1605" t="s">
        <v>16715</v>
      </c>
      <c r="L1605" t="s">
        <v>57</v>
      </c>
      <c r="M1605" t="s">
        <v>39</v>
      </c>
      <c r="N1605">
        <v>0.69020000000000004</v>
      </c>
      <c r="O1605" s="1">
        <v>2</v>
      </c>
      <c r="P1605" t="s">
        <v>16716</v>
      </c>
      <c r="Q1605" t="s">
        <v>16717</v>
      </c>
      <c r="S1605" t="s">
        <v>166</v>
      </c>
      <c r="T1605" t="s">
        <v>838</v>
      </c>
      <c r="U1605">
        <v>242</v>
      </c>
      <c r="V1605">
        <v>0</v>
      </c>
      <c r="AE1605" t="s">
        <v>74</v>
      </c>
      <c r="AF1605" t="s">
        <v>839</v>
      </c>
      <c r="AG1605" t="s">
        <v>16718</v>
      </c>
      <c r="AH1605" t="str">
        <f>HYPERLINK("http://compartments.jensenlab.org/Entity?figures=subcell_cell_%&amp;knowledge=10&amp;textmining=10&amp;experiments=10&amp;predictions=10&amp;type1=9606&amp;type2=-22&amp;id1=ENSP00000330612","link")</f>
        <v>link</v>
      </c>
      <c r="AI1605" t="s">
        <v>65</v>
      </c>
      <c r="AJ1605" t="s">
        <v>51</v>
      </c>
      <c r="AK1605" t="str">
        <f>HYPERLINK("http://www.proteinatlas.org/Q86SM5","HPA058909")</f>
        <v>HPA058909</v>
      </c>
      <c r="AM1605">
        <v>386746</v>
      </c>
    </row>
    <row r="1606" spans="1:39" x14ac:dyDescent="0.35">
      <c r="A1606" t="s">
        <v>16719</v>
      </c>
      <c r="B1606" t="str">
        <f>HYPERLINK("http://www.uniprot.org/uniprot/Q86SM8","Q86SM8")</f>
        <v>Q86SM8</v>
      </c>
      <c r="C1606" t="s">
        <v>16720</v>
      </c>
      <c r="D1606" t="s">
        <v>16721</v>
      </c>
      <c r="E1606" t="s">
        <v>39</v>
      </c>
      <c r="F1606" t="s">
        <v>40</v>
      </c>
      <c r="H1606">
        <v>312</v>
      </c>
      <c r="I1606">
        <v>7</v>
      </c>
      <c r="J1606">
        <v>0</v>
      </c>
      <c r="K1606" t="s">
        <v>16722</v>
      </c>
      <c r="L1606" t="s">
        <v>57</v>
      </c>
      <c r="N1606">
        <v>0.67659999999999998</v>
      </c>
      <c r="O1606" s="1">
        <v>2</v>
      </c>
      <c r="P1606" t="s">
        <v>16723</v>
      </c>
      <c r="Q1606" t="s">
        <v>16724</v>
      </c>
      <c r="S1606" t="s">
        <v>166</v>
      </c>
      <c r="T1606" t="s">
        <v>838</v>
      </c>
      <c r="V1606">
        <v>0</v>
      </c>
      <c r="AE1606" t="s">
        <v>74</v>
      </c>
      <c r="AF1606" t="s">
        <v>10163</v>
      </c>
      <c r="AG1606" t="s">
        <v>16725</v>
      </c>
      <c r="AH1606" t="str">
        <f>HYPERLINK("http://compartments.jensenlab.org/Entity?figures=subcell_cell_%&amp;knowledge=10&amp;textmining=10&amp;experiments=10&amp;predictions=10&amp;type1=9606&amp;type2=-22&amp;id1=ENSP00000374482","link")</f>
        <v>link</v>
      </c>
      <c r="AK1606" t="str">
        <f>HYPERLINK("http://www.proteinatlas.org/Q86SM8","HPA046556")</f>
        <v>HPA046556</v>
      </c>
      <c r="AM1606">
        <v>116534</v>
      </c>
    </row>
    <row r="1607" spans="1:39" x14ac:dyDescent="0.35">
      <c r="A1607" t="s">
        <v>16726</v>
      </c>
      <c r="B1607" t="str">
        <f>HYPERLINK("http://www.uniprot.org/uniprot/Q86SP6","Q86SP6")</f>
        <v>Q86SP6</v>
      </c>
      <c r="C1607" t="s">
        <v>16727</v>
      </c>
      <c r="D1607" t="s">
        <v>16728</v>
      </c>
      <c r="E1607" t="s">
        <v>39</v>
      </c>
      <c r="F1607" t="s">
        <v>55</v>
      </c>
      <c r="H1607">
        <v>731</v>
      </c>
      <c r="I1607">
        <v>7</v>
      </c>
      <c r="J1607">
        <v>0</v>
      </c>
      <c r="K1607" t="s">
        <v>16729</v>
      </c>
      <c r="L1607" t="s">
        <v>57</v>
      </c>
      <c r="M1607" t="s">
        <v>39</v>
      </c>
      <c r="N1607">
        <v>0.74870000000000003</v>
      </c>
      <c r="O1607" s="1">
        <v>1</v>
      </c>
      <c r="P1607" t="s">
        <v>16730</v>
      </c>
      <c r="Q1607" t="s">
        <v>16731</v>
      </c>
      <c r="S1607" t="s">
        <v>60</v>
      </c>
      <c r="T1607" t="s">
        <v>60</v>
      </c>
      <c r="U1607" t="s">
        <v>16732</v>
      </c>
      <c r="V1607">
        <v>3</v>
      </c>
      <c r="AE1607" t="s">
        <v>74</v>
      </c>
      <c r="AF1607" t="s">
        <v>1913</v>
      </c>
      <c r="AG1607" t="s">
        <v>16733</v>
      </c>
      <c r="AH1607" t="str">
        <f>HYPERLINK("http://compartments.jensenlab.org/Entity?figures=subcell_cell_%&amp;knowledge=10&amp;textmining=10&amp;experiments=10&amp;predictions=10&amp;type1=9606&amp;type2=-22&amp;id1=ENSP00000374390","link")</f>
        <v>link</v>
      </c>
      <c r="AI1607" t="s">
        <v>65</v>
      </c>
      <c r="AJ1607" t="s">
        <v>51</v>
      </c>
      <c r="AK1607" t="str">
        <f>HYPERLINK("http://www.proteinatlas.org/Q86SP6","HPA018020")</f>
        <v>HPA018020</v>
      </c>
      <c r="AM1607">
        <v>344758</v>
      </c>
    </row>
    <row r="1608" spans="1:39" x14ac:dyDescent="0.35">
      <c r="A1608" t="s">
        <v>16734</v>
      </c>
      <c r="B1608" t="str">
        <f>HYPERLINK("http://www.uniprot.org/uniprot/Q86SQ3","Q86SQ3")</f>
        <v>Q86SQ3</v>
      </c>
      <c r="C1608" t="s">
        <v>16735</v>
      </c>
      <c r="D1608" t="s">
        <v>16736</v>
      </c>
      <c r="E1608" t="s">
        <v>39</v>
      </c>
      <c r="F1608" t="s">
        <v>40</v>
      </c>
      <c r="H1608">
        <v>457</v>
      </c>
      <c r="I1608">
        <v>7</v>
      </c>
      <c r="J1608">
        <v>1</v>
      </c>
      <c r="K1608" t="s">
        <v>16737</v>
      </c>
      <c r="L1608" t="s">
        <v>57</v>
      </c>
      <c r="N1608">
        <v>0.93410000000000004</v>
      </c>
      <c r="O1608" s="1">
        <v>1</v>
      </c>
      <c r="S1608" t="s">
        <v>166</v>
      </c>
      <c r="T1608" t="s">
        <v>1149</v>
      </c>
      <c r="U1608" t="s">
        <v>16738</v>
      </c>
      <c r="V1608">
        <v>4</v>
      </c>
      <c r="AE1608" t="s">
        <v>74</v>
      </c>
      <c r="AF1608" t="s">
        <v>16739</v>
      </c>
      <c r="AG1608" t="s">
        <v>16740</v>
      </c>
      <c r="AK1608" t="str">
        <f>HYPERLINK("http://www.proteinatlas.org/Q86SQ3","no")</f>
        <v>no</v>
      </c>
    </row>
    <row r="1609" spans="1:39" x14ac:dyDescent="0.35">
      <c r="A1609" t="s">
        <v>16741</v>
      </c>
      <c r="B1609" t="str">
        <f>HYPERLINK("http://www.uniprot.org/uniprot/Q86SQ4","Q86SQ4")</f>
        <v>Q86SQ4</v>
      </c>
      <c r="C1609" t="s">
        <v>16742</v>
      </c>
      <c r="D1609" t="s">
        <v>16743</v>
      </c>
      <c r="E1609" t="s">
        <v>39</v>
      </c>
      <c r="F1609" t="s">
        <v>55</v>
      </c>
      <c r="H1609">
        <v>1221</v>
      </c>
      <c r="I1609">
        <v>7</v>
      </c>
      <c r="J1609">
        <v>1</v>
      </c>
      <c r="K1609" t="s">
        <v>16744</v>
      </c>
      <c r="L1609" t="s">
        <v>101</v>
      </c>
      <c r="M1609" t="s">
        <v>39</v>
      </c>
      <c r="N1609">
        <v>0.97240000000000004</v>
      </c>
      <c r="O1609" s="1">
        <v>1</v>
      </c>
      <c r="P1609" t="s">
        <v>16745</v>
      </c>
      <c r="Q1609" t="s">
        <v>16746</v>
      </c>
      <c r="S1609" t="s">
        <v>166</v>
      </c>
      <c r="T1609" t="s">
        <v>1149</v>
      </c>
      <c r="U1609" t="s">
        <v>16747</v>
      </c>
      <c r="V1609">
        <v>26</v>
      </c>
      <c r="Z1609" t="s">
        <v>107</v>
      </c>
      <c r="AA1609">
        <v>18</v>
      </c>
      <c r="AB1609" t="s">
        <v>16748</v>
      </c>
      <c r="AC1609" t="s">
        <v>16749</v>
      </c>
      <c r="AD1609" t="s">
        <v>16750</v>
      </c>
      <c r="AE1609" t="s">
        <v>74</v>
      </c>
      <c r="AF1609" t="s">
        <v>16751</v>
      </c>
      <c r="AG1609" t="s">
        <v>16752</v>
      </c>
      <c r="AH1609" t="str">
        <f>HYPERLINK("http://compartments.jensenlab.org/Entity?figures=subcell_cell_%&amp;knowledge=10&amp;textmining=10&amp;experiments=10&amp;predictions=10&amp;type1=9606&amp;type2=-22&amp;id1=ENSP00000230173","link")</f>
        <v>link</v>
      </c>
      <c r="AK1609" t="str">
        <f>HYPERLINK("http://www.proteinatlas.org/Q86SQ4","HPA017346")</f>
        <v>HPA017346</v>
      </c>
      <c r="AM1609">
        <v>57211</v>
      </c>
    </row>
    <row r="1610" spans="1:39" x14ac:dyDescent="0.35">
      <c r="A1610" t="s">
        <v>16753</v>
      </c>
      <c r="B1610" t="str">
        <f>HYPERLINK("http://www.uniprot.org/uniprot/Q86SQ6","Q86SQ6")</f>
        <v>Q86SQ6</v>
      </c>
      <c r="C1610" t="s">
        <v>16754</v>
      </c>
      <c r="D1610" t="s">
        <v>16755</v>
      </c>
      <c r="E1610" t="s">
        <v>39</v>
      </c>
      <c r="F1610" t="s">
        <v>40</v>
      </c>
      <c r="H1610">
        <v>560</v>
      </c>
      <c r="I1610">
        <v>7</v>
      </c>
      <c r="J1610">
        <v>0</v>
      </c>
      <c r="K1610" t="s">
        <v>16756</v>
      </c>
      <c r="L1610" t="s">
        <v>57</v>
      </c>
      <c r="N1610">
        <v>0.63870000000000005</v>
      </c>
      <c r="O1610" s="1">
        <v>2</v>
      </c>
      <c r="P1610" t="s">
        <v>16757</v>
      </c>
      <c r="Q1610" t="s">
        <v>16758</v>
      </c>
      <c r="S1610" t="s">
        <v>166</v>
      </c>
      <c r="T1610" t="s">
        <v>1149</v>
      </c>
      <c r="U1610" t="s">
        <v>16759</v>
      </c>
      <c r="V1610">
        <v>1</v>
      </c>
      <c r="Y1610" t="s">
        <v>16760</v>
      </c>
      <c r="AE1610" t="s">
        <v>74</v>
      </c>
      <c r="AF1610" t="s">
        <v>13791</v>
      </c>
      <c r="AG1610" t="s">
        <v>16761</v>
      </c>
      <c r="AH1610" t="str">
        <f>HYPERLINK("http://compartments.jensenlab.org/Entity?figures=subcell_cell_%&amp;knowledge=10&amp;textmining=10&amp;experiments=10&amp;predictions=10&amp;type1=9606&amp;type2=-22&amp;id1=ENSP00000475778","link")</f>
        <v>link</v>
      </c>
      <c r="AK1610" t="str">
        <f>HYPERLINK("http://www.proteinatlas.org/Q86SQ6","HPA042773")</f>
        <v>HPA042773</v>
      </c>
      <c r="AM1610">
        <v>84435</v>
      </c>
    </row>
    <row r="1611" spans="1:39" x14ac:dyDescent="0.35">
      <c r="A1611" t="s">
        <v>16762</v>
      </c>
      <c r="B1611" t="str">
        <f>HYPERLINK("http://www.uniprot.org/uniprot/Q86SU0","Q86SU0")</f>
        <v>Q86SU0</v>
      </c>
      <c r="C1611" t="s">
        <v>16763</v>
      </c>
      <c r="D1611" t="s">
        <v>16764</v>
      </c>
      <c r="E1611" t="s">
        <v>39</v>
      </c>
      <c r="F1611" t="s">
        <v>40</v>
      </c>
      <c r="H1611">
        <v>546</v>
      </c>
      <c r="I1611">
        <v>1</v>
      </c>
      <c r="J1611">
        <v>1</v>
      </c>
      <c r="K1611" t="s">
        <v>16765</v>
      </c>
      <c r="L1611" t="s">
        <v>57</v>
      </c>
      <c r="N1611">
        <v>0.60680000000000001</v>
      </c>
      <c r="O1611" s="1">
        <v>2</v>
      </c>
      <c r="P1611" t="s">
        <v>16766</v>
      </c>
      <c r="Q1611" t="s">
        <v>16767</v>
      </c>
      <c r="S1611" t="s">
        <v>60</v>
      </c>
      <c r="T1611" t="s">
        <v>60</v>
      </c>
      <c r="U1611">
        <v>409</v>
      </c>
      <c r="V1611">
        <v>0</v>
      </c>
      <c r="AE1611" t="s">
        <v>16768</v>
      </c>
      <c r="AF1611" t="s">
        <v>16769</v>
      </c>
      <c r="AG1611" t="s">
        <v>16770</v>
      </c>
      <c r="AH1611" t="str">
        <f>HYPERLINK("http://compartments.jensenlab.org/Entity?figures=subcell_cell_%&amp;knowledge=10&amp;textmining=10&amp;experiments=10&amp;predictions=10&amp;type1=9606&amp;type2=-22&amp;id1=ENSP00000345667","link")</f>
        <v>link</v>
      </c>
      <c r="AK1611" t="str">
        <f>HYPERLINK("http://www.proteinatlas.org/Q86SU0","HPA018207;HPA029415")</f>
        <v>HPA018207;HPA029415</v>
      </c>
      <c r="AM1611">
        <v>286676</v>
      </c>
    </row>
    <row r="1612" spans="1:39" x14ac:dyDescent="0.35">
      <c r="A1612" t="s">
        <v>16771</v>
      </c>
      <c r="B1612" t="str">
        <f>HYPERLINK("http://www.uniprot.org/uniprot/Q86T13","Q86T13")</f>
        <v>Q86T13</v>
      </c>
      <c r="C1612" t="s">
        <v>16772</v>
      </c>
      <c r="D1612" t="s">
        <v>16773</v>
      </c>
      <c r="E1612" t="s">
        <v>39</v>
      </c>
      <c r="F1612" t="s">
        <v>40</v>
      </c>
      <c r="H1612">
        <v>490</v>
      </c>
      <c r="I1612">
        <v>1</v>
      </c>
      <c r="J1612">
        <v>1</v>
      </c>
      <c r="K1612" t="s">
        <v>16774</v>
      </c>
      <c r="L1612" t="s">
        <v>101</v>
      </c>
      <c r="N1612">
        <v>0.86029999999999995</v>
      </c>
      <c r="O1612" s="1">
        <v>1</v>
      </c>
      <c r="P1612" t="s">
        <v>16775</v>
      </c>
      <c r="Q1612" t="s">
        <v>16776</v>
      </c>
      <c r="S1612" t="s">
        <v>60</v>
      </c>
      <c r="T1612" t="s">
        <v>60</v>
      </c>
      <c r="U1612" t="s">
        <v>16777</v>
      </c>
      <c r="V1612">
        <v>2</v>
      </c>
      <c r="Z1612" t="s">
        <v>107</v>
      </c>
      <c r="AA1612">
        <v>1</v>
      </c>
      <c r="AB1612" t="s">
        <v>16778</v>
      </c>
      <c r="AC1612">
        <v>189</v>
      </c>
      <c r="AD1612" t="s">
        <v>16779</v>
      </c>
      <c r="AE1612" t="s">
        <v>144</v>
      </c>
      <c r="AF1612" t="s">
        <v>16780</v>
      </c>
      <c r="AG1612" t="s">
        <v>16781</v>
      </c>
      <c r="AH1612" t="str">
        <f>HYPERLINK("http://compartments.jensenlab.org/Entity?figures=subcell_cell_%&amp;knowledge=10&amp;textmining=10&amp;experiments=10&amp;predictions=10&amp;type1=9606&amp;type2=-22&amp;id1=ENSP00000353013","link")</f>
        <v>link</v>
      </c>
      <c r="AJ1612" t="s">
        <v>51</v>
      </c>
      <c r="AK1612" t="str">
        <f>HYPERLINK("http://www.proteinatlas.org/Q86T13","HPA039468")</f>
        <v>HPA039468</v>
      </c>
      <c r="AM1612">
        <v>161198</v>
      </c>
    </row>
    <row r="1613" spans="1:39" x14ac:dyDescent="0.35">
      <c r="A1613" t="s">
        <v>16782</v>
      </c>
      <c r="B1613" t="str">
        <f>HYPERLINK("http://www.uniprot.org/uniprot/Q86T26","Q86T26")</f>
        <v>Q86T26</v>
      </c>
      <c r="C1613" t="s">
        <v>16783</v>
      </c>
      <c r="D1613" t="s">
        <v>16784</v>
      </c>
      <c r="E1613" t="s">
        <v>39</v>
      </c>
      <c r="F1613" t="s">
        <v>40</v>
      </c>
      <c r="H1613">
        <v>416</v>
      </c>
      <c r="I1613">
        <v>1</v>
      </c>
      <c r="J1613">
        <v>0</v>
      </c>
      <c r="K1613" t="s">
        <v>16785</v>
      </c>
      <c r="L1613" t="s">
        <v>57</v>
      </c>
      <c r="N1613">
        <v>0.6966</v>
      </c>
      <c r="O1613" s="1">
        <v>2</v>
      </c>
      <c r="P1613" t="s">
        <v>16786</v>
      </c>
      <c r="Q1613" t="s">
        <v>16787</v>
      </c>
      <c r="S1613" t="s">
        <v>947</v>
      </c>
      <c r="T1613">
        <v>3.4</v>
      </c>
      <c r="U1613" t="s">
        <v>16788</v>
      </c>
      <c r="V1613">
        <v>8</v>
      </c>
      <c r="W1613" t="s">
        <v>16788</v>
      </c>
      <c r="Y1613">
        <v>12</v>
      </c>
      <c r="AE1613" t="s">
        <v>764</v>
      </c>
      <c r="AF1613" t="s">
        <v>16789</v>
      </c>
      <c r="AG1613" t="s">
        <v>16790</v>
      </c>
      <c r="AH1613" t="str">
        <f>HYPERLINK("http://compartments.jensenlab.org/Entity?figures=subcell_cell_%&amp;knowledge=10&amp;textmining=10&amp;experiments=10&amp;predictions=10&amp;type1=9606&amp;type2=-22&amp;id1=ENSP00000330475","link")</f>
        <v>link</v>
      </c>
      <c r="AJ1613" t="s">
        <v>902</v>
      </c>
      <c r="AK1613" t="str">
        <f>HYPERLINK("http://www.proteinatlas.org/Q86T26","HPA042951")</f>
        <v>HPA042951</v>
      </c>
      <c r="AM1613">
        <v>132724</v>
      </c>
    </row>
    <row r="1614" spans="1:39" x14ac:dyDescent="0.35">
      <c r="A1614" t="s">
        <v>16791</v>
      </c>
      <c r="B1614" t="str">
        <f>HYPERLINK("http://www.uniprot.org/uniprot/Q86TG1","Q86TG1")</f>
        <v>Q86TG1</v>
      </c>
      <c r="C1614" t="s">
        <v>16792</v>
      </c>
      <c r="D1614" t="s">
        <v>16793</v>
      </c>
      <c r="E1614" t="s">
        <v>39</v>
      </c>
      <c r="F1614" t="s">
        <v>40</v>
      </c>
      <c r="H1614">
        <v>271</v>
      </c>
      <c r="I1614">
        <v>5</v>
      </c>
      <c r="J1614">
        <v>1</v>
      </c>
      <c r="K1614" t="s">
        <v>16794</v>
      </c>
      <c r="L1614" t="s">
        <v>57</v>
      </c>
      <c r="N1614">
        <v>0.85029999999999994</v>
      </c>
      <c r="O1614" s="1">
        <v>1</v>
      </c>
      <c r="P1614" t="s">
        <v>16795</v>
      </c>
      <c r="Q1614" t="s">
        <v>16796</v>
      </c>
      <c r="S1614" t="s">
        <v>60</v>
      </c>
      <c r="T1614" t="s">
        <v>60</v>
      </c>
      <c r="U1614" t="s">
        <v>16797</v>
      </c>
      <c r="V1614">
        <v>2</v>
      </c>
      <c r="AE1614" t="s">
        <v>74</v>
      </c>
      <c r="AF1614" t="s">
        <v>14428</v>
      </c>
      <c r="AG1614" t="s">
        <v>16798</v>
      </c>
      <c r="AH1614" t="str">
        <f>HYPERLINK("http://compartments.jensenlab.org/Entity?figures=subcell_cell_%&amp;knowledge=10&amp;textmining=10&amp;experiments=10&amp;predictions=10&amp;type1=9606&amp;type2=-22&amp;id1=ENSP00000334708","link")</f>
        <v>link</v>
      </c>
      <c r="AI1614" t="s">
        <v>65</v>
      </c>
      <c r="AJ1614" t="s">
        <v>51</v>
      </c>
      <c r="AK1614" t="str">
        <f>HYPERLINK("http://www.proteinatlas.org/Q86TG1","HPA019015")</f>
        <v>HPA019015</v>
      </c>
      <c r="AM1614">
        <v>129303</v>
      </c>
    </row>
    <row r="1615" spans="1:39" x14ac:dyDescent="0.35">
      <c r="A1615" t="s">
        <v>16799</v>
      </c>
      <c r="B1615" t="str">
        <f>HYPERLINK("http://www.uniprot.org/uniprot/Q86TL2","Q86TL2")</f>
        <v>Q86TL2</v>
      </c>
      <c r="C1615" t="s">
        <v>16800</v>
      </c>
      <c r="D1615" t="s">
        <v>16801</v>
      </c>
      <c r="E1615" t="s">
        <v>39</v>
      </c>
      <c r="F1615" t="s">
        <v>40</v>
      </c>
      <c r="H1615">
        <v>294</v>
      </c>
      <c r="I1615">
        <v>5</v>
      </c>
      <c r="J1615">
        <v>0</v>
      </c>
      <c r="K1615" t="s">
        <v>16802</v>
      </c>
      <c r="L1615" t="s">
        <v>42</v>
      </c>
      <c r="N1615">
        <v>0.60880000000000001</v>
      </c>
      <c r="O1615" s="1">
        <v>2</v>
      </c>
      <c r="P1615" t="s">
        <v>16803</v>
      </c>
      <c r="Q1615" t="s">
        <v>16804</v>
      </c>
      <c r="S1615" t="s">
        <v>60</v>
      </c>
      <c r="T1615" t="s">
        <v>60</v>
      </c>
      <c r="U1615" t="s">
        <v>16805</v>
      </c>
      <c r="V1615">
        <v>1</v>
      </c>
      <c r="Y1615" t="s">
        <v>16806</v>
      </c>
      <c r="AE1615" t="s">
        <v>48</v>
      </c>
      <c r="AF1615" t="s">
        <v>15168</v>
      </c>
      <c r="AG1615" t="s">
        <v>16807</v>
      </c>
      <c r="AH1615" t="str">
        <f>HYPERLINK("http://compartments.jensenlab.org/Entity?figures=subcell_cell_%&amp;knowledge=10&amp;textmining=10&amp;experiments=10&amp;predictions=10&amp;type1=9606&amp;type2=-22&amp;id1=ENSP00000347195","link")</f>
        <v>link</v>
      </c>
      <c r="AJ1615" t="s">
        <v>51</v>
      </c>
      <c r="AK1615" t="str">
        <f>HYPERLINK("http://www.proteinatlas.org/Q86TL2","HPA051855")</f>
        <v>HPA051855</v>
      </c>
      <c r="AM1615">
        <v>375346</v>
      </c>
    </row>
    <row r="1616" spans="1:39" x14ac:dyDescent="0.35">
      <c r="A1616" t="s">
        <v>16808</v>
      </c>
      <c r="B1616" t="str">
        <f>HYPERLINK("http://www.uniprot.org/uniprot/Q86TY3","Q86TY3")</f>
        <v>Q86TY3</v>
      </c>
      <c r="C1616" t="s">
        <v>16809</v>
      </c>
      <c r="D1616" t="s">
        <v>16810</v>
      </c>
      <c r="E1616" t="s">
        <v>39</v>
      </c>
      <c r="F1616" t="s">
        <v>40</v>
      </c>
      <c r="H1616">
        <v>774</v>
      </c>
      <c r="I1616">
        <v>1</v>
      </c>
      <c r="J1616">
        <v>1</v>
      </c>
      <c r="K1616" t="s">
        <v>16811</v>
      </c>
      <c r="L1616" t="s">
        <v>57</v>
      </c>
      <c r="N1616">
        <v>0.59079999999999999</v>
      </c>
      <c r="O1616" s="1">
        <v>2</v>
      </c>
      <c r="P1616" t="s">
        <v>16812</v>
      </c>
      <c r="Q1616" t="s">
        <v>16813</v>
      </c>
      <c r="S1616" t="s">
        <v>60</v>
      </c>
      <c r="T1616" t="s">
        <v>60</v>
      </c>
      <c r="U1616" t="s">
        <v>16814</v>
      </c>
      <c r="V1616">
        <v>2</v>
      </c>
      <c r="AE1616" t="s">
        <v>144</v>
      </c>
      <c r="AF1616" t="s">
        <v>158</v>
      </c>
      <c r="AG1616" t="s">
        <v>16815</v>
      </c>
      <c r="AH1616" t="str">
        <f>HYPERLINK("http://compartments.jensenlab.org/Entity?figures=subcell_cell_%&amp;knowledge=10&amp;textmining=10&amp;experiments=10&amp;predictions=10&amp;type1=9606&amp;type2=-22&amp;id1=ENSP00000267485","link")</f>
        <v>link</v>
      </c>
      <c r="AJ1616" t="s">
        <v>51</v>
      </c>
      <c r="AK1616" t="str">
        <f>HYPERLINK("http://www.proteinatlas.org/Q86TY3","HPA001789")</f>
        <v>HPA001789</v>
      </c>
      <c r="AM1616">
        <v>145407</v>
      </c>
    </row>
    <row r="1617" spans="1:39" x14ac:dyDescent="0.35">
      <c r="A1617" t="s">
        <v>16816</v>
      </c>
      <c r="B1617" t="str">
        <f>HYPERLINK("http://www.uniprot.org/uniprot/Q86UF1","Q86UF1")</f>
        <v>Q86UF1</v>
      </c>
      <c r="C1617" t="s">
        <v>16817</v>
      </c>
      <c r="D1617" t="s">
        <v>16818</v>
      </c>
      <c r="E1617" t="s">
        <v>39</v>
      </c>
      <c r="F1617" t="s">
        <v>40</v>
      </c>
      <c r="H1617">
        <v>283</v>
      </c>
      <c r="I1617">
        <v>4</v>
      </c>
      <c r="J1617">
        <v>0</v>
      </c>
      <c r="K1617" t="s">
        <v>16819</v>
      </c>
      <c r="L1617" t="s">
        <v>101</v>
      </c>
      <c r="N1617">
        <v>0.73450000000000004</v>
      </c>
      <c r="O1617" s="1">
        <v>2</v>
      </c>
      <c r="P1617" t="s">
        <v>16820</v>
      </c>
      <c r="Q1617" t="s">
        <v>16821</v>
      </c>
      <c r="S1617" t="s">
        <v>91</v>
      </c>
      <c r="T1617" t="s">
        <v>135</v>
      </c>
      <c r="U1617">
        <v>172</v>
      </c>
      <c r="V1617">
        <v>1</v>
      </c>
      <c r="Z1617" t="s">
        <v>123</v>
      </c>
      <c r="AA1617">
        <v>6</v>
      </c>
      <c r="AB1617" t="s">
        <v>16822</v>
      </c>
      <c r="AC1617">
        <v>172</v>
      </c>
      <c r="AD1617" t="s">
        <v>16823</v>
      </c>
      <c r="AE1617" t="s">
        <v>48</v>
      </c>
      <c r="AF1617" t="s">
        <v>16824</v>
      </c>
      <c r="AG1617" t="s">
        <v>16825</v>
      </c>
      <c r="AH1617" t="str">
        <f>HYPERLINK("http://compartments.jensenlab.org/Entity?figures=subcell_cell_%&amp;knowledge=10&amp;textmining=10&amp;experiments=10&amp;predictions=10&amp;type1=9606&amp;type2=-22&amp;id1=ENSP00000483872","link")</f>
        <v>link</v>
      </c>
      <c r="AK1617" t="str">
        <f>HYPERLINK("http://www.proteinatlas.org/Q86UF1","HPA020357")</f>
        <v>HPA020357</v>
      </c>
      <c r="AM1617">
        <v>340348</v>
      </c>
    </row>
    <row r="1618" spans="1:39" x14ac:dyDescent="0.35">
      <c r="A1618" t="s">
        <v>16826</v>
      </c>
      <c r="B1618" t="str">
        <f>HYPERLINK("http://www.uniprot.org/uniprot/Q86UG4","Q86UG4")</f>
        <v>Q86UG4</v>
      </c>
      <c r="C1618" t="s">
        <v>16827</v>
      </c>
      <c r="D1618" t="s">
        <v>16828</v>
      </c>
      <c r="E1618" t="s">
        <v>39</v>
      </c>
      <c r="F1618" t="s">
        <v>55</v>
      </c>
      <c r="H1618">
        <v>719</v>
      </c>
      <c r="I1618">
        <v>12</v>
      </c>
      <c r="J1618">
        <v>0</v>
      </c>
      <c r="K1618" t="s">
        <v>16829</v>
      </c>
      <c r="L1618" t="s">
        <v>57</v>
      </c>
      <c r="M1618" t="s">
        <v>39</v>
      </c>
      <c r="N1618">
        <v>0.93620000000000003</v>
      </c>
      <c r="O1618" s="1">
        <v>1</v>
      </c>
      <c r="P1618" t="s">
        <v>16830</v>
      </c>
      <c r="Q1618" t="s">
        <v>16831</v>
      </c>
      <c r="S1618" t="s">
        <v>45</v>
      </c>
      <c r="T1618" t="s">
        <v>797</v>
      </c>
      <c r="U1618" t="s">
        <v>16832</v>
      </c>
      <c r="V1618">
        <v>6</v>
      </c>
      <c r="Y1618">
        <v>312</v>
      </c>
      <c r="AE1618" t="s">
        <v>74</v>
      </c>
      <c r="AF1618" t="s">
        <v>16833</v>
      </c>
      <c r="AG1618" t="s">
        <v>16834</v>
      </c>
      <c r="AH1618" t="str">
        <f>HYPERLINK("http://compartments.jensenlab.org/Entity?figures=subcell_cell_%&amp;knowledge=10&amp;textmining=10&amp;experiments=10&amp;predictions=10&amp;type1=9606&amp;type2=-22&amp;id1=ENSP00000369135","link")</f>
        <v>link</v>
      </c>
      <c r="AI1618" t="s">
        <v>65</v>
      </c>
      <c r="AJ1618" t="s">
        <v>51</v>
      </c>
      <c r="AK1618" t="str">
        <f>HYPERLINK("http://www.proteinatlas.org/Q86UG4","HPA054126")</f>
        <v>HPA054126</v>
      </c>
      <c r="AM1618">
        <v>133482</v>
      </c>
    </row>
    <row r="1619" spans="1:39" x14ac:dyDescent="0.35">
      <c r="A1619" t="s">
        <v>16835</v>
      </c>
      <c r="B1619" t="str">
        <f>HYPERLINK("http://www.uniprot.org/uniprot/Q86UK0","Q86UK0")</f>
        <v>Q86UK0</v>
      </c>
      <c r="C1619" t="s">
        <v>16836</v>
      </c>
      <c r="D1619" t="s">
        <v>16837</v>
      </c>
      <c r="E1619" t="s">
        <v>39</v>
      </c>
      <c r="F1619" t="s">
        <v>40</v>
      </c>
      <c r="H1619">
        <v>2595</v>
      </c>
      <c r="I1619">
        <v>12</v>
      </c>
      <c r="J1619">
        <v>0</v>
      </c>
      <c r="K1619" t="s">
        <v>16838</v>
      </c>
      <c r="L1619" t="s">
        <v>42</v>
      </c>
      <c r="N1619">
        <v>0.81240000000000001</v>
      </c>
      <c r="O1619" s="1">
        <v>1</v>
      </c>
      <c r="P1619" t="s">
        <v>16839</v>
      </c>
      <c r="Q1619" t="s">
        <v>16840</v>
      </c>
      <c r="S1619" t="s">
        <v>45</v>
      </c>
      <c r="T1619" t="s">
        <v>3013</v>
      </c>
      <c r="U1619" t="s">
        <v>16841</v>
      </c>
      <c r="V1619">
        <v>28</v>
      </c>
      <c r="Y1619">
        <v>13</v>
      </c>
      <c r="AE1619" t="s">
        <v>48</v>
      </c>
      <c r="AF1619" t="s">
        <v>16842</v>
      </c>
      <c r="AG1619" t="s">
        <v>16843</v>
      </c>
      <c r="AH1619" t="str">
        <f>HYPERLINK("http://compartments.jensenlab.org/Entity?figures=subcell_cell_%&amp;knowledge=10&amp;textmining=10&amp;experiments=10&amp;predictions=10&amp;type1=9606&amp;type2=-22&amp;id1=ENSP00000272895","link")</f>
        <v>link</v>
      </c>
      <c r="AJ1619" t="s">
        <v>2256</v>
      </c>
      <c r="AK1619" t="str">
        <f>HYPERLINK("http://www.proteinatlas.org/Q86UK0","HPA043194")</f>
        <v>HPA043194</v>
      </c>
      <c r="AM1619">
        <v>26154</v>
      </c>
    </row>
    <row r="1620" spans="1:39" x14ac:dyDescent="0.35">
      <c r="A1620" t="s">
        <v>16844</v>
      </c>
      <c r="B1620" t="str">
        <f>HYPERLINK("http://www.uniprot.org/uniprot/Q86UK5","Q86UK5")</f>
        <v>Q86UK5</v>
      </c>
      <c r="C1620" t="s">
        <v>16845</v>
      </c>
      <c r="D1620" t="s">
        <v>16846</v>
      </c>
      <c r="E1620" t="s">
        <v>39</v>
      </c>
      <c r="F1620" t="s">
        <v>40</v>
      </c>
      <c r="H1620">
        <v>1308</v>
      </c>
      <c r="I1620">
        <v>1</v>
      </c>
      <c r="J1620">
        <v>1</v>
      </c>
      <c r="K1620" t="s">
        <v>16847</v>
      </c>
      <c r="L1620" t="s">
        <v>57</v>
      </c>
      <c r="N1620">
        <v>0.78239999999999998</v>
      </c>
      <c r="O1620" s="1">
        <v>1</v>
      </c>
      <c r="P1620" t="s">
        <v>16848</v>
      </c>
      <c r="Q1620" t="s">
        <v>16849</v>
      </c>
      <c r="S1620" t="s">
        <v>60</v>
      </c>
      <c r="T1620" t="s">
        <v>60</v>
      </c>
      <c r="U1620" t="s">
        <v>16850</v>
      </c>
      <c r="V1620">
        <v>5</v>
      </c>
      <c r="Y1620">
        <v>1047</v>
      </c>
      <c r="AE1620" t="s">
        <v>16851</v>
      </c>
      <c r="AF1620" t="s">
        <v>16852</v>
      </c>
      <c r="AG1620" t="s">
        <v>16853</v>
      </c>
      <c r="AH1620" t="str">
        <f>HYPERLINK("http://compartments.jensenlab.org/Entity?figures=subcell_cell_%&amp;knowledge=10&amp;textmining=10&amp;experiments=10&amp;predictions=10&amp;type1=9606&amp;type2=-22&amp;id1=ENSP00000342144","link")</f>
        <v>link</v>
      </c>
      <c r="AI1620" t="s">
        <v>65</v>
      </c>
      <c r="AJ1620" t="s">
        <v>1101</v>
      </c>
      <c r="AK1620" t="str">
        <f>HYPERLINK("http://www.proteinatlas.org/Q86UK5","HPA040910;HPA048122")</f>
        <v>HPA040910;HPA048122</v>
      </c>
      <c r="AM1620">
        <v>132884</v>
      </c>
    </row>
    <row r="1621" spans="1:39" x14ac:dyDescent="0.35">
      <c r="A1621" t="s">
        <v>16854</v>
      </c>
      <c r="B1621" t="str">
        <f>HYPERLINK("http://www.uniprot.org/uniprot/Q86UN2","Q86UN2")</f>
        <v>Q86UN2</v>
      </c>
      <c r="C1621" t="s">
        <v>16855</v>
      </c>
      <c r="D1621" t="s">
        <v>16856</v>
      </c>
      <c r="E1621" t="s">
        <v>39</v>
      </c>
      <c r="F1621" t="s">
        <v>239</v>
      </c>
      <c r="H1621">
        <v>441</v>
      </c>
      <c r="I1621">
        <v>0</v>
      </c>
      <c r="J1621">
        <v>1</v>
      </c>
      <c r="K1621" t="s">
        <v>16857</v>
      </c>
      <c r="L1621" t="s">
        <v>57</v>
      </c>
      <c r="N1621">
        <v>0.72460000000000002</v>
      </c>
      <c r="O1621" s="1" t="s">
        <v>241</v>
      </c>
      <c r="P1621" t="s">
        <v>16858</v>
      </c>
      <c r="Q1621" t="s">
        <v>16859</v>
      </c>
      <c r="U1621" t="s">
        <v>16860</v>
      </c>
      <c r="V1621">
        <v>5</v>
      </c>
      <c r="W1621" t="s">
        <v>16860</v>
      </c>
      <c r="AE1621" t="s">
        <v>243</v>
      </c>
      <c r="AF1621" t="s">
        <v>16861</v>
      </c>
      <c r="AG1621" t="s">
        <v>16862</v>
      </c>
      <c r="AH1621" t="str">
        <f>HYPERLINK("http://compartments.jensenlab.org/Entity?figures=subcell_cell_%&amp;knowledge=10&amp;textmining=10&amp;experiments=10&amp;predictions=10&amp;type1=9606&amp;type2=-22&amp;id1=ENSP00000330631","link")</f>
        <v>link</v>
      </c>
      <c r="AI1621" t="s">
        <v>65</v>
      </c>
      <c r="AJ1621" t="s">
        <v>51</v>
      </c>
      <c r="AK1621" t="str">
        <f>HYPERLINK("http://www.proteinatlas.org/Q86UN2","HPA044428")</f>
        <v>HPA044428</v>
      </c>
      <c r="AM1621">
        <v>146760</v>
      </c>
    </row>
    <row r="1622" spans="1:39" x14ac:dyDescent="0.35">
      <c r="A1622" t="s">
        <v>16863</v>
      </c>
      <c r="B1622" t="str">
        <f>HYPERLINK("http://www.uniprot.org/uniprot/Q86UN3","Q86UN3")</f>
        <v>Q86UN3</v>
      </c>
      <c r="C1622" t="s">
        <v>16864</v>
      </c>
      <c r="D1622" t="s">
        <v>16865</v>
      </c>
      <c r="E1622" t="s">
        <v>39</v>
      </c>
      <c r="F1622" t="s">
        <v>239</v>
      </c>
      <c r="H1622">
        <v>420</v>
      </c>
      <c r="I1622">
        <v>0</v>
      </c>
      <c r="J1622">
        <v>1</v>
      </c>
      <c r="K1622" t="s">
        <v>16866</v>
      </c>
      <c r="L1622" t="s">
        <v>57</v>
      </c>
      <c r="N1622">
        <v>0.74050000000000005</v>
      </c>
      <c r="O1622" s="1" t="s">
        <v>241</v>
      </c>
      <c r="P1622" t="s">
        <v>16867</v>
      </c>
      <c r="Q1622" t="s">
        <v>16868</v>
      </c>
      <c r="U1622" t="s">
        <v>16869</v>
      </c>
      <c r="V1622">
        <v>5</v>
      </c>
      <c r="W1622" t="s">
        <v>16869</v>
      </c>
      <c r="AE1622" t="s">
        <v>243</v>
      </c>
      <c r="AF1622" t="s">
        <v>16870</v>
      </c>
      <c r="AG1622" t="s">
        <v>16871</v>
      </c>
      <c r="AH1622" t="str">
        <f>HYPERLINK("http://compartments.jensenlab.org/Entity?figures=subcell_cell_%&amp;knowledge=10&amp;textmining=10&amp;experiments=10&amp;predictions=10&amp;type1=9606&amp;type2=-22&amp;id1=ENSP00000335397","link")</f>
        <v>link</v>
      </c>
      <c r="AI1622" t="s">
        <v>65</v>
      </c>
      <c r="AJ1622" t="s">
        <v>51</v>
      </c>
      <c r="AK1622" t="str">
        <f>HYPERLINK("http://www.proteinatlas.org/Q86UN3","CAB024870")</f>
        <v>CAB024870</v>
      </c>
      <c r="AM1622">
        <v>349667</v>
      </c>
    </row>
    <row r="1623" spans="1:39" x14ac:dyDescent="0.35">
      <c r="A1623" t="s">
        <v>16872</v>
      </c>
      <c r="B1623" t="str">
        <f>HYPERLINK("http://www.uniprot.org/uniprot/Q86UP0","Q86UP0")</f>
        <v>Q86UP0</v>
      </c>
      <c r="C1623" t="s">
        <v>16873</v>
      </c>
      <c r="D1623" t="s">
        <v>16874</v>
      </c>
      <c r="E1623" t="s">
        <v>39</v>
      </c>
      <c r="F1623" t="s">
        <v>40</v>
      </c>
      <c r="H1623">
        <v>819</v>
      </c>
      <c r="I1623">
        <v>1</v>
      </c>
      <c r="J1623">
        <v>1</v>
      </c>
      <c r="K1623" t="s">
        <v>16875</v>
      </c>
      <c r="L1623" t="s">
        <v>57</v>
      </c>
      <c r="N1623">
        <v>0.88419999999999999</v>
      </c>
      <c r="O1623" s="1">
        <v>1</v>
      </c>
      <c r="P1623" t="s">
        <v>16876</v>
      </c>
      <c r="Q1623" t="s">
        <v>16877</v>
      </c>
      <c r="S1623" t="s">
        <v>91</v>
      </c>
      <c r="T1623" t="s">
        <v>2622</v>
      </c>
      <c r="U1623" t="s">
        <v>16878</v>
      </c>
      <c r="V1623">
        <v>3</v>
      </c>
      <c r="AE1623" t="s">
        <v>332</v>
      </c>
      <c r="AF1623" t="s">
        <v>10836</v>
      </c>
      <c r="AG1623" t="s">
        <v>16879</v>
      </c>
      <c r="AH1623" t="str">
        <f>HYPERLINK("http://compartments.jensenlab.org/Entity?figures=subcell_cell_%&amp;knowledge=10&amp;textmining=10&amp;experiments=10&amp;predictions=10&amp;type1=9606&amp;type2=-22&amp;id1=ENSP00000267383","link")</f>
        <v>link</v>
      </c>
      <c r="AI1623" t="s">
        <v>65</v>
      </c>
      <c r="AJ1623" t="s">
        <v>51</v>
      </c>
      <c r="AK1623" t="str">
        <f>HYPERLINK("http://www.proteinatlas.org/Q86UP0","HPA054135")</f>
        <v>HPA054135</v>
      </c>
      <c r="AM1623">
        <v>64403</v>
      </c>
    </row>
    <row r="1624" spans="1:39" x14ac:dyDescent="0.35">
      <c r="A1624" t="s">
        <v>16880</v>
      </c>
      <c r="B1624" t="str">
        <f>HYPERLINK("http://www.uniprot.org/uniprot/Q86UP6","Q86UP6")</f>
        <v>Q86UP6</v>
      </c>
      <c r="C1624" t="s">
        <v>16881</v>
      </c>
      <c r="D1624" t="s">
        <v>16882</v>
      </c>
      <c r="E1624" t="s">
        <v>39</v>
      </c>
      <c r="F1624" t="s">
        <v>40</v>
      </c>
      <c r="H1624">
        <v>607</v>
      </c>
      <c r="I1624">
        <v>1</v>
      </c>
      <c r="J1624">
        <v>1</v>
      </c>
      <c r="K1624" t="s">
        <v>16883</v>
      </c>
      <c r="L1624" t="s">
        <v>57</v>
      </c>
      <c r="N1624">
        <v>0.71660000000000001</v>
      </c>
      <c r="O1624" s="1">
        <v>2</v>
      </c>
      <c r="P1624" t="s">
        <v>16884</v>
      </c>
      <c r="Q1624" t="s">
        <v>16885</v>
      </c>
      <c r="S1624" t="s">
        <v>60</v>
      </c>
      <c r="T1624" t="s">
        <v>60</v>
      </c>
      <c r="U1624" t="s">
        <v>16886</v>
      </c>
      <c r="V1624">
        <v>8</v>
      </c>
      <c r="AE1624" t="s">
        <v>16887</v>
      </c>
      <c r="AF1624" t="s">
        <v>16888</v>
      </c>
      <c r="AG1624" t="s">
        <v>16889</v>
      </c>
      <c r="AH1624" t="str">
        <f>HYPERLINK("http://compartments.jensenlab.org/Entity?figures=subcell_cell_%&amp;knowledge=10&amp;textmining=10&amp;experiments=10&amp;predictions=10&amp;type1=9606&amp;type2=-22&amp;id1=ENSP00000357900","link")</f>
        <v>link</v>
      </c>
      <c r="AJ1624" t="s">
        <v>4458</v>
      </c>
      <c r="AK1624" t="str">
        <f>HYPERLINK("http://www.proteinatlas.org/Q86UP6","no")</f>
        <v>no</v>
      </c>
      <c r="AM1624">
        <v>50624</v>
      </c>
    </row>
    <row r="1625" spans="1:39" x14ac:dyDescent="0.35">
      <c r="A1625" t="s">
        <v>16890</v>
      </c>
      <c r="B1625" t="str">
        <f>HYPERLINK("http://www.uniprot.org/uniprot/Q86UQ4","Q86UQ4")</f>
        <v>Q86UQ4</v>
      </c>
      <c r="C1625" t="s">
        <v>16891</v>
      </c>
      <c r="D1625" t="s">
        <v>16892</v>
      </c>
      <c r="E1625" t="s">
        <v>39</v>
      </c>
      <c r="F1625" t="s">
        <v>40</v>
      </c>
      <c r="H1625">
        <v>5058</v>
      </c>
      <c r="I1625">
        <v>14</v>
      </c>
      <c r="J1625">
        <v>0</v>
      </c>
      <c r="K1625" t="s">
        <v>16893</v>
      </c>
      <c r="L1625" t="s">
        <v>42</v>
      </c>
      <c r="N1625">
        <v>0.77839999999999998</v>
      </c>
      <c r="O1625" s="1">
        <v>1</v>
      </c>
      <c r="P1625" t="s">
        <v>16894</v>
      </c>
      <c r="S1625" t="s">
        <v>45</v>
      </c>
      <c r="T1625" t="s">
        <v>3013</v>
      </c>
      <c r="U1625" t="s">
        <v>16895</v>
      </c>
      <c r="V1625">
        <v>71</v>
      </c>
      <c r="Y1625" t="s">
        <v>16896</v>
      </c>
      <c r="AE1625" t="s">
        <v>48</v>
      </c>
      <c r="AF1625" t="s">
        <v>16897</v>
      </c>
      <c r="AG1625" t="s">
        <v>16898</v>
      </c>
      <c r="AK1625" t="str">
        <f>HYPERLINK("http://www.proteinatlas.org/Q86UQ4","HPA039914")</f>
        <v>HPA039914</v>
      </c>
      <c r="AM1625">
        <v>154664</v>
      </c>
    </row>
    <row r="1626" spans="1:39" x14ac:dyDescent="0.35">
      <c r="A1626" t="s">
        <v>16899</v>
      </c>
      <c r="B1626" t="str">
        <f>HYPERLINK("http://www.uniprot.org/uniprot/Q86UW1","Q86UW1")</f>
        <v>Q86UW1</v>
      </c>
      <c r="C1626" t="s">
        <v>16900</v>
      </c>
      <c r="D1626" t="s">
        <v>16901</v>
      </c>
      <c r="E1626" t="s">
        <v>39</v>
      </c>
      <c r="F1626" t="s">
        <v>55</v>
      </c>
      <c r="H1626">
        <v>340</v>
      </c>
      <c r="I1626">
        <v>7</v>
      </c>
      <c r="J1626">
        <v>0</v>
      </c>
      <c r="K1626" t="s">
        <v>16902</v>
      </c>
      <c r="L1626" t="s">
        <v>57</v>
      </c>
      <c r="M1626" t="s">
        <v>39</v>
      </c>
      <c r="N1626">
        <v>0.61680000000000001</v>
      </c>
      <c r="O1626" s="1">
        <v>2</v>
      </c>
      <c r="P1626" t="s">
        <v>16903</v>
      </c>
      <c r="Q1626" t="s">
        <v>16904</v>
      </c>
      <c r="S1626" t="s">
        <v>60</v>
      </c>
      <c r="T1626" t="s">
        <v>60</v>
      </c>
      <c r="V1626">
        <v>0</v>
      </c>
      <c r="AE1626" t="s">
        <v>1497</v>
      </c>
      <c r="AF1626" t="s">
        <v>16905</v>
      </c>
      <c r="AG1626" t="s">
        <v>16906</v>
      </c>
      <c r="AH1626" t="str">
        <f>HYPERLINK("http://compartments.jensenlab.org/Entity?figures=subcell_cell_%&amp;knowledge=10&amp;textmining=10&amp;experiments=10&amp;predictions=10&amp;type1=9606&amp;type2=-22&amp;id1=ENSP00000296327","link")</f>
        <v>link</v>
      </c>
      <c r="AI1626" t="s">
        <v>65</v>
      </c>
      <c r="AJ1626" t="s">
        <v>51</v>
      </c>
      <c r="AK1626" t="str">
        <f>HYPERLINK("http://www.proteinatlas.org/Q86UW1","HPA039123")</f>
        <v>HPA039123</v>
      </c>
      <c r="AM1626">
        <v>200931</v>
      </c>
    </row>
    <row r="1627" spans="1:39" x14ac:dyDescent="0.35">
      <c r="A1627" t="s">
        <v>16907</v>
      </c>
      <c r="B1627" t="str">
        <f>HYPERLINK("http://www.uniprot.org/uniprot/Q86UW2","Q86UW2")</f>
        <v>Q86UW2</v>
      </c>
      <c r="C1627" t="s">
        <v>16908</v>
      </c>
      <c r="D1627" t="s">
        <v>16909</v>
      </c>
      <c r="E1627" t="s">
        <v>39</v>
      </c>
      <c r="F1627" t="s">
        <v>55</v>
      </c>
      <c r="H1627">
        <v>128</v>
      </c>
      <c r="I1627">
        <v>1</v>
      </c>
      <c r="J1627">
        <v>0</v>
      </c>
      <c r="K1627" t="s">
        <v>16910</v>
      </c>
      <c r="L1627" t="s">
        <v>57</v>
      </c>
      <c r="M1627" t="s">
        <v>39</v>
      </c>
      <c r="N1627">
        <v>0.14019999999999999</v>
      </c>
      <c r="O1627" s="1"/>
      <c r="P1627" t="s">
        <v>16911</v>
      </c>
      <c r="Q1627" t="s">
        <v>16912</v>
      </c>
      <c r="S1627" t="s">
        <v>60</v>
      </c>
      <c r="T1627" t="s">
        <v>60</v>
      </c>
      <c r="U1627">
        <v>37</v>
      </c>
      <c r="V1627">
        <v>0</v>
      </c>
      <c r="AE1627" t="s">
        <v>3665</v>
      </c>
      <c r="AF1627" t="s">
        <v>16913</v>
      </c>
      <c r="AG1627" t="s">
        <v>16914</v>
      </c>
      <c r="AH1627" t="str">
        <f>HYPERLINK("http://compartments.jensenlab.org/Entity?figures=subcell_cell_%&amp;knowledge=10&amp;textmining=10&amp;experiments=10&amp;predictions=10&amp;type1=9606&amp;type2=-22&amp;id1=ENSP00000335292","link")</f>
        <v>link</v>
      </c>
      <c r="AI1627" t="s">
        <v>65</v>
      </c>
      <c r="AJ1627" t="s">
        <v>51</v>
      </c>
      <c r="AK1627" t="str">
        <f>HYPERLINK("http://www.proteinatlas.org/Q86UW2","HPA008533")</f>
        <v>HPA008533</v>
      </c>
      <c r="AM1627">
        <v>123264</v>
      </c>
    </row>
    <row r="1628" spans="1:39" x14ac:dyDescent="0.35">
      <c r="A1628" t="s">
        <v>16915</v>
      </c>
      <c r="B1628" t="str">
        <f>HYPERLINK("http://www.uniprot.org/uniprot/Q86V24","Q86V24")</f>
        <v>Q86V24</v>
      </c>
      <c r="C1628" t="s">
        <v>16916</v>
      </c>
      <c r="D1628" t="s">
        <v>16917</v>
      </c>
      <c r="E1628" t="s">
        <v>39</v>
      </c>
      <c r="F1628" t="s">
        <v>40</v>
      </c>
      <c r="H1628">
        <v>386</v>
      </c>
      <c r="I1628">
        <v>7</v>
      </c>
      <c r="J1628">
        <v>0</v>
      </c>
      <c r="K1628" t="s">
        <v>16918</v>
      </c>
      <c r="L1628" t="s">
        <v>57</v>
      </c>
      <c r="N1628">
        <v>0.62870000000000004</v>
      </c>
      <c r="O1628" s="1">
        <v>2</v>
      </c>
      <c r="P1628" t="s">
        <v>16919</v>
      </c>
      <c r="Q1628" t="s">
        <v>16920</v>
      </c>
      <c r="S1628" t="s">
        <v>166</v>
      </c>
      <c r="T1628" t="s">
        <v>16921</v>
      </c>
      <c r="U1628" t="s">
        <v>16922</v>
      </c>
      <c r="V1628">
        <v>1</v>
      </c>
      <c r="AE1628" t="s">
        <v>48</v>
      </c>
      <c r="AF1628" t="s">
        <v>16923</v>
      </c>
      <c r="AG1628" t="s">
        <v>16924</v>
      </c>
      <c r="AH1628" t="str">
        <f>HYPERLINK("http://compartments.jensenlab.org/Entity?figures=subcell_cell_%&amp;knowledge=10&amp;textmining=10&amp;experiments=10&amp;predictions=10&amp;type1=9606&amp;type2=-22&amp;id1=ENSP00000349616","link")</f>
        <v>link</v>
      </c>
      <c r="AJ1628" t="s">
        <v>51</v>
      </c>
      <c r="AK1628" t="str">
        <f>HYPERLINK("http://www.proteinatlas.org/Q86V24","HPA043737")</f>
        <v>HPA043737</v>
      </c>
      <c r="AM1628">
        <v>79602</v>
      </c>
    </row>
    <row r="1629" spans="1:39" x14ac:dyDescent="0.35">
      <c r="A1629" t="s">
        <v>16925</v>
      </c>
      <c r="B1629" t="str">
        <f>HYPERLINK("http://www.uniprot.org/uniprot/Q86V40","Q86V40")</f>
        <v>Q86V40</v>
      </c>
      <c r="C1629" t="s">
        <v>16926</v>
      </c>
      <c r="D1629" t="s">
        <v>16927</v>
      </c>
      <c r="E1629" t="s">
        <v>39</v>
      </c>
      <c r="F1629" t="s">
        <v>40</v>
      </c>
      <c r="H1629">
        <v>505</v>
      </c>
      <c r="I1629">
        <v>1</v>
      </c>
      <c r="J1629">
        <v>1</v>
      </c>
      <c r="K1629" t="s">
        <v>16928</v>
      </c>
      <c r="L1629" t="s">
        <v>57</v>
      </c>
      <c r="N1629">
        <v>0.71460000000000001</v>
      </c>
      <c r="O1629" s="1">
        <v>2</v>
      </c>
      <c r="P1629" t="s">
        <v>16929</v>
      </c>
      <c r="Q1629" t="s">
        <v>16930</v>
      </c>
      <c r="S1629" t="s">
        <v>60</v>
      </c>
      <c r="T1629" t="s">
        <v>60</v>
      </c>
      <c r="U1629" t="s">
        <v>16931</v>
      </c>
      <c r="V1629">
        <v>4</v>
      </c>
      <c r="W1629" t="s">
        <v>16932</v>
      </c>
      <c r="AE1629" t="s">
        <v>332</v>
      </c>
      <c r="AF1629" t="s">
        <v>16933</v>
      </c>
      <c r="AG1629" t="s">
        <v>16934</v>
      </c>
      <c r="AH1629" t="str">
        <f>HYPERLINK("http://compartments.jensenlab.org/Entity?figures=subcell_cell_%&amp;knowledge=10&amp;textmining=10&amp;experiments=10&amp;predictions=10&amp;type1=9606&amp;type2=-22&amp;id1=ENSP00000387075","link")</f>
        <v>link</v>
      </c>
      <c r="AK1629" t="str">
        <f>HYPERLINK("http://www.proteinatlas.org/Q86V40","HPA045817")</f>
        <v>HPA045817</v>
      </c>
      <c r="AM1629">
        <v>129293</v>
      </c>
    </row>
    <row r="1630" spans="1:39" x14ac:dyDescent="0.35">
      <c r="A1630" t="s">
        <v>16935</v>
      </c>
      <c r="B1630" t="str">
        <f>HYPERLINK("http://www.uniprot.org/uniprot/Q86V85","Q86V85")</f>
        <v>Q86V85</v>
      </c>
      <c r="C1630" t="s">
        <v>16936</v>
      </c>
      <c r="D1630" t="s">
        <v>16937</v>
      </c>
      <c r="E1630" t="s">
        <v>39</v>
      </c>
      <c r="F1630" t="s">
        <v>40</v>
      </c>
      <c r="H1630">
        <v>440</v>
      </c>
      <c r="I1630">
        <v>7</v>
      </c>
      <c r="J1630">
        <v>1</v>
      </c>
      <c r="K1630" t="s">
        <v>16938</v>
      </c>
      <c r="L1630" t="s">
        <v>42</v>
      </c>
      <c r="N1630">
        <v>0.75849999999999995</v>
      </c>
      <c r="O1630" s="1">
        <v>1</v>
      </c>
      <c r="P1630" t="s">
        <v>16939</v>
      </c>
      <c r="Q1630" t="s">
        <v>16940</v>
      </c>
      <c r="S1630" t="s">
        <v>60</v>
      </c>
      <c r="T1630" t="s">
        <v>60</v>
      </c>
      <c r="U1630" t="s">
        <v>16941</v>
      </c>
      <c r="V1630">
        <v>2</v>
      </c>
      <c r="AE1630" t="s">
        <v>48</v>
      </c>
      <c r="AF1630" t="s">
        <v>226</v>
      </c>
      <c r="AG1630" t="s">
        <v>16942</v>
      </c>
      <c r="AH1630" t="str">
        <f>HYPERLINK("http://compartments.jensenlab.org/Entity?figures=subcell_cell_%&amp;knowledge=10&amp;textmining=10&amp;experiments=10&amp;predictions=10&amp;type1=9606&amp;type2=-22&amp;id1=ENSP00000366157","link")</f>
        <v>link</v>
      </c>
      <c r="AJ1630" t="s">
        <v>51</v>
      </c>
      <c r="AK1630" t="str">
        <f>HYPERLINK("http://www.proteinatlas.org/Q86V85","HPA047250")</f>
        <v>HPA047250</v>
      </c>
      <c r="AM1630">
        <v>160897</v>
      </c>
    </row>
    <row r="1631" spans="1:39" x14ac:dyDescent="0.35">
      <c r="A1631" t="s">
        <v>16943</v>
      </c>
      <c r="B1631" t="str">
        <f>HYPERLINK("http://www.uniprot.org/uniprot/Q86VB7","Q86VB7")</f>
        <v>Q86VB7</v>
      </c>
      <c r="C1631" t="s">
        <v>16944</v>
      </c>
      <c r="D1631" t="s">
        <v>16945</v>
      </c>
      <c r="E1631" t="s">
        <v>39</v>
      </c>
      <c r="F1631" t="s">
        <v>55</v>
      </c>
      <c r="H1631">
        <v>1156</v>
      </c>
      <c r="I1631">
        <v>1</v>
      </c>
      <c r="J1631">
        <v>1</v>
      </c>
      <c r="K1631" t="s">
        <v>16946</v>
      </c>
      <c r="L1631" t="s">
        <v>101</v>
      </c>
      <c r="M1631" t="s">
        <v>39</v>
      </c>
      <c r="N1631">
        <v>0.94650000000000001</v>
      </c>
      <c r="O1631" s="1">
        <v>1</v>
      </c>
      <c r="P1631" t="s">
        <v>16947</v>
      </c>
      <c r="Q1631" t="s">
        <v>16948</v>
      </c>
      <c r="R1631" t="s">
        <v>16945</v>
      </c>
      <c r="S1631" t="s">
        <v>60</v>
      </c>
      <c r="T1631" t="s">
        <v>60</v>
      </c>
      <c r="U1631" t="s">
        <v>16949</v>
      </c>
      <c r="V1631">
        <v>11</v>
      </c>
      <c r="W1631" t="s">
        <v>16949</v>
      </c>
      <c r="Z1631" t="s">
        <v>107</v>
      </c>
      <c r="AA1631">
        <v>1</v>
      </c>
      <c r="AB1631" t="s">
        <v>16950</v>
      </c>
      <c r="AC1631">
        <v>1027</v>
      </c>
      <c r="AD1631" t="s">
        <v>16951</v>
      </c>
      <c r="AE1631" t="s">
        <v>1250</v>
      </c>
      <c r="AF1631" t="s">
        <v>16952</v>
      </c>
      <c r="AG1631" t="s">
        <v>16953</v>
      </c>
      <c r="AH1631" t="str">
        <f>HYPERLINK("http://compartments.jensenlab.org/Entity?figures=subcell_cell_%&amp;knowledge=10&amp;textmining=10&amp;experiments=10&amp;predictions=10&amp;type1=9606&amp;type2=-22&amp;id1=ENSP00000352071","link")</f>
        <v>link</v>
      </c>
      <c r="AI1631" t="s">
        <v>1058</v>
      </c>
      <c r="AJ1631" t="s">
        <v>902</v>
      </c>
      <c r="AK1631" t="str">
        <f>HYPERLINK("http://www.proteinatlas.org/Q86VB7","CAB002432")</f>
        <v>CAB002432</v>
      </c>
      <c r="AL1631" t="s">
        <v>16954</v>
      </c>
      <c r="AM1631">
        <v>9332</v>
      </c>
    </row>
    <row r="1632" spans="1:39" x14ac:dyDescent="0.35">
      <c r="A1632" t="s">
        <v>16955</v>
      </c>
      <c r="B1632" t="str">
        <f>HYPERLINK("http://www.uniprot.org/uniprot/Q86VE9","Q86VE9")</f>
        <v>Q86VE9</v>
      </c>
      <c r="C1632" t="s">
        <v>16956</v>
      </c>
      <c r="D1632" t="s">
        <v>16957</v>
      </c>
      <c r="E1632" t="s">
        <v>39</v>
      </c>
      <c r="F1632" t="s">
        <v>40</v>
      </c>
      <c r="H1632">
        <v>423</v>
      </c>
      <c r="I1632">
        <v>9</v>
      </c>
      <c r="J1632">
        <v>0</v>
      </c>
      <c r="K1632" t="s">
        <v>16958</v>
      </c>
      <c r="L1632" t="s">
        <v>57</v>
      </c>
      <c r="N1632">
        <v>0.77639999999999998</v>
      </c>
      <c r="O1632" s="1">
        <v>1</v>
      </c>
      <c r="P1632" t="s">
        <v>16959</v>
      </c>
      <c r="S1632" t="s">
        <v>45</v>
      </c>
      <c r="T1632" t="s">
        <v>384</v>
      </c>
      <c r="U1632" t="s">
        <v>16960</v>
      </c>
      <c r="V1632">
        <v>2</v>
      </c>
      <c r="AE1632" t="s">
        <v>977</v>
      </c>
      <c r="AF1632" t="s">
        <v>16961</v>
      </c>
      <c r="AG1632" t="s">
        <v>16962</v>
      </c>
      <c r="AK1632" t="str">
        <f>HYPERLINK("http://www.proteinatlas.org/Q86VE9","HPA037898;HPA037899")</f>
        <v>HPA037898;HPA037899</v>
      </c>
      <c r="AM1632">
        <v>256987</v>
      </c>
    </row>
    <row r="1633" spans="1:39" x14ac:dyDescent="0.35">
      <c r="A1633" t="s">
        <v>16963</v>
      </c>
      <c r="B1633" t="str">
        <f>HYPERLINK("http://www.uniprot.org/uniprot/Q86VH4","Q86VH4")</f>
        <v>Q86VH4</v>
      </c>
      <c r="C1633" t="s">
        <v>16964</v>
      </c>
      <c r="D1633" t="s">
        <v>16965</v>
      </c>
      <c r="E1633" t="s">
        <v>39</v>
      </c>
      <c r="F1633" t="s">
        <v>40</v>
      </c>
      <c r="H1633">
        <v>590</v>
      </c>
      <c r="I1633">
        <v>1</v>
      </c>
      <c r="J1633">
        <v>1</v>
      </c>
      <c r="K1633" t="s">
        <v>16966</v>
      </c>
      <c r="L1633" t="s">
        <v>57</v>
      </c>
      <c r="N1633">
        <v>0.91420000000000001</v>
      </c>
      <c r="O1633" s="1">
        <v>1</v>
      </c>
      <c r="P1633" t="s">
        <v>16967</v>
      </c>
      <c r="Q1633" t="s">
        <v>16968</v>
      </c>
      <c r="S1633" t="s">
        <v>91</v>
      </c>
      <c r="T1633" t="s">
        <v>260</v>
      </c>
      <c r="U1633" t="s">
        <v>16969</v>
      </c>
      <c r="V1633">
        <v>3</v>
      </c>
      <c r="AE1633" t="s">
        <v>1775</v>
      </c>
      <c r="AF1633" t="s">
        <v>16970</v>
      </c>
      <c r="AG1633" t="s">
        <v>16971</v>
      </c>
      <c r="AH1633" t="str">
        <f>HYPERLINK("http://compartments.jensenlab.org/Entity?figures=subcell_cell_%&amp;knowledge=10&amp;textmining=10&amp;experiments=10&amp;predictions=10&amp;type1=9606&amp;type2=-22&amp;id1=ENSP00000386357","link")</f>
        <v>link</v>
      </c>
      <c r="AJ1633" t="s">
        <v>51</v>
      </c>
      <c r="AK1633" t="str">
        <f>HYPERLINK("http://www.proteinatlas.org/Q86VH4","no")</f>
        <v>no</v>
      </c>
      <c r="AM1633">
        <v>80059</v>
      </c>
    </row>
    <row r="1634" spans="1:39" x14ac:dyDescent="0.35">
      <c r="A1634" t="s">
        <v>16972</v>
      </c>
      <c r="B1634" t="str">
        <f>HYPERLINK("http://www.uniprot.org/uniprot/Q86VH5","Q86VH5")</f>
        <v>Q86VH5</v>
      </c>
      <c r="C1634" t="s">
        <v>16973</v>
      </c>
      <c r="D1634" t="s">
        <v>16974</v>
      </c>
      <c r="E1634" t="s">
        <v>39</v>
      </c>
      <c r="F1634" t="s">
        <v>40</v>
      </c>
      <c r="H1634">
        <v>581</v>
      </c>
      <c r="I1634">
        <v>1</v>
      </c>
      <c r="J1634">
        <v>1</v>
      </c>
      <c r="K1634" t="s">
        <v>16975</v>
      </c>
      <c r="L1634" t="s">
        <v>57</v>
      </c>
      <c r="N1634">
        <v>0.83830000000000005</v>
      </c>
      <c r="O1634" s="1">
        <v>1</v>
      </c>
      <c r="P1634" t="s">
        <v>16976</v>
      </c>
      <c r="Q1634" t="s">
        <v>16977</v>
      </c>
      <c r="S1634" t="s">
        <v>91</v>
      </c>
      <c r="T1634" t="s">
        <v>260</v>
      </c>
      <c r="U1634" t="s">
        <v>16978</v>
      </c>
      <c r="V1634">
        <v>2</v>
      </c>
      <c r="AE1634" t="s">
        <v>1775</v>
      </c>
      <c r="AF1634" t="s">
        <v>16970</v>
      </c>
      <c r="AG1634" t="s">
        <v>16979</v>
      </c>
      <c r="AH1634" t="str">
        <f>HYPERLINK("http://compartments.jensenlab.org/Entity?figures=subcell_cell_%&amp;knowledge=10&amp;textmining=10&amp;experiments=10&amp;predictions=10&amp;type1=9606&amp;type2=-22&amp;id1=ENSP00000355187","link")</f>
        <v>link</v>
      </c>
      <c r="AJ1634" t="s">
        <v>51</v>
      </c>
      <c r="AK1634" t="str">
        <f>HYPERLINK("http://www.proteinatlas.org/Q86VH5","HPA024109")</f>
        <v>HPA024109</v>
      </c>
      <c r="AM1634">
        <v>347731</v>
      </c>
    </row>
    <row r="1635" spans="1:39" x14ac:dyDescent="0.35">
      <c r="A1635" t="s">
        <v>16980</v>
      </c>
      <c r="B1635" t="str">
        <f>HYPERLINK("http://www.uniprot.org/uniprot/Q86VR7","Q86VR7")</f>
        <v>Q86VR7</v>
      </c>
      <c r="C1635" t="s">
        <v>16981</v>
      </c>
      <c r="D1635" t="s">
        <v>16982</v>
      </c>
      <c r="E1635" t="s">
        <v>39</v>
      </c>
      <c r="F1635" t="s">
        <v>40</v>
      </c>
      <c r="H1635">
        <v>867</v>
      </c>
      <c r="I1635">
        <v>1</v>
      </c>
      <c r="J1635">
        <v>1</v>
      </c>
      <c r="K1635" t="s">
        <v>16983</v>
      </c>
      <c r="L1635" t="s">
        <v>57</v>
      </c>
      <c r="N1635">
        <v>0.86629999999999996</v>
      </c>
      <c r="O1635" s="1">
        <v>1</v>
      </c>
      <c r="P1635" t="s">
        <v>16984</v>
      </c>
      <c r="Q1635" t="s">
        <v>16985</v>
      </c>
      <c r="S1635" t="s">
        <v>91</v>
      </c>
      <c r="T1635" t="s">
        <v>555</v>
      </c>
      <c r="U1635" t="s">
        <v>16986</v>
      </c>
      <c r="V1635">
        <v>8</v>
      </c>
      <c r="AE1635" t="s">
        <v>144</v>
      </c>
      <c r="AF1635" t="s">
        <v>730</v>
      </c>
      <c r="AG1635" t="s">
        <v>16987</v>
      </c>
      <c r="AH1635" t="str">
        <f>HYPERLINK("http://compartments.jensenlab.org/Entity?figures=subcell_cell_%&amp;knowledge=10&amp;textmining=10&amp;experiments=10&amp;predictions=10&amp;type1=9606&amp;type2=-22&amp;id1=ENSP00000335623","link")</f>
        <v>link</v>
      </c>
      <c r="AJ1635" t="s">
        <v>51</v>
      </c>
      <c r="AK1635" t="str">
        <f>HYPERLINK("http://www.proteinatlas.org/Q86VR7","HPA060453")</f>
        <v>HPA060453</v>
      </c>
      <c r="AM1635">
        <v>147645</v>
      </c>
    </row>
    <row r="1636" spans="1:39" x14ac:dyDescent="0.35">
      <c r="A1636" t="s">
        <v>16988</v>
      </c>
      <c r="B1636" t="str">
        <f>HYPERLINK("http://www.uniprot.org/uniprot/Q86VW1","Q86VW1")</f>
        <v>Q86VW1</v>
      </c>
      <c r="C1636" t="s">
        <v>16989</v>
      </c>
      <c r="D1636" t="s">
        <v>16990</v>
      </c>
      <c r="E1636" t="s">
        <v>39</v>
      </c>
      <c r="F1636" t="s">
        <v>55</v>
      </c>
      <c r="H1636">
        <v>577</v>
      </c>
      <c r="I1636">
        <v>12</v>
      </c>
      <c r="J1636">
        <v>0</v>
      </c>
      <c r="K1636" t="s">
        <v>16991</v>
      </c>
      <c r="L1636" t="s">
        <v>118</v>
      </c>
      <c r="M1636" t="s">
        <v>39</v>
      </c>
      <c r="N1636">
        <v>0.82350000000000001</v>
      </c>
      <c r="O1636" s="1">
        <v>1</v>
      </c>
      <c r="P1636" t="s">
        <v>16992</v>
      </c>
      <c r="Q1636" t="s">
        <v>16993</v>
      </c>
      <c r="S1636" t="s">
        <v>45</v>
      </c>
      <c r="T1636" t="s">
        <v>121</v>
      </c>
      <c r="U1636" t="s">
        <v>16994</v>
      </c>
      <c r="V1636">
        <v>4</v>
      </c>
      <c r="Y1636">
        <v>363</v>
      </c>
      <c r="Z1636" t="s">
        <v>107</v>
      </c>
      <c r="AA1636">
        <v>1</v>
      </c>
      <c r="AB1636" t="s">
        <v>16995</v>
      </c>
      <c r="AC1636">
        <v>108</v>
      </c>
      <c r="AD1636" t="s">
        <v>16996</v>
      </c>
      <c r="AE1636" t="s">
        <v>13027</v>
      </c>
      <c r="AF1636" t="s">
        <v>16997</v>
      </c>
      <c r="AG1636" t="s">
        <v>16998</v>
      </c>
      <c r="AH1636" t="str">
        <f>HYPERLINK("http://compartments.jensenlab.org/Entity?figures=subcell_cell_%&amp;knowledge=10&amp;textmining=10&amp;experiments=10&amp;predictions=10&amp;type1=9606&amp;type2=-22&amp;id1=ENSP00000357915","link")</f>
        <v>link</v>
      </c>
      <c r="AI1636" t="s">
        <v>65</v>
      </c>
      <c r="AJ1636" t="s">
        <v>51</v>
      </c>
      <c r="AK1636" t="str">
        <f>HYPERLINK("http://www.proteinatlas.org/Q86VW1","HPA036902;HPA036903")</f>
        <v>HPA036902;HPA036903</v>
      </c>
      <c r="AM1636">
        <v>85413</v>
      </c>
    </row>
    <row r="1637" spans="1:39" x14ac:dyDescent="0.35">
      <c r="A1637" t="s">
        <v>16999</v>
      </c>
      <c r="B1637" t="str">
        <f>HYPERLINK("http://www.uniprot.org/uniprot/Q86VZ1","Q86VZ1")</f>
        <v>Q86VZ1</v>
      </c>
      <c r="C1637" t="s">
        <v>17000</v>
      </c>
      <c r="D1637" t="s">
        <v>17001</v>
      </c>
      <c r="E1637" t="s">
        <v>39</v>
      </c>
      <c r="F1637" t="s">
        <v>55</v>
      </c>
      <c r="H1637">
        <v>359</v>
      </c>
      <c r="I1637">
        <v>7</v>
      </c>
      <c r="J1637">
        <v>0</v>
      </c>
      <c r="K1637" t="s">
        <v>17002</v>
      </c>
      <c r="L1637" t="s">
        <v>101</v>
      </c>
      <c r="M1637" t="s">
        <v>39</v>
      </c>
      <c r="N1637">
        <v>0.91259999999999997</v>
      </c>
      <c r="O1637" s="1">
        <v>1</v>
      </c>
      <c r="P1637" t="s">
        <v>17003</v>
      </c>
      <c r="Q1637" t="s">
        <v>17004</v>
      </c>
      <c r="S1637" t="s">
        <v>166</v>
      </c>
      <c r="T1637" t="s">
        <v>838</v>
      </c>
      <c r="U1637" t="s">
        <v>17005</v>
      </c>
      <c r="V1637">
        <v>2</v>
      </c>
      <c r="Z1637" t="s">
        <v>107</v>
      </c>
      <c r="AA1637">
        <v>3</v>
      </c>
      <c r="AB1637" t="s">
        <v>17006</v>
      </c>
      <c r="AC1637" t="s">
        <v>17007</v>
      </c>
      <c r="AD1637" t="s">
        <v>17008</v>
      </c>
      <c r="AE1637" t="s">
        <v>74</v>
      </c>
      <c r="AF1637" t="s">
        <v>13176</v>
      </c>
      <c r="AG1637" t="s">
        <v>17009</v>
      </c>
      <c r="AH1637" t="str">
        <f>HYPERLINK("http://compartments.jensenlab.org/Entity?figures=subcell_cell_%&amp;knowledge=10&amp;textmining=10&amp;experiments=10&amp;predictions=10&amp;type1=9606&amp;type2=-22&amp;id1=ENSP00000370697","link")</f>
        <v>link</v>
      </c>
      <c r="AI1637" t="s">
        <v>65</v>
      </c>
      <c r="AJ1637" t="s">
        <v>51</v>
      </c>
      <c r="AK1637" t="str">
        <f>HYPERLINK("http://www.proteinatlas.org/Q86VZ1","HPA003631")</f>
        <v>HPA003631</v>
      </c>
      <c r="AM1637">
        <v>286530</v>
      </c>
    </row>
    <row r="1638" spans="1:39" x14ac:dyDescent="0.35">
      <c r="A1638" t="s">
        <v>17010</v>
      </c>
      <c r="B1638" t="str">
        <f>HYPERLINK("http://www.uniprot.org/uniprot/Q86VZ4","Q86VZ4")</f>
        <v>Q86VZ4</v>
      </c>
      <c r="C1638" t="s">
        <v>17011</v>
      </c>
      <c r="D1638" t="s">
        <v>17012</v>
      </c>
      <c r="E1638" t="s">
        <v>39</v>
      </c>
      <c r="F1638" t="s">
        <v>40</v>
      </c>
      <c r="H1638">
        <v>500</v>
      </c>
      <c r="I1638">
        <v>1</v>
      </c>
      <c r="J1638">
        <v>1</v>
      </c>
      <c r="K1638" t="s">
        <v>17013</v>
      </c>
      <c r="L1638" t="s">
        <v>101</v>
      </c>
      <c r="N1638">
        <v>0.64270000000000005</v>
      </c>
      <c r="O1638" s="1">
        <v>2</v>
      </c>
      <c r="P1638" t="s">
        <v>17014</v>
      </c>
      <c r="Q1638" t="s">
        <v>17015</v>
      </c>
      <c r="S1638" t="s">
        <v>166</v>
      </c>
      <c r="T1638" t="s">
        <v>2518</v>
      </c>
      <c r="U1638" t="s">
        <v>17016</v>
      </c>
      <c r="V1638">
        <v>3</v>
      </c>
      <c r="Y1638" t="s">
        <v>17017</v>
      </c>
      <c r="Z1638" t="s">
        <v>107</v>
      </c>
      <c r="AA1638">
        <v>1</v>
      </c>
      <c r="AB1638" t="s">
        <v>17018</v>
      </c>
      <c r="AC1638">
        <v>164</v>
      </c>
      <c r="AD1638" t="s">
        <v>17019</v>
      </c>
      <c r="AE1638" t="s">
        <v>144</v>
      </c>
      <c r="AF1638" t="s">
        <v>17020</v>
      </c>
      <c r="AG1638" t="s">
        <v>17021</v>
      </c>
      <c r="AH1638" t="str">
        <f>HYPERLINK("http://compartments.jensenlab.org/Entity?figures=subcell_cell_%&amp;knowledge=10&amp;textmining=10&amp;experiments=10&amp;predictions=10&amp;type1=9606&amp;type2=-22&amp;id1=ENSP00000239367","link")</f>
        <v>link</v>
      </c>
      <c r="AJ1638" t="s">
        <v>51</v>
      </c>
      <c r="AK1638" t="str">
        <f>HYPERLINK("http://www.proteinatlas.org/Q86VZ4","no")</f>
        <v>no</v>
      </c>
      <c r="AM1638">
        <v>84918</v>
      </c>
    </row>
    <row r="1639" spans="1:39" x14ac:dyDescent="0.35">
      <c r="A1639" t="s">
        <v>17022</v>
      </c>
      <c r="B1639" t="str">
        <f>HYPERLINK("http://www.uniprot.org/uniprot/Q86W33","Q86W33")</f>
        <v>Q86W33</v>
      </c>
      <c r="C1639" t="s">
        <v>17023</v>
      </c>
      <c r="D1639" t="s">
        <v>17024</v>
      </c>
      <c r="E1639" t="s">
        <v>39</v>
      </c>
      <c r="F1639" t="s">
        <v>40</v>
      </c>
      <c r="H1639">
        <v>373</v>
      </c>
      <c r="I1639">
        <v>7</v>
      </c>
      <c r="J1639">
        <v>0</v>
      </c>
      <c r="K1639" t="s">
        <v>17025</v>
      </c>
      <c r="L1639" t="s">
        <v>42</v>
      </c>
      <c r="N1639">
        <v>0.8982</v>
      </c>
      <c r="O1639" s="1">
        <v>1</v>
      </c>
      <c r="P1639" t="s">
        <v>17026</v>
      </c>
      <c r="Q1639" t="s">
        <v>17027</v>
      </c>
      <c r="S1639" t="s">
        <v>60</v>
      </c>
      <c r="T1639" t="s">
        <v>60</v>
      </c>
      <c r="U1639" t="s">
        <v>17028</v>
      </c>
      <c r="V1639">
        <v>2</v>
      </c>
      <c r="AE1639" t="s">
        <v>48</v>
      </c>
      <c r="AF1639" t="s">
        <v>2332</v>
      </c>
      <c r="AG1639" t="s">
        <v>17029</v>
      </c>
      <c r="AH1639" t="str">
        <f>HYPERLINK("http://compartments.jensenlab.org/Entity?figures=subcell_cell_%&amp;knowledge=10&amp;textmining=10&amp;experiments=10&amp;predictions=10&amp;type1=9606&amp;type2=-22&amp;id1=ENSP00000347748","link")</f>
        <v>link</v>
      </c>
      <c r="AJ1639" t="s">
        <v>51</v>
      </c>
      <c r="AK1639" t="str">
        <f>HYPERLINK("http://www.proteinatlas.org/Q86W33","HPA019784")</f>
        <v>HPA019784</v>
      </c>
      <c r="AM1639">
        <v>131601</v>
      </c>
    </row>
    <row r="1640" spans="1:39" x14ac:dyDescent="0.35">
      <c r="A1640" t="s">
        <v>17030</v>
      </c>
      <c r="B1640" t="str">
        <f>HYPERLINK("http://www.uniprot.org/uniprot/Q86W47","Q86W47")</f>
        <v>Q86W47</v>
      </c>
      <c r="C1640" t="s">
        <v>17031</v>
      </c>
      <c r="D1640" t="s">
        <v>17032</v>
      </c>
      <c r="E1640" t="s">
        <v>39</v>
      </c>
      <c r="F1640" t="s">
        <v>40</v>
      </c>
      <c r="H1640">
        <v>210</v>
      </c>
      <c r="I1640">
        <v>2</v>
      </c>
      <c r="J1640">
        <v>0</v>
      </c>
      <c r="K1640" t="s">
        <v>17033</v>
      </c>
      <c r="L1640" t="s">
        <v>57</v>
      </c>
      <c r="N1640">
        <v>0.7006</v>
      </c>
      <c r="O1640" s="1">
        <v>2</v>
      </c>
      <c r="P1640" t="s">
        <v>17034</v>
      </c>
      <c r="Q1640" t="s">
        <v>17035</v>
      </c>
      <c r="S1640" t="s">
        <v>45</v>
      </c>
      <c r="T1640" t="s">
        <v>13807</v>
      </c>
      <c r="U1640" t="s">
        <v>17036</v>
      </c>
      <c r="V1640">
        <v>2</v>
      </c>
      <c r="AE1640" t="s">
        <v>48</v>
      </c>
      <c r="AF1640" t="s">
        <v>17037</v>
      </c>
      <c r="AG1640" t="s">
        <v>17038</v>
      </c>
      <c r="AH1640" t="str">
        <f>HYPERLINK("http://compartments.jensenlab.org/Entity?figures=subcell_cell_%&amp;knowledge=10&amp;textmining=10&amp;experiments=10&amp;predictions=10&amp;type1=9606&amp;type2=-22&amp;id1=ENSP00000258111","link")</f>
        <v>link</v>
      </c>
      <c r="AI1640" t="s">
        <v>65</v>
      </c>
      <c r="AJ1640" t="s">
        <v>51</v>
      </c>
      <c r="AK1640" t="str">
        <f>HYPERLINK("http://www.proteinatlas.org/Q86W47","no")</f>
        <v>no</v>
      </c>
      <c r="AL1640" t="s">
        <v>13811</v>
      </c>
      <c r="AM1640">
        <v>27345</v>
      </c>
    </row>
    <row r="1641" spans="1:39" x14ac:dyDescent="0.35">
      <c r="A1641" t="s">
        <v>17039</v>
      </c>
      <c r="B1641" t="str">
        <f>HYPERLINK("http://www.uniprot.org/uniprot/Q86WB7","Q86WB7")</f>
        <v>Q86WB7</v>
      </c>
      <c r="C1641" t="s">
        <v>17040</v>
      </c>
      <c r="D1641" t="s">
        <v>17041</v>
      </c>
      <c r="E1641" t="s">
        <v>39</v>
      </c>
      <c r="F1641" t="s">
        <v>55</v>
      </c>
      <c r="H1641">
        <v>457</v>
      </c>
      <c r="I1641">
        <v>11</v>
      </c>
      <c r="J1641">
        <v>1</v>
      </c>
      <c r="K1641" t="s">
        <v>17042</v>
      </c>
      <c r="L1641" t="s">
        <v>42</v>
      </c>
      <c r="M1641" t="s">
        <v>39</v>
      </c>
      <c r="N1641">
        <v>0.6865</v>
      </c>
      <c r="O1641" s="1">
        <v>2</v>
      </c>
      <c r="P1641" t="s">
        <v>17043</v>
      </c>
      <c r="Q1641" t="s">
        <v>17044</v>
      </c>
      <c r="S1641" t="s">
        <v>60</v>
      </c>
      <c r="T1641" t="s">
        <v>60</v>
      </c>
      <c r="U1641">
        <v>190</v>
      </c>
      <c r="V1641">
        <v>1</v>
      </c>
      <c r="AE1641" t="s">
        <v>74</v>
      </c>
      <c r="AF1641" t="s">
        <v>12816</v>
      </c>
      <c r="AG1641" t="s">
        <v>17045</v>
      </c>
      <c r="AH1641" t="str">
        <f>HYPERLINK("http://compartments.jensenlab.org/Entity?figures=subcell_cell_%&amp;knowledge=10&amp;textmining=10&amp;experiments=10&amp;predictions=10&amp;type1=9606&amp;type2=-22&amp;id1=ENSP00000230256","link")</f>
        <v>link</v>
      </c>
      <c r="AI1641" t="s">
        <v>65</v>
      </c>
      <c r="AJ1641" t="s">
        <v>51</v>
      </c>
      <c r="AK1641" t="str">
        <f>HYPERLINK("http://www.proteinatlas.org/Q86WB7","HPA035729")</f>
        <v>HPA035729</v>
      </c>
      <c r="AM1641">
        <v>54346</v>
      </c>
    </row>
    <row r="1642" spans="1:39" x14ac:dyDescent="0.35">
      <c r="A1642" t="s">
        <v>17046</v>
      </c>
      <c r="B1642" t="str">
        <f>HYPERLINK("http://www.uniprot.org/uniprot/Q86WC4","Q86WC4")</f>
        <v>Q86WC4</v>
      </c>
      <c r="C1642" t="s">
        <v>17047</v>
      </c>
      <c r="D1642" t="s">
        <v>17048</v>
      </c>
      <c r="E1642" t="s">
        <v>39</v>
      </c>
      <c r="F1642" t="s">
        <v>40</v>
      </c>
      <c r="H1642">
        <v>334</v>
      </c>
      <c r="I1642">
        <v>1</v>
      </c>
      <c r="J1642">
        <v>1</v>
      </c>
      <c r="K1642" t="s">
        <v>17049</v>
      </c>
      <c r="L1642" t="s">
        <v>101</v>
      </c>
      <c r="N1642">
        <v>0.84230000000000005</v>
      </c>
      <c r="O1642" s="1">
        <v>1</v>
      </c>
      <c r="P1642" t="s">
        <v>17050</v>
      </c>
      <c r="Q1642" t="s">
        <v>17051</v>
      </c>
      <c r="S1642" t="s">
        <v>60</v>
      </c>
      <c r="T1642" t="s">
        <v>60</v>
      </c>
      <c r="U1642" t="s">
        <v>17052</v>
      </c>
      <c r="V1642">
        <v>10</v>
      </c>
      <c r="Z1642" t="s">
        <v>107</v>
      </c>
      <c r="AA1642">
        <v>3</v>
      </c>
      <c r="AB1642" t="s">
        <v>17053</v>
      </c>
      <c r="AC1642" t="s">
        <v>17054</v>
      </c>
      <c r="AD1642" t="s">
        <v>17055</v>
      </c>
      <c r="AE1642" t="s">
        <v>5162</v>
      </c>
      <c r="AF1642" t="s">
        <v>17056</v>
      </c>
      <c r="AG1642" t="s">
        <v>17057</v>
      </c>
      <c r="AH1642" t="str">
        <f>HYPERLINK("http://compartments.jensenlab.org/Entity?figures=subcell_cell_%&amp;knowledge=10&amp;textmining=10&amp;experiments=10&amp;predictions=10&amp;type1=9606&amp;type2=-22&amp;id1=ENSP00000193322","link")</f>
        <v>link</v>
      </c>
      <c r="AJ1642" t="s">
        <v>4758</v>
      </c>
      <c r="AK1642" t="str">
        <f>HYPERLINK("http://www.proteinatlas.org/Q86WC4","HPA010851")</f>
        <v>HPA010851</v>
      </c>
      <c r="AM1642">
        <v>28962</v>
      </c>
    </row>
    <row r="1643" spans="1:39" x14ac:dyDescent="0.35">
      <c r="A1643" t="s">
        <v>17058</v>
      </c>
      <c r="B1643" t="str">
        <f>HYPERLINK("http://www.uniprot.org/uniprot/Q86WI0","Q86WI0")</f>
        <v>Q86WI0</v>
      </c>
      <c r="C1643" t="s">
        <v>17059</v>
      </c>
      <c r="D1643" t="s">
        <v>17060</v>
      </c>
      <c r="E1643" t="s">
        <v>39</v>
      </c>
      <c r="F1643" t="s">
        <v>40</v>
      </c>
      <c r="H1643">
        <v>220</v>
      </c>
      <c r="I1643">
        <v>3</v>
      </c>
      <c r="J1643">
        <v>1</v>
      </c>
      <c r="K1643" t="s">
        <v>17061</v>
      </c>
      <c r="L1643" t="s">
        <v>42</v>
      </c>
      <c r="N1643">
        <v>0.77639999999999998</v>
      </c>
      <c r="O1643" s="1">
        <v>1</v>
      </c>
      <c r="P1643" t="s">
        <v>17062</v>
      </c>
      <c r="Q1643" t="s">
        <v>17063</v>
      </c>
      <c r="S1643" t="s">
        <v>91</v>
      </c>
      <c r="T1643" t="s">
        <v>15167</v>
      </c>
      <c r="U1643">
        <v>153</v>
      </c>
      <c r="V1643">
        <v>1</v>
      </c>
      <c r="AE1643" t="s">
        <v>48</v>
      </c>
      <c r="AF1643" t="s">
        <v>16495</v>
      </c>
      <c r="AG1643" t="s">
        <v>17064</v>
      </c>
      <c r="AH1643" t="str">
        <f>HYPERLINK("http://compartments.jensenlab.org/Entity?figures=subcell_cell_%&amp;knowledge=10&amp;textmining=10&amp;experiments=10&amp;predictions=10&amp;type1=9606&amp;type2=-22&amp;id1=ENSP00000361036","link")</f>
        <v>link</v>
      </c>
      <c r="AJ1643" t="s">
        <v>51</v>
      </c>
      <c r="AK1643" t="str">
        <f>HYPERLINK("http://www.proteinatlas.org/Q86WI0","HPA003029")</f>
        <v>HPA003029</v>
      </c>
      <c r="AM1643">
        <v>340596</v>
      </c>
    </row>
    <row r="1644" spans="1:39" x14ac:dyDescent="0.35">
      <c r="A1644" t="s">
        <v>17065</v>
      </c>
      <c r="B1644" t="str">
        <f>HYPERLINK("http://www.uniprot.org/uniprot/Q86WI1","Q86WI1")</f>
        <v>Q86WI1</v>
      </c>
      <c r="C1644" t="s">
        <v>17066</v>
      </c>
      <c r="D1644" t="s">
        <v>17067</v>
      </c>
      <c r="E1644" t="s">
        <v>39</v>
      </c>
      <c r="F1644" t="s">
        <v>40</v>
      </c>
      <c r="H1644">
        <v>4243</v>
      </c>
      <c r="I1644">
        <v>1</v>
      </c>
      <c r="J1644">
        <v>1</v>
      </c>
      <c r="K1644" t="s">
        <v>17068</v>
      </c>
      <c r="L1644" t="s">
        <v>101</v>
      </c>
      <c r="N1644">
        <v>0.73850000000000005</v>
      </c>
      <c r="O1644" s="1">
        <v>2</v>
      </c>
      <c r="P1644" t="s">
        <v>17069</v>
      </c>
      <c r="Q1644" t="s">
        <v>17070</v>
      </c>
      <c r="S1644" t="s">
        <v>60</v>
      </c>
      <c r="T1644" t="s">
        <v>60</v>
      </c>
      <c r="U1644" t="s">
        <v>17071</v>
      </c>
      <c r="V1644">
        <v>54</v>
      </c>
      <c r="W1644" t="s">
        <v>17072</v>
      </c>
      <c r="X1644" t="s">
        <v>17073</v>
      </c>
      <c r="Y1644">
        <v>3482</v>
      </c>
      <c r="Z1644" t="s">
        <v>107</v>
      </c>
      <c r="AA1644">
        <v>1</v>
      </c>
      <c r="AB1644" t="s">
        <v>17074</v>
      </c>
      <c r="AC1644">
        <v>1797</v>
      </c>
      <c r="AD1644" t="s">
        <v>17075</v>
      </c>
      <c r="AE1644" t="s">
        <v>94</v>
      </c>
      <c r="AF1644" t="s">
        <v>17076</v>
      </c>
      <c r="AG1644" t="s">
        <v>17077</v>
      </c>
      <c r="AH1644" t="str">
        <f>HYPERLINK("http://compartments.jensenlab.org/Entity?figures=subcell_cell_%&amp;knowledge=10&amp;textmining=10&amp;experiments=10&amp;predictions=10&amp;type1=9606&amp;type2=-22&amp;id1=ENSP00000367655","link")</f>
        <v>link</v>
      </c>
      <c r="AI1644" t="s">
        <v>17078</v>
      </c>
      <c r="AJ1644" t="s">
        <v>1253</v>
      </c>
      <c r="AK1644" t="str">
        <f>HYPERLINK("http://www.proteinatlas.org/Q86WI1","HPA044458")</f>
        <v>HPA044458</v>
      </c>
      <c r="AM1644">
        <v>93035</v>
      </c>
    </row>
    <row r="1645" spans="1:39" x14ac:dyDescent="0.35">
      <c r="A1645" t="s">
        <v>17079</v>
      </c>
      <c r="B1645" t="str">
        <f>HYPERLINK("http://www.uniprot.org/uniprot/Q86WK6","Q86WK6")</f>
        <v>Q86WK6</v>
      </c>
      <c r="C1645" t="s">
        <v>17080</v>
      </c>
      <c r="D1645" t="s">
        <v>17081</v>
      </c>
      <c r="E1645" t="s">
        <v>39</v>
      </c>
      <c r="F1645" t="s">
        <v>55</v>
      </c>
      <c r="H1645">
        <v>493</v>
      </c>
      <c r="I1645">
        <v>1</v>
      </c>
      <c r="J1645">
        <v>1</v>
      </c>
      <c r="K1645" t="s">
        <v>17082</v>
      </c>
      <c r="L1645" t="s">
        <v>101</v>
      </c>
      <c r="M1645" t="s">
        <v>39</v>
      </c>
      <c r="N1645">
        <v>0.85140000000000005</v>
      </c>
      <c r="O1645" s="1">
        <v>1</v>
      </c>
      <c r="P1645" t="s">
        <v>17083</v>
      </c>
      <c r="Q1645" t="s">
        <v>17084</v>
      </c>
      <c r="S1645" t="s">
        <v>91</v>
      </c>
      <c r="T1645" t="s">
        <v>260</v>
      </c>
      <c r="U1645" t="s">
        <v>17085</v>
      </c>
      <c r="V1645">
        <v>5</v>
      </c>
      <c r="Z1645" t="s">
        <v>107</v>
      </c>
      <c r="AA1645">
        <v>1</v>
      </c>
      <c r="AB1645" t="s">
        <v>17086</v>
      </c>
      <c r="AC1645">
        <v>315</v>
      </c>
      <c r="AD1645" t="s">
        <v>17087</v>
      </c>
      <c r="AE1645" t="s">
        <v>17088</v>
      </c>
      <c r="AF1645" t="s">
        <v>17089</v>
      </c>
      <c r="AG1645" t="s">
        <v>17090</v>
      </c>
      <c r="AH1645" t="str">
        <f>HYPERLINK("http://compartments.jensenlab.org/Entity?figures=subcell_cell_%&amp;knowledge=10&amp;textmining=10&amp;experiments=10&amp;predictions=10&amp;type1=9606&amp;type2=-22&amp;id1=ENSP00000358878","link")</f>
        <v>link</v>
      </c>
      <c r="AJ1645" t="s">
        <v>51</v>
      </c>
      <c r="AK1645" t="str">
        <f>HYPERLINK("http://www.proteinatlas.org/Q86WK6","HPA046152")</f>
        <v>HPA046152</v>
      </c>
      <c r="AM1645">
        <v>57463</v>
      </c>
    </row>
    <row r="1646" spans="1:39" x14ac:dyDescent="0.35">
      <c r="A1646" t="s">
        <v>17091</v>
      </c>
      <c r="B1646" t="str">
        <f>HYPERLINK("http://www.uniprot.org/uniprot/Q86WK7","Q86WK7")</f>
        <v>Q86WK7</v>
      </c>
      <c r="C1646" t="s">
        <v>17092</v>
      </c>
      <c r="D1646" t="s">
        <v>17093</v>
      </c>
      <c r="E1646" t="s">
        <v>39</v>
      </c>
      <c r="F1646" t="s">
        <v>40</v>
      </c>
      <c r="H1646">
        <v>504</v>
      </c>
      <c r="I1646">
        <v>1</v>
      </c>
      <c r="J1646">
        <v>1</v>
      </c>
      <c r="K1646" t="s">
        <v>17094</v>
      </c>
      <c r="L1646" t="s">
        <v>57</v>
      </c>
      <c r="N1646">
        <v>0.76649999999999996</v>
      </c>
      <c r="O1646" s="1">
        <v>1</v>
      </c>
      <c r="P1646" t="s">
        <v>17095</v>
      </c>
      <c r="Q1646" t="s">
        <v>17096</v>
      </c>
      <c r="S1646" t="s">
        <v>91</v>
      </c>
      <c r="T1646" t="s">
        <v>260</v>
      </c>
      <c r="U1646" t="s">
        <v>17097</v>
      </c>
      <c r="V1646">
        <v>5</v>
      </c>
      <c r="AE1646" t="s">
        <v>144</v>
      </c>
      <c r="AF1646" t="s">
        <v>17098</v>
      </c>
      <c r="AG1646" t="s">
        <v>17099</v>
      </c>
      <c r="AH1646" t="str">
        <f>HYPERLINK("http://compartments.jensenlab.org/Entity?figures=subcell_cell_%&amp;knowledge=10&amp;textmining=10&amp;experiments=10&amp;predictions=10&amp;type1=9606&amp;type2=-22&amp;id1=ENSP00000323096","link")</f>
        <v>link</v>
      </c>
      <c r="AJ1646" t="s">
        <v>51</v>
      </c>
      <c r="AK1646" t="str">
        <f>HYPERLINK("http://www.proteinatlas.org/Q86WK7","HPA026673")</f>
        <v>HPA026673</v>
      </c>
      <c r="AM1646">
        <v>386724</v>
      </c>
    </row>
    <row r="1647" spans="1:39" x14ac:dyDescent="0.35">
      <c r="A1647" t="s">
        <v>17100</v>
      </c>
      <c r="B1647" t="str">
        <f>HYPERLINK("http://www.uniprot.org/uniprot/Q86XK7","Q86XK7")</f>
        <v>Q86XK7</v>
      </c>
      <c r="C1647" t="s">
        <v>17101</v>
      </c>
      <c r="D1647" t="s">
        <v>17102</v>
      </c>
      <c r="E1647" t="s">
        <v>39</v>
      </c>
      <c r="F1647" t="s">
        <v>40</v>
      </c>
      <c r="H1647">
        <v>387</v>
      </c>
      <c r="I1647">
        <v>1</v>
      </c>
      <c r="J1647">
        <v>1</v>
      </c>
      <c r="K1647" t="s">
        <v>17103</v>
      </c>
      <c r="L1647" t="s">
        <v>57</v>
      </c>
      <c r="N1647">
        <v>0.96209999999999996</v>
      </c>
      <c r="O1647" s="1">
        <v>1</v>
      </c>
      <c r="P1647" t="s">
        <v>17104</v>
      </c>
      <c r="Q1647" t="s">
        <v>17105</v>
      </c>
      <c r="S1647" t="s">
        <v>91</v>
      </c>
      <c r="T1647" t="s">
        <v>14321</v>
      </c>
      <c r="U1647" t="s">
        <v>17106</v>
      </c>
      <c r="V1647">
        <v>6</v>
      </c>
      <c r="AE1647" t="s">
        <v>144</v>
      </c>
      <c r="AF1647" t="s">
        <v>730</v>
      </c>
      <c r="AG1647" t="s">
        <v>17107</v>
      </c>
      <c r="AH1647" t="str">
        <f>HYPERLINK("http://compartments.jensenlab.org/Entity?figures=subcell_cell_%&amp;knowledge=10&amp;textmining=10&amp;experiments=10&amp;predictions=10&amp;type1=9606&amp;type2=-22&amp;id1=ENSP00000217957","link")</f>
        <v>link</v>
      </c>
      <c r="AJ1647" t="s">
        <v>51</v>
      </c>
      <c r="AK1647" t="str">
        <f>HYPERLINK("http://www.proteinatlas.org/Q86XK7","HPA001445;HPA036310;HPA036311")</f>
        <v>HPA001445;HPA036310;HPA036311</v>
      </c>
      <c r="AM1647">
        <v>340547</v>
      </c>
    </row>
    <row r="1648" spans="1:39" x14ac:dyDescent="0.35">
      <c r="A1648" t="s">
        <v>17108</v>
      </c>
      <c r="B1648" t="str">
        <f>HYPERLINK("http://www.uniprot.org/uniprot/Q86XM0","Q86XM0")</f>
        <v>Q86XM0</v>
      </c>
      <c r="C1648" t="s">
        <v>17109</v>
      </c>
      <c r="D1648" t="s">
        <v>17110</v>
      </c>
      <c r="E1648" t="s">
        <v>39</v>
      </c>
      <c r="F1648" t="s">
        <v>40</v>
      </c>
      <c r="H1648">
        <v>798</v>
      </c>
      <c r="I1648">
        <v>1</v>
      </c>
      <c r="J1648">
        <v>1</v>
      </c>
      <c r="K1648" t="s">
        <v>17111</v>
      </c>
      <c r="L1648" t="s">
        <v>57</v>
      </c>
      <c r="N1648">
        <v>0.82240000000000002</v>
      </c>
      <c r="O1648" s="1">
        <v>1</v>
      </c>
      <c r="P1648" t="s">
        <v>17112</v>
      </c>
      <c r="Q1648" t="s">
        <v>17113</v>
      </c>
      <c r="S1648" t="s">
        <v>60</v>
      </c>
      <c r="T1648" t="s">
        <v>60</v>
      </c>
      <c r="U1648" t="s">
        <v>17114</v>
      </c>
      <c r="V1648">
        <v>6</v>
      </c>
      <c r="AE1648" t="s">
        <v>17115</v>
      </c>
      <c r="AF1648" t="s">
        <v>17116</v>
      </c>
      <c r="AG1648" t="s">
        <v>17117</v>
      </c>
      <c r="AH1648" t="str">
        <f>HYPERLINK("http://compartments.jensenlab.org/Entity?figures=subcell_cell_%&amp;knowledge=10&amp;textmining=10&amp;experiments=10&amp;predictions=10&amp;type1=9606&amp;type2=-22&amp;id1=ENSP00000371037","link")</f>
        <v>link</v>
      </c>
      <c r="AI1648" t="s">
        <v>65</v>
      </c>
      <c r="AJ1648" t="s">
        <v>51</v>
      </c>
      <c r="AK1648" t="str">
        <f>HYPERLINK("http://www.proteinatlas.org/Q86XM0","HPA024056")</f>
        <v>HPA024056</v>
      </c>
      <c r="AM1648">
        <v>257062</v>
      </c>
    </row>
    <row r="1649" spans="1:39" x14ac:dyDescent="0.35">
      <c r="A1649" t="s">
        <v>17118</v>
      </c>
      <c r="B1649" t="str">
        <f>HYPERLINK("http://www.uniprot.org/uniprot/Q86XR5","Q86XR5")</f>
        <v>Q86XR5</v>
      </c>
      <c r="C1649" t="s">
        <v>17119</v>
      </c>
      <c r="D1649" t="s">
        <v>17120</v>
      </c>
      <c r="E1649" t="s">
        <v>39</v>
      </c>
      <c r="F1649" t="s">
        <v>40</v>
      </c>
      <c r="H1649">
        <v>153</v>
      </c>
      <c r="I1649">
        <v>1</v>
      </c>
      <c r="J1649">
        <v>1</v>
      </c>
      <c r="K1649" t="s">
        <v>17121</v>
      </c>
      <c r="L1649" t="s">
        <v>57</v>
      </c>
      <c r="N1649">
        <v>0.80840000000000001</v>
      </c>
      <c r="O1649" s="1">
        <v>1</v>
      </c>
      <c r="P1649" t="s">
        <v>17122</v>
      </c>
      <c r="Q1649" t="s">
        <v>17123</v>
      </c>
      <c r="S1649" t="s">
        <v>60</v>
      </c>
      <c r="T1649" t="s">
        <v>60</v>
      </c>
      <c r="U1649" t="s">
        <v>17124</v>
      </c>
      <c r="V1649">
        <v>1</v>
      </c>
      <c r="AE1649" t="s">
        <v>17125</v>
      </c>
      <c r="AF1649" t="s">
        <v>17126</v>
      </c>
      <c r="AG1649" t="s">
        <v>17127</v>
      </c>
      <c r="AH1649" t="str">
        <f>HYPERLINK("http://compartments.jensenlab.org/Entity?figures=subcell_cell_%&amp;knowledge=10&amp;textmining=10&amp;experiments=10&amp;predictions=10&amp;type1=9606&amp;type2=-22&amp;id1=ENSP00000376848","link")</f>
        <v>link</v>
      </c>
      <c r="AI1649" t="s">
        <v>65</v>
      </c>
      <c r="AJ1649" t="s">
        <v>51</v>
      </c>
      <c r="AK1649" t="str">
        <f>HYPERLINK("http://www.proteinatlas.org/Q86XR5","HPA060047")</f>
        <v>HPA060047</v>
      </c>
      <c r="AM1649">
        <v>145270</v>
      </c>
    </row>
    <row r="1650" spans="1:39" x14ac:dyDescent="0.35">
      <c r="A1650" t="s">
        <v>17128</v>
      </c>
      <c r="B1650" t="str">
        <f>HYPERLINK("http://www.uniprot.org/uniprot/Q86XS8","Q86XS8")</f>
        <v>Q86XS8</v>
      </c>
      <c r="C1650" t="s">
        <v>17129</v>
      </c>
      <c r="D1650" t="s">
        <v>17130</v>
      </c>
      <c r="E1650" t="s">
        <v>39</v>
      </c>
      <c r="F1650" t="s">
        <v>40</v>
      </c>
      <c r="H1650">
        <v>419</v>
      </c>
      <c r="I1650">
        <v>1</v>
      </c>
      <c r="J1650">
        <v>1</v>
      </c>
      <c r="K1650" t="s">
        <v>17131</v>
      </c>
      <c r="L1650" t="s">
        <v>101</v>
      </c>
      <c r="N1650">
        <v>0.80640000000000001</v>
      </c>
      <c r="O1650" s="1">
        <v>1</v>
      </c>
      <c r="P1650" t="s">
        <v>17132</v>
      </c>
      <c r="Q1650" t="s">
        <v>17133</v>
      </c>
      <c r="S1650" t="s">
        <v>60</v>
      </c>
      <c r="T1650" t="s">
        <v>60</v>
      </c>
      <c r="U1650" t="s">
        <v>17134</v>
      </c>
      <c r="V1650">
        <v>6</v>
      </c>
      <c r="Z1650" t="s">
        <v>107</v>
      </c>
      <c r="AA1650">
        <v>1</v>
      </c>
      <c r="AB1650" t="s">
        <v>17135</v>
      </c>
      <c r="AC1650">
        <v>40</v>
      </c>
      <c r="AD1650" t="s">
        <v>17136</v>
      </c>
      <c r="AE1650" t="s">
        <v>17137</v>
      </c>
      <c r="AF1650" t="s">
        <v>17138</v>
      </c>
      <c r="AG1650" t="s">
        <v>17139</v>
      </c>
      <c r="AH1650" t="str">
        <f>HYPERLINK("http://compartments.jensenlab.org/Entity?figures=subcell_cell_%&amp;knowledge=10&amp;textmining=10&amp;experiments=10&amp;predictions=10&amp;type1=9606&amp;type2=-22&amp;id1=ENSP00000430999","link")</f>
        <v>link</v>
      </c>
      <c r="AK1650" t="str">
        <f>HYPERLINK("http://www.proteinatlas.org/Q86XS8","HPA014499")</f>
        <v>HPA014499</v>
      </c>
      <c r="AM1650">
        <v>55819</v>
      </c>
    </row>
    <row r="1651" spans="1:39" x14ac:dyDescent="0.35">
      <c r="A1651" t="s">
        <v>17140</v>
      </c>
      <c r="B1651" t="str">
        <f>HYPERLINK("http://www.uniprot.org/uniprot/Q86XT9","Q86XT9")</f>
        <v>Q86XT9</v>
      </c>
      <c r="C1651" t="s">
        <v>17141</v>
      </c>
      <c r="D1651" t="s">
        <v>17142</v>
      </c>
      <c r="E1651" t="s">
        <v>39</v>
      </c>
      <c r="F1651" t="s">
        <v>40</v>
      </c>
      <c r="H1651">
        <v>240</v>
      </c>
      <c r="I1651">
        <v>1</v>
      </c>
      <c r="J1651">
        <v>1</v>
      </c>
      <c r="K1651" t="s">
        <v>17143</v>
      </c>
      <c r="L1651" t="s">
        <v>57</v>
      </c>
      <c r="N1651">
        <v>0.73850000000000005</v>
      </c>
      <c r="O1651" s="1">
        <v>2</v>
      </c>
      <c r="P1651" t="s">
        <v>17144</v>
      </c>
      <c r="Q1651" t="s">
        <v>17145</v>
      </c>
      <c r="S1651" t="s">
        <v>60</v>
      </c>
      <c r="T1651" t="s">
        <v>60</v>
      </c>
      <c r="U1651" t="s">
        <v>17146</v>
      </c>
      <c r="V1651">
        <v>3</v>
      </c>
      <c r="AE1651" t="s">
        <v>3665</v>
      </c>
      <c r="AF1651" t="s">
        <v>17147</v>
      </c>
      <c r="AG1651" t="s">
        <v>17148</v>
      </c>
      <c r="AH1651" t="str">
        <f>HYPERLINK("http://compartments.jensenlab.org/Entity?figures=subcell_cell_%&amp;knowledge=10&amp;textmining=10&amp;experiments=10&amp;predictions=10&amp;type1=9606&amp;type2=-22&amp;id1=ENSP00000279396","link")</f>
        <v>link</v>
      </c>
      <c r="AJ1651" t="s">
        <v>51</v>
      </c>
      <c r="AK1651" t="str">
        <f>HYPERLINK("http://www.proteinatlas.org/Q86XT9","HPA059185")</f>
        <v>HPA059185</v>
      </c>
      <c r="AM1651">
        <v>124446</v>
      </c>
    </row>
    <row r="1652" spans="1:39" x14ac:dyDescent="0.35">
      <c r="A1652" t="s">
        <v>17149</v>
      </c>
      <c r="B1652" t="str">
        <f>HYPERLINK("http://www.uniprot.org/uniprot/Q86XX4","Q86XX4")</f>
        <v>Q86XX4</v>
      </c>
      <c r="C1652" t="s">
        <v>17150</v>
      </c>
      <c r="D1652" t="s">
        <v>17151</v>
      </c>
      <c r="E1652" t="s">
        <v>39</v>
      </c>
      <c r="F1652" t="s">
        <v>55</v>
      </c>
      <c r="H1652">
        <v>4008</v>
      </c>
      <c r="I1652">
        <v>1</v>
      </c>
      <c r="J1652">
        <v>1</v>
      </c>
      <c r="K1652" t="s">
        <v>17152</v>
      </c>
      <c r="L1652" t="s">
        <v>101</v>
      </c>
      <c r="M1652" t="s">
        <v>39</v>
      </c>
      <c r="N1652">
        <v>0.84019999999999995</v>
      </c>
      <c r="O1652" s="1">
        <v>1</v>
      </c>
      <c r="P1652" t="s">
        <v>17153</v>
      </c>
      <c r="S1652" t="s">
        <v>60</v>
      </c>
      <c r="T1652" t="s">
        <v>60</v>
      </c>
      <c r="U1652" t="s">
        <v>17154</v>
      </c>
      <c r="V1652">
        <v>17</v>
      </c>
      <c r="Y1652" t="s">
        <v>17155</v>
      </c>
      <c r="Z1652" t="s">
        <v>107</v>
      </c>
      <c r="AA1652">
        <v>2</v>
      </c>
      <c r="AB1652" t="s">
        <v>17156</v>
      </c>
      <c r="AC1652" t="s">
        <v>17157</v>
      </c>
      <c r="AD1652" t="s">
        <v>17158</v>
      </c>
      <c r="AE1652" t="s">
        <v>14703</v>
      </c>
      <c r="AF1652" t="s">
        <v>17159</v>
      </c>
      <c r="AG1652" t="s">
        <v>17160</v>
      </c>
      <c r="AK1652" t="str">
        <f>HYPERLINK("http://www.proteinatlas.org/Q86XX4","HPA011281;HPA051601")</f>
        <v>HPA011281;HPA051601</v>
      </c>
      <c r="AM1652">
        <v>80144</v>
      </c>
    </row>
    <row r="1653" spans="1:39" x14ac:dyDescent="0.35">
      <c r="A1653" t="s">
        <v>17161</v>
      </c>
      <c r="B1653" t="str">
        <f>HYPERLINK("http://www.uniprot.org/uniprot/Q86Y34","Q86Y34")</f>
        <v>Q86Y34</v>
      </c>
      <c r="C1653" t="s">
        <v>17162</v>
      </c>
      <c r="D1653" t="s">
        <v>17163</v>
      </c>
      <c r="E1653" t="s">
        <v>39</v>
      </c>
      <c r="F1653" t="s">
        <v>55</v>
      </c>
      <c r="H1653">
        <v>549</v>
      </c>
      <c r="I1653">
        <v>7</v>
      </c>
      <c r="J1653">
        <v>1</v>
      </c>
      <c r="K1653" t="s">
        <v>17164</v>
      </c>
      <c r="L1653" t="s">
        <v>57</v>
      </c>
      <c r="M1653" t="s">
        <v>39</v>
      </c>
      <c r="N1653">
        <v>0.85</v>
      </c>
      <c r="O1653" s="1">
        <v>1</v>
      </c>
      <c r="P1653" t="s">
        <v>17165</v>
      </c>
      <c r="Q1653" t="s">
        <v>17166</v>
      </c>
      <c r="S1653" t="s">
        <v>166</v>
      </c>
      <c r="T1653" t="s">
        <v>1149</v>
      </c>
      <c r="U1653" t="s">
        <v>17167</v>
      </c>
      <c r="V1653">
        <v>4</v>
      </c>
      <c r="AE1653" t="s">
        <v>74</v>
      </c>
      <c r="AF1653" t="s">
        <v>17168</v>
      </c>
      <c r="AG1653" t="s">
        <v>17169</v>
      </c>
      <c r="AH1653" t="str">
        <f>HYPERLINK("http://compartments.jensenlab.org/Entity?figures=subcell_cell_%&amp;knowledge=10&amp;textmining=10&amp;experiments=10&amp;predictions=10&amp;type1=9606&amp;type2=-22&amp;id1=ENSP00000332900","link")</f>
        <v>link</v>
      </c>
      <c r="AI1653" t="s">
        <v>65</v>
      </c>
      <c r="AJ1653" t="s">
        <v>51</v>
      </c>
      <c r="AK1653" t="str">
        <f>HYPERLINK("http://www.proteinatlas.org/Q86Y34","HPA040469")</f>
        <v>HPA040469</v>
      </c>
      <c r="AM1653">
        <v>222487</v>
      </c>
    </row>
    <row r="1654" spans="1:39" x14ac:dyDescent="0.35">
      <c r="A1654" t="s">
        <v>17170</v>
      </c>
      <c r="B1654" t="str">
        <f>HYPERLINK("http://www.uniprot.org/uniprot/Q86YC3","Q86YC3")</f>
        <v>Q86YC3</v>
      </c>
      <c r="C1654" t="s">
        <v>17171</v>
      </c>
      <c r="D1654" t="s">
        <v>17172</v>
      </c>
      <c r="E1654" t="s">
        <v>39</v>
      </c>
      <c r="F1654" t="s">
        <v>40</v>
      </c>
      <c r="H1654">
        <v>692</v>
      </c>
      <c r="I1654">
        <v>1</v>
      </c>
      <c r="J1654">
        <v>1</v>
      </c>
      <c r="K1654" t="s">
        <v>17173</v>
      </c>
      <c r="L1654" t="s">
        <v>57</v>
      </c>
      <c r="N1654">
        <v>0.74850000000000005</v>
      </c>
      <c r="O1654" s="1">
        <v>1</v>
      </c>
      <c r="P1654" t="s">
        <v>17174</v>
      </c>
      <c r="Q1654" t="s">
        <v>17175</v>
      </c>
      <c r="S1654" t="s">
        <v>91</v>
      </c>
      <c r="T1654" t="s">
        <v>260</v>
      </c>
      <c r="U1654" t="s">
        <v>17176</v>
      </c>
      <c r="V1654">
        <v>11</v>
      </c>
      <c r="AE1654" t="s">
        <v>7124</v>
      </c>
      <c r="AF1654" t="s">
        <v>17177</v>
      </c>
      <c r="AG1654" t="s">
        <v>17178</v>
      </c>
      <c r="AH1654" t="str">
        <f>HYPERLINK("http://compartments.jensenlab.org/Entity?figures=subcell_cell_%&amp;knowledge=10&amp;textmining=10&amp;experiments=10&amp;predictions=10&amp;type1=9606&amp;type2=-22&amp;id1=ENSP00000328625","link")</f>
        <v>link</v>
      </c>
      <c r="AJ1654" t="s">
        <v>51</v>
      </c>
      <c r="AK1654" t="str">
        <f>HYPERLINK("http://www.proteinatlas.org/Q86YC3","HPA031586")</f>
        <v>HPA031586</v>
      </c>
      <c r="AM1654">
        <v>375387</v>
      </c>
    </row>
    <row r="1655" spans="1:39" x14ac:dyDescent="0.35">
      <c r="A1655" t="s">
        <v>17179</v>
      </c>
      <c r="B1655" t="str">
        <f>HYPERLINK("http://www.uniprot.org/uniprot/Q86YD3","Q86YD3")</f>
        <v>Q86YD3</v>
      </c>
      <c r="C1655" t="s">
        <v>17180</v>
      </c>
      <c r="D1655" t="s">
        <v>17181</v>
      </c>
      <c r="E1655" t="s">
        <v>39</v>
      </c>
      <c r="F1655" t="s">
        <v>55</v>
      </c>
      <c r="H1655">
        <v>366</v>
      </c>
      <c r="I1655">
        <v>1</v>
      </c>
      <c r="J1655">
        <v>1</v>
      </c>
      <c r="K1655" t="s">
        <v>17182</v>
      </c>
      <c r="L1655" t="s">
        <v>101</v>
      </c>
      <c r="M1655" t="s">
        <v>39</v>
      </c>
      <c r="N1655">
        <v>0.94589999999999996</v>
      </c>
      <c r="O1655" s="1">
        <v>1</v>
      </c>
      <c r="P1655" t="s">
        <v>17183</v>
      </c>
      <c r="Q1655" t="s">
        <v>17184</v>
      </c>
      <c r="S1655" t="s">
        <v>60</v>
      </c>
      <c r="T1655" t="s">
        <v>60</v>
      </c>
      <c r="U1655" t="s">
        <v>17185</v>
      </c>
      <c r="V1655">
        <v>6</v>
      </c>
      <c r="W1655" t="s">
        <v>17185</v>
      </c>
      <c r="Z1655" t="s">
        <v>107</v>
      </c>
      <c r="AA1655">
        <v>1</v>
      </c>
      <c r="AB1655" t="s">
        <v>17186</v>
      </c>
      <c r="AC1655">
        <v>205</v>
      </c>
      <c r="AD1655" t="s">
        <v>17187</v>
      </c>
      <c r="AE1655" t="s">
        <v>17188</v>
      </c>
      <c r="AF1655" t="s">
        <v>17189</v>
      </c>
      <c r="AG1655" t="s">
        <v>17190</v>
      </c>
      <c r="AH1655" t="str">
        <f>HYPERLINK("http://compartments.jensenlab.org/Entity?figures=subcell_cell_%&amp;knowledge=10&amp;textmining=10&amp;experiments=10&amp;predictions=10&amp;type1=9606&amp;type2=-22&amp;id1=ENSP00000315635","link")</f>
        <v>link</v>
      </c>
      <c r="AI1655" t="s">
        <v>65</v>
      </c>
      <c r="AJ1655" t="s">
        <v>902</v>
      </c>
      <c r="AK1655" t="str">
        <f>HYPERLINK("http://www.proteinatlas.org/Q86YD3","HPA012163;HPA051562")</f>
        <v>HPA012163;HPA051562</v>
      </c>
      <c r="AM1655">
        <v>84866</v>
      </c>
    </row>
    <row r="1656" spans="1:39" x14ac:dyDescent="0.35">
      <c r="A1656" t="s">
        <v>17191</v>
      </c>
      <c r="B1656" t="str">
        <f>HYPERLINK("http://www.uniprot.org/uniprot/Q86YD5","Q86YD5")</f>
        <v>Q86YD5</v>
      </c>
      <c r="C1656" t="s">
        <v>17192</v>
      </c>
      <c r="D1656" t="s">
        <v>17193</v>
      </c>
      <c r="E1656" t="s">
        <v>39</v>
      </c>
      <c r="F1656" t="s">
        <v>40</v>
      </c>
      <c r="H1656">
        <v>345</v>
      </c>
      <c r="I1656">
        <v>1</v>
      </c>
      <c r="J1656">
        <v>1</v>
      </c>
      <c r="K1656" t="s">
        <v>17194</v>
      </c>
      <c r="L1656" t="s">
        <v>57</v>
      </c>
      <c r="N1656">
        <v>0.87819999999999998</v>
      </c>
      <c r="O1656" s="1">
        <v>1</v>
      </c>
      <c r="P1656" t="s">
        <v>17195</v>
      </c>
      <c r="Q1656" t="s">
        <v>17196</v>
      </c>
      <c r="S1656" t="s">
        <v>60</v>
      </c>
      <c r="T1656" t="s">
        <v>60</v>
      </c>
      <c r="U1656" t="s">
        <v>17197</v>
      </c>
      <c r="V1656">
        <v>2</v>
      </c>
      <c r="Y1656" t="s">
        <v>17198</v>
      </c>
      <c r="AE1656" t="s">
        <v>332</v>
      </c>
      <c r="AF1656" t="s">
        <v>17199</v>
      </c>
      <c r="AG1656" t="s">
        <v>17200</v>
      </c>
      <c r="AH1656" t="str">
        <f>HYPERLINK("http://compartments.jensenlab.org/Entity?figures=subcell_cell_%&amp;knowledge=10&amp;textmining=10&amp;experiments=10&amp;predictions=10&amp;type1=9606&amp;type2=-22&amp;id1=ENSP00000318607","link")</f>
        <v>link</v>
      </c>
      <c r="AI1656" t="s">
        <v>65</v>
      </c>
      <c r="AJ1656" t="s">
        <v>51</v>
      </c>
      <c r="AK1656" t="str">
        <f>HYPERLINK("http://www.proteinatlas.org/Q86YD5","HPA038251")</f>
        <v>HPA038251</v>
      </c>
      <c r="AM1656">
        <v>143458</v>
      </c>
    </row>
    <row r="1657" spans="1:39" x14ac:dyDescent="0.35">
      <c r="A1657" t="s">
        <v>17201</v>
      </c>
      <c r="B1657" t="str">
        <f>HYPERLINK("http://www.uniprot.org/uniprot/Q86YT9","Q86YT9")</f>
        <v>Q86YT9</v>
      </c>
      <c r="C1657" t="s">
        <v>17202</v>
      </c>
      <c r="D1657" t="s">
        <v>17203</v>
      </c>
      <c r="E1657" t="s">
        <v>39</v>
      </c>
      <c r="F1657" t="s">
        <v>55</v>
      </c>
      <c r="H1657">
        <v>394</v>
      </c>
      <c r="I1657">
        <v>1</v>
      </c>
      <c r="J1657">
        <v>1</v>
      </c>
      <c r="K1657" t="s">
        <v>17204</v>
      </c>
      <c r="L1657" t="s">
        <v>101</v>
      </c>
      <c r="M1657" t="s">
        <v>39</v>
      </c>
      <c r="N1657">
        <v>0.85550000000000004</v>
      </c>
      <c r="O1657" s="1">
        <v>1</v>
      </c>
      <c r="P1657" t="s">
        <v>17205</v>
      </c>
      <c r="Q1657" t="s">
        <v>17206</v>
      </c>
      <c r="S1657" t="s">
        <v>91</v>
      </c>
      <c r="T1657" t="s">
        <v>555</v>
      </c>
      <c r="U1657" t="s">
        <v>17207</v>
      </c>
      <c r="V1657">
        <v>3</v>
      </c>
      <c r="X1657" t="s">
        <v>17208</v>
      </c>
      <c r="Z1657" t="s">
        <v>107</v>
      </c>
      <c r="AA1657">
        <v>2</v>
      </c>
      <c r="AB1657" t="s">
        <v>17209</v>
      </c>
      <c r="AC1657" t="s">
        <v>17210</v>
      </c>
      <c r="AD1657" t="s">
        <v>17211</v>
      </c>
      <c r="AE1657" t="s">
        <v>8431</v>
      </c>
      <c r="AF1657" t="s">
        <v>17212</v>
      </c>
      <c r="AG1657" t="s">
        <v>17213</v>
      </c>
      <c r="AH1657" t="str">
        <f>HYPERLINK("http://compartments.jensenlab.org/Entity?figures=subcell_cell_%&amp;knowledge=10&amp;textmining=10&amp;experiments=10&amp;predictions=10&amp;type1=9606&amp;type2=-22&amp;id1=ENSP00000348635","link")</f>
        <v>link</v>
      </c>
      <c r="AI1657" t="s">
        <v>65</v>
      </c>
      <c r="AJ1657" t="s">
        <v>51</v>
      </c>
      <c r="AK1657" t="str">
        <f>HYPERLINK("http://www.proteinatlas.org/Q86YT9","HPA047919")</f>
        <v>HPA047919</v>
      </c>
      <c r="AM1657">
        <v>120425</v>
      </c>
    </row>
    <row r="1658" spans="1:39" x14ac:dyDescent="0.35">
      <c r="A1658" t="s">
        <v>17214</v>
      </c>
      <c r="B1658" t="str">
        <f>HYPERLINK("http://www.uniprot.org/uniprot/Q8IU57","Q8IU57")</f>
        <v>Q8IU57</v>
      </c>
      <c r="C1658" t="s">
        <v>17215</v>
      </c>
      <c r="D1658" t="s">
        <v>17216</v>
      </c>
      <c r="E1658" t="s">
        <v>39</v>
      </c>
      <c r="F1658" t="s">
        <v>40</v>
      </c>
      <c r="H1658">
        <v>520</v>
      </c>
      <c r="I1658">
        <v>1</v>
      </c>
      <c r="J1658">
        <v>1</v>
      </c>
      <c r="K1658" t="s">
        <v>17217</v>
      </c>
      <c r="L1658" t="s">
        <v>57</v>
      </c>
      <c r="N1658">
        <v>0.8044</v>
      </c>
      <c r="O1658" s="1">
        <v>1</v>
      </c>
      <c r="P1658" t="s">
        <v>17218</v>
      </c>
      <c r="Q1658" t="s">
        <v>17219</v>
      </c>
      <c r="S1658" t="s">
        <v>166</v>
      </c>
      <c r="T1658" t="s">
        <v>5643</v>
      </c>
      <c r="U1658" t="s">
        <v>17220</v>
      </c>
      <c r="V1658">
        <v>4</v>
      </c>
      <c r="X1658" t="s">
        <v>17221</v>
      </c>
      <c r="Y1658">
        <v>448</v>
      </c>
      <c r="AE1658" t="s">
        <v>144</v>
      </c>
      <c r="AF1658" t="s">
        <v>17222</v>
      </c>
      <c r="AG1658" t="s">
        <v>17223</v>
      </c>
      <c r="AH1658" t="str">
        <f>HYPERLINK("http://compartments.jensenlab.org/Entity?figures=subcell_cell_%&amp;knowledge=10&amp;textmining=10&amp;experiments=10&amp;predictions=10&amp;type1=9606&amp;type2=-22&amp;id1=ENSP00000327824","link")</f>
        <v>link</v>
      </c>
      <c r="AI1658" t="s">
        <v>65</v>
      </c>
      <c r="AJ1658" t="s">
        <v>51</v>
      </c>
      <c r="AK1658" t="str">
        <f>HYPERLINK("http://www.proteinatlas.org/Q8IU57","HPA017319")</f>
        <v>HPA017319</v>
      </c>
      <c r="AM1658">
        <v>163702</v>
      </c>
    </row>
    <row r="1659" spans="1:39" x14ac:dyDescent="0.35">
      <c r="A1659" t="s">
        <v>17224</v>
      </c>
      <c r="B1659" t="str">
        <f>HYPERLINK("http://www.uniprot.org/uniprot/Q8IU80","Q8IU80")</f>
        <v>Q8IU80</v>
      </c>
      <c r="C1659" t="s">
        <v>17225</v>
      </c>
      <c r="D1659" t="s">
        <v>17226</v>
      </c>
      <c r="E1659" t="s">
        <v>39</v>
      </c>
      <c r="F1659" t="s">
        <v>40</v>
      </c>
      <c r="H1659">
        <v>811</v>
      </c>
      <c r="I1659">
        <v>1</v>
      </c>
      <c r="J1659">
        <v>0</v>
      </c>
      <c r="K1659" t="s">
        <v>17227</v>
      </c>
      <c r="L1659" t="s">
        <v>57</v>
      </c>
      <c r="N1659">
        <v>0.62080000000000002</v>
      </c>
      <c r="O1659" s="1">
        <v>2</v>
      </c>
      <c r="P1659" t="s">
        <v>17228</v>
      </c>
      <c r="Q1659" t="s">
        <v>17229</v>
      </c>
      <c r="S1659" t="s">
        <v>947</v>
      </c>
      <c r="T1659" t="s">
        <v>4787</v>
      </c>
      <c r="U1659" t="s">
        <v>17230</v>
      </c>
      <c r="V1659">
        <v>7</v>
      </c>
      <c r="X1659" t="s">
        <v>17231</v>
      </c>
      <c r="Y1659" t="s">
        <v>17232</v>
      </c>
      <c r="AE1659" t="s">
        <v>764</v>
      </c>
      <c r="AF1659" t="s">
        <v>17233</v>
      </c>
      <c r="AG1659" t="s">
        <v>17234</v>
      </c>
      <c r="AH1659" t="str">
        <f>HYPERLINK("http://compartments.jensenlab.org/Entity?figures=subcell_cell_%&amp;knowledge=10&amp;textmining=10&amp;experiments=10&amp;predictions=10&amp;type1=9606&amp;type2=-22&amp;id1=ENSP00000385453","link")</f>
        <v>link</v>
      </c>
      <c r="AK1659" t="str">
        <f>HYPERLINK("http://www.proteinatlas.org/Q8IU80","no")</f>
        <v>no</v>
      </c>
      <c r="AM1659">
        <v>164656</v>
      </c>
    </row>
    <row r="1660" spans="1:39" x14ac:dyDescent="0.35">
      <c r="A1660" t="s">
        <v>17235</v>
      </c>
      <c r="B1660" t="str">
        <f>HYPERLINK("http://www.uniprot.org/uniprot/Q8IUA7","Q8IUA7")</f>
        <v>Q8IUA7</v>
      </c>
      <c r="C1660" t="s">
        <v>17236</v>
      </c>
      <c r="D1660" t="s">
        <v>17237</v>
      </c>
      <c r="E1660" t="s">
        <v>39</v>
      </c>
      <c r="F1660" t="s">
        <v>40</v>
      </c>
      <c r="H1660">
        <v>1624</v>
      </c>
      <c r="I1660">
        <v>14</v>
      </c>
      <c r="J1660">
        <v>0</v>
      </c>
      <c r="K1660" t="s">
        <v>17238</v>
      </c>
      <c r="L1660" t="s">
        <v>42</v>
      </c>
      <c r="N1660">
        <v>0.73450000000000004</v>
      </c>
      <c r="O1660" s="1">
        <v>2</v>
      </c>
      <c r="P1660" t="s">
        <v>17239</v>
      </c>
      <c r="Q1660" t="s">
        <v>17240</v>
      </c>
      <c r="S1660" t="s">
        <v>45</v>
      </c>
      <c r="T1660" t="s">
        <v>3013</v>
      </c>
      <c r="U1660" t="s">
        <v>17241</v>
      </c>
      <c r="V1660">
        <v>7</v>
      </c>
      <c r="Y1660">
        <v>267</v>
      </c>
      <c r="AE1660" t="s">
        <v>48</v>
      </c>
      <c r="AF1660" t="s">
        <v>1586</v>
      </c>
      <c r="AG1660" t="s">
        <v>17242</v>
      </c>
      <c r="AH1660" t="str">
        <f>HYPERLINK("http://compartments.jensenlab.org/Entity?figures=subcell_cell_%&amp;knowledge=10&amp;textmining=10&amp;experiments=10&amp;predictions=10&amp;type1=9606&amp;type2=-22&amp;id1=ENSP00000342216","link")</f>
        <v>link</v>
      </c>
      <c r="AJ1660" t="s">
        <v>2256</v>
      </c>
      <c r="AK1660" t="str">
        <f>HYPERLINK("http://www.proteinatlas.org/Q8IUA7","HPA054823")</f>
        <v>HPA054823</v>
      </c>
      <c r="AM1660">
        <v>10350</v>
      </c>
    </row>
    <row r="1661" spans="1:39" x14ac:dyDescent="0.35">
      <c r="A1661" t="s">
        <v>17243</v>
      </c>
      <c r="B1661" t="str">
        <f>HYPERLINK("http://www.uniprot.org/uniprot/Q8IUH8","Q8IUH8")</f>
        <v>Q8IUH8</v>
      </c>
      <c r="C1661" t="s">
        <v>17244</v>
      </c>
      <c r="D1661" t="s">
        <v>17245</v>
      </c>
      <c r="E1661" t="s">
        <v>39</v>
      </c>
      <c r="F1661" t="s">
        <v>40</v>
      </c>
      <c r="H1661">
        <v>684</v>
      </c>
      <c r="I1661">
        <v>9</v>
      </c>
      <c r="J1661">
        <v>1</v>
      </c>
      <c r="K1661" t="s">
        <v>17246</v>
      </c>
      <c r="L1661" t="s">
        <v>57</v>
      </c>
      <c r="N1661">
        <v>0.83830000000000005</v>
      </c>
      <c r="O1661" s="1">
        <v>1</v>
      </c>
      <c r="P1661" t="s">
        <v>17247</v>
      </c>
      <c r="Q1661" t="s">
        <v>17248</v>
      </c>
      <c r="S1661" t="s">
        <v>60</v>
      </c>
      <c r="T1661" t="s">
        <v>60</v>
      </c>
      <c r="U1661" t="s">
        <v>17249</v>
      </c>
      <c r="V1661">
        <v>2</v>
      </c>
      <c r="AE1661" t="s">
        <v>17250</v>
      </c>
      <c r="AF1661" t="s">
        <v>17251</v>
      </c>
      <c r="AG1661" t="s">
        <v>17252</v>
      </c>
      <c r="AH1661" t="str">
        <f>HYPERLINK("http://compartments.jensenlab.org/Entity?figures=subcell_cell_%&amp;knowledge=10&amp;textmining=10&amp;experiments=10&amp;predictions=10&amp;type1=9606&amp;type2=-22&amp;id1=ENSP00000332488","link")</f>
        <v>link</v>
      </c>
      <c r="AI1661" t="s">
        <v>980</v>
      </c>
      <c r="AJ1661" t="s">
        <v>345</v>
      </c>
      <c r="AK1661" t="str">
        <f>HYPERLINK("http://www.proteinatlas.org/Q8IUH8","no")</f>
        <v>no</v>
      </c>
      <c r="AM1661">
        <v>162540</v>
      </c>
    </row>
    <row r="1662" spans="1:39" x14ac:dyDescent="0.35">
      <c r="A1662" t="s">
        <v>17253</v>
      </c>
      <c r="B1662" t="str">
        <f>HYPERLINK("http://www.uniprot.org/uniprot/Q8IUK5","Q8IUK5")</f>
        <v>Q8IUK5</v>
      </c>
      <c r="C1662" t="s">
        <v>17254</v>
      </c>
      <c r="D1662" t="s">
        <v>17255</v>
      </c>
      <c r="E1662" t="s">
        <v>39</v>
      </c>
      <c r="F1662" t="s">
        <v>55</v>
      </c>
      <c r="H1662">
        <v>500</v>
      </c>
      <c r="I1662">
        <v>1</v>
      </c>
      <c r="J1662">
        <v>1</v>
      </c>
      <c r="K1662" t="s">
        <v>17256</v>
      </c>
      <c r="L1662" t="s">
        <v>101</v>
      </c>
      <c r="M1662" t="s">
        <v>39</v>
      </c>
      <c r="N1662">
        <v>0.94289999999999996</v>
      </c>
      <c r="O1662" s="1">
        <v>1</v>
      </c>
      <c r="P1662" t="s">
        <v>17257</v>
      </c>
      <c r="Q1662" t="s">
        <v>17258</v>
      </c>
      <c r="S1662" t="s">
        <v>60</v>
      </c>
      <c r="T1662" t="s">
        <v>60</v>
      </c>
      <c r="U1662" t="s">
        <v>17259</v>
      </c>
      <c r="V1662">
        <v>7</v>
      </c>
      <c r="W1662" t="s">
        <v>17260</v>
      </c>
      <c r="Z1662" t="s">
        <v>107</v>
      </c>
      <c r="AA1662">
        <v>1</v>
      </c>
      <c r="AB1662" t="s">
        <v>17261</v>
      </c>
      <c r="AC1662">
        <v>115</v>
      </c>
      <c r="AD1662" t="s">
        <v>17262</v>
      </c>
      <c r="AE1662" t="s">
        <v>17263</v>
      </c>
      <c r="AF1662" t="s">
        <v>17264</v>
      </c>
      <c r="AG1662" t="s">
        <v>17265</v>
      </c>
      <c r="AH1662" t="str">
        <f>HYPERLINK("http://compartments.jensenlab.org/Entity?figures=subcell_cell_%&amp;knowledge=10&amp;textmining=10&amp;experiments=10&amp;predictions=10&amp;type1=9606&amp;type2=-22&amp;id1=ENSP00000323927","link")</f>
        <v>link</v>
      </c>
      <c r="AI1662" t="s">
        <v>1058</v>
      </c>
      <c r="AK1662" t="str">
        <f>HYPERLINK("http://www.proteinatlas.org/Q8IUK5","HPA012805")</f>
        <v>HPA012805</v>
      </c>
      <c r="AM1662">
        <v>57125</v>
      </c>
    </row>
    <row r="1663" spans="1:39" x14ac:dyDescent="0.35">
      <c r="A1663" t="s">
        <v>17266</v>
      </c>
      <c r="B1663" t="str">
        <f>HYPERLINK("http://www.uniprot.org/uniprot/Q8IUW5","Q8IUW5")</f>
        <v>Q8IUW5</v>
      </c>
      <c r="C1663" t="s">
        <v>17267</v>
      </c>
      <c r="D1663" t="s">
        <v>17268</v>
      </c>
      <c r="E1663" t="s">
        <v>39</v>
      </c>
      <c r="F1663" t="s">
        <v>55</v>
      </c>
      <c r="H1663">
        <v>271</v>
      </c>
      <c r="I1663">
        <v>1</v>
      </c>
      <c r="J1663">
        <v>1</v>
      </c>
      <c r="K1663" t="s">
        <v>17269</v>
      </c>
      <c r="L1663" t="s">
        <v>101</v>
      </c>
      <c r="M1663" t="s">
        <v>39</v>
      </c>
      <c r="N1663">
        <v>0.4889</v>
      </c>
      <c r="O1663" s="1">
        <v>3</v>
      </c>
      <c r="P1663" t="s">
        <v>17270</v>
      </c>
      <c r="Q1663" t="s">
        <v>17271</v>
      </c>
      <c r="S1663" t="s">
        <v>60</v>
      </c>
      <c r="T1663" t="s">
        <v>60</v>
      </c>
      <c r="U1663" t="s">
        <v>17272</v>
      </c>
      <c r="V1663">
        <v>2</v>
      </c>
      <c r="Z1663" t="s">
        <v>107</v>
      </c>
      <c r="AA1663">
        <v>1</v>
      </c>
      <c r="AB1663" t="s">
        <v>17273</v>
      </c>
      <c r="AC1663">
        <v>31</v>
      </c>
      <c r="AD1663" t="s">
        <v>17274</v>
      </c>
      <c r="AE1663" t="s">
        <v>332</v>
      </c>
      <c r="AF1663" t="s">
        <v>17275</v>
      </c>
      <c r="AG1663" t="s">
        <v>17276</v>
      </c>
      <c r="AH1663" t="str">
        <f>HYPERLINK("http://compartments.jensenlab.org/Entity?figures=subcell_cell_%&amp;knowledge=10&amp;textmining=10&amp;experiments=10&amp;predictions=10&amp;type1=9606&amp;type2=-22&amp;id1=ENSP00000313385","link")</f>
        <v>link</v>
      </c>
      <c r="AI1663" t="s">
        <v>65</v>
      </c>
      <c r="AJ1663" t="s">
        <v>1649</v>
      </c>
      <c r="AK1663" t="str">
        <f>HYPERLINK("http://www.proteinatlas.org/Q8IUW5","HPA013377")</f>
        <v>HPA013377</v>
      </c>
      <c r="AM1663">
        <v>768211</v>
      </c>
    </row>
    <row r="1664" spans="1:39" x14ac:dyDescent="0.35">
      <c r="A1664" t="s">
        <v>17277</v>
      </c>
      <c r="B1664" t="str">
        <f>HYPERLINK("http://www.uniprot.org/uniprot/Q8IV16","Q8IV16")</f>
        <v>Q8IV16</v>
      </c>
      <c r="C1664" t="s">
        <v>17278</v>
      </c>
      <c r="D1664" t="s">
        <v>17279</v>
      </c>
      <c r="E1664" t="s">
        <v>39</v>
      </c>
      <c r="F1664" t="s">
        <v>239</v>
      </c>
      <c r="H1664">
        <v>184</v>
      </c>
      <c r="I1664">
        <v>0</v>
      </c>
      <c r="J1664">
        <v>1</v>
      </c>
      <c r="K1664" t="s">
        <v>17280</v>
      </c>
      <c r="L1664" t="s">
        <v>57</v>
      </c>
      <c r="N1664">
        <v>0.5968</v>
      </c>
      <c r="O1664" s="1" t="s">
        <v>241</v>
      </c>
      <c r="P1664" t="s">
        <v>17281</v>
      </c>
      <c r="Q1664" t="s">
        <v>17282</v>
      </c>
      <c r="U1664" t="s">
        <v>17283</v>
      </c>
      <c r="V1664">
        <v>2</v>
      </c>
      <c r="AE1664" t="s">
        <v>17284</v>
      </c>
      <c r="AF1664" t="s">
        <v>17285</v>
      </c>
      <c r="AG1664" t="s">
        <v>17286</v>
      </c>
      <c r="AH1664" t="str">
        <f>HYPERLINK("http://compartments.jensenlab.org/Entity?figures=subcell_cell_%&amp;knowledge=10&amp;textmining=10&amp;experiments=10&amp;predictions=10&amp;type1=9606&amp;type2=-22&amp;id1=ENSP00000480053","link")</f>
        <v>link</v>
      </c>
      <c r="AK1664" t="str">
        <f>HYPERLINK("http://www.proteinatlas.org/Q8IV16","no")</f>
        <v>no</v>
      </c>
      <c r="AM1664">
        <v>338328</v>
      </c>
    </row>
    <row r="1665" spans="1:39" x14ac:dyDescent="0.35">
      <c r="A1665" t="s">
        <v>17287</v>
      </c>
      <c r="B1665" t="str">
        <f>HYPERLINK("http://www.uniprot.org/uniprot/Q8IVJ1","Q8IVJ1")</f>
        <v>Q8IVJ1</v>
      </c>
      <c r="C1665" t="s">
        <v>17288</v>
      </c>
      <c r="D1665" t="s">
        <v>17289</v>
      </c>
      <c r="E1665" t="s">
        <v>39</v>
      </c>
      <c r="F1665" t="s">
        <v>55</v>
      </c>
      <c r="H1665">
        <v>513</v>
      </c>
      <c r="I1665">
        <v>9</v>
      </c>
      <c r="J1665">
        <v>0</v>
      </c>
      <c r="K1665" t="s">
        <v>17290</v>
      </c>
      <c r="L1665" t="s">
        <v>42</v>
      </c>
      <c r="M1665" t="s">
        <v>39</v>
      </c>
      <c r="N1665">
        <v>0.75980000000000003</v>
      </c>
      <c r="O1665" s="1">
        <v>1</v>
      </c>
      <c r="P1665" t="s">
        <v>17291</v>
      </c>
      <c r="Q1665" t="s">
        <v>17292</v>
      </c>
      <c r="S1665" t="s">
        <v>45</v>
      </c>
      <c r="T1665" t="s">
        <v>17293</v>
      </c>
      <c r="U1665" t="s">
        <v>17294</v>
      </c>
      <c r="V1665">
        <v>4</v>
      </c>
      <c r="AE1665" t="s">
        <v>74</v>
      </c>
      <c r="AF1665" t="s">
        <v>17295</v>
      </c>
      <c r="AG1665" t="s">
        <v>17296</v>
      </c>
      <c r="AH1665" t="str">
        <f>HYPERLINK("http://compartments.jensenlab.org/Entity?figures=subcell_cell_%&amp;knowledge=10&amp;textmining=10&amp;experiments=10&amp;predictions=10&amp;type1=9606&amp;type2=-22&amp;id1=ENSP00000356105","link")</f>
        <v>link</v>
      </c>
      <c r="AI1665" t="s">
        <v>65</v>
      </c>
      <c r="AJ1665" t="s">
        <v>51</v>
      </c>
      <c r="AK1665" t="str">
        <f>HYPERLINK("http://www.proteinatlas.org/Q8IVJ1","HPA015138")</f>
        <v>HPA015138</v>
      </c>
      <c r="AM1665">
        <v>254428</v>
      </c>
    </row>
    <row r="1666" spans="1:39" x14ac:dyDescent="0.35">
      <c r="A1666" t="s">
        <v>17297</v>
      </c>
      <c r="B1666" t="str">
        <f>HYPERLINK("http://www.uniprot.org/uniprot/Q8IVM8","Q8IVM8")</f>
        <v>Q8IVM8</v>
      </c>
      <c r="C1666" t="s">
        <v>17298</v>
      </c>
      <c r="D1666" t="s">
        <v>17299</v>
      </c>
      <c r="E1666" t="s">
        <v>39</v>
      </c>
      <c r="F1666" t="s">
        <v>40</v>
      </c>
      <c r="H1666">
        <v>553</v>
      </c>
      <c r="I1666">
        <v>12</v>
      </c>
      <c r="J1666">
        <v>0</v>
      </c>
      <c r="K1666" t="s">
        <v>17300</v>
      </c>
      <c r="L1666" t="s">
        <v>57</v>
      </c>
      <c r="N1666">
        <v>0.70860000000000001</v>
      </c>
      <c r="O1666" s="1">
        <v>2</v>
      </c>
      <c r="P1666" t="s">
        <v>17301</v>
      </c>
      <c r="Q1666" t="s">
        <v>17302</v>
      </c>
      <c r="S1666" t="s">
        <v>45</v>
      </c>
      <c r="T1666" t="s">
        <v>121</v>
      </c>
      <c r="U1666" t="s">
        <v>17303</v>
      </c>
      <c r="V1666">
        <v>5</v>
      </c>
      <c r="AE1666" t="s">
        <v>1460</v>
      </c>
      <c r="AF1666" t="s">
        <v>929</v>
      </c>
      <c r="AG1666" t="s">
        <v>17304</v>
      </c>
      <c r="AH1666" t="str">
        <f>HYPERLINK("http://compartments.jensenlab.org/Entity?figures=subcell_cell_%&amp;knowledge=10&amp;textmining=10&amp;experiments=10&amp;predictions=10&amp;type1=9606&amp;type2=-22&amp;id1=ENSP00000279178","link")</f>
        <v>link</v>
      </c>
      <c r="AJ1666" t="s">
        <v>51</v>
      </c>
      <c r="AK1666" t="str">
        <f>HYPERLINK("http://www.proteinatlas.org/Q8IVM8","HPA014862")</f>
        <v>HPA014862</v>
      </c>
      <c r="AM1666">
        <v>114571</v>
      </c>
    </row>
    <row r="1667" spans="1:39" x14ac:dyDescent="0.35">
      <c r="A1667" t="s">
        <v>17305</v>
      </c>
      <c r="B1667" t="str">
        <f>HYPERLINK("http://www.uniprot.org/uniprot/Q8IVU1","Q8IVU1")</f>
        <v>Q8IVU1</v>
      </c>
      <c r="C1667" t="s">
        <v>17306</v>
      </c>
      <c r="D1667" t="s">
        <v>17307</v>
      </c>
      <c r="E1667" t="s">
        <v>39</v>
      </c>
      <c r="F1667" t="s">
        <v>40</v>
      </c>
      <c r="H1667">
        <v>814</v>
      </c>
      <c r="I1667">
        <v>1</v>
      </c>
      <c r="J1667">
        <v>1</v>
      </c>
      <c r="K1667" t="s">
        <v>17308</v>
      </c>
      <c r="L1667" t="s">
        <v>57</v>
      </c>
      <c r="N1667">
        <v>0.96809999999999996</v>
      </c>
      <c r="O1667" s="1">
        <v>1</v>
      </c>
      <c r="P1667" t="s">
        <v>17309</v>
      </c>
      <c r="Q1667" t="s">
        <v>17310</v>
      </c>
      <c r="S1667" t="s">
        <v>166</v>
      </c>
      <c r="T1667" t="s">
        <v>3120</v>
      </c>
      <c r="U1667" t="s">
        <v>17311</v>
      </c>
      <c r="V1667">
        <v>7</v>
      </c>
      <c r="W1667" t="s">
        <v>17312</v>
      </c>
      <c r="Y1667">
        <v>541</v>
      </c>
      <c r="AE1667" t="s">
        <v>144</v>
      </c>
      <c r="AF1667" t="s">
        <v>15960</v>
      </c>
      <c r="AG1667" t="s">
        <v>17313</v>
      </c>
      <c r="AH1667" t="str">
        <f>HYPERLINK("http://compartments.jensenlab.org/Entity?figures=subcell_cell_%&amp;knowledge=10&amp;textmining=10&amp;experiments=10&amp;predictions=10&amp;type1=9606&amp;type2=-22&amp;id1=ENSP00000332773","link")</f>
        <v>link</v>
      </c>
      <c r="AJ1667" t="s">
        <v>51</v>
      </c>
      <c r="AK1667" t="str">
        <f>HYPERLINK("http://www.proteinatlas.org/Q8IVU1","HPA015246")</f>
        <v>HPA015246</v>
      </c>
      <c r="AM1667">
        <v>9543</v>
      </c>
    </row>
    <row r="1668" spans="1:39" x14ac:dyDescent="0.35">
      <c r="A1668" t="s">
        <v>17314</v>
      </c>
      <c r="B1668" t="str">
        <f>HYPERLINK("http://www.uniprot.org/uniprot/Q8IVW8","Q8IVW8")</f>
        <v>Q8IVW8</v>
      </c>
      <c r="C1668" t="s">
        <v>17315</v>
      </c>
      <c r="D1668" t="s">
        <v>17316</v>
      </c>
      <c r="E1668" t="s">
        <v>39</v>
      </c>
      <c r="F1668" t="s">
        <v>40</v>
      </c>
      <c r="H1668">
        <v>549</v>
      </c>
      <c r="I1668">
        <v>11</v>
      </c>
      <c r="J1668">
        <v>0</v>
      </c>
      <c r="K1668" t="s">
        <v>17317</v>
      </c>
      <c r="L1668" t="s">
        <v>42</v>
      </c>
      <c r="N1668">
        <v>0.5988</v>
      </c>
      <c r="O1668" s="1">
        <v>2</v>
      </c>
      <c r="P1668" t="s">
        <v>17318</v>
      </c>
      <c r="Q1668" t="s">
        <v>17319</v>
      </c>
      <c r="S1668" t="s">
        <v>45</v>
      </c>
      <c r="T1668" t="s">
        <v>16056</v>
      </c>
      <c r="U1668">
        <v>312</v>
      </c>
      <c r="V1668">
        <v>0</v>
      </c>
      <c r="AE1668" t="s">
        <v>48</v>
      </c>
      <c r="AF1668" t="s">
        <v>17320</v>
      </c>
      <c r="AG1668" t="s">
        <v>17321</v>
      </c>
      <c r="AH1668" t="str">
        <f>HYPERLINK("http://compartments.jensenlab.org/Entity?figures=subcell_cell_%&amp;knowledge=10&amp;textmining=10&amp;experiments=10&amp;predictions=10&amp;type1=9606&amp;type2=-22&amp;id1=ENSP00000333292","link")</f>
        <v>link</v>
      </c>
      <c r="AJ1668" t="s">
        <v>51</v>
      </c>
      <c r="AK1668" t="str">
        <f>HYPERLINK("http://www.proteinatlas.org/Q8IVW8","no")</f>
        <v>no</v>
      </c>
      <c r="AM1668">
        <v>124976</v>
      </c>
    </row>
    <row r="1669" spans="1:39" x14ac:dyDescent="0.35">
      <c r="A1669" t="s">
        <v>17322</v>
      </c>
      <c r="B1669" t="str">
        <f>HYPERLINK("http://www.uniprot.org/uniprot/Q8IW00","Q8IW00")</f>
        <v>Q8IW00</v>
      </c>
      <c r="C1669" t="s">
        <v>17323</v>
      </c>
      <c r="D1669" t="s">
        <v>17324</v>
      </c>
      <c r="E1669" t="s">
        <v>39</v>
      </c>
      <c r="F1669" t="s">
        <v>55</v>
      </c>
      <c r="H1669">
        <v>320</v>
      </c>
      <c r="I1669">
        <v>1</v>
      </c>
      <c r="J1669">
        <v>1</v>
      </c>
      <c r="K1669" t="s">
        <v>17325</v>
      </c>
      <c r="L1669" t="s">
        <v>101</v>
      </c>
      <c r="M1669" t="s">
        <v>39</v>
      </c>
      <c r="N1669">
        <v>0.84209999999999996</v>
      </c>
      <c r="O1669" s="1">
        <v>1</v>
      </c>
      <c r="P1669" t="s">
        <v>17326</v>
      </c>
      <c r="Q1669" t="s">
        <v>17327</v>
      </c>
      <c r="S1669" t="s">
        <v>60</v>
      </c>
      <c r="T1669" t="s">
        <v>60</v>
      </c>
      <c r="U1669" t="s">
        <v>17328</v>
      </c>
      <c r="V1669">
        <v>4</v>
      </c>
      <c r="Y1669">
        <v>139</v>
      </c>
      <c r="Z1669" t="s">
        <v>107</v>
      </c>
      <c r="AA1669">
        <v>1</v>
      </c>
      <c r="AB1669" t="s">
        <v>17329</v>
      </c>
      <c r="AC1669">
        <v>89</v>
      </c>
      <c r="AD1669" t="s">
        <v>17330</v>
      </c>
      <c r="AE1669" t="s">
        <v>1250</v>
      </c>
      <c r="AF1669" t="s">
        <v>17331</v>
      </c>
      <c r="AG1669" t="s">
        <v>17332</v>
      </c>
      <c r="AH1669" t="str">
        <f>HYPERLINK("http://compartments.jensenlab.org/Entity?figures=subcell_cell_%&amp;knowledge=10&amp;textmining=10&amp;experiments=10&amp;predictions=10&amp;type1=9606&amp;type2=-22&amp;id1=ENSP00000331062","link")</f>
        <v>link</v>
      </c>
      <c r="AI1669" t="s">
        <v>65</v>
      </c>
      <c r="AJ1669" t="s">
        <v>51</v>
      </c>
      <c r="AK1669" t="str">
        <f>HYPERLINK("http://www.proteinatlas.org/Q8IW00","HPA017279")</f>
        <v>HPA017279</v>
      </c>
      <c r="AM1669">
        <v>196740</v>
      </c>
    </row>
    <row r="1670" spans="1:39" x14ac:dyDescent="0.35">
      <c r="A1670" t="s">
        <v>17333</v>
      </c>
      <c r="B1670" t="str">
        <f>HYPERLINK("http://www.uniprot.org/uniprot/Q8IW52","Q8IW52")</f>
        <v>Q8IW52</v>
      </c>
      <c r="C1670" t="s">
        <v>17334</v>
      </c>
      <c r="D1670" t="s">
        <v>17335</v>
      </c>
      <c r="E1670" t="s">
        <v>39</v>
      </c>
      <c r="F1670" t="s">
        <v>40</v>
      </c>
      <c r="H1670">
        <v>837</v>
      </c>
      <c r="I1670">
        <v>1</v>
      </c>
      <c r="J1670">
        <v>1</v>
      </c>
      <c r="K1670" t="s">
        <v>17336</v>
      </c>
      <c r="L1670" t="s">
        <v>101</v>
      </c>
      <c r="N1670">
        <v>0.91220000000000001</v>
      </c>
      <c r="O1670" s="1">
        <v>1</v>
      </c>
      <c r="S1670" t="s">
        <v>91</v>
      </c>
      <c r="T1670" t="s">
        <v>260</v>
      </c>
      <c r="U1670" t="s">
        <v>17337</v>
      </c>
      <c r="V1670">
        <v>4</v>
      </c>
      <c r="Z1670" t="s">
        <v>107</v>
      </c>
      <c r="AA1670">
        <v>1</v>
      </c>
      <c r="AB1670" t="s">
        <v>17338</v>
      </c>
      <c r="AC1670">
        <v>423</v>
      </c>
      <c r="AD1670" t="s">
        <v>17339</v>
      </c>
      <c r="AE1670" t="s">
        <v>144</v>
      </c>
      <c r="AF1670" t="s">
        <v>529</v>
      </c>
      <c r="AG1670" t="s">
        <v>17340</v>
      </c>
      <c r="AK1670" t="str">
        <f>HYPERLINK("http://www.proteinatlas.org/Q8IW52","no")</f>
        <v>no</v>
      </c>
      <c r="AM1670">
        <v>139065</v>
      </c>
    </row>
    <row r="1671" spans="1:39" x14ac:dyDescent="0.35">
      <c r="A1671" t="s">
        <v>17341</v>
      </c>
      <c r="B1671" t="str">
        <f>HYPERLINK("http://www.uniprot.org/uniprot/Q8IWA5","Q8IWA5")</f>
        <v>Q8IWA5</v>
      </c>
      <c r="C1671" t="s">
        <v>17342</v>
      </c>
      <c r="D1671" t="s">
        <v>17343</v>
      </c>
      <c r="E1671" t="s">
        <v>39</v>
      </c>
      <c r="F1671" t="s">
        <v>40</v>
      </c>
      <c r="H1671">
        <v>706</v>
      </c>
      <c r="I1671">
        <v>10</v>
      </c>
      <c r="J1671">
        <v>0</v>
      </c>
      <c r="K1671" t="s">
        <v>17344</v>
      </c>
      <c r="L1671" t="s">
        <v>101</v>
      </c>
      <c r="N1671">
        <v>0.85829999999999995</v>
      </c>
      <c r="O1671" s="1">
        <v>1</v>
      </c>
      <c r="P1671" t="s">
        <v>17345</v>
      </c>
      <c r="Q1671" t="s">
        <v>17346</v>
      </c>
      <c r="S1671" t="s">
        <v>45</v>
      </c>
      <c r="T1671" t="s">
        <v>14483</v>
      </c>
      <c r="U1671" t="s">
        <v>17347</v>
      </c>
      <c r="V1671">
        <v>3</v>
      </c>
      <c r="Z1671" t="s">
        <v>123</v>
      </c>
      <c r="AA1671">
        <v>17</v>
      </c>
      <c r="AB1671" t="s">
        <v>17348</v>
      </c>
      <c r="AC1671" t="s">
        <v>17349</v>
      </c>
      <c r="AD1671" t="s">
        <v>17350</v>
      </c>
      <c r="AE1671" t="s">
        <v>48</v>
      </c>
      <c r="AF1671" t="s">
        <v>17351</v>
      </c>
      <c r="AG1671" t="s">
        <v>17352</v>
      </c>
      <c r="AH1671" t="str">
        <f>HYPERLINK("http://compartments.jensenlab.org/Entity?figures=subcell_cell_%&amp;knowledge=10&amp;textmining=10&amp;experiments=10&amp;predictions=10&amp;type1=9606&amp;type2=-22&amp;id1=ENSP00000336888","link")</f>
        <v>link</v>
      </c>
      <c r="AJ1671" t="s">
        <v>51</v>
      </c>
      <c r="AK1671" t="str">
        <f>HYPERLINK("http://www.proteinatlas.org/Q8IWA5","HPA003228")</f>
        <v>HPA003228</v>
      </c>
      <c r="AM1671">
        <v>57153</v>
      </c>
    </row>
    <row r="1672" spans="1:39" x14ac:dyDescent="0.35">
      <c r="A1672" t="s">
        <v>17353</v>
      </c>
      <c r="B1672" t="str">
        <f>HYPERLINK("http://www.uniprot.org/uniprot/Q8IWD5","Q8IWD5")</f>
        <v>Q8IWD5</v>
      </c>
      <c r="C1672" t="s">
        <v>17354</v>
      </c>
      <c r="D1672" t="s">
        <v>17355</v>
      </c>
      <c r="E1672" t="s">
        <v>39</v>
      </c>
      <c r="F1672" t="s">
        <v>40</v>
      </c>
      <c r="H1672">
        <v>586</v>
      </c>
      <c r="I1672">
        <v>11</v>
      </c>
      <c r="J1672">
        <v>1</v>
      </c>
      <c r="K1672" t="s">
        <v>17356</v>
      </c>
      <c r="L1672" t="s">
        <v>42</v>
      </c>
      <c r="N1672">
        <v>0.85429999999999995</v>
      </c>
      <c r="O1672" s="1">
        <v>1</v>
      </c>
      <c r="P1672" t="s">
        <v>17357</v>
      </c>
      <c r="Q1672" t="s">
        <v>17358</v>
      </c>
      <c r="S1672" t="s">
        <v>60</v>
      </c>
      <c r="T1672" t="s">
        <v>60</v>
      </c>
      <c r="U1672" t="s">
        <v>17359</v>
      </c>
      <c r="V1672">
        <v>3</v>
      </c>
      <c r="Y1672">
        <v>452</v>
      </c>
      <c r="AE1672" t="s">
        <v>48</v>
      </c>
      <c r="AF1672" t="s">
        <v>15141</v>
      </c>
      <c r="AG1672" t="s">
        <v>17360</v>
      </c>
      <c r="AH1672" t="str">
        <f>HYPERLINK("http://compartments.jensenlab.org/Entity?figures=subcell_cell_%&amp;knowledge=10&amp;textmining=10&amp;experiments=10&amp;predictions=10&amp;type1=9606&amp;type2=-22&amp;id1=ENSP00000330051","link")</f>
        <v>link</v>
      </c>
      <c r="AJ1672" t="s">
        <v>51</v>
      </c>
      <c r="AK1672" t="str">
        <f>HYPERLINK("http://www.proteinatlas.org/Q8IWD5","HPA023164")</f>
        <v>HPA023164</v>
      </c>
      <c r="AM1672">
        <v>162387</v>
      </c>
    </row>
    <row r="1673" spans="1:39" x14ac:dyDescent="0.35">
      <c r="A1673" t="s">
        <v>17361</v>
      </c>
      <c r="B1673" t="str">
        <f>HYPERLINK("http://www.uniprot.org/uniprot/Q8IWK6","Q8IWK6")</f>
        <v>Q8IWK6</v>
      </c>
      <c r="C1673" t="s">
        <v>17362</v>
      </c>
      <c r="D1673" t="s">
        <v>17363</v>
      </c>
      <c r="E1673" t="s">
        <v>39</v>
      </c>
      <c r="F1673" t="s">
        <v>55</v>
      </c>
      <c r="H1673">
        <v>1321</v>
      </c>
      <c r="I1673">
        <v>7</v>
      </c>
      <c r="J1673">
        <v>1</v>
      </c>
      <c r="K1673" t="s">
        <v>17364</v>
      </c>
      <c r="L1673" t="s">
        <v>101</v>
      </c>
      <c r="M1673" t="s">
        <v>39</v>
      </c>
      <c r="N1673">
        <v>0.98309999999999997</v>
      </c>
      <c r="O1673" s="1">
        <v>1</v>
      </c>
      <c r="P1673" t="s">
        <v>17365</v>
      </c>
      <c r="Q1673" t="s">
        <v>17366</v>
      </c>
      <c r="S1673" t="s">
        <v>166</v>
      </c>
      <c r="T1673" t="s">
        <v>1149</v>
      </c>
      <c r="U1673" t="s">
        <v>17367</v>
      </c>
      <c r="V1673">
        <v>13</v>
      </c>
      <c r="W1673" t="s">
        <v>17368</v>
      </c>
      <c r="Y1673">
        <v>910</v>
      </c>
      <c r="Z1673" t="s">
        <v>107</v>
      </c>
      <c r="AA1673">
        <v>6</v>
      </c>
      <c r="AB1673" t="s">
        <v>17369</v>
      </c>
      <c r="AC1673" t="s">
        <v>17370</v>
      </c>
      <c r="AD1673" t="s">
        <v>17371</v>
      </c>
      <c r="AE1673" t="s">
        <v>74</v>
      </c>
      <c r="AF1673" t="s">
        <v>17372</v>
      </c>
      <c r="AG1673" t="s">
        <v>17373</v>
      </c>
      <c r="AH1673" t="str">
        <f>HYPERLINK("http://compartments.jensenlab.org/Entity?figures=subcell_cell_%&amp;knowledge=10&amp;textmining=10&amp;experiments=10&amp;predictions=10&amp;type1=9606&amp;type2=-22&amp;id1=ENSP00000334952","link")</f>
        <v>link</v>
      </c>
      <c r="AI1673" t="s">
        <v>65</v>
      </c>
      <c r="AJ1673" t="s">
        <v>51</v>
      </c>
      <c r="AK1673" t="str">
        <f>HYPERLINK("http://www.proteinatlas.org/Q8IWK6","HPA008904")</f>
        <v>HPA008904</v>
      </c>
      <c r="AM1673">
        <v>166647</v>
      </c>
    </row>
    <row r="1674" spans="1:39" x14ac:dyDescent="0.35">
      <c r="A1674" t="s">
        <v>17374</v>
      </c>
      <c r="B1674" t="str">
        <f>HYPERLINK("http://www.uniprot.org/uniprot/Q8IWT1","Q8IWT1")</f>
        <v>Q8IWT1</v>
      </c>
      <c r="C1674" t="s">
        <v>17375</v>
      </c>
      <c r="D1674" t="s">
        <v>17376</v>
      </c>
      <c r="E1674" t="s">
        <v>39</v>
      </c>
      <c r="F1674" t="s">
        <v>55</v>
      </c>
      <c r="H1674">
        <v>228</v>
      </c>
      <c r="I1674">
        <v>1</v>
      </c>
      <c r="J1674">
        <v>1</v>
      </c>
      <c r="K1674" t="s">
        <v>17377</v>
      </c>
      <c r="L1674" t="s">
        <v>101</v>
      </c>
      <c r="M1674" t="s">
        <v>39</v>
      </c>
      <c r="N1674">
        <v>0.91410000000000002</v>
      </c>
      <c r="O1674" s="1">
        <v>1</v>
      </c>
      <c r="P1674" t="s">
        <v>17378</v>
      </c>
      <c r="Q1674" t="s">
        <v>17379</v>
      </c>
      <c r="S1674" t="s">
        <v>45</v>
      </c>
      <c r="T1674" t="s">
        <v>2427</v>
      </c>
      <c r="U1674" t="s">
        <v>17380</v>
      </c>
      <c r="V1674">
        <v>3</v>
      </c>
      <c r="Z1674" t="s">
        <v>107</v>
      </c>
      <c r="AA1674">
        <v>1</v>
      </c>
      <c r="AB1674" t="s">
        <v>17381</v>
      </c>
      <c r="AC1674">
        <v>71</v>
      </c>
      <c r="AD1674" t="s">
        <v>17382</v>
      </c>
      <c r="AE1674" t="s">
        <v>332</v>
      </c>
      <c r="AF1674" t="s">
        <v>17383</v>
      </c>
      <c r="AG1674" t="s">
        <v>17384</v>
      </c>
      <c r="AH1674" t="str">
        <f>HYPERLINK("http://compartments.jensenlab.org/Entity?figures=subcell_cell_%&amp;knowledge=10&amp;textmining=10&amp;experiments=10&amp;predictions=10&amp;type1=9606&amp;type2=-22&amp;id1=ENSP00000322460","link")</f>
        <v>link</v>
      </c>
      <c r="AI1674" t="s">
        <v>65</v>
      </c>
      <c r="AJ1674" t="s">
        <v>51</v>
      </c>
      <c r="AK1674" t="str">
        <f>HYPERLINK("http://www.proteinatlas.org/Q8IWT1","HPA017293")</f>
        <v>HPA017293</v>
      </c>
      <c r="AL1674" t="s">
        <v>2433</v>
      </c>
      <c r="AM1674">
        <v>6330</v>
      </c>
    </row>
    <row r="1675" spans="1:39" x14ac:dyDescent="0.35">
      <c r="A1675" t="s">
        <v>17385</v>
      </c>
      <c r="B1675" t="str">
        <f>HYPERLINK("http://www.uniprot.org/uniprot/Q8IWV2","Q8IWV2")</f>
        <v>Q8IWV2</v>
      </c>
      <c r="C1675" t="s">
        <v>17386</v>
      </c>
      <c r="D1675" t="s">
        <v>17387</v>
      </c>
      <c r="E1675" t="s">
        <v>39</v>
      </c>
      <c r="F1675" t="s">
        <v>239</v>
      </c>
      <c r="H1675">
        <v>1026</v>
      </c>
      <c r="I1675">
        <v>0</v>
      </c>
      <c r="J1675">
        <v>1</v>
      </c>
      <c r="K1675" t="s">
        <v>17388</v>
      </c>
      <c r="L1675" t="s">
        <v>57</v>
      </c>
      <c r="N1675">
        <v>0.76249999999999996</v>
      </c>
      <c r="O1675" s="1" t="s">
        <v>997</v>
      </c>
      <c r="P1675" t="s">
        <v>17389</v>
      </c>
      <c r="Q1675" t="s">
        <v>17390</v>
      </c>
      <c r="S1675" t="s">
        <v>60</v>
      </c>
      <c r="T1675" t="s">
        <v>60</v>
      </c>
      <c r="U1675" t="s">
        <v>17391</v>
      </c>
      <c r="V1675">
        <v>14</v>
      </c>
      <c r="W1675" t="s">
        <v>17391</v>
      </c>
      <c r="AE1675" t="s">
        <v>2453</v>
      </c>
      <c r="AF1675" t="s">
        <v>17392</v>
      </c>
      <c r="AG1675" t="s">
        <v>17393</v>
      </c>
      <c r="AH1675" t="str">
        <f>HYPERLINK("http://compartments.jensenlab.org/Entity?figures=subcell_cell_%&amp;knowledge=10&amp;textmining=10&amp;experiments=10&amp;predictions=10&amp;type1=9606&amp;type2=-22&amp;id1=ENSP00000380602","link")</f>
        <v>link</v>
      </c>
      <c r="AI1675" t="s">
        <v>65</v>
      </c>
      <c r="AJ1675" t="s">
        <v>902</v>
      </c>
      <c r="AK1675" t="str">
        <f>HYPERLINK("http://www.proteinatlas.org/Q8IWV2","HPA021068")</f>
        <v>HPA021068</v>
      </c>
      <c r="AM1675">
        <v>152330</v>
      </c>
    </row>
    <row r="1676" spans="1:39" x14ac:dyDescent="0.35">
      <c r="A1676" t="s">
        <v>17394</v>
      </c>
      <c r="B1676" t="str">
        <f>HYPERLINK("http://www.uniprot.org/uniprot/Q8IX05","Q8IX05")</f>
        <v>Q8IX05</v>
      </c>
      <c r="C1676" t="s">
        <v>17395</v>
      </c>
      <c r="D1676" t="s">
        <v>17396</v>
      </c>
      <c r="E1676" t="s">
        <v>39</v>
      </c>
      <c r="F1676" t="s">
        <v>40</v>
      </c>
      <c r="H1676">
        <v>232</v>
      </c>
      <c r="I1676">
        <v>1</v>
      </c>
      <c r="J1676">
        <v>1</v>
      </c>
      <c r="K1676" t="s">
        <v>17397</v>
      </c>
      <c r="L1676" t="s">
        <v>101</v>
      </c>
      <c r="N1676">
        <v>0.84030000000000005</v>
      </c>
      <c r="O1676" s="1">
        <v>1</v>
      </c>
      <c r="P1676" t="s">
        <v>17398</v>
      </c>
      <c r="Q1676" t="s">
        <v>17399</v>
      </c>
      <c r="R1676" t="s">
        <v>17396</v>
      </c>
      <c r="S1676" t="s">
        <v>166</v>
      </c>
      <c r="T1676" t="s">
        <v>2180</v>
      </c>
      <c r="U1676">
        <v>109</v>
      </c>
      <c r="V1676">
        <v>1</v>
      </c>
      <c r="Z1676" t="s">
        <v>107</v>
      </c>
      <c r="AA1676">
        <v>1</v>
      </c>
      <c r="AB1676" t="s">
        <v>17400</v>
      </c>
      <c r="AC1676">
        <v>109</v>
      </c>
      <c r="AD1676" t="s">
        <v>17401</v>
      </c>
      <c r="AE1676" t="s">
        <v>17402</v>
      </c>
      <c r="AF1676" t="s">
        <v>17403</v>
      </c>
      <c r="AG1676" t="s">
        <v>17404</v>
      </c>
      <c r="AH1676" t="str">
        <f>HYPERLINK("http://compartments.jensenlab.org/Entity?figures=subcell_cell_%&amp;knowledge=10&amp;textmining=10&amp;experiments=10&amp;predictions=10&amp;type1=9606&amp;type2=-22&amp;id1=ENSP00000259053","link")</f>
        <v>link</v>
      </c>
      <c r="AJ1676" t="s">
        <v>51</v>
      </c>
      <c r="AK1676" t="str">
        <f>HYPERLINK("http://www.proteinatlas.org/Q8IX05","no")</f>
        <v>no</v>
      </c>
      <c r="AM1676">
        <v>9936</v>
      </c>
    </row>
    <row r="1677" spans="1:39" x14ac:dyDescent="0.35">
      <c r="A1677" t="s">
        <v>17405</v>
      </c>
      <c r="B1677" t="str">
        <f>HYPERLINK("http://www.uniprot.org/uniprot/Q8IXE1","Q8IXE1")</f>
        <v>Q8IXE1</v>
      </c>
      <c r="C1677" t="s">
        <v>17406</v>
      </c>
      <c r="D1677" t="s">
        <v>17407</v>
      </c>
      <c r="E1677" t="s">
        <v>39</v>
      </c>
      <c r="F1677" t="s">
        <v>55</v>
      </c>
      <c r="H1677">
        <v>308</v>
      </c>
      <c r="I1677">
        <v>7</v>
      </c>
      <c r="J1677">
        <v>0</v>
      </c>
      <c r="K1677" t="s">
        <v>17408</v>
      </c>
      <c r="L1677" t="s">
        <v>57</v>
      </c>
      <c r="N1677">
        <v>0.996</v>
      </c>
      <c r="O1677" s="1">
        <v>1</v>
      </c>
      <c r="P1677" t="s">
        <v>17409</v>
      </c>
      <c r="Q1677" t="s">
        <v>17410</v>
      </c>
      <c r="S1677" t="s">
        <v>166</v>
      </c>
      <c r="T1677" t="s">
        <v>167</v>
      </c>
      <c r="U1677">
        <v>5</v>
      </c>
      <c r="V1677">
        <v>1</v>
      </c>
      <c r="AE1677" t="s">
        <v>74</v>
      </c>
      <c r="AF1677" t="s">
        <v>169</v>
      </c>
      <c r="AG1677" t="s">
        <v>17411</v>
      </c>
      <c r="AH1677" t="str">
        <f>HYPERLINK("http://compartments.jensenlab.org/Entity?figures=subcell_cell_%&amp;knowledge=10&amp;textmining=10&amp;experiments=10&amp;predictions=10&amp;type1=9606&amp;type2=-22&amp;id1=ENSP00000332110","link")</f>
        <v>link</v>
      </c>
      <c r="AI1677" t="s">
        <v>65</v>
      </c>
      <c r="AJ1677" t="s">
        <v>51</v>
      </c>
      <c r="AK1677" t="str">
        <f>HYPERLINK("http://www.proteinatlas.org/Q8IXE1","no")</f>
        <v>no</v>
      </c>
      <c r="AM1677">
        <v>390437</v>
      </c>
    </row>
    <row r="1678" spans="1:39" x14ac:dyDescent="0.35">
      <c r="A1678" t="s">
        <v>17412</v>
      </c>
      <c r="B1678" t="str">
        <f>HYPERLINK("http://www.uniprot.org/uniprot/Q8IXH8","Q8IXH8")</f>
        <v>Q8IXH8</v>
      </c>
      <c r="C1678" t="s">
        <v>17413</v>
      </c>
      <c r="D1678" t="s">
        <v>17414</v>
      </c>
      <c r="E1678" t="s">
        <v>39</v>
      </c>
      <c r="F1678" t="s">
        <v>40</v>
      </c>
      <c r="H1678">
        <v>852</v>
      </c>
      <c r="I1678">
        <v>1</v>
      </c>
      <c r="J1678">
        <v>1</v>
      </c>
      <c r="K1678" t="s">
        <v>17415</v>
      </c>
      <c r="L1678" t="s">
        <v>57</v>
      </c>
      <c r="N1678">
        <v>0.88619999999999999</v>
      </c>
      <c r="O1678" s="1">
        <v>1</v>
      </c>
      <c r="P1678" t="s">
        <v>17416</v>
      </c>
      <c r="S1678" t="s">
        <v>91</v>
      </c>
      <c r="T1678" t="s">
        <v>2622</v>
      </c>
      <c r="U1678" t="s">
        <v>17417</v>
      </c>
      <c r="V1678">
        <v>5</v>
      </c>
      <c r="AE1678" t="s">
        <v>332</v>
      </c>
      <c r="AF1678" t="s">
        <v>2624</v>
      </c>
      <c r="AG1678" t="s">
        <v>17418</v>
      </c>
      <c r="AK1678" t="str">
        <f>HYPERLINK("http://www.proteinatlas.org/Q8IXH8","HPA015722")</f>
        <v>HPA015722</v>
      </c>
      <c r="AM1678">
        <v>60437</v>
      </c>
    </row>
    <row r="1679" spans="1:39" x14ac:dyDescent="0.35">
      <c r="A1679" t="s">
        <v>17419</v>
      </c>
      <c r="B1679" t="str">
        <f>HYPERLINK("http://www.uniprot.org/uniprot/Q8IY34","Q8IY34")</f>
        <v>Q8IY34</v>
      </c>
      <c r="C1679" t="s">
        <v>17420</v>
      </c>
      <c r="D1679" t="s">
        <v>17421</v>
      </c>
      <c r="E1679" t="s">
        <v>39</v>
      </c>
      <c r="F1679" t="s">
        <v>40</v>
      </c>
      <c r="H1679">
        <v>581</v>
      </c>
      <c r="I1679">
        <v>12</v>
      </c>
      <c r="J1679">
        <v>0</v>
      </c>
      <c r="K1679" t="s">
        <v>17422</v>
      </c>
      <c r="L1679" t="s">
        <v>118</v>
      </c>
      <c r="N1679">
        <v>0.85229999999999995</v>
      </c>
      <c r="O1679" s="1">
        <v>1</v>
      </c>
      <c r="P1679" t="s">
        <v>17423</v>
      </c>
      <c r="Q1679" t="s">
        <v>17424</v>
      </c>
      <c r="S1679" t="s">
        <v>45</v>
      </c>
      <c r="T1679" t="s">
        <v>9581</v>
      </c>
      <c r="U1679" t="s">
        <v>17425</v>
      </c>
      <c r="V1679">
        <v>5</v>
      </c>
      <c r="Y1679">
        <v>201</v>
      </c>
      <c r="Z1679" t="s">
        <v>123</v>
      </c>
      <c r="AA1679">
        <v>1</v>
      </c>
      <c r="AB1679" t="s">
        <v>17426</v>
      </c>
      <c r="AC1679">
        <v>439</v>
      </c>
      <c r="AD1679" t="s">
        <v>17427</v>
      </c>
      <c r="AE1679" t="s">
        <v>2218</v>
      </c>
      <c r="AF1679" t="s">
        <v>17428</v>
      </c>
      <c r="AG1679" t="s">
        <v>17429</v>
      </c>
      <c r="AH1679" t="str">
        <f>HYPERLINK("http://compartments.jensenlab.org/Entity?figures=subcell_cell_%&amp;knowledge=10&amp;textmining=10&amp;experiments=10&amp;predictions=10&amp;type1=9606&amp;type2=-22&amp;id1=ENSP00000227880","link")</f>
        <v>link</v>
      </c>
      <c r="AI1679" t="s">
        <v>1487</v>
      </c>
      <c r="AJ1679" t="s">
        <v>1488</v>
      </c>
      <c r="AK1679" t="str">
        <f>HYPERLINK("http://www.proteinatlas.org/Q8IY34","HPA047880;HPA057642")</f>
        <v>HPA047880;HPA057642</v>
      </c>
      <c r="AM1679">
        <v>51296</v>
      </c>
    </row>
    <row r="1680" spans="1:39" x14ac:dyDescent="0.35">
      <c r="A1680" t="s">
        <v>17430</v>
      </c>
      <c r="B1680" t="str">
        <f>HYPERLINK("http://www.uniprot.org/uniprot/Q8IYL9","Q8IYL9")</f>
        <v>Q8IYL9</v>
      </c>
      <c r="C1680" t="s">
        <v>17431</v>
      </c>
      <c r="D1680" t="s">
        <v>17432</v>
      </c>
      <c r="E1680" t="s">
        <v>39</v>
      </c>
      <c r="F1680" t="s">
        <v>55</v>
      </c>
      <c r="H1680">
        <v>337</v>
      </c>
      <c r="I1680">
        <v>7</v>
      </c>
      <c r="J1680">
        <v>0</v>
      </c>
      <c r="K1680" t="s">
        <v>17433</v>
      </c>
      <c r="L1680" t="s">
        <v>101</v>
      </c>
      <c r="M1680" t="s">
        <v>39</v>
      </c>
      <c r="N1680">
        <v>0.96450000000000002</v>
      </c>
      <c r="O1680" s="1">
        <v>1</v>
      </c>
      <c r="P1680" t="s">
        <v>17434</v>
      </c>
      <c r="Q1680" t="s">
        <v>17435</v>
      </c>
      <c r="S1680" t="s">
        <v>166</v>
      </c>
      <c r="T1680" t="s">
        <v>838</v>
      </c>
      <c r="U1680" t="s">
        <v>17436</v>
      </c>
      <c r="V1680">
        <v>3</v>
      </c>
      <c r="W1680" t="s">
        <v>17437</v>
      </c>
      <c r="Z1680" t="s">
        <v>107</v>
      </c>
      <c r="AA1680">
        <v>1</v>
      </c>
      <c r="AB1680" t="s">
        <v>17438</v>
      </c>
      <c r="AC1680">
        <v>166</v>
      </c>
      <c r="AD1680" t="s">
        <v>17439</v>
      </c>
      <c r="AE1680" t="s">
        <v>74</v>
      </c>
      <c r="AF1680" t="s">
        <v>17440</v>
      </c>
      <c r="AG1680" t="s">
        <v>17441</v>
      </c>
      <c r="AH1680" t="str">
        <f>HYPERLINK("http://compartments.jensenlab.org/Entity?figures=subcell_cell_%&amp;knowledge=10&amp;textmining=10&amp;experiments=10&amp;predictions=10&amp;type1=9606&amp;type2=-22&amp;id1=ENSP00000267549","link")</f>
        <v>link</v>
      </c>
      <c r="AI1680" t="s">
        <v>65</v>
      </c>
      <c r="AJ1680" t="s">
        <v>51</v>
      </c>
      <c r="AK1680" t="str">
        <f>HYPERLINK("http://www.proteinatlas.org/Q8IYL9","no")</f>
        <v>no</v>
      </c>
      <c r="AM1680">
        <v>8477</v>
      </c>
    </row>
    <row r="1681" spans="1:39" x14ac:dyDescent="0.35">
      <c r="A1681" t="s">
        <v>17442</v>
      </c>
      <c r="B1681" t="str">
        <f>HYPERLINK("http://www.uniprot.org/uniprot/Q8IYR6","Q8IYR6")</f>
        <v>Q8IYR6</v>
      </c>
      <c r="C1681" t="s">
        <v>17443</v>
      </c>
      <c r="D1681" t="s">
        <v>17444</v>
      </c>
      <c r="E1681" t="s">
        <v>39</v>
      </c>
      <c r="F1681" t="s">
        <v>55</v>
      </c>
      <c r="H1681">
        <v>380</v>
      </c>
      <c r="I1681">
        <v>1</v>
      </c>
      <c r="J1681">
        <v>1</v>
      </c>
      <c r="K1681" t="s">
        <v>17445</v>
      </c>
      <c r="L1681" t="s">
        <v>101</v>
      </c>
      <c r="M1681" t="s">
        <v>39</v>
      </c>
      <c r="N1681">
        <v>0.80420000000000003</v>
      </c>
      <c r="O1681" s="1">
        <v>1</v>
      </c>
      <c r="P1681" t="s">
        <v>17446</v>
      </c>
      <c r="Q1681" t="s">
        <v>17447</v>
      </c>
      <c r="S1681" t="s">
        <v>60</v>
      </c>
      <c r="T1681" t="s">
        <v>60</v>
      </c>
      <c r="U1681" t="s">
        <v>17448</v>
      </c>
      <c r="V1681">
        <v>2</v>
      </c>
      <c r="Z1681" t="s">
        <v>107</v>
      </c>
      <c r="AA1681">
        <v>1</v>
      </c>
      <c r="AB1681" t="s">
        <v>17449</v>
      </c>
      <c r="AC1681">
        <v>63</v>
      </c>
      <c r="AD1681" t="s">
        <v>17450</v>
      </c>
      <c r="AE1681" t="s">
        <v>332</v>
      </c>
      <c r="AF1681" t="s">
        <v>17451</v>
      </c>
      <c r="AG1681" t="s">
        <v>17452</v>
      </c>
      <c r="AH1681" t="str">
        <f>HYPERLINK("http://compartments.jensenlab.org/Entity?figures=subcell_cell_%&amp;knowledge=10&amp;textmining=10&amp;experiments=10&amp;predictions=10&amp;type1=9606&amp;type2=-22&amp;id1=ENSP00000364013","link")</f>
        <v>link</v>
      </c>
      <c r="AI1681" t="s">
        <v>65</v>
      </c>
      <c r="AJ1681" t="s">
        <v>51</v>
      </c>
      <c r="AK1681" t="str">
        <f>HYPERLINK("http://www.proteinatlas.org/Q8IYR6","HPA051501")</f>
        <v>HPA051501</v>
      </c>
      <c r="AM1681" t="s">
        <v>17453</v>
      </c>
    </row>
    <row r="1682" spans="1:39" x14ac:dyDescent="0.35">
      <c r="A1682" t="s">
        <v>17454</v>
      </c>
      <c r="B1682" t="str">
        <f>HYPERLINK("http://www.uniprot.org/uniprot/Q8IYV9","Q8IYV9")</f>
        <v>Q8IYV9</v>
      </c>
      <c r="C1682" t="s">
        <v>17455</v>
      </c>
      <c r="D1682" t="s">
        <v>17456</v>
      </c>
      <c r="E1682" t="s">
        <v>39</v>
      </c>
      <c r="F1682" t="s">
        <v>40</v>
      </c>
      <c r="H1682">
        <v>350</v>
      </c>
      <c r="I1682">
        <v>1</v>
      </c>
      <c r="J1682">
        <v>1</v>
      </c>
      <c r="K1682" t="s">
        <v>17457</v>
      </c>
      <c r="L1682" t="s">
        <v>57</v>
      </c>
      <c r="N1682">
        <v>0.75649999999999995</v>
      </c>
      <c r="O1682" s="1">
        <v>1</v>
      </c>
      <c r="P1682" t="s">
        <v>17458</v>
      </c>
      <c r="Q1682" t="s">
        <v>17459</v>
      </c>
      <c r="S1682" t="s">
        <v>60</v>
      </c>
      <c r="T1682" t="s">
        <v>60</v>
      </c>
      <c r="U1682" t="s">
        <v>17460</v>
      </c>
      <c r="V1682">
        <v>2</v>
      </c>
      <c r="AE1682" t="s">
        <v>144</v>
      </c>
      <c r="AF1682" t="s">
        <v>17461</v>
      </c>
      <c r="AG1682" t="s">
        <v>17462</v>
      </c>
      <c r="AH1682" t="str">
        <f>HYPERLINK("http://compartments.jensenlab.org/Entity?figures=subcell_cell_%&amp;knowledge=10&amp;textmining=10&amp;experiments=10&amp;predictions=10&amp;type1=9606&amp;type2=-22&amp;id1=ENSP00000327786","link")</f>
        <v>link</v>
      </c>
      <c r="AJ1682" t="s">
        <v>51</v>
      </c>
      <c r="AK1682" t="str">
        <f>HYPERLINK("http://www.proteinatlas.org/Q8IYV9","HPA038104")</f>
        <v>HPA038104</v>
      </c>
      <c r="AM1682">
        <v>284359</v>
      </c>
    </row>
    <row r="1683" spans="1:39" x14ac:dyDescent="0.35">
      <c r="A1683" t="s">
        <v>17463</v>
      </c>
      <c r="B1683" t="str">
        <f>HYPERLINK("http://www.uniprot.org/uniprot/Q8IZD6","Q8IZD6")</f>
        <v>Q8IZD6</v>
      </c>
      <c r="C1683" t="s">
        <v>17464</v>
      </c>
      <c r="D1683" t="s">
        <v>17465</v>
      </c>
      <c r="E1683" t="s">
        <v>39</v>
      </c>
      <c r="F1683" t="s">
        <v>40</v>
      </c>
      <c r="H1683">
        <v>547</v>
      </c>
      <c r="I1683">
        <v>12</v>
      </c>
      <c r="J1683">
        <v>0</v>
      </c>
      <c r="K1683" t="s">
        <v>17466</v>
      </c>
      <c r="L1683" t="s">
        <v>42</v>
      </c>
      <c r="N1683">
        <v>0.72650000000000003</v>
      </c>
      <c r="O1683" s="1">
        <v>2</v>
      </c>
      <c r="P1683" t="s">
        <v>17467</v>
      </c>
      <c r="Q1683" t="s">
        <v>17468</v>
      </c>
      <c r="S1683" t="s">
        <v>45</v>
      </c>
      <c r="T1683" t="s">
        <v>121</v>
      </c>
      <c r="U1683" t="s">
        <v>17469</v>
      </c>
      <c r="V1683">
        <v>4</v>
      </c>
      <c r="AE1683" t="s">
        <v>48</v>
      </c>
      <c r="AF1683" t="s">
        <v>462</v>
      </c>
      <c r="AG1683" t="s">
        <v>17470</v>
      </c>
      <c r="AH1683" t="str">
        <f>HYPERLINK("http://compartments.jensenlab.org/Entity?figures=subcell_cell_%&amp;knowledge=10&amp;textmining=10&amp;experiments=10&amp;predictions=10&amp;type1=9606&amp;type2=-22&amp;id1=ENSP00000358515","link")</f>
        <v>link</v>
      </c>
      <c r="AJ1683" t="s">
        <v>51</v>
      </c>
      <c r="AK1683" t="str">
        <f>HYPERLINK("http://www.proteinatlas.org/Q8IZD6","HPA019785")</f>
        <v>HPA019785</v>
      </c>
      <c r="AM1683">
        <v>55356</v>
      </c>
    </row>
    <row r="1684" spans="1:39" x14ac:dyDescent="0.35">
      <c r="A1684" t="s">
        <v>17471</v>
      </c>
      <c r="B1684" t="str">
        <f>HYPERLINK("http://www.uniprot.org/uniprot/Q8IZF0","Q8IZF0")</f>
        <v>Q8IZF0</v>
      </c>
      <c r="C1684" t="s">
        <v>17472</v>
      </c>
      <c r="D1684" t="s">
        <v>17473</v>
      </c>
      <c r="E1684" t="s">
        <v>39</v>
      </c>
      <c r="F1684" t="s">
        <v>40</v>
      </c>
      <c r="H1684">
        <v>1738</v>
      </c>
      <c r="I1684">
        <v>24</v>
      </c>
      <c r="J1684">
        <v>0</v>
      </c>
      <c r="K1684" t="s">
        <v>17474</v>
      </c>
      <c r="L1684" t="s">
        <v>57</v>
      </c>
      <c r="N1684">
        <v>0.70860000000000001</v>
      </c>
      <c r="O1684" s="1">
        <v>2</v>
      </c>
      <c r="P1684" t="s">
        <v>17475</v>
      </c>
      <c r="Q1684" t="s">
        <v>17476</v>
      </c>
      <c r="S1684" t="s">
        <v>60</v>
      </c>
      <c r="T1684" t="s">
        <v>60</v>
      </c>
      <c r="U1684" t="s">
        <v>17477</v>
      </c>
      <c r="V1684">
        <v>4</v>
      </c>
      <c r="AE1684" t="s">
        <v>48</v>
      </c>
      <c r="AF1684" t="s">
        <v>17478</v>
      </c>
      <c r="AG1684" t="s">
        <v>17479</v>
      </c>
      <c r="AH1684" t="str">
        <f>HYPERLINK("http://compartments.jensenlab.org/Entity?figures=subcell_cell_%&amp;knowledge=10&amp;textmining=10&amp;experiments=10&amp;predictions=10&amp;type1=9606&amp;type2=-22&amp;id1=ENSP00000251127","link")</f>
        <v>link</v>
      </c>
      <c r="AJ1684" t="s">
        <v>51</v>
      </c>
      <c r="AK1684" t="str">
        <f>HYPERLINK("http://www.proteinatlas.org/Q8IZF0","HPA031889;HPA031890;HPA031958")</f>
        <v>HPA031889;HPA031890;HPA031958</v>
      </c>
      <c r="AM1684">
        <v>259232</v>
      </c>
    </row>
    <row r="1685" spans="1:39" x14ac:dyDescent="0.35">
      <c r="A1685" t="s">
        <v>17480</v>
      </c>
      <c r="B1685" t="str">
        <f>HYPERLINK("http://www.uniprot.org/uniprot/Q8IZF2","Q8IZF2")</f>
        <v>Q8IZF2</v>
      </c>
      <c r="C1685" t="s">
        <v>17481</v>
      </c>
      <c r="D1685" t="s">
        <v>17482</v>
      </c>
      <c r="E1685" t="s">
        <v>39</v>
      </c>
      <c r="F1685" t="s">
        <v>55</v>
      </c>
      <c r="H1685">
        <v>1346</v>
      </c>
      <c r="I1685">
        <v>7</v>
      </c>
      <c r="J1685">
        <v>1</v>
      </c>
      <c r="K1685" t="s">
        <v>17483</v>
      </c>
      <c r="L1685" t="s">
        <v>101</v>
      </c>
      <c r="M1685" t="s">
        <v>39</v>
      </c>
      <c r="N1685">
        <v>0.98299999999999998</v>
      </c>
      <c r="O1685" s="1">
        <v>1</v>
      </c>
      <c r="P1685" t="s">
        <v>17484</v>
      </c>
      <c r="Q1685" t="s">
        <v>17485</v>
      </c>
      <c r="S1685" t="s">
        <v>166</v>
      </c>
      <c r="T1685" t="s">
        <v>1149</v>
      </c>
      <c r="U1685" t="s">
        <v>17486</v>
      </c>
      <c r="V1685">
        <v>23</v>
      </c>
      <c r="X1685">
        <v>1326</v>
      </c>
      <c r="Y1685">
        <v>1163</v>
      </c>
      <c r="Z1685" t="s">
        <v>107</v>
      </c>
      <c r="AA1685">
        <v>2</v>
      </c>
      <c r="AB1685" t="s">
        <v>17487</v>
      </c>
      <c r="AC1685" t="s">
        <v>17488</v>
      </c>
      <c r="AD1685" t="s">
        <v>17489</v>
      </c>
      <c r="AE1685" t="s">
        <v>74</v>
      </c>
      <c r="AF1685" t="s">
        <v>17490</v>
      </c>
      <c r="AG1685" t="s">
        <v>17491</v>
      </c>
      <c r="AH1685" t="str">
        <f>HYPERLINK("http://compartments.jensenlab.org/Entity?figures=subcell_cell_%&amp;knowledge=10&amp;textmining=10&amp;experiments=10&amp;predictions=10&amp;type1=9606&amp;type2=-22&amp;id1=ENSP00000265417","link")</f>
        <v>link</v>
      </c>
      <c r="AI1685" t="s">
        <v>65</v>
      </c>
      <c r="AJ1685" t="s">
        <v>51</v>
      </c>
      <c r="AK1685" t="str">
        <f>HYPERLINK("http://www.proteinatlas.org/Q8IZF2","no")</f>
        <v>no</v>
      </c>
      <c r="AM1685">
        <v>221395</v>
      </c>
    </row>
    <row r="1686" spans="1:39" x14ac:dyDescent="0.35">
      <c r="A1686" t="s">
        <v>17492</v>
      </c>
      <c r="B1686" t="str">
        <f>HYPERLINK("http://www.uniprot.org/uniprot/Q8IZF3","Q8IZF3")</f>
        <v>Q8IZF3</v>
      </c>
      <c r="C1686" t="s">
        <v>17493</v>
      </c>
      <c r="D1686" t="s">
        <v>17494</v>
      </c>
      <c r="E1686" t="s">
        <v>39</v>
      </c>
      <c r="F1686" t="s">
        <v>55</v>
      </c>
      <c r="H1686">
        <v>695</v>
      </c>
      <c r="I1686">
        <v>7</v>
      </c>
      <c r="J1686">
        <v>1</v>
      </c>
      <c r="K1686" t="s">
        <v>17495</v>
      </c>
      <c r="L1686" t="s">
        <v>57</v>
      </c>
      <c r="M1686" t="s">
        <v>39</v>
      </c>
      <c r="N1686">
        <v>0.96060000000000001</v>
      </c>
      <c r="O1686" s="1">
        <v>1</v>
      </c>
      <c r="P1686" t="s">
        <v>17496</v>
      </c>
      <c r="Q1686" t="s">
        <v>17497</v>
      </c>
      <c r="S1686" t="s">
        <v>166</v>
      </c>
      <c r="T1686" t="s">
        <v>1149</v>
      </c>
      <c r="U1686" t="s">
        <v>17498</v>
      </c>
      <c r="V1686">
        <v>13</v>
      </c>
      <c r="Y1686">
        <v>550</v>
      </c>
      <c r="AE1686" t="s">
        <v>74</v>
      </c>
      <c r="AF1686" t="s">
        <v>9746</v>
      </c>
      <c r="AG1686" t="s">
        <v>17499</v>
      </c>
      <c r="AH1686" t="str">
        <f>HYPERLINK("http://compartments.jensenlab.org/Entity?figures=subcell_cell_%&amp;knowledge=10&amp;textmining=10&amp;experiments=10&amp;predictions=10&amp;type1=9606&amp;type2=-22&amp;id1=ENSP00000283303","link")</f>
        <v>link</v>
      </c>
      <c r="AI1686" t="s">
        <v>65</v>
      </c>
      <c r="AJ1686" t="s">
        <v>51</v>
      </c>
      <c r="AK1686" t="str">
        <f>HYPERLINK("http://www.proteinatlas.org/Q8IZF3","HPA007158")</f>
        <v>HPA007158</v>
      </c>
      <c r="AM1686">
        <v>221393</v>
      </c>
    </row>
    <row r="1687" spans="1:39" x14ac:dyDescent="0.35">
      <c r="A1687" t="s">
        <v>17500</v>
      </c>
      <c r="B1687" t="str">
        <f>HYPERLINK("http://www.uniprot.org/uniprot/Q8IZF4","Q8IZF4")</f>
        <v>Q8IZF4</v>
      </c>
      <c r="C1687" t="s">
        <v>17501</v>
      </c>
      <c r="D1687" t="s">
        <v>17502</v>
      </c>
      <c r="E1687" t="s">
        <v>39</v>
      </c>
      <c r="F1687" t="s">
        <v>55</v>
      </c>
      <c r="H1687">
        <v>528</v>
      </c>
      <c r="I1687">
        <v>7</v>
      </c>
      <c r="J1687">
        <v>1</v>
      </c>
      <c r="K1687" t="s">
        <v>17503</v>
      </c>
      <c r="L1687" t="s">
        <v>57</v>
      </c>
      <c r="M1687" t="s">
        <v>39</v>
      </c>
      <c r="N1687">
        <v>0.94089999999999996</v>
      </c>
      <c r="O1687" s="1">
        <v>1</v>
      </c>
      <c r="P1687" t="s">
        <v>17504</v>
      </c>
      <c r="Q1687" t="s">
        <v>17505</v>
      </c>
      <c r="S1687" t="s">
        <v>166</v>
      </c>
      <c r="T1687" t="s">
        <v>1149</v>
      </c>
      <c r="U1687" t="s">
        <v>17506</v>
      </c>
      <c r="V1687">
        <v>8</v>
      </c>
      <c r="Y1687" t="s">
        <v>17507</v>
      </c>
      <c r="AE1687" t="s">
        <v>74</v>
      </c>
      <c r="AF1687" t="s">
        <v>10090</v>
      </c>
      <c r="AG1687" t="s">
        <v>17508</v>
      </c>
      <c r="AH1687" t="str">
        <f>HYPERLINK("http://compartments.jensenlab.org/Entity?figures=subcell_cell_%&amp;knowledge=10&amp;textmining=10&amp;experiments=10&amp;predictions=10&amp;type1=9606&amp;type2=-22&amp;id1=ENSP00000342981","link")</f>
        <v>link</v>
      </c>
      <c r="AI1687" t="s">
        <v>65</v>
      </c>
      <c r="AJ1687" t="s">
        <v>51</v>
      </c>
      <c r="AK1687" t="str">
        <f>HYPERLINK("http://www.proteinatlas.org/Q8IZF4","HPA007133")</f>
        <v>HPA007133</v>
      </c>
      <c r="AM1687">
        <v>221188</v>
      </c>
    </row>
    <row r="1688" spans="1:39" x14ac:dyDescent="0.35">
      <c r="A1688" t="s">
        <v>17509</v>
      </c>
      <c r="B1688" t="str">
        <f>HYPERLINK("http://www.uniprot.org/uniprot/Q8IZF5","Q8IZF5")</f>
        <v>Q8IZF5</v>
      </c>
      <c r="C1688" t="s">
        <v>17510</v>
      </c>
      <c r="D1688" t="s">
        <v>17511</v>
      </c>
      <c r="E1688" t="s">
        <v>39</v>
      </c>
      <c r="F1688" t="s">
        <v>55</v>
      </c>
      <c r="H1688">
        <v>1079</v>
      </c>
      <c r="I1688">
        <v>7</v>
      </c>
      <c r="J1688">
        <v>1</v>
      </c>
      <c r="K1688" t="s">
        <v>17512</v>
      </c>
      <c r="L1688" t="s">
        <v>57</v>
      </c>
      <c r="M1688" t="s">
        <v>39</v>
      </c>
      <c r="N1688">
        <v>0.96140000000000003</v>
      </c>
      <c r="O1688" s="1">
        <v>1</v>
      </c>
      <c r="P1688" t="s">
        <v>17513</v>
      </c>
      <c r="Q1688" t="s">
        <v>17514</v>
      </c>
      <c r="S1688" t="s">
        <v>166</v>
      </c>
      <c r="T1688" t="s">
        <v>1149</v>
      </c>
      <c r="U1688" t="s">
        <v>17515</v>
      </c>
      <c r="V1688">
        <v>6</v>
      </c>
      <c r="Y1688">
        <v>793</v>
      </c>
      <c r="AE1688" t="s">
        <v>74</v>
      </c>
      <c r="AF1688" t="s">
        <v>14793</v>
      </c>
      <c r="AG1688" t="s">
        <v>17516</v>
      </c>
      <c r="AH1688" t="str">
        <f>HYPERLINK("http://compartments.jensenlab.org/Entity?figures=subcell_cell_%&amp;knowledge=10&amp;textmining=10&amp;experiments=10&amp;predictions=10&amp;type1=9606&amp;type2=-22&amp;id1=ENSP00000307831","link")</f>
        <v>link</v>
      </c>
      <c r="AI1688" t="s">
        <v>65</v>
      </c>
      <c r="AJ1688" t="s">
        <v>51</v>
      </c>
      <c r="AK1688" t="str">
        <f>HYPERLINK("http://www.proteinatlas.org/Q8IZF5","HPA044500")</f>
        <v>HPA044500</v>
      </c>
      <c r="AM1688">
        <v>165082</v>
      </c>
    </row>
    <row r="1689" spans="1:39" x14ac:dyDescent="0.35">
      <c r="A1689" t="s">
        <v>17517</v>
      </c>
      <c r="B1689" t="str">
        <f>HYPERLINK("http://www.uniprot.org/uniprot/Q8IZF6","Q8IZF6")</f>
        <v>Q8IZF6</v>
      </c>
      <c r="C1689" t="s">
        <v>17518</v>
      </c>
      <c r="D1689" t="s">
        <v>17519</v>
      </c>
      <c r="E1689" t="s">
        <v>39</v>
      </c>
      <c r="F1689" t="s">
        <v>55</v>
      </c>
      <c r="H1689">
        <v>3080</v>
      </c>
      <c r="I1689">
        <v>7</v>
      </c>
      <c r="J1689">
        <v>1</v>
      </c>
      <c r="K1689" t="s">
        <v>17520</v>
      </c>
      <c r="L1689" t="s">
        <v>57</v>
      </c>
      <c r="M1689" t="s">
        <v>39</v>
      </c>
      <c r="N1689">
        <v>0.92190000000000005</v>
      </c>
      <c r="O1689" s="1">
        <v>1</v>
      </c>
      <c r="P1689" t="s">
        <v>17521</v>
      </c>
      <c r="Q1689" t="s">
        <v>17522</v>
      </c>
      <c r="S1689" t="s">
        <v>166</v>
      </c>
      <c r="T1689" t="s">
        <v>1149</v>
      </c>
      <c r="U1689" t="s">
        <v>17523</v>
      </c>
      <c r="V1689">
        <v>36</v>
      </c>
      <c r="X1689" t="s">
        <v>17524</v>
      </c>
      <c r="AE1689" t="s">
        <v>74</v>
      </c>
      <c r="AF1689" t="s">
        <v>14793</v>
      </c>
      <c r="AG1689" t="s">
        <v>17525</v>
      </c>
      <c r="AH1689" t="str">
        <f>HYPERLINK("http://compartments.jensenlab.org/Entity?figures=subcell_cell_%&amp;knowledge=10&amp;textmining=10&amp;experiments=10&amp;predictions=10&amp;type1=9606&amp;type2=-22&amp;id1=ENSP00000359686","link")</f>
        <v>link</v>
      </c>
      <c r="AI1689" t="s">
        <v>65</v>
      </c>
      <c r="AJ1689" t="s">
        <v>51</v>
      </c>
      <c r="AK1689" t="str">
        <f>HYPERLINK("http://www.proteinatlas.org/Q8IZF6","HPA035324")</f>
        <v>HPA035324</v>
      </c>
      <c r="AM1689">
        <v>139378</v>
      </c>
    </row>
    <row r="1690" spans="1:39" x14ac:dyDescent="0.35">
      <c r="A1690" t="s">
        <v>17526</v>
      </c>
      <c r="B1690" t="str">
        <f>HYPERLINK("http://www.uniprot.org/uniprot/Q8IZF7","Q8IZF7")</f>
        <v>Q8IZF7</v>
      </c>
      <c r="C1690" t="s">
        <v>17527</v>
      </c>
      <c r="D1690" t="s">
        <v>17528</v>
      </c>
      <c r="E1690" t="s">
        <v>39</v>
      </c>
      <c r="F1690" t="s">
        <v>40</v>
      </c>
      <c r="H1690">
        <v>708</v>
      </c>
      <c r="I1690">
        <v>7</v>
      </c>
      <c r="J1690">
        <v>0</v>
      </c>
      <c r="K1690" t="s">
        <v>17529</v>
      </c>
      <c r="L1690" t="s">
        <v>57</v>
      </c>
      <c r="N1690">
        <v>0.90620000000000001</v>
      </c>
      <c r="O1690" s="1">
        <v>1</v>
      </c>
      <c r="P1690" t="s">
        <v>17530</v>
      </c>
      <c r="Q1690" t="s">
        <v>17531</v>
      </c>
      <c r="S1690" t="s">
        <v>166</v>
      </c>
      <c r="T1690" t="s">
        <v>1149</v>
      </c>
      <c r="U1690" t="s">
        <v>17532</v>
      </c>
      <c r="V1690">
        <v>7</v>
      </c>
      <c r="Y1690">
        <v>595</v>
      </c>
      <c r="AE1690" t="s">
        <v>74</v>
      </c>
      <c r="AF1690" t="s">
        <v>13791</v>
      </c>
      <c r="AG1690" t="s">
        <v>17533</v>
      </c>
      <c r="AH1690" t="str">
        <f>HYPERLINK("http://compartments.jensenlab.org/Entity?figures=subcell_cell_%&amp;knowledge=10&amp;textmining=10&amp;experiments=10&amp;predictions=10&amp;type1=9606&amp;type2=-22&amp;id1=ENSP00000296862","link")</f>
        <v>link</v>
      </c>
      <c r="AK1690" t="str">
        <f>HYPERLINK("http://www.proteinatlas.org/Q8IZF7","HPA035507")</f>
        <v>HPA035507</v>
      </c>
      <c r="AM1690">
        <v>222611</v>
      </c>
    </row>
    <row r="1691" spans="1:39" x14ac:dyDescent="0.35">
      <c r="A1691" t="s">
        <v>17534</v>
      </c>
      <c r="B1691" t="str">
        <f>HYPERLINK("http://www.uniprot.org/uniprot/Q8IZJ1","Q8IZJ1")</f>
        <v>Q8IZJ1</v>
      </c>
      <c r="C1691" t="s">
        <v>17535</v>
      </c>
      <c r="D1691" t="s">
        <v>17536</v>
      </c>
      <c r="E1691" t="s">
        <v>39</v>
      </c>
      <c r="F1691" t="s">
        <v>40</v>
      </c>
      <c r="H1691">
        <v>945</v>
      </c>
      <c r="I1691">
        <v>1</v>
      </c>
      <c r="J1691">
        <v>1</v>
      </c>
      <c r="K1691" t="s">
        <v>17537</v>
      </c>
      <c r="L1691" t="s">
        <v>101</v>
      </c>
      <c r="N1691">
        <v>0.88619999999999999</v>
      </c>
      <c r="O1691" s="1">
        <v>1</v>
      </c>
      <c r="P1691" t="s">
        <v>17538</v>
      </c>
      <c r="Q1691" t="s">
        <v>17539</v>
      </c>
      <c r="S1691" t="s">
        <v>166</v>
      </c>
      <c r="T1691" t="s">
        <v>3120</v>
      </c>
      <c r="U1691" t="s">
        <v>17540</v>
      </c>
      <c r="V1691">
        <v>2</v>
      </c>
      <c r="Y1691" t="s">
        <v>17541</v>
      </c>
      <c r="Z1691" t="s">
        <v>107</v>
      </c>
      <c r="AA1691">
        <v>1</v>
      </c>
      <c r="AB1691" t="s">
        <v>17542</v>
      </c>
      <c r="AC1691">
        <v>347</v>
      </c>
      <c r="AD1691" t="s">
        <v>17543</v>
      </c>
      <c r="AE1691" t="s">
        <v>144</v>
      </c>
      <c r="AF1691" t="s">
        <v>17544</v>
      </c>
      <c r="AG1691" t="s">
        <v>17545</v>
      </c>
      <c r="AH1691" t="str">
        <f>HYPERLINK("http://compartments.jensenlab.org/Entity?figures=subcell_cell_%&amp;knowledge=10&amp;textmining=10&amp;experiments=10&amp;predictions=10&amp;type1=9606&amp;type2=-22&amp;id1=ENSP00000334329","link")</f>
        <v>link</v>
      </c>
      <c r="AJ1691" t="s">
        <v>51</v>
      </c>
      <c r="AK1691" t="str">
        <f>HYPERLINK("http://www.proteinatlas.org/Q8IZJ1","HPA011141")</f>
        <v>HPA011141</v>
      </c>
      <c r="AM1691">
        <v>219699</v>
      </c>
    </row>
    <row r="1692" spans="1:39" x14ac:dyDescent="0.35">
      <c r="A1692" t="s">
        <v>17546</v>
      </c>
      <c r="B1692" t="str">
        <f>HYPERLINK("http://www.uniprot.org/uniprot/Q8IZP9","Q8IZP9")</f>
        <v>Q8IZP9</v>
      </c>
      <c r="C1692" t="s">
        <v>17547</v>
      </c>
      <c r="D1692" t="s">
        <v>17548</v>
      </c>
      <c r="E1692" t="s">
        <v>39</v>
      </c>
      <c r="F1692" t="s">
        <v>55</v>
      </c>
      <c r="H1692">
        <v>1017</v>
      </c>
      <c r="I1692">
        <v>7</v>
      </c>
      <c r="J1692">
        <v>1</v>
      </c>
      <c r="K1692" t="s">
        <v>17549</v>
      </c>
      <c r="L1692" t="s">
        <v>101</v>
      </c>
      <c r="M1692" t="s">
        <v>39</v>
      </c>
      <c r="N1692">
        <v>0.94089999999999996</v>
      </c>
      <c r="O1692" s="1">
        <v>1</v>
      </c>
      <c r="P1692" t="s">
        <v>17550</v>
      </c>
      <c r="Q1692" t="s">
        <v>17551</v>
      </c>
      <c r="S1692" t="s">
        <v>166</v>
      </c>
      <c r="T1692" t="s">
        <v>1149</v>
      </c>
      <c r="U1692" t="s">
        <v>17552</v>
      </c>
      <c r="V1692">
        <v>23</v>
      </c>
      <c r="W1692" t="s">
        <v>17553</v>
      </c>
      <c r="Z1692" t="s">
        <v>107</v>
      </c>
      <c r="AA1692">
        <v>5</v>
      </c>
      <c r="AB1692" t="s">
        <v>17554</v>
      </c>
      <c r="AC1692" t="s">
        <v>17555</v>
      </c>
      <c r="AD1692" t="s">
        <v>17556</v>
      </c>
      <c r="AE1692" t="s">
        <v>74</v>
      </c>
      <c r="AF1692" t="s">
        <v>17557</v>
      </c>
      <c r="AG1692" t="s">
        <v>17558</v>
      </c>
      <c r="AH1692" t="str">
        <f>HYPERLINK("http://compartments.jensenlab.org/Entity?figures=subcell_cell_%&amp;knowledge=10&amp;textmining=10&amp;experiments=10&amp;predictions=10&amp;type1=9606&amp;type2=-22&amp;id1=ENSP00000369198","link")</f>
        <v>link</v>
      </c>
      <c r="AI1692" t="s">
        <v>65</v>
      </c>
      <c r="AJ1692" t="s">
        <v>2124</v>
      </c>
      <c r="AK1692" t="str">
        <f>HYPERLINK("http://www.proteinatlas.org/Q8IZP9","HPA001478")</f>
        <v>HPA001478</v>
      </c>
      <c r="AM1692">
        <v>10149</v>
      </c>
    </row>
    <row r="1693" spans="1:39" x14ac:dyDescent="0.35">
      <c r="A1693" t="s">
        <v>17559</v>
      </c>
      <c r="B1693" t="str">
        <f>HYPERLINK("http://www.uniprot.org/uniprot/Q8IZU9","Q8IZU9")</f>
        <v>Q8IZU9</v>
      </c>
      <c r="C1693" t="s">
        <v>17560</v>
      </c>
      <c r="D1693" t="s">
        <v>17561</v>
      </c>
      <c r="E1693" t="s">
        <v>39</v>
      </c>
      <c r="F1693" t="s">
        <v>40</v>
      </c>
      <c r="H1693">
        <v>778</v>
      </c>
      <c r="I1693">
        <v>1</v>
      </c>
      <c r="J1693">
        <v>1</v>
      </c>
      <c r="K1693" t="s">
        <v>17562</v>
      </c>
      <c r="L1693" t="s">
        <v>57</v>
      </c>
      <c r="N1693">
        <v>0.94410000000000005</v>
      </c>
      <c r="O1693" s="1">
        <v>1</v>
      </c>
      <c r="P1693" t="s">
        <v>17563</v>
      </c>
      <c r="Q1693" t="s">
        <v>17564</v>
      </c>
      <c r="S1693" t="s">
        <v>91</v>
      </c>
      <c r="T1693" t="s">
        <v>14321</v>
      </c>
      <c r="U1693" t="s">
        <v>17565</v>
      </c>
      <c r="V1693">
        <v>4</v>
      </c>
      <c r="W1693" t="s">
        <v>17566</v>
      </c>
      <c r="AE1693" t="s">
        <v>332</v>
      </c>
      <c r="AF1693" t="s">
        <v>17567</v>
      </c>
      <c r="AG1693" t="s">
        <v>17568</v>
      </c>
      <c r="AH1693" t="str">
        <f>HYPERLINK("http://compartments.jensenlab.org/Entity?figures=subcell_cell_%&amp;knowledge=10&amp;textmining=10&amp;experiments=10&amp;predictions=10&amp;type1=9606&amp;type2=-22&amp;id1=ENSP00000435466","link")</f>
        <v>link</v>
      </c>
      <c r="AK1693" t="str">
        <f>HYPERLINK("http://www.proteinatlas.org/Q8IZU9","HPA053324;HPA056320")</f>
        <v>HPA053324;HPA056320</v>
      </c>
      <c r="AM1693">
        <v>84623</v>
      </c>
    </row>
    <row r="1694" spans="1:39" x14ac:dyDescent="0.35">
      <c r="A1694" t="s">
        <v>17569</v>
      </c>
      <c r="B1694" t="str">
        <f>HYPERLINK("http://www.uniprot.org/uniprot/Q8IZY2","Q8IZY2")</f>
        <v>Q8IZY2</v>
      </c>
      <c r="C1694" t="s">
        <v>17570</v>
      </c>
      <c r="D1694" t="s">
        <v>17571</v>
      </c>
      <c r="E1694" t="s">
        <v>39</v>
      </c>
      <c r="F1694" t="s">
        <v>55</v>
      </c>
      <c r="H1694">
        <v>2146</v>
      </c>
      <c r="I1694">
        <v>15</v>
      </c>
      <c r="J1694">
        <v>0</v>
      </c>
      <c r="K1694" t="s">
        <v>17572</v>
      </c>
      <c r="L1694" t="s">
        <v>101</v>
      </c>
      <c r="M1694" t="s">
        <v>39</v>
      </c>
      <c r="N1694">
        <v>0.77780000000000005</v>
      </c>
      <c r="O1694" s="1">
        <v>1</v>
      </c>
      <c r="P1694" t="s">
        <v>17573</v>
      </c>
      <c r="Q1694" t="s">
        <v>17574</v>
      </c>
      <c r="S1694" t="s">
        <v>45</v>
      </c>
      <c r="T1694" t="s">
        <v>3013</v>
      </c>
      <c r="U1694" t="s">
        <v>17575</v>
      </c>
      <c r="V1694">
        <v>10</v>
      </c>
      <c r="W1694" t="s">
        <v>17575</v>
      </c>
      <c r="Y1694">
        <v>592</v>
      </c>
      <c r="Z1694" t="s">
        <v>107</v>
      </c>
      <c r="AA1694">
        <v>2</v>
      </c>
      <c r="AB1694" t="s">
        <v>17576</v>
      </c>
      <c r="AC1694" t="s">
        <v>17577</v>
      </c>
      <c r="AD1694" t="s">
        <v>17578</v>
      </c>
      <c r="AE1694" t="s">
        <v>17579</v>
      </c>
      <c r="AF1694" t="s">
        <v>17580</v>
      </c>
      <c r="AG1694" t="s">
        <v>17581</v>
      </c>
      <c r="AH1694" t="str">
        <f>HYPERLINK("http://compartments.jensenlab.org/Entity?figures=subcell_cell_%&amp;knowledge=10&amp;textmining=10&amp;experiments=10&amp;predictions=10&amp;type1=9606&amp;type2=-22&amp;id1=ENSP00000263094","link")</f>
        <v>link</v>
      </c>
      <c r="AI1694" t="s">
        <v>15633</v>
      </c>
      <c r="AJ1694" t="s">
        <v>12327</v>
      </c>
      <c r="AK1694" t="str">
        <f>HYPERLINK("http://www.proteinatlas.org/Q8IZY2","HPA041564")</f>
        <v>HPA041564</v>
      </c>
      <c r="AM1694">
        <v>10347</v>
      </c>
    </row>
    <row r="1695" spans="1:39" x14ac:dyDescent="0.35">
      <c r="A1695" t="s">
        <v>17582</v>
      </c>
      <c r="B1695" t="str">
        <f>HYPERLINK("http://www.uniprot.org/uniprot/Q8J025","Q8J025")</f>
        <v>Q8J025</v>
      </c>
      <c r="C1695" t="s">
        <v>17583</v>
      </c>
      <c r="D1695" t="s">
        <v>17584</v>
      </c>
      <c r="E1695" t="s">
        <v>39</v>
      </c>
      <c r="F1695" t="s">
        <v>55</v>
      </c>
      <c r="H1695">
        <v>514</v>
      </c>
      <c r="I1695">
        <v>1</v>
      </c>
      <c r="J1695">
        <v>1</v>
      </c>
      <c r="K1695" t="s">
        <v>17585</v>
      </c>
      <c r="L1695" t="s">
        <v>101</v>
      </c>
      <c r="M1695" t="s">
        <v>39</v>
      </c>
      <c r="N1695">
        <v>0.61960000000000004</v>
      </c>
      <c r="O1695" s="1">
        <v>2</v>
      </c>
      <c r="P1695" t="s">
        <v>17586</v>
      </c>
      <c r="Q1695" t="s">
        <v>17587</v>
      </c>
      <c r="S1695" t="s">
        <v>60</v>
      </c>
      <c r="T1695" t="s">
        <v>60</v>
      </c>
      <c r="U1695" t="s">
        <v>17588</v>
      </c>
      <c r="V1695">
        <v>3</v>
      </c>
      <c r="W1695" t="s">
        <v>17589</v>
      </c>
      <c r="Z1695" t="s">
        <v>107</v>
      </c>
      <c r="AA1695">
        <v>1</v>
      </c>
      <c r="AB1695" t="s">
        <v>17590</v>
      </c>
      <c r="AC1695">
        <v>168</v>
      </c>
      <c r="AD1695" t="s">
        <v>17591</v>
      </c>
      <c r="AE1695" t="s">
        <v>332</v>
      </c>
      <c r="AF1695" t="s">
        <v>17592</v>
      </c>
      <c r="AG1695" t="s">
        <v>17593</v>
      </c>
      <c r="AH1695" t="str">
        <f>HYPERLINK("http://compartments.jensenlab.org/Entity?figures=subcell_cell_%&amp;knowledge=10&amp;textmining=10&amp;experiments=10&amp;predictions=10&amp;type1=9606&amp;type2=-22&amp;id1=ENSP00000347433","link")</f>
        <v>link</v>
      </c>
      <c r="AI1695" t="s">
        <v>65</v>
      </c>
      <c r="AJ1695" t="s">
        <v>51</v>
      </c>
      <c r="AK1695" t="str">
        <f>HYPERLINK("http://www.proteinatlas.org/Q8J025","HPA014468")</f>
        <v>HPA014468</v>
      </c>
      <c r="AM1695">
        <v>147495</v>
      </c>
    </row>
    <row r="1696" spans="1:39" x14ac:dyDescent="0.35">
      <c r="A1696" t="s">
        <v>17594</v>
      </c>
      <c r="B1696" t="str">
        <f>HYPERLINK("http://www.uniprot.org/uniprot/Q8N0W4","Q8N0W4")</f>
        <v>Q8N0W4</v>
      </c>
      <c r="C1696" t="s">
        <v>17595</v>
      </c>
      <c r="D1696" t="s">
        <v>17596</v>
      </c>
      <c r="E1696" t="s">
        <v>39</v>
      </c>
      <c r="F1696" t="s">
        <v>55</v>
      </c>
      <c r="H1696">
        <v>816</v>
      </c>
      <c r="I1696">
        <v>1</v>
      </c>
      <c r="J1696">
        <v>1</v>
      </c>
      <c r="K1696" t="s">
        <v>17597</v>
      </c>
      <c r="L1696" t="s">
        <v>101</v>
      </c>
      <c r="N1696">
        <v>0.88019999999999998</v>
      </c>
      <c r="O1696" s="1">
        <v>1</v>
      </c>
      <c r="P1696" t="s">
        <v>17598</v>
      </c>
      <c r="Q1696" t="s">
        <v>17599</v>
      </c>
      <c r="S1696" t="s">
        <v>91</v>
      </c>
      <c r="T1696" t="s">
        <v>17600</v>
      </c>
      <c r="U1696" t="s">
        <v>17601</v>
      </c>
      <c r="V1696">
        <v>2</v>
      </c>
      <c r="W1696" t="s">
        <v>17601</v>
      </c>
      <c r="Z1696" t="s">
        <v>107</v>
      </c>
      <c r="AA1696">
        <v>1</v>
      </c>
      <c r="AB1696" t="s">
        <v>17602</v>
      </c>
      <c r="AC1696">
        <v>102</v>
      </c>
      <c r="AD1696" t="s">
        <v>17603</v>
      </c>
      <c r="AE1696" t="s">
        <v>17604</v>
      </c>
      <c r="AF1696" t="s">
        <v>17605</v>
      </c>
      <c r="AG1696" t="s">
        <v>17606</v>
      </c>
      <c r="AH1696" t="str">
        <f>HYPERLINK("http://compartments.jensenlab.org/Entity?figures=subcell_cell_%&amp;knowledge=10&amp;textmining=10&amp;experiments=10&amp;predictions=10&amp;type1=9606&amp;type2=-22&amp;id1=ENSP00000275857","link")</f>
        <v>link</v>
      </c>
      <c r="AI1696" t="s">
        <v>3768</v>
      </c>
      <c r="AJ1696" t="s">
        <v>1811</v>
      </c>
      <c r="AK1696" t="str">
        <f>HYPERLINK("http://www.proteinatlas.org/Q8N0W4","HPA001651")</f>
        <v>HPA001651</v>
      </c>
      <c r="AM1696">
        <v>57502</v>
      </c>
    </row>
    <row r="1697" spans="1:39" x14ac:dyDescent="0.35">
      <c r="A1697" t="s">
        <v>17607</v>
      </c>
      <c r="B1697" t="str">
        <f>HYPERLINK("http://www.uniprot.org/uniprot/Q8N0Y3","Q8N0Y3")</f>
        <v>Q8N0Y3</v>
      </c>
      <c r="C1697" t="s">
        <v>17608</v>
      </c>
      <c r="D1697" t="s">
        <v>17609</v>
      </c>
      <c r="E1697" t="s">
        <v>39</v>
      </c>
      <c r="F1697" t="s">
        <v>55</v>
      </c>
      <c r="H1697">
        <v>316</v>
      </c>
      <c r="I1697">
        <v>7</v>
      </c>
      <c r="J1697">
        <v>0</v>
      </c>
      <c r="K1697" t="s">
        <v>17610</v>
      </c>
      <c r="L1697" t="s">
        <v>57</v>
      </c>
      <c r="M1697" t="s">
        <v>39</v>
      </c>
      <c r="N1697">
        <v>0.95979999999999999</v>
      </c>
      <c r="O1697" s="1">
        <v>1</v>
      </c>
      <c r="P1697" t="s">
        <v>17611</v>
      </c>
      <c r="Q1697" t="s">
        <v>17612</v>
      </c>
      <c r="S1697" t="s">
        <v>166</v>
      </c>
      <c r="T1697" t="s">
        <v>167</v>
      </c>
      <c r="U1697">
        <v>5</v>
      </c>
      <c r="V1697">
        <v>1</v>
      </c>
      <c r="AE1697" t="s">
        <v>74</v>
      </c>
      <c r="AF1697" t="s">
        <v>169</v>
      </c>
      <c r="AG1697" t="s">
        <v>17613</v>
      </c>
      <c r="AH1697" t="str">
        <f>HYPERLINK("http://compartments.jensenlab.org/Entity?figures=subcell_cell_%&amp;knowledge=10&amp;textmining=10&amp;experiments=10&amp;predictions=10&amp;type1=9606&amp;type2=-22&amp;id1=ENSP00000332500","link")</f>
        <v>link</v>
      </c>
      <c r="AI1697" t="s">
        <v>65</v>
      </c>
      <c r="AJ1697" t="s">
        <v>51</v>
      </c>
      <c r="AK1697" t="str">
        <f>HYPERLINK("http://www.proteinatlas.org/Q8N0Y3","HPA057442")</f>
        <v>HPA057442</v>
      </c>
      <c r="AM1697" t="s">
        <v>17614</v>
      </c>
    </row>
    <row r="1698" spans="1:39" x14ac:dyDescent="0.35">
      <c r="A1698" t="s">
        <v>17615</v>
      </c>
      <c r="B1698" t="str">
        <f>HYPERLINK("http://www.uniprot.org/uniprot/Q8N0Y5","Q8N0Y5")</f>
        <v>Q8N0Y5</v>
      </c>
      <c r="C1698" t="s">
        <v>17616</v>
      </c>
      <c r="D1698" t="s">
        <v>17617</v>
      </c>
      <c r="E1698" t="s">
        <v>39</v>
      </c>
      <c r="F1698" t="s">
        <v>55</v>
      </c>
      <c r="H1698">
        <v>310</v>
      </c>
      <c r="I1698">
        <v>7</v>
      </c>
      <c r="J1698">
        <v>0</v>
      </c>
      <c r="K1698" t="s">
        <v>17618</v>
      </c>
      <c r="L1698" t="s">
        <v>57</v>
      </c>
      <c r="N1698">
        <v>0.996</v>
      </c>
      <c r="O1698" s="1">
        <v>1</v>
      </c>
      <c r="P1698" t="s">
        <v>17619</v>
      </c>
      <c r="Q1698" t="s">
        <v>17620</v>
      </c>
      <c r="S1698" t="s">
        <v>166</v>
      </c>
      <c r="T1698" t="s">
        <v>167</v>
      </c>
      <c r="U1698" t="s">
        <v>17621</v>
      </c>
      <c r="V1698">
        <v>2</v>
      </c>
      <c r="AE1698" t="s">
        <v>74</v>
      </c>
      <c r="AF1698" t="s">
        <v>169</v>
      </c>
      <c r="AG1698" t="s">
        <v>17622</v>
      </c>
      <c r="AH1698" t="str">
        <f>HYPERLINK("http://compartments.jensenlab.org/Entity?figures=subcell_cell_%&amp;knowledge=10&amp;textmining=10&amp;experiments=10&amp;predictions=10&amp;type1=9606&amp;type2=-22&amp;id1=ENSP00000303864","link")</f>
        <v>link</v>
      </c>
      <c r="AI1698" t="s">
        <v>65</v>
      </c>
      <c r="AJ1698" t="s">
        <v>51</v>
      </c>
      <c r="AK1698" t="str">
        <f>HYPERLINK("http://www.proteinatlas.org/Q8N0Y5","no")</f>
        <v>no</v>
      </c>
      <c r="AM1698">
        <v>120586</v>
      </c>
    </row>
    <row r="1699" spans="1:39" x14ac:dyDescent="0.35">
      <c r="A1699" t="s">
        <v>17623</v>
      </c>
      <c r="B1699" t="str">
        <f>HYPERLINK("http://www.uniprot.org/uniprot/Q8N0Z9","Q8N0Z9")</f>
        <v>Q8N0Z9</v>
      </c>
      <c r="C1699" t="s">
        <v>17624</v>
      </c>
      <c r="D1699" t="s">
        <v>17625</v>
      </c>
      <c r="E1699" t="s">
        <v>39</v>
      </c>
      <c r="F1699" t="s">
        <v>40</v>
      </c>
      <c r="H1699">
        <v>540</v>
      </c>
      <c r="I1699">
        <v>1</v>
      </c>
      <c r="J1699">
        <v>1</v>
      </c>
      <c r="K1699" t="s">
        <v>17626</v>
      </c>
      <c r="L1699" t="s">
        <v>101</v>
      </c>
      <c r="N1699">
        <v>0.94810000000000005</v>
      </c>
      <c r="O1699" s="1">
        <v>1</v>
      </c>
      <c r="P1699" t="s">
        <v>17627</v>
      </c>
      <c r="Q1699" t="s">
        <v>17628</v>
      </c>
      <c r="S1699" t="s">
        <v>60</v>
      </c>
      <c r="T1699" t="s">
        <v>60</v>
      </c>
      <c r="U1699" t="s">
        <v>17629</v>
      </c>
      <c r="V1699">
        <v>14</v>
      </c>
      <c r="Z1699" t="s">
        <v>107</v>
      </c>
      <c r="AA1699">
        <v>3</v>
      </c>
      <c r="AB1699" t="s">
        <v>17630</v>
      </c>
      <c r="AC1699" t="s">
        <v>17631</v>
      </c>
      <c r="AD1699" t="s">
        <v>17632</v>
      </c>
      <c r="AE1699" t="s">
        <v>144</v>
      </c>
      <c r="AF1699" t="s">
        <v>730</v>
      </c>
      <c r="AG1699" t="s">
        <v>17633</v>
      </c>
      <c r="AH1699" t="str">
        <f>HYPERLINK("http://compartments.jensenlab.org/Entity?figures=subcell_cell_%&amp;knowledge=10&amp;textmining=10&amp;experiments=10&amp;predictions=10&amp;type1=9606&amp;type2=-22&amp;id1=ENSP00000352172","link")</f>
        <v>link</v>
      </c>
      <c r="AJ1699" t="s">
        <v>51</v>
      </c>
      <c r="AK1699" t="str">
        <f>HYPERLINK("http://www.proteinatlas.org/Q8N0Z9","HPA014526")</f>
        <v>HPA014526</v>
      </c>
      <c r="AM1699">
        <v>54621</v>
      </c>
    </row>
    <row r="1700" spans="1:39" x14ac:dyDescent="0.35">
      <c r="A1700" t="s">
        <v>17634</v>
      </c>
      <c r="B1700" t="str">
        <f>HYPERLINK("http://www.uniprot.org/uniprot/Q8N109","Q8N109")</f>
        <v>Q8N109</v>
      </c>
      <c r="C1700" t="s">
        <v>17635</v>
      </c>
      <c r="D1700" t="s">
        <v>17636</v>
      </c>
      <c r="E1700" t="s">
        <v>39</v>
      </c>
      <c r="F1700" t="s">
        <v>55</v>
      </c>
      <c r="H1700">
        <v>375</v>
      </c>
      <c r="I1700">
        <v>1</v>
      </c>
      <c r="J1700">
        <v>1</v>
      </c>
      <c r="K1700" t="s">
        <v>17637</v>
      </c>
      <c r="L1700" t="s">
        <v>101</v>
      </c>
      <c r="M1700" t="s">
        <v>39</v>
      </c>
      <c r="N1700">
        <v>0.92530000000000001</v>
      </c>
      <c r="O1700" s="1">
        <v>1</v>
      </c>
      <c r="P1700" t="s">
        <v>17638</v>
      </c>
      <c r="Q1700" t="s">
        <v>17639</v>
      </c>
      <c r="R1700" t="s">
        <v>17640</v>
      </c>
      <c r="S1700" t="s">
        <v>166</v>
      </c>
      <c r="T1700" t="s">
        <v>9489</v>
      </c>
      <c r="U1700" t="s">
        <v>17641</v>
      </c>
      <c r="V1700">
        <v>3</v>
      </c>
      <c r="Z1700" t="s">
        <v>107</v>
      </c>
      <c r="AA1700">
        <v>1</v>
      </c>
      <c r="AB1700" t="s">
        <v>17642</v>
      </c>
      <c r="AC1700">
        <v>139</v>
      </c>
      <c r="AD1700" t="s">
        <v>17643</v>
      </c>
      <c r="AE1700" t="s">
        <v>332</v>
      </c>
      <c r="AF1700" t="s">
        <v>13332</v>
      </c>
      <c r="AG1700" t="s">
        <v>17644</v>
      </c>
      <c r="AH1700" t="str">
        <f>HYPERLINK("http://compartments.jensenlab.org/Entity?figures=subcell_cell_%&amp;knowledge=10&amp;textmining=10&amp;experiments=10&amp;predictions=10&amp;type1=9606&amp;type2=-22&amp;id1=ENSP00000479384","link")</f>
        <v>link</v>
      </c>
      <c r="AK1700" t="str">
        <f>HYPERLINK("http://www.proteinatlas.org/Q8N109","no")</f>
        <v>no</v>
      </c>
      <c r="AM1700" t="s">
        <v>17645</v>
      </c>
    </row>
    <row r="1701" spans="1:39" x14ac:dyDescent="0.35">
      <c r="A1701" t="s">
        <v>17646</v>
      </c>
      <c r="B1701" t="str">
        <f>HYPERLINK("http://www.uniprot.org/uniprot/Q8N126","Q8N126")</f>
        <v>Q8N126</v>
      </c>
      <c r="C1701" t="s">
        <v>17647</v>
      </c>
      <c r="D1701" t="s">
        <v>17648</v>
      </c>
      <c r="E1701" t="s">
        <v>39</v>
      </c>
      <c r="F1701" t="s">
        <v>55</v>
      </c>
      <c r="H1701">
        <v>398</v>
      </c>
      <c r="I1701">
        <v>1</v>
      </c>
      <c r="J1701">
        <v>1</v>
      </c>
      <c r="K1701" t="s">
        <v>17649</v>
      </c>
      <c r="L1701" t="s">
        <v>101</v>
      </c>
      <c r="M1701" t="s">
        <v>39</v>
      </c>
      <c r="N1701">
        <v>0.81559999999999999</v>
      </c>
      <c r="O1701" s="1">
        <v>1</v>
      </c>
      <c r="P1701" t="s">
        <v>17650</v>
      </c>
      <c r="Q1701" t="s">
        <v>17651</v>
      </c>
      <c r="S1701" t="s">
        <v>91</v>
      </c>
      <c r="T1701" t="s">
        <v>555</v>
      </c>
      <c r="U1701" t="s">
        <v>17652</v>
      </c>
      <c r="V1701">
        <v>1</v>
      </c>
      <c r="Z1701" t="s">
        <v>107</v>
      </c>
      <c r="AA1701">
        <v>2</v>
      </c>
      <c r="AB1701" t="s">
        <v>17653</v>
      </c>
      <c r="AC1701">
        <v>290</v>
      </c>
      <c r="AD1701" t="s">
        <v>17654</v>
      </c>
      <c r="AE1701" t="s">
        <v>8431</v>
      </c>
      <c r="AF1701" t="s">
        <v>17655</v>
      </c>
      <c r="AG1701" t="s">
        <v>17656</v>
      </c>
      <c r="AH1701" t="str">
        <f>HYPERLINK("http://compartments.jensenlab.org/Entity?figures=subcell_cell_%&amp;knowledge=10&amp;textmining=10&amp;experiments=10&amp;predictions=10&amp;type1=9606&amp;type2=-22&amp;id1=ENSP00000357107","link")</f>
        <v>link</v>
      </c>
      <c r="AK1701" t="str">
        <f>HYPERLINK("http://www.proteinatlas.org/Q8N126","HPA002981;CAB025746")</f>
        <v>HPA002981;CAB025746</v>
      </c>
      <c r="AM1701">
        <v>57863</v>
      </c>
    </row>
    <row r="1702" spans="1:39" x14ac:dyDescent="0.35">
      <c r="A1702" t="s">
        <v>17657</v>
      </c>
      <c r="B1702" t="str">
        <f>HYPERLINK("http://www.uniprot.org/uniprot/Q8N127","Q8N127")</f>
        <v>Q8N127</v>
      </c>
      <c r="C1702" t="s">
        <v>17658</v>
      </c>
      <c r="D1702" t="s">
        <v>17659</v>
      </c>
      <c r="E1702" t="s">
        <v>39</v>
      </c>
      <c r="F1702" t="s">
        <v>55</v>
      </c>
      <c r="H1702">
        <v>324</v>
      </c>
      <c r="I1702">
        <v>7</v>
      </c>
      <c r="J1702">
        <v>0</v>
      </c>
      <c r="K1702" t="s">
        <v>17660</v>
      </c>
      <c r="L1702" t="s">
        <v>57</v>
      </c>
      <c r="N1702">
        <v>0.97409999999999997</v>
      </c>
      <c r="O1702" s="1">
        <v>1</v>
      </c>
      <c r="P1702" t="s">
        <v>17661</v>
      </c>
      <c r="Q1702" t="s">
        <v>17662</v>
      </c>
      <c r="S1702" t="s">
        <v>166</v>
      </c>
      <c r="T1702" t="s">
        <v>167</v>
      </c>
      <c r="U1702" t="s">
        <v>17663</v>
      </c>
      <c r="V1702">
        <v>1</v>
      </c>
      <c r="AE1702" t="s">
        <v>74</v>
      </c>
      <c r="AF1702" t="s">
        <v>169</v>
      </c>
      <c r="AG1702" t="s">
        <v>17664</v>
      </c>
      <c r="AH1702" t="str">
        <f>HYPERLINK("http://compartments.jensenlab.org/Entity?figures=subcell_cell_%&amp;knowledge=10&amp;textmining=10&amp;experiments=10&amp;predictions=10&amp;type1=9606&amp;type2=-22&amp;id1=ENSP00000324111","link")</f>
        <v>link</v>
      </c>
      <c r="AI1702" t="s">
        <v>65</v>
      </c>
      <c r="AJ1702" t="s">
        <v>51</v>
      </c>
      <c r="AK1702" t="str">
        <f>HYPERLINK("http://www.proteinatlas.org/Q8N127","no")</f>
        <v>no</v>
      </c>
      <c r="AM1702">
        <v>219447</v>
      </c>
    </row>
    <row r="1703" spans="1:39" x14ac:dyDescent="0.35">
      <c r="A1703" t="s">
        <v>17665</v>
      </c>
      <c r="B1703" t="str">
        <f>HYPERLINK("http://www.uniprot.org/uniprot/Q8N130","Q8N130")</f>
        <v>Q8N130</v>
      </c>
      <c r="C1703" t="s">
        <v>17666</v>
      </c>
      <c r="D1703" t="s">
        <v>17667</v>
      </c>
      <c r="E1703" t="s">
        <v>39</v>
      </c>
      <c r="F1703" t="s">
        <v>40</v>
      </c>
      <c r="H1703">
        <v>599</v>
      </c>
      <c r="I1703">
        <v>8</v>
      </c>
      <c r="J1703">
        <v>0</v>
      </c>
      <c r="K1703" t="s">
        <v>17668</v>
      </c>
      <c r="L1703" t="s">
        <v>57</v>
      </c>
      <c r="N1703">
        <v>0.80840000000000001</v>
      </c>
      <c r="O1703" s="1">
        <v>1</v>
      </c>
      <c r="P1703" t="s">
        <v>17669</v>
      </c>
      <c r="Q1703" t="s">
        <v>17670</v>
      </c>
      <c r="S1703" t="s">
        <v>45</v>
      </c>
      <c r="T1703" t="s">
        <v>3250</v>
      </c>
      <c r="U1703" t="s">
        <v>17671</v>
      </c>
      <c r="V1703">
        <v>4</v>
      </c>
      <c r="AE1703" t="s">
        <v>48</v>
      </c>
      <c r="AF1703" t="s">
        <v>17672</v>
      </c>
      <c r="AG1703" t="s">
        <v>17673</v>
      </c>
      <c r="AH1703" t="str">
        <f>HYPERLINK("http://compartments.jensenlab.org/Entity?figures=subcell_cell_%&amp;knowledge=10&amp;textmining=10&amp;experiments=10&amp;predictions=10&amp;type1=9606&amp;type2=-22&amp;id1=ENSP00000355353","link")</f>
        <v>link</v>
      </c>
      <c r="AJ1703" t="s">
        <v>51</v>
      </c>
      <c r="AK1703" t="str">
        <f>HYPERLINK("http://www.proteinatlas.org/Q8N130","HPA023776")</f>
        <v>HPA023776</v>
      </c>
      <c r="AM1703">
        <v>142680</v>
      </c>
    </row>
    <row r="1704" spans="1:39" x14ac:dyDescent="0.35">
      <c r="A1704" t="s">
        <v>17674</v>
      </c>
      <c r="B1704" t="str">
        <f>HYPERLINK("http://www.uniprot.org/uniprot/Q8N131","Q8N131")</f>
        <v>Q8N131</v>
      </c>
      <c r="C1704" t="s">
        <v>17675</v>
      </c>
      <c r="D1704" t="s">
        <v>17676</v>
      </c>
      <c r="E1704" t="s">
        <v>39</v>
      </c>
      <c r="F1704" t="s">
        <v>40</v>
      </c>
      <c r="H1704">
        <v>208</v>
      </c>
      <c r="I1704">
        <v>1</v>
      </c>
      <c r="J1704">
        <v>1</v>
      </c>
      <c r="K1704" t="s">
        <v>17677</v>
      </c>
      <c r="L1704" t="s">
        <v>57</v>
      </c>
      <c r="N1704">
        <v>0.70860000000000001</v>
      </c>
      <c r="O1704" s="1">
        <v>2</v>
      </c>
      <c r="P1704" t="s">
        <v>17678</v>
      </c>
      <c r="Q1704" t="s">
        <v>17679</v>
      </c>
      <c r="S1704" t="s">
        <v>60</v>
      </c>
      <c r="T1704" t="s">
        <v>60</v>
      </c>
      <c r="U1704" t="s">
        <v>17680</v>
      </c>
      <c r="V1704">
        <v>9</v>
      </c>
      <c r="W1704" t="s">
        <v>17681</v>
      </c>
      <c r="X1704" t="s">
        <v>17682</v>
      </c>
      <c r="AE1704" t="s">
        <v>144</v>
      </c>
      <c r="AF1704" t="s">
        <v>17683</v>
      </c>
      <c r="AG1704" t="s">
        <v>17684</v>
      </c>
      <c r="AH1704" t="str">
        <f>HYPERLINK("http://compartments.jensenlab.org/Entity?figures=subcell_cell_%&amp;knowledge=10&amp;textmining=10&amp;experiments=10&amp;predictions=10&amp;type1=9606&amp;type2=-22&amp;id1=ENSP00000381204","link")</f>
        <v>link</v>
      </c>
      <c r="AI1704" t="s">
        <v>65</v>
      </c>
      <c r="AJ1704" t="s">
        <v>51</v>
      </c>
      <c r="AK1704" t="str">
        <f>HYPERLINK("http://www.proteinatlas.org/Q8N131","CAB026001")</f>
        <v>CAB026001</v>
      </c>
      <c r="AM1704">
        <v>114908</v>
      </c>
    </row>
    <row r="1705" spans="1:39" x14ac:dyDescent="0.35">
      <c r="A1705" t="s">
        <v>17685</v>
      </c>
      <c r="B1705" t="str">
        <f>HYPERLINK("http://www.uniprot.org/uniprot/Q8N139","Q8N139")</f>
        <v>Q8N139</v>
      </c>
      <c r="C1705" t="s">
        <v>17686</v>
      </c>
      <c r="D1705" t="s">
        <v>17687</v>
      </c>
      <c r="E1705" t="s">
        <v>39</v>
      </c>
      <c r="F1705" t="s">
        <v>40</v>
      </c>
      <c r="H1705">
        <v>1617</v>
      </c>
      <c r="I1705">
        <v>12</v>
      </c>
      <c r="J1705">
        <v>1</v>
      </c>
      <c r="K1705" t="s">
        <v>17688</v>
      </c>
      <c r="L1705" t="s">
        <v>42</v>
      </c>
      <c r="N1705">
        <v>0.81040000000000001</v>
      </c>
      <c r="O1705" s="1">
        <v>1</v>
      </c>
      <c r="P1705" t="s">
        <v>17689</v>
      </c>
      <c r="Q1705" t="s">
        <v>17690</v>
      </c>
      <c r="S1705" t="s">
        <v>45</v>
      </c>
      <c r="T1705" t="s">
        <v>3013</v>
      </c>
      <c r="U1705" t="s">
        <v>17691</v>
      </c>
      <c r="V1705">
        <v>9</v>
      </c>
      <c r="Y1705">
        <v>264</v>
      </c>
      <c r="AE1705" t="s">
        <v>48</v>
      </c>
      <c r="AF1705" t="s">
        <v>1586</v>
      </c>
      <c r="AG1705" t="s">
        <v>17692</v>
      </c>
      <c r="AH1705" t="str">
        <f>HYPERLINK("http://compartments.jensenlab.org/Entity?figures=subcell_cell_%&amp;knowledge=10&amp;textmining=10&amp;experiments=10&amp;predictions=10&amp;type1=9606&amp;type2=-22&amp;id1=ENSP00000284425","link")</f>
        <v>link</v>
      </c>
      <c r="AJ1705" t="s">
        <v>51</v>
      </c>
      <c r="AK1705" t="str">
        <f>HYPERLINK("http://www.proteinatlas.org/Q8N139","no")</f>
        <v>no</v>
      </c>
      <c r="AM1705">
        <v>23460</v>
      </c>
    </row>
    <row r="1706" spans="1:39" x14ac:dyDescent="0.35">
      <c r="A1706" t="s">
        <v>17693</v>
      </c>
      <c r="B1706" t="str">
        <f>HYPERLINK("http://www.uniprot.org/uniprot/Q8N146","Q8N146")</f>
        <v>Q8N146</v>
      </c>
      <c r="C1706" t="s">
        <v>17694</v>
      </c>
      <c r="D1706" t="s">
        <v>17695</v>
      </c>
      <c r="E1706" t="s">
        <v>39</v>
      </c>
      <c r="F1706" t="s">
        <v>55</v>
      </c>
      <c r="H1706">
        <v>312</v>
      </c>
      <c r="I1706">
        <v>7</v>
      </c>
      <c r="J1706">
        <v>0</v>
      </c>
      <c r="K1706" t="s">
        <v>17696</v>
      </c>
      <c r="L1706" t="s">
        <v>57</v>
      </c>
      <c r="M1706" t="s">
        <v>39</v>
      </c>
      <c r="N1706">
        <v>1</v>
      </c>
      <c r="O1706" s="1">
        <v>1</v>
      </c>
      <c r="P1706" t="s">
        <v>17697</v>
      </c>
      <c r="Q1706" t="s">
        <v>17698</v>
      </c>
      <c r="S1706" t="s">
        <v>166</v>
      </c>
      <c r="T1706" t="s">
        <v>167</v>
      </c>
      <c r="U1706" t="s">
        <v>17699</v>
      </c>
      <c r="V1706">
        <v>1</v>
      </c>
      <c r="AE1706" t="s">
        <v>74</v>
      </c>
      <c r="AF1706" t="s">
        <v>169</v>
      </c>
      <c r="AG1706" t="s">
        <v>17700</v>
      </c>
      <c r="AH1706" t="str">
        <f>HYPERLINK("http://compartments.jensenlab.org/Entity?figures=subcell_cell_%&amp;knowledge=10&amp;textmining=10&amp;experiments=10&amp;predictions=10&amp;type1=9606&amp;type2=-22&amp;id1=ENSP00000323928","link")</f>
        <v>link</v>
      </c>
      <c r="AI1706" t="s">
        <v>65</v>
      </c>
      <c r="AJ1706" t="s">
        <v>51</v>
      </c>
      <c r="AK1706" t="str">
        <f>HYPERLINK("http://www.proteinatlas.org/Q8N146","no")</f>
        <v>no</v>
      </c>
      <c r="AM1706">
        <v>390152</v>
      </c>
    </row>
    <row r="1707" spans="1:39" x14ac:dyDescent="0.35">
      <c r="A1707" t="s">
        <v>17701</v>
      </c>
      <c r="B1707" t="str">
        <f>HYPERLINK("http://www.uniprot.org/uniprot/Q8N148","Q8N148")</f>
        <v>Q8N148</v>
      </c>
      <c r="C1707" t="s">
        <v>17702</v>
      </c>
      <c r="D1707" t="s">
        <v>17703</v>
      </c>
      <c r="E1707" t="s">
        <v>39</v>
      </c>
      <c r="F1707" t="s">
        <v>55</v>
      </c>
      <c r="H1707">
        <v>313</v>
      </c>
      <c r="I1707">
        <v>7</v>
      </c>
      <c r="J1707">
        <v>0</v>
      </c>
      <c r="K1707" t="s">
        <v>17704</v>
      </c>
      <c r="L1707" t="s">
        <v>57</v>
      </c>
      <c r="M1707" t="s">
        <v>39</v>
      </c>
      <c r="N1707">
        <v>0.84130000000000005</v>
      </c>
      <c r="O1707" s="1">
        <v>1</v>
      </c>
      <c r="P1707" t="s">
        <v>17705</v>
      </c>
      <c r="Q1707" t="s">
        <v>17706</v>
      </c>
      <c r="S1707" t="s">
        <v>166</v>
      </c>
      <c r="T1707" t="s">
        <v>167</v>
      </c>
      <c r="U1707" t="s">
        <v>17707</v>
      </c>
      <c r="V1707">
        <v>1</v>
      </c>
      <c r="AE1707" t="s">
        <v>74</v>
      </c>
      <c r="AF1707" t="s">
        <v>169</v>
      </c>
      <c r="AG1707" t="s">
        <v>17708</v>
      </c>
      <c r="AH1707" t="str">
        <f>HYPERLINK("http://compartments.jensenlab.org/Entity?figures=subcell_cell_%&amp;knowledge=10&amp;textmining=10&amp;experiments=10&amp;predictions=10&amp;type1=9606&amp;type2=-22&amp;id1=ENSP00000396085","link")</f>
        <v>link</v>
      </c>
      <c r="AI1707" t="s">
        <v>65</v>
      </c>
      <c r="AJ1707" t="s">
        <v>51</v>
      </c>
      <c r="AK1707" t="str">
        <f>HYPERLINK("http://www.proteinatlas.org/Q8N148","no")</f>
        <v>no</v>
      </c>
      <c r="AM1707">
        <v>346517</v>
      </c>
    </row>
    <row r="1708" spans="1:39" x14ac:dyDescent="0.35">
      <c r="A1708" t="s">
        <v>17709</v>
      </c>
      <c r="B1708" t="str">
        <f>HYPERLINK("http://www.uniprot.org/uniprot/Q8N149","Q8N149")</f>
        <v>Q8N149</v>
      </c>
      <c r="C1708" t="s">
        <v>17710</v>
      </c>
      <c r="D1708" t="s">
        <v>17711</v>
      </c>
      <c r="E1708" t="s">
        <v>39</v>
      </c>
      <c r="F1708" t="s">
        <v>40</v>
      </c>
      <c r="H1708">
        <v>483</v>
      </c>
      <c r="I1708">
        <v>1</v>
      </c>
      <c r="J1708">
        <v>1</v>
      </c>
      <c r="K1708" t="s">
        <v>17712</v>
      </c>
      <c r="L1708" t="s">
        <v>57</v>
      </c>
      <c r="N1708">
        <v>0.65869999999999995</v>
      </c>
      <c r="O1708" s="1">
        <v>2</v>
      </c>
      <c r="P1708" t="s">
        <v>17713</v>
      </c>
      <c r="Q1708" t="s">
        <v>17714</v>
      </c>
      <c r="R1708" t="s">
        <v>17715</v>
      </c>
      <c r="S1708" t="s">
        <v>166</v>
      </c>
      <c r="T1708" t="s">
        <v>418</v>
      </c>
      <c r="U1708" t="s">
        <v>17716</v>
      </c>
      <c r="V1708">
        <v>7</v>
      </c>
      <c r="AE1708" t="s">
        <v>1434</v>
      </c>
      <c r="AF1708" t="s">
        <v>17717</v>
      </c>
      <c r="AG1708" t="s">
        <v>17718</v>
      </c>
      <c r="AH1708" t="str">
        <f>HYPERLINK("http://compartments.jensenlab.org/Entity?figures=subcell_cell_%&amp;knowledge=10&amp;textmining=10&amp;experiments=10&amp;predictions=10&amp;type1=9606&amp;type2=-22&amp;id1=ENSP00000251376","link")</f>
        <v>link</v>
      </c>
      <c r="AJ1708" t="s">
        <v>51</v>
      </c>
      <c r="AK1708" t="str">
        <f>HYPERLINK("http://www.proteinatlas.org/Q8N149","no")</f>
        <v>no</v>
      </c>
      <c r="AM1708">
        <v>11027</v>
      </c>
    </row>
    <row r="1709" spans="1:39" x14ac:dyDescent="0.35">
      <c r="A1709" t="s">
        <v>17719</v>
      </c>
      <c r="B1709" t="str">
        <f>HYPERLINK("http://www.uniprot.org/uniprot/Q8N158","Q8N158")</f>
        <v>Q8N158</v>
      </c>
      <c r="C1709" t="s">
        <v>17720</v>
      </c>
      <c r="D1709" t="s">
        <v>17721</v>
      </c>
      <c r="E1709" t="s">
        <v>39</v>
      </c>
      <c r="F1709" t="s">
        <v>239</v>
      </c>
      <c r="H1709">
        <v>579</v>
      </c>
      <c r="I1709">
        <v>0</v>
      </c>
      <c r="J1709">
        <v>1</v>
      </c>
      <c r="K1709" t="s">
        <v>17722</v>
      </c>
      <c r="L1709" t="s">
        <v>57</v>
      </c>
      <c r="N1709">
        <v>0.42909999999999998</v>
      </c>
      <c r="O1709" s="1" t="s">
        <v>1752</v>
      </c>
      <c r="P1709" t="s">
        <v>17723</v>
      </c>
      <c r="Q1709" t="s">
        <v>17724</v>
      </c>
      <c r="V1709">
        <v>0</v>
      </c>
      <c r="AE1709" t="s">
        <v>2731</v>
      </c>
      <c r="AF1709" t="s">
        <v>11373</v>
      </c>
      <c r="AG1709" t="s">
        <v>17725</v>
      </c>
      <c r="AH1709" t="str">
        <f>HYPERLINK("http://compartments.jensenlab.org/Entity?figures=subcell_cell_%&amp;knowledge=10&amp;textmining=10&amp;experiments=10&amp;predictions=10&amp;type1=9606&amp;type2=-22&amp;id1=ENSP00000292377","link")</f>
        <v>link</v>
      </c>
      <c r="AI1709" t="s">
        <v>65</v>
      </c>
      <c r="AJ1709" t="s">
        <v>11102</v>
      </c>
      <c r="AK1709" t="str">
        <f>HYPERLINK("http://www.proteinatlas.org/Q8N158","CAB025423")</f>
        <v>CAB025423</v>
      </c>
      <c r="AM1709">
        <v>221914</v>
      </c>
    </row>
    <row r="1710" spans="1:39" x14ac:dyDescent="0.35">
      <c r="A1710" t="s">
        <v>17726</v>
      </c>
      <c r="B1710" t="str">
        <f>HYPERLINK("http://www.uniprot.org/uniprot/Q8N162","Q8N162")</f>
        <v>Q8N162</v>
      </c>
      <c r="C1710" t="s">
        <v>17727</v>
      </c>
      <c r="D1710" t="s">
        <v>17728</v>
      </c>
      <c r="E1710" t="s">
        <v>39</v>
      </c>
      <c r="F1710" t="s">
        <v>55</v>
      </c>
      <c r="H1710">
        <v>312</v>
      </c>
      <c r="I1710">
        <v>7</v>
      </c>
      <c r="J1710">
        <v>0</v>
      </c>
      <c r="K1710" t="s">
        <v>17729</v>
      </c>
      <c r="L1710" t="s">
        <v>57</v>
      </c>
      <c r="N1710">
        <v>0.998</v>
      </c>
      <c r="O1710" s="1">
        <v>1</v>
      </c>
      <c r="P1710" t="s">
        <v>17730</v>
      </c>
      <c r="Q1710" t="s">
        <v>17731</v>
      </c>
      <c r="S1710" t="s">
        <v>166</v>
      </c>
      <c r="T1710" t="s">
        <v>167</v>
      </c>
      <c r="U1710" t="s">
        <v>17699</v>
      </c>
      <c r="V1710">
        <v>1</v>
      </c>
      <c r="AE1710" t="s">
        <v>74</v>
      </c>
      <c r="AF1710" t="s">
        <v>169</v>
      </c>
      <c r="AG1710" t="s">
        <v>17732</v>
      </c>
      <c r="AH1710" t="str">
        <f>HYPERLINK("http://compartments.jensenlab.org/Entity?figures=subcell_cell_%&amp;knowledge=10&amp;textmining=10&amp;experiments=10&amp;predictions=10&amp;type1=9606&amp;type2=-22&amp;id1=ENSP00000323982","link")</f>
        <v>link</v>
      </c>
      <c r="AI1710" t="s">
        <v>65</v>
      </c>
      <c r="AJ1710" t="s">
        <v>51</v>
      </c>
      <c r="AK1710" t="str">
        <f>HYPERLINK("http://www.proteinatlas.org/Q8N162","no")</f>
        <v>no</v>
      </c>
      <c r="AM1710">
        <v>390151</v>
      </c>
    </row>
    <row r="1711" spans="1:39" x14ac:dyDescent="0.35">
      <c r="A1711" t="s">
        <v>17733</v>
      </c>
      <c r="B1711" t="str">
        <f>HYPERLINK("http://www.uniprot.org/uniprot/Q8N1C3","Q8N1C3")</f>
        <v>Q8N1C3</v>
      </c>
      <c r="C1711" t="s">
        <v>17734</v>
      </c>
      <c r="D1711" t="s">
        <v>17735</v>
      </c>
      <c r="E1711" t="s">
        <v>39</v>
      </c>
      <c r="F1711" t="s">
        <v>55</v>
      </c>
      <c r="H1711">
        <v>465</v>
      </c>
      <c r="I1711">
        <v>4</v>
      </c>
      <c r="J1711">
        <v>1</v>
      </c>
      <c r="K1711" t="s">
        <v>17736</v>
      </c>
      <c r="L1711" t="s">
        <v>57</v>
      </c>
      <c r="M1711" t="s">
        <v>39</v>
      </c>
      <c r="N1711">
        <v>0.65959999999999996</v>
      </c>
      <c r="O1711" s="1">
        <v>2</v>
      </c>
      <c r="P1711" t="s">
        <v>17737</v>
      </c>
      <c r="Q1711" t="s">
        <v>17738</v>
      </c>
      <c r="S1711" t="s">
        <v>45</v>
      </c>
      <c r="T1711" t="s">
        <v>195</v>
      </c>
      <c r="U1711" t="s">
        <v>17739</v>
      </c>
      <c r="V1711">
        <v>3</v>
      </c>
      <c r="AE1711" t="s">
        <v>619</v>
      </c>
      <c r="AF1711" t="s">
        <v>17740</v>
      </c>
      <c r="AG1711" t="s">
        <v>17741</v>
      </c>
      <c r="AH1711" t="str">
        <f>HYPERLINK("http://compartments.jensenlab.org/Entity?figures=subcell_cell_%&amp;knowledge=10&amp;textmining=10&amp;experiments=10&amp;predictions=10&amp;type1=9606&amp;type2=-22&amp;id1=ENSP00000295452","link")</f>
        <v>link</v>
      </c>
      <c r="AI1711" t="s">
        <v>65</v>
      </c>
      <c r="AJ1711" t="s">
        <v>51</v>
      </c>
      <c r="AK1711" t="str">
        <f>HYPERLINK("http://www.proteinatlas.org/Q8N1C3","HPA035622")</f>
        <v>HPA035622</v>
      </c>
      <c r="AL1711" t="s">
        <v>1235</v>
      </c>
      <c r="AM1711">
        <v>2565</v>
      </c>
    </row>
    <row r="1712" spans="1:39" x14ac:dyDescent="0.35">
      <c r="A1712" t="s">
        <v>17742</v>
      </c>
      <c r="B1712" t="str">
        <f>HYPERLINK("http://www.uniprot.org/uniprot/Q8N1N2","Q8N1N2")</f>
        <v>Q8N1N2</v>
      </c>
      <c r="C1712" t="s">
        <v>17743</v>
      </c>
      <c r="D1712" t="s">
        <v>17744</v>
      </c>
      <c r="E1712" t="s">
        <v>39</v>
      </c>
      <c r="F1712" t="s">
        <v>40</v>
      </c>
      <c r="H1712">
        <v>210</v>
      </c>
      <c r="I1712">
        <v>1</v>
      </c>
      <c r="J1712">
        <v>0</v>
      </c>
      <c r="K1712" t="s">
        <v>17745</v>
      </c>
      <c r="L1712" t="s">
        <v>57</v>
      </c>
      <c r="N1712">
        <v>0.65869999999999995</v>
      </c>
      <c r="O1712" s="1">
        <v>2</v>
      </c>
      <c r="P1712" t="s">
        <v>17746</v>
      </c>
      <c r="Q1712" t="s">
        <v>17747</v>
      </c>
      <c r="S1712" t="s">
        <v>60</v>
      </c>
      <c r="T1712" t="s">
        <v>60</v>
      </c>
      <c r="U1712" t="s">
        <v>17748</v>
      </c>
      <c r="V1712">
        <v>1</v>
      </c>
      <c r="X1712">
        <v>177</v>
      </c>
      <c r="Y1712">
        <v>109</v>
      </c>
      <c r="AE1712" t="s">
        <v>17749</v>
      </c>
      <c r="AF1712" t="s">
        <v>17750</v>
      </c>
      <c r="AG1712" t="s">
        <v>17751</v>
      </c>
      <c r="AH1712" t="str">
        <f>HYPERLINK("http://compartments.jensenlab.org/Entity?figures=subcell_cell_%&amp;knowledge=10&amp;textmining=10&amp;experiments=10&amp;predictions=10&amp;type1=9606&amp;type2=-22&amp;id1=ENSP00000315265","link")</f>
        <v>link</v>
      </c>
      <c r="AJ1712" t="s">
        <v>51</v>
      </c>
      <c r="AK1712" t="str">
        <f>HYPERLINK("http://www.proteinatlas.org/Q8N1N2","HPA011148")</f>
        <v>HPA011148</v>
      </c>
      <c r="AM1712">
        <v>284254</v>
      </c>
    </row>
    <row r="1713" spans="1:39" x14ac:dyDescent="0.35">
      <c r="A1713" t="s">
        <v>17752</v>
      </c>
      <c r="B1713" t="str">
        <f>HYPERLINK("http://www.uniprot.org/uniprot/Q8N271","Q8N271")</f>
        <v>Q8N271</v>
      </c>
      <c r="C1713" t="s">
        <v>17753</v>
      </c>
      <c r="D1713" t="s">
        <v>17754</v>
      </c>
      <c r="E1713" t="s">
        <v>39</v>
      </c>
      <c r="F1713" t="s">
        <v>55</v>
      </c>
      <c r="H1713">
        <v>834</v>
      </c>
      <c r="I1713">
        <v>5</v>
      </c>
      <c r="J1713">
        <v>1</v>
      </c>
      <c r="K1713" t="s">
        <v>17755</v>
      </c>
      <c r="L1713" t="s">
        <v>101</v>
      </c>
      <c r="M1713" t="s">
        <v>39</v>
      </c>
      <c r="N1713">
        <v>0.77129999999999999</v>
      </c>
      <c r="O1713" s="1">
        <v>1</v>
      </c>
      <c r="P1713" t="s">
        <v>17756</v>
      </c>
      <c r="Q1713" t="s">
        <v>17757</v>
      </c>
      <c r="S1713" t="s">
        <v>60</v>
      </c>
      <c r="T1713" t="s">
        <v>60</v>
      </c>
      <c r="U1713" t="s">
        <v>17758</v>
      </c>
      <c r="V1713">
        <v>9</v>
      </c>
      <c r="Z1713" t="s">
        <v>107</v>
      </c>
      <c r="AA1713">
        <v>3</v>
      </c>
      <c r="AB1713" t="s">
        <v>17759</v>
      </c>
      <c r="AC1713" t="s">
        <v>17760</v>
      </c>
      <c r="AD1713" t="s">
        <v>17761</v>
      </c>
      <c r="AE1713" t="s">
        <v>17762</v>
      </c>
      <c r="AF1713" t="s">
        <v>17763</v>
      </c>
      <c r="AG1713" t="s">
        <v>17764</v>
      </c>
      <c r="AH1713" t="str">
        <f>HYPERLINK("http://compartments.jensenlab.org/Entity?figures=subcell_cell_%&amp;knowledge=10&amp;textmining=10&amp;experiments=10&amp;predictions=10&amp;type1=9606&amp;type2=-22&amp;id1=ENSP00000318270","link")</f>
        <v>link</v>
      </c>
      <c r="AI1713" t="s">
        <v>65</v>
      </c>
      <c r="AJ1713" t="s">
        <v>902</v>
      </c>
      <c r="AK1713" t="str">
        <f>HYPERLINK("http://www.proteinatlas.org/Q8N271","CAB046005;HPA063728")</f>
        <v>CAB046005;HPA063728</v>
      </c>
      <c r="AM1713">
        <v>150696</v>
      </c>
    </row>
    <row r="1714" spans="1:39" x14ac:dyDescent="0.35">
      <c r="A1714" t="s">
        <v>17765</v>
      </c>
      <c r="B1714" t="str">
        <f>HYPERLINK("http://www.uniprot.org/uniprot/Q8N2G4","Q8N2G4")</f>
        <v>Q8N2G4</v>
      </c>
      <c r="C1714" t="s">
        <v>17766</v>
      </c>
      <c r="D1714" t="s">
        <v>17767</v>
      </c>
      <c r="E1714" t="s">
        <v>39</v>
      </c>
      <c r="F1714" t="s">
        <v>239</v>
      </c>
      <c r="H1714">
        <v>141</v>
      </c>
      <c r="I1714">
        <v>0</v>
      </c>
      <c r="J1714">
        <v>1</v>
      </c>
      <c r="K1714" t="s">
        <v>17768</v>
      </c>
      <c r="L1714" t="s">
        <v>57</v>
      </c>
      <c r="N1714">
        <v>0.6966</v>
      </c>
      <c r="O1714" s="1" t="s">
        <v>241</v>
      </c>
      <c r="P1714" t="s">
        <v>17769</v>
      </c>
      <c r="Q1714" t="s">
        <v>17770</v>
      </c>
      <c r="S1714" t="s">
        <v>60</v>
      </c>
      <c r="T1714" t="s">
        <v>60</v>
      </c>
      <c r="U1714">
        <v>45</v>
      </c>
      <c r="V1714">
        <v>1</v>
      </c>
      <c r="W1714">
        <v>45</v>
      </c>
      <c r="AE1714" t="s">
        <v>243</v>
      </c>
      <c r="AF1714" t="s">
        <v>17771</v>
      </c>
      <c r="AG1714" t="s">
        <v>17772</v>
      </c>
      <c r="AH1714" t="str">
        <f>HYPERLINK("http://compartments.jensenlab.org/Entity?figures=subcell_cell_%&amp;knowledge=10&amp;textmining=10&amp;experiments=10&amp;predictions=10&amp;type1=9606&amp;type2=-22&amp;id1=ENSP00000380605","link")</f>
        <v>link</v>
      </c>
      <c r="AI1714" t="s">
        <v>65</v>
      </c>
      <c r="AJ1714" t="s">
        <v>51</v>
      </c>
      <c r="AK1714" t="str">
        <f>HYPERLINK("http://www.proteinatlas.org/Q8N2G4","CAB020783;HPA043594")</f>
        <v>CAB020783;HPA043594</v>
      </c>
      <c r="AM1714">
        <v>116372</v>
      </c>
    </row>
    <row r="1715" spans="1:39" x14ac:dyDescent="0.35">
      <c r="A1715" t="s">
        <v>17773</v>
      </c>
      <c r="B1715" t="str">
        <f>HYPERLINK("http://www.uniprot.org/uniprot/Q8N2Q7","Q8N2Q7")</f>
        <v>Q8N2Q7</v>
      </c>
      <c r="C1715" t="s">
        <v>17774</v>
      </c>
      <c r="D1715" t="s">
        <v>17775</v>
      </c>
      <c r="E1715" t="s">
        <v>39</v>
      </c>
      <c r="F1715" t="s">
        <v>55</v>
      </c>
      <c r="H1715">
        <v>840</v>
      </c>
      <c r="I1715">
        <v>1</v>
      </c>
      <c r="J1715">
        <v>1</v>
      </c>
      <c r="K1715" t="s">
        <v>17776</v>
      </c>
      <c r="L1715" t="s">
        <v>101</v>
      </c>
      <c r="M1715" t="s">
        <v>39</v>
      </c>
      <c r="N1715">
        <v>0.94479999999999997</v>
      </c>
      <c r="O1715" s="1">
        <v>1</v>
      </c>
      <c r="P1715" t="s">
        <v>17777</v>
      </c>
      <c r="S1715" t="s">
        <v>91</v>
      </c>
      <c r="T1715" t="s">
        <v>17600</v>
      </c>
      <c r="U1715" t="s">
        <v>17778</v>
      </c>
      <c r="V1715">
        <v>4</v>
      </c>
      <c r="W1715" t="s">
        <v>17778</v>
      </c>
      <c r="Z1715" t="s">
        <v>107</v>
      </c>
      <c r="AA1715">
        <v>3</v>
      </c>
      <c r="AB1715" t="s">
        <v>17779</v>
      </c>
      <c r="AC1715" t="s">
        <v>17780</v>
      </c>
      <c r="AD1715" t="s">
        <v>17781</v>
      </c>
      <c r="AE1715" t="s">
        <v>17782</v>
      </c>
      <c r="AF1715" t="s">
        <v>17783</v>
      </c>
      <c r="AG1715" t="s">
        <v>17784</v>
      </c>
      <c r="AK1715" t="str">
        <f>HYPERLINK("http://www.proteinatlas.org/Q8N2Q7","HPA006680")</f>
        <v>HPA006680</v>
      </c>
      <c r="AM1715">
        <v>22871</v>
      </c>
    </row>
    <row r="1716" spans="1:39" x14ac:dyDescent="0.35">
      <c r="A1716" t="s">
        <v>17785</v>
      </c>
      <c r="B1716" t="str">
        <f>HYPERLINK("http://www.uniprot.org/uniprot/Q8N349","Q8N349")</f>
        <v>Q8N349</v>
      </c>
      <c r="C1716" t="s">
        <v>17786</v>
      </c>
      <c r="D1716" t="s">
        <v>17787</v>
      </c>
      <c r="E1716" t="s">
        <v>39</v>
      </c>
      <c r="F1716" t="s">
        <v>55</v>
      </c>
      <c r="H1716">
        <v>312</v>
      </c>
      <c r="I1716">
        <v>7</v>
      </c>
      <c r="J1716">
        <v>0</v>
      </c>
      <c r="K1716" t="s">
        <v>17788</v>
      </c>
      <c r="L1716" t="s">
        <v>57</v>
      </c>
      <c r="M1716" t="s">
        <v>39</v>
      </c>
      <c r="N1716">
        <v>0.90959999999999996</v>
      </c>
      <c r="O1716" s="1">
        <v>1</v>
      </c>
      <c r="P1716" t="s">
        <v>17789</v>
      </c>
      <c r="Q1716" t="s">
        <v>17790</v>
      </c>
      <c r="S1716" t="s">
        <v>166</v>
      </c>
      <c r="T1716" t="s">
        <v>167</v>
      </c>
      <c r="U1716" t="s">
        <v>17791</v>
      </c>
      <c r="V1716">
        <v>2</v>
      </c>
      <c r="AE1716" t="s">
        <v>74</v>
      </c>
      <c r="AF1716" t="s">
        <v>169</v>
      </c>
      <c r="AG1716" t="s">
        <v>17792</v>
      </c>
      <c r="AH1716" t="str">
        <f>HYPERLINK("http://compartments.jensenlab.org/Entity?figures=subcell_cell_%&amp;knowledge=10&amp;textmining=10&amp;experiments=10&amp;predictions=10&amp;type1=9606&amp;type2=-22&amp;id1=ENSP00000350836","link")</f>
        <v>link</v>
      </c>
      <c r="AI1716" t="s">
        <v>65</v>
      </c>
      <c r="AJ1716" t="s">
        <v>51</v>
      </c>
      <c r="AK1716" t="str">
        <f>HYPERLINK("http://www.proteinatlas.org/Q8N349","no")</f>
        <v>no</v>
      </c>
      <c r="AM1716">
        <v>284521</v>
      </c>
    </row>
    <row r="1717" spans="1:39" x14ac:dyDescent="0.35">
      <c r="A1717" t="s">
        <v>17793</v>
      </c>
      <c r="B1717" t="str">
        <f>HYPERLINK("http://www.uniprot.org/uniprot/Q8N370","Q8N370")</f>
        <v>Q8N370</v>
      </c>
      <c r="C1717" t="s">
        <v>17794</v>
      </c>
      <c r="D1717" t="s">
        <v>17795</v>
      </c>
      <c r="E1717" t="s">
        <v>39</v>
      </c>
      <c r="F1717" t="s">
        <v>40</v>
      </c>
      <c r="H1717">
        <v>569</v>
      </c>
      <c r="I1717">
        <v>12</v>
      </c>
      <c r="J1717">
        <v>0</v>
      </c>
      <c r="K1717" t="s">
        <v>17796</v>
      </c>
      <c r="L1717" t="s">
        <v>42</v>
      </c>
      <c r="N1717">
        <v>0.84030000000000005</v>
      </c>
      <c r="O1717" s="1">
        <v>1</v>
      </c>
      <c r="P1717" t="s">
        <v>17797</v>
      </c>
      <c r="Q1717" t="s">
        <v>17798</v>
      </c>
      <c r="S1717" t="s">
        <v>45</v>
      </c>
      <c r="T1717" t="s">
        <v>2676</v>
      </c>
      <c r="U1717" t="s">
        <v>17799</v>
      </c>
      <c r="V1717">
        <v>2</v>
      </c>
      <c r="AE1717" t="s">
        <v>48</v>
      </c>
      <c r="AF1717" t="s">
        <v>17800</v>
      </c>
      <c r="AG1717" t="s">
        <v>17801</v>
      </c>
      <c r="AH1717" t="str">
        <f>HYPERLINK("http://compartments.jensenlab.org/Entity?figures=subcell_cell_%&amp;knowledge=10&amp;textmining=10&amp;experiments=10&amp;predictions=10&amp;type1=9606&amp;type2=-22&amp;id1=ENSP00000301335","link")</f>
        <v>link</v>
      </c>
      <c r="AJ1717" t="s">
        <v>51</v>
      </c>
      <c r="AK1717" t="str">
        <f>HYPERLINK("http://www.proteinatlas.org/Q8N370","HPA021564")</f>
        <v>HPA021564</v>
      </c>
      <c r="AM1717">
        <v>124935</v>
      </c>
    </row>
    <row r="1718" spans="1:39" x14ac:dyDescent="0.35">
      <c r="A1718" t="s">
        <v>17802</v>
      </c>
      <c r="B1718" t="str">
        <f>HYPERLINK("http://www.uniprot.org/uniprot/Q8N386","Q8N386")</f>
        <v>Q8N386</v>
      </c>
      <c r="C1718" t="s">
        <v>17803</v>
      </c>
      <c r="D1718" t="s">
        <v>17804</v>
      </c>
      <c r="E1718" t="s">
        <v>39</v>
      </c>
      <c r="F1718" t="s">
        <v>40</v>
      </c>
      <c r="H1718">
        <v>305</v>
      </c>
      <c r="I1718">
        <v>1</v>
      </c>
      <c r="J1718">
        <v>1</v>
      </c>
      <c r="K1718" t="s">
        <v>17805</v>
      </c>
      <c r="L1718" t="s">
        <v>101</v>
      </c>
      <c r="N1718">
        <v>0.82240000000000002</v>
      </c>
      <c r="O1718" s="1">
        <v>1</v>
      </c>
      <c r="P1718" t="s">
        <v>17806</v>
      </c>
      <c r="Q1718" t="s">
        <v>17807</v>
      </c>
      <c r="S1718" t="s">
        <v>91</v>
      </c>
      <c r="T1718" t="s">
        <v>260</v>
      </c>
      <c r="U1718" t="s">
        <v>17808</v>
      </c>
      <c r="V1718">
        <v>4</v>
      </c>
      <c r="Y1718">
        <v>188</v>
      </c>
      <c r="Z1718" t="s">
        <v>107</v>
      </c>
      <c r="AA1718">
        <v>2</v>
      </c>
      <c r="AB1718" t="s">
        <v>17809</v>
      </c>
      <c r="AC1718">
        <v>55</v>
      </c>
      <c r="AD1718" t="s">
        <v>17810</v>
      </c>
      <c r="AE1718" t="s">
        <v>144</v>
      </c>
      <c r="AF1718" t="s">
        <v>17811</v>
      </c>
      <c r="AG1718" t="s">
        <v>17812</v>
      </c>
      <c r="AH1718" t="str">
        <f>HYPERLINK("http://compartments.jensenlab.org/Entity?figures=subcell_cell_%&amp;knowledge=10&amp;textmining=10&amp;experiments=10&amp;predictions=10&amp;type1=9606&amp;type2=-22&amp;id1=ENSP00000340983","link")</f>
        <v>link</v>
      </c>
      <c r="AJ1718" t="s">
        <v>51</v>
      </c>
      <c r="AK1718" t="str">
        <f>HYPERLINK("http://www.proteinatlas.org/Q8N386","HPA029459")</f>
        <v>HPA029459</v>
      </c>
      <c r="AM1718">
        <v>126364</v>
      </c>
    </row>
    <row r="1719" spans="1:39" x14ac:dyDescent="0.35">
      <c r="A1719" t="s">
        <v>17813</v>
      </c>
      <c r="B1719" t="str">
        <f>HYPERLINK("http://www.uniprot.org/uniprot/Q8N387","Q8N387")</f>
        <v>Q8N387</v>
      </c>
      <c r="C1719" t="s">
        <v>17814</v>
      </c>
      <c r="D1719" t="s">
        <v>17815</v>
      </c>
      <c r="E1719" t="s">
        <v>39</v>
      </c>
      <c r="F1719" t="s">
        <v>40</v>
      </c>
      <c r="H1719">
        <v>334</v>
      </c>
      <c r="I1719">
        <v>1</v>
      </c>
      <c r="J1719">
        <v>1</v>
      </c>
      <c r="K1719" t="s">
        <v>17816</v>
      </c>
      <c r="L1719" t="s">
        <v>57</v>
      </c>
      <c r="N1719">
        <v>0.88819999999999999</v>
      </c>
      <c r="O1719" s="1">
        <v>1</v>
      </c>
      <c r="P1719" t="s">
        <v>17817</v>
      </c>
      <c r="Q1719" t="s">
        <v>17818</v>
      </c>
      <c r="S1719" t="s">
        <v>60</v>
      </c>
      <c r="T1719" t="s">
        <v>60</v>
      </c>
      <c r="U1719" t="s">
        <v>17819</v>
      </c>
      <c r="V1719">
        <v>10</v>
      </c>
      <c r="W1719" t="s">
        <v>17820</v>
      </c>
      <c r="AE1719" t="s">
        <v>1250</v>
      </c>
      <c r="AF1719" t="s">
        <v>17821</v>
      </c>
      <c r="AG1719" t="s">
        <v>17822</v>
      </c>
      <c r="AH1719" t="str">
        <f>HYPERLINK("http://compartments.jensenlab.org/Entity?figures=subcell_cell_%&amp;knowledge=10&amp;textmining=10&amp;experiments=10&amp;predictions=10&amp;type1=9606&amp;type2=-22&amp;id1=ENSP00000397339","link")</f>
        <v>link</v>
      </c>
      <c r="AK1719" t="str">
        <f>HYPERLINK("http://www.proteinatlas.org/Q8N387","HPA026110")</f>
        <v>HPA026110</v>
      </c>
      <c r="AM1719">
        <v>143662</v>
      </c>
    </row>
    <row r="1720" spans="1:39" x14ac:dyDescent="0.35">
      <c r="A1720" t="s">
        <v>17823</v>
      </c>
      <c r="B1720" t="str">
        <f>HYPERLINK("http://www.uniprot.org/uniprot/Q8N3F9","Q8N3F9")</f>
        <v>Q8N3F9</v>
      </c>
      <c r="C1720" t="s">
        <v>17824</v>
      </c>
      <c r="D1720" t="s">
        <v>17825</v>
      </c>
      <c r="E1720" t="s">
        <v>39</v>
      </c>
      <c r="F1720" t="s">
        <v>40</v>
      </c>
      <c r="H1720">
        <v>429</v>
      </c>
      <c r="I1720">
        <v>7</v>
      </c>
      <c r="J1720">
        <v>0</v>
      </c>
      <c r="K1720" t="s">
        <v>17826</v>
      </c>
      <c r="L1720" t="s">
        <v>57</v>
      </c>
      <c r="N1720">
        <v>0.63470000000000004</v>
      </c>
      <c r="O1720" s="1">
        <v>2</v>
      </c>
      <c r="P1720" t="s">
        <v>17827</v>
      </c>
      <c r="Q1720" t="s">
        <v>17828</v>
      </c>
      <c r="S1720" t="s">
        <v>60</v>
      </c>
      <c r="T1720" t="s">
        <v>60</v>
      </c>
      <c r="U1720" t="s">
        <v>17829</v>
      </c>
      <c r="V1720">
        <v>1</v>
      </c>
      <c r="AE1720" t="s">
        <v>48</v>
      </c>
      <c r="AF1720" t="s">
        <v>83</v>
      </c>
      <c r="AG1720" t="s">
        <v>17830</v>
      </c>
      <c r="AH1720" t="str">
        <f>HYPERLINK("http://compartments.jensenlab.org/Entity?figures=subcell_cell_%&amp;knowledge=10&amp;textmining=10&amp;experiments=10&amp;predictions=10&amp;type1=9606&amp;type2=-22&amp;id1=ENSP00000315106","link")</f>
        <v>link</v>
      </c>
      <c r="AJ1720" t="s">
        <v>51</v>
      </c>
      <c r="AK1720" t="str">
        <f>HYPERLINK("http://www.proteinatlas.org/Q8N3F9","HPA030763")</f>
        <v>HPA030763</v>
      </c>
      <c r="AM1720">
        <v>283554</v>
      </c>
    </row>
    <row r="1721" spans="1:39" x14ac:dyDescent="0.35">
      <c r="A1721" t="s">
        <v>17831</v>
      </c>
      <c r="B1721" t="str">
        <f>HYPERLINK("http://www.uniprot.org/uniprot/Q8N3J6","Q8N3J6")</f>
        <v>Q8N3J6</v>
      </c>
      <c r="C1721" t="s">
        <v>17832</v>
      </c>
      <c r="D1721" t="s">
        <v>17833</v>
      </c>
      <c r="E1721" t="s">
        <v>39</v>
      </c>
      <c r="F1721" t="s">
        <v>55</v>
      </c>
      <c r="H1721">
        <v>435</v>
      </c>
      <c r="I1721">
        <v>1</v>
      </c>
      <c r="J1721">
        <v>1</v>
      </c>
      <c r="K1721" t="s">
        <v>17834</v>
      </c>
      <c r="L1721" t="s">
        <v>101</v>
      </c>
      <c r="M1721" t="s">
        <v>39</v>
      </c>
      <c r="N1721">
        <v>0.96260000000000001</v>
      </c>
      <c r="O1721" s="1">
        <v>1</v>
      </c>
      <c r="P1721" t="s">
        <v>17835</v>
      </c>
      <c r="Q1721" t="s">
        <v>17836</v>
      </c>
      <c r="S1721" t="s">
        <v>91</v>
      </c>
      <c r="T1721" t="s">
        <v>555</v>
      </c>
      <c r="U1721" t="s">
        <v>17837</v>
      </c>
      <c r="V1721">
        <v>5</v>
      </c>
      <c r="Z1721" t="s">
        <v>107</v>
      </c>
      <c r="AA1721">
        <v>1</v>
      </c>
      <c r="AB1721" t="s">
        <v>17838</v>
      </c>
      <c r="AC1721">
        <v>287</v>
      </c>
      <c r="AD1721" t="s">
        <v>17839</v>
      </c>
      <c r="AE1721" t="s">
        <v>17840</v>
      </c>
      <c r="AF1721" t="s">
        <v>17841</v>
      </c>
      <c r="AG1721" t="s">
        <v>17842</v>
      </c>
      <c r="AH1721" t="str">
        <f>HYPERLINK("http://compartments.jensenlab.org/Entity?figures=subcell_cell_%&amp;knowledge=10&amp;textmining=10&amp;experiments=10&amp;predictions=10&amp;type1=9606&amp;type2=-22&amp;id1=ENSP00000384575","link")</f>
        <v>link</v>
      </c>
      <c r="AK1721" t="str">
        <f>HYPERLINK("http://www.proteinatlas.org/Q8N3J6","HPA010024")</f>
        <v>HPA010024</v>
      </c>
      <c r="AM1721">
        <v>253559</v>
      </c>
    </row>
    <row r="1722" spans="1:39" x14ac:dyDescent="0.35">
      <c r="A1722" t="s">
        <v>17843</v>
      </c>
      <c r="B1722" t="str">
        <f>HYPERLINK("http://www.uniprot.org/uniprot/Q8N3T6","Q8N3T6")</f>
        <v>Q8N3T6</v>
      </c>
      <c r="C1722" t="s">
        <v>17844</v>
      </c>
      <c r="D1722" t="s">
        <v>17845</v>
      </c>
      <c r="E1722" t="s">
        <v>39</v>
      </c>
      <c r="F1722" t="s">
        <v>40</v>
      </c>
      <c r="H1722">
        <v>1108</v>
      </c>
      <c r="I1722">
        <v>1</v>
      </c>
      <c r="J1722">
        <v>1</v>
      </c>
      <c r="K1722" t="s">
        <v>17846</v>
      </c>
      <c r="L1722" t="s">
        <v>57</v>
      </c>
      <c r="N1722">
        <v>0.93010000000000004</v>
      </c>
      <c r="O1722" s="1">
        <v>1</v>
      </c>
      <c r="P1722" t="s">
        <v>17847</v>
      </c>
      <c r="Q1722" t="s">
        <v>17848</v>
      </c>
      <c r="S1722" t="s">
        <v>91</v>
      </c>
      <c r="T1722" t="s">
        <v>13396</v>
      </c>
      <c r="U1722" t="s">
        <v>17849</v>
      </c>
      <c r="V1722">
        <v>5</v>
      </c>
      <c r="AE1722" t="s">
        <v>144</v>
      </c>
      <c r="AF1722" t="s">
        <v>226</v>
      </c>
      <c r="AG1722" t="s">
        <v>17850</v>
      </c>
      <c r="AH1722" t="str">
        <f>HYPERLINK("http://compartments.jensenlab.org/Entity?figures=subcell_cell_%&amp;knowledge=10&amp;textmining=10&amp;experiments=10&amp;predictions=10&amp;type1=9606&amp;type2=-22&amp;id1=ENSP00000410852","link")</f>
        <v>link</v>
      </c>
      <c r="AK1722" t="str">
        <f>HYPERLINK("http://www.proteinatlas.org/Q8N3T6","HPA015633;HPA015984")</f>
        <v>HPA015633;HPA015984</v>
      </c>
      <c r="AM1722">
        <v>92293</v>
      </c>
    </row>
    <row r="1723" spans="1:39" x14ac:dyDescent="0.35">
      <c r="A1723" t="s">
        <v>17851</v>
      </c>
      <c r="B1723" t="str">
        <f>HYPERLINK("http://www.uniprot.org/uniprot/Q8N423","Q8N423")</f>
        <v>Q8N423</v>
      </c>
      <c r="C1723" t="s">
        <v>17852</v>
      </c>
      <c r="D1723" t="s">
        <v>17853</v>
      </c>
      <c r="E1723" t="s">
        <v>39</v>
      </c>
      <c r="F1723" t="s">
        <v>40</v>
      </c>
      <c r="H1723">
        <v>598</v>
      </c>
      <c r="I1723">
        <v>1</v>
      </c>
      <c r="J1723">
        <v>1</v>
      </c>
      <c r="K1723" t="s">
        <v>17854</v>
      </c>
      <c r="L1723" t="s">
        <v>57</v>
      </c>
      <c r="N1723">
        <v>0.95009999999999994</v>
      </c>
      <c r="O1723" s="1">
        <v>1</v>
      </c>
      <c r="P1723" t="s">
        <v>17855</v>
      </c>
      <c r="Q1723" t="s">
        <v>17856</v>
      </c>
      <c r="R1723" t="s">
        <v>17857</v>
      </c>
      <c r="S1723" t="s">
        <v>166</v>
      </c>
      <c r="T1723" t="s">
        <v>418</v>
      </c>
      <c r="U1723" t="s">
        <v>17858</v>
      </c>
      <c r="V1723">
        <v>3</v>
      </c>
      <c r="W1723" t="s">
        <v>17858</v>
      </c>
      <c r="X1723" t="s">
        <v>17859</v>
      </c>
      <c r="AE1723" t="s">
        <v>144</v>
      </c>
      <c r="AF1723" t="s">
        <v>17860</v>
      </c>
      <c r="AG1723" t="s">
        <v>17861</v>
      </c>
      <c r="AH1723" t="str">
        <f>HYPERLINK("http://compartments.jensenlab.org/Entity?figures=subcell_cell_%&amp;knowledge=10&amp;textmining=10&amp;experiments=10&amp;predictions=10&amp;type1=9606&amp;type2=-22&amp;id1=ENSP00000319960","link")</f>
        <v>link</v>
      </c>
      <c r="AJ1723" t="s">
        <v>1767</v>
      </c>
      <c r="AK1723" t="str">
        <f>HYPERLINK("http://www.proteinatlas.org/Q8N423","no")</f>
        <v>no</v>
      </c>
    </row>
    <row r="1724" spans="1:39" x14ac:dyDescent="0.35">
      <c r="A1724" t="s">
        <v>17862</v>
      </c>
      <c r="B1724" t="str">
        <f>HYPERLINK("http://www.uniprot.org/uniprot/Q8N434","Q8N434")</f>
        <v>Q8N434</v>
      </c>
      <c r="C1724" t="s">
        <v>17863</v>
      </c>
      <c r="D1724" t="s">
        <v>17864</v>
      </c>
      <c r="E1724" t="s">
        <v>39</v>
      </c>
      <c r="F1724" t="s">
        <v>40</v>
      </c>
      <c r="H1724">
        <v>492</v>
      </c>
      <c r="I1724">
        <v>10</v>
      </c>
      <c r="J1724">
        <v>0</v>
      </c>
      <c r="K1724" t="s">
        <v>17865</v>
      </c>
      <c r="L1724" t="s">
        <v>42</v>
      </c>
      <c r="N1724">
        <v>0.83630000000000004</v>
      </c>
      <c r="O1724" s="1">
        <v>1</v>
      </c>
      <c r="P1724" t="s">
        <v>17866</v>
      </c>
      <c r="Q1724" t="s">
        <v>17867</v>
      </c>
      <c r="S1724" t="s">
        <v>45</v>
      </c>
      <c r="T1724" t="s">
        <v>121</v>
      </c>
      <c r="U1724" t="s">
        <v>17868</v>
      </c>
      <c r="V1724">
        <v>2</v>
      </c>
      <c r="Y1724">
        <v>285</v>
      </c>
      <c r="AE1724" t="s">
        <v>48</v>
      </c>
      <c r="AF1724" t="s">
        <v>15359</v>
      </c>
      <c r="AG1724" t="s">
        <v>17869</v>
      </c>
      <c r="AH1724" t="str">
        <f>HYPERLINK("http://compartments.jensenlab.org/Entity?figures=subcell_cell_%&amp;knowledge=10&amp;textmining=10&amp;experiments=10&amp;predictions=10&amp;type1=9606&amp;type2=-22&amp;id1=ENSP00000405482","link")</f>
        <v>link</v>
      </c>
      <c r="AJ1724" t="s">
        <v>51</v>
      </c>
      <c r="AK1724" t="str">
        <f>HYPERLINK("http://www.proteinatlas.org/Q8N434","HPA018035")</f>
        <v>HPA018035</v>
      </c>
      <c r="AM1724">
        <v>136306</v>
      </c>
    </row>
    <row r="1725" spans="1:39" x14ac:dyDescent="0.35">
      <c r="A1725" t="s">
        <v>17870</v>
      </c>
      <c r="B1725" t="str">
        <f>HYPERLINK("http://www.uniprot.org/uniprot/Q8N441","Q8N441")</f>
        <v>Q8N441</v>
      </c>
      <c r="C1725" t="s">
        <v>17871</v>
      </c>
      <c r="D1725" t="s">
        <v>17872</v>
      </c>
      <c r="E1725" t="s">
        <v>39</v>
      </c>
      <c r="F1725" t="s">
        <v>55</v>
      </c>
      <c r="H1725">
        <v>504</v>
      </c>
      <c r="I1725">
        <v>1</v>
      </c>
      <c r="J1725">
        <v>1</v>
      </c>
      <c r="K1725" t="s">
        <v>17873</v>
      </c>
      <c r="L1725" t="s">
        <v>101</v>
      </c>
      <c r="M1725" t="s">
        <v>39</v>
      </c>
      <c r="N1725">
        <v>0.86339999999999995</v>
      </c>
      <c r="O1725" s="1">
        <v>1</v>
      </c>
      <c r="P1725" t="s">
        <v>17874</v>
      </c>
      <c r="Q1725" t="s">
        <v>17875</v>
      </c>
      <c r="S1725" t="s">
        <v>60</v>
      </c>
      <c r="T1725" t="s">
        <v>60</v>
      </c>
      <c r="U1725" t="s">
        <v>17876</v>
      </c>
      <c r="V1725">
        <v>4</v>
      </c>
      <c r="Z1725" t="s">
        <v>107</v>
      </c>
      <c r="AA1725">
        <v>2</v>
      </c>
      <c r="AB1725" t="s">
        <v>17877</v>
      </c>
      <c r="AC1725" t="s">
        <v>17878</v>
      </c>
      <c r="AD1725" t="s">
        <v>17879</v>
      </c>
      <c r="AE1725" t="s">
        <v>144</v>
      </c>
      <c r="AF1725" t="s">
        <v>17880</v>
      </c>
      <c r="AG1725" t="s">
        <v>17881</v>
      </c>
      <c r="AH1725" t="str">
        <f>HYPERLINK("http://compartments.jensenlab.org/Entity?figures=subcell_cell_%&amp;knowledge=10&amp;textmining=10&amp;experiments=10&amp;predictions=10&amp;type1=9606&amp;type2=-22&amp;id1=ENSP00000264748","link")</f>
        <v>link</v>
      </c>
      <c r="AI1725" t="s">
        <v>65</v>
      </c>
      <c r="AJ1725" t="s">
        <v>51</v>
      </c>
      <c r="AK1725" t="str">
        <f>HYPERLINK("http://www.proteinatlas.org/Q8N441","CAB026019")</f>
        <v>CAB026019</v>
      </c>
      <c r="AM1725">
        <v>53834</v>
      </c>
    </row>
    <row r="1726" spans="1:39" x14ac:dyDescent="0.35">
      <c r="A1726" t="s">
        <v>17882</v>
      </c>
      <c r="B1726" t="str">
        <f>HYPERLINK("http://www.uniprot.org/uniprot/Q8N468","Q8N468")</f>
        <v>Q8N468</v>
      </c>
      <c r="C1726" t="s">
        <v>17883</v>
      </c>
      <c r="D1726" t="s">
        <v>17884</v>
      </c>
      <c r="E1726" t="s">
        <v>39</v>
      </c>
      <c r="F1726" t="s">
        <v>40</v>
      </c>
      <c r="H1726">
        <v>514</v>
      </c>
      <c r="I1726">
        <v>12</v>
      </c>
      <c r="J1726">
        <v>0</v>
      </c>
      <c r="K1726" t="s">
        <v>17885</v>
      </c>
      <c r="L1726" t="s">
        <v>118</v>
      </c>
      <c r="N1726">
        <v>0.87029999999999996</v>
      </c>
      <c r="O1726" s="1">
        <v>1</v>
      </c>
      <c r="P1726" t="s">
        <v>17886</v>
      </c>
      <c r="Q1726" t="s">
        <v>17887</v>
      </c>
      <c r="S1726" t="s">
        <v>60</v>
      </c>
      <c r="T1726" t="s">
        <v>60</v>
      </c>
      <c r="U1726" t="s">
        <v>17888</v>
      </c>
      <c r="V1726">
        <v>3</v>
      </c>
      <c r="Z1726" t="s">
        <v>123</v>
      </c>
      <c r="AA1726">
        <v>1</v>
      </c>
      <c r="AB1726" t="s">
        <v>17889</v>
      </c>
      <c r="AC1726">
        <v>177</v>
      </c>
      <c r="AD1726" t="s">
        <v>17890</v>
      </c>
      <c r="AE1726" t="s">
        <v>48</v>
      </c>
      <c r="AF1726" t="s">
        <v>17891</v>
      </c>
      <c r="AG1726" t="s">
        <v>17892</v>
      </c>
      <c r="AH1726" t="str">
        <f>HYPERLINK("http://compartments.jensenlab.org/Entity?figures=subcell_cell_%&amp;knowledge=10&amp;textmining=10&amp;experiments=10&amp;predictions=10&amp;type1=9606&amp;type2=-22&amp;id1=ENSP00000356115","link")</f>
        <v>link</v>
      </c>
      <c r="AJ1726" t="s">
        <v>51</v>
      </c>
      <c r="AK1726" t="str">
        <f>HYPERLINK("http://www.proteinatlas.org/Q8N468","no")</f>
        <v>no</v>
      </c>
      <c r="AM1726">
        <v>148808</v>
      </c>
    </row>
    <row r="1727" spans="1:39" x14ac:dyDescent="0.35">
      <c r="A1727" t="s">
        <v>17893</v>
      </c>
      <c r="B1727" t="str">
        <f>HYPERLINK("http://www.uniprot.org/uniprot/Q8N4K4","Q8N4K4")</f>
        <v>Q8N4K4</v>
      </c>
      <c r="C1727" t="s">
        <v>17894</v>
      </c>
      <c r="D1727" t="s">
        <v>17895</v>
      </c>
      <c r="E1727" t="s">
        <v>39</v>
      </c>
      <c r="F1727" t="s">
        <v>40</v>
      </c>
      <c r="H1727">
        <v>120</v>
      </c>
      <c r="I1727">
        <v>1</v>
      </c>
      <c r="J1727">
        <v>0</v>
      </c>
      <c r="K1727" t="s">
        <v>17896</v>
      </c>
      <c r="L1727" t="s">
        <v>42</v>
      </c>
      <c r="N1727">
        <v>0.61080000000000001</v>
      </c>
      <c r="O1727" s="1">
        <v>2</v>
      </c>
      <c r="P1727" t="s">
        <v>17897</v>
      </c>
      <c r="Q1727" t="s">
        <v>17898</v>
      </c>
      <c r="S1727" t="s">
        <v>60</v>
      </c>
      <c r="T1727" t="s">
        <v>60</v>
      </c>
      <c r="U1727" t="s">
        <v>17899</v>
      </c>
      <c r="V1727">
        <v>3</v>
      </c>
      <c r="AE1727" t="s">
        <v>94</v>
      </c>
      <c r="AF1727" t="s">
        <v>15168</v>
      </c>
      <c r="AG1727" t="s">
        <v>17900</v>
      </c>
      <c r="AH1727" t="str">
        <f>HYPERLINK("http://compartments.jensenlab.org/Entity?figures=subcell_cell_%&amp;knowledge=10&amp;textmining=10&amp;experiments=10&amp;predictions=10&amp;type1=9606&amp;type2=-22&amp;id1=ENSP00000318032","link")</f>
        <v>link</v>
      </c>
      <c r="AJ1727" t="s">
        <v>2124</v>
      </c>
      <c r="AK1727" t="str">
        <f>HYPERLINK("http://www.proteinatlas.org/Q8N4K4","HPA062668")</f>
        <v>HPA062668</v>
      </c>
      <c r="AM1727">
        <v>388394</v>
      </c>
    </row>
    <row r="1728" spans="1:39" x14ac:dyDescent="0.35">
      <c r="A1728" t="s">
        <v>17901</v>
      </c>
      <c r="B1728" t="str">
        <f>HYPERLINK("http://www.uniprot.org/uniprot/Q8N4M1","Q8N4M1")</f>
        <v>Q8N4M1</v>
      </c>
      <c r="C1728" t="s">
        <v>17902</v>
      </c>
      <c r="D1728" t="s">
        <v>17903</v>
      </c>
      <c r="E1728" t="s">
        <v>39</v>
      </c>
      <c r="F1728" t="s">
        <v>40</v>
      </c>
      <c r="H1728">
        <v>653</v>
      </c>
      <c r="I1728">
        <v>9</v>
      </c>
      <c r="J1728">
        <v>0</v>
      </c>
      <c r="K1728" t="s">
        <v>17904</v>
      </c>
      <c r="L1728" t="s">
        <v>42</v>
      </c>
      <c r="N1728">
        <v>0.66669999999999996</v>
      </c>
      <c r="O1728" s="1">
        <v>2</v>
      </c>
      <c r="P1728" t="s">
        <v>17905</v>
      </c>
      <c r="Q1728" t="s">
        <v>17906</v>
      </c>
      <c r="S1728" t="s">
        <v>45</v>
      </c>
      <c r="T1728" t="s">
        <v>14483</v>
      </c>
      <c r="U1728" t="s">
        <v>17907</v>
      </c>
      <c r="V1728">
        <v>1</v>
      </c>
      <c r="Y1728">
        <v>344</v>
      </c>
      <c r="AE1728" t="s">
        <v>48</v>
      </c>
      <c r="AF1728" t="s">
        <v>472</v>
      </c>
      <c r="AG1728" t="s">
        <v>17908</v>
      </c>
      <c r="AH1728" t="str">
        <f>HYPERLINK("http://compartments.jensenlab.org/Entity?figures=subcell_cell_%&amp;knowledge=10&amp;textmining=10&amp;experiments=10&amp;predictions=10&amp;type1=9606&amp;type2=-22&amp;id1=ENSP00000271227","link")</f>
        <v>link</v>
      </c>
      <c r="AJ1728" t="s">
        <v>51</v>
      </c>
      <c r="AK1728" t="str">
        <f>HYPERLINK("http://www.proteinatlas.org/Q8N4M1","HPA047433")</f>
        <v>HPA047433</v>
      </c>
      <c r="AM1728">
        <v>126969</v>
      </c>
    </row>
    <row r="1729" spans="1:39" x14ac:dyDescent="0.35">
      <c r="A1729" t="s">
        <v>17909</v>
      </c>
      <c r="B1729" t="str">
        <f>HYPERLINK("http://www.uniprot.org/uniprot/Q8N5C1","Q8N5C1")</f>
        <v>Q8N5C1</v>
      </c>
      <c r="C1729" t="s">
        <v>17910</v>
      </c>
      <c r="D1729" t="s">
        <v>17911</v>
      </c>
      <c r="E1729" t="s">
        <v>39</v>
      </c>
      <c r="F1729" t="s">
        <v>40</v>
      </c>
      <c r="H1729">
        <v>309</v>
      </c>
      <c r="I1729">
        <v>4</v>
      </c>
      <c r="J1729">
        <v>0</v>
      </c>
      <c r="K1729" t="s">
        <v>17912</v>
      </c>
      <c r="L1729" t="s">
        <v>42</v>
      </c>
      <c r="N1729">
        <v>0.62870000000000004</v>
      </c>
      <c r="O1729" s="1">
        <v>2</v>
      </c>
      <c r="P1729" t="s">
        <v>17913</v>
      </c>
      <c r="Q1729" t="s">
        <v>17914</v>
      </c>
      <c r="S1729" t="s">
        <v>947</v>
      </c>
      <c r="T1729" t="s">
        <v>1117</v>
      </c>
      <c r="U1729" t="s">
        <v>17915</v>
      </c>
      <c r="V1729">
        <v>2</v>
      </c>
      <c r="AE1729" t="s">
        <v>48</v>
      </c>
      <c r="AF1729" t="s">
        <v>17916</v>
      </c>
      <c r="AG1729" t="s">
        <v>17917</v>
      </c>
      <c r="AH1729" t="str">
        <f>HYPERLINK("http://compartments.jensenlab.org/Entity?figures=subcell_cell_%&amp;knowledge=10&amp;textmining=10&amp;experiments=10&amp;predictions=10&amp;type1=9606&amp;type2=-22&amp;id1=ENSP00000357588","link")</f>
        <v>link</v>
      </c>
      <c r="AJ1729" t="s">
        <v>51</v>
      </c>
      <c r="AK1729" t="str">
        <f>HYPERLINK("http://www.proteinatlas.org/Q8N5C1","HPA034969")</f>
        <v>HPA034969</v>
      </c>
      <c r="AM1729">
        <v>254228</v>
      </c>
    </row>
    <row r="1730" spans="1:39" x14ac:dyDescent="0.35">
      <c r="A1730" t="s">
        <v>17918</v>
      </c>
      <c r="B1730" t="str">
        <f>HYPERLINK("http://www.uniprot.org/uniprot/Q8N5U1","Q8N5U1")</f>
        <v>Q8N5U1</v>
      </c>
      <c r="C1730" t="s">
        <v>17919</v>
      </c>
      <c r="D1730" t="s">
        <v>17920</v>
      </c>
      <c r="E1730" t="s">
        <v>39</v>
      </c>
      <c r="F1730" t="s">
        <v>40</v>
      </c>
      <c r="H1730">
        <v>240</v>
      </c>
      <c r="I1730">
        <v>4</v>
      </c>
      <c r="J1730">
        <v>0</v>
      </c>
      <c r="K1730" t="s">
        <v>17921</v>
      </c>
      <c r="L1730" t="s">
        <v>42</v>
      </c>
      <c r="N1730">
        <v>0.6008</v>
      </c>
      <c r="O1730" s="1">
        <v>2</v>
      </c>
      <c r="P1730" t="s">
        <v>17922</v>
      </c>
      <c r="Q1730" t="s">
        <v>17923</v>
      </c>
      <c r="S1730" t="s">
        <v>91</v>
      </c>
      <c r="T1730" t="s">
        <v>5175</v>
      </c>
      <c r="U1730" t="s">
        <v>17924</v>
      </c>
      <c r="V1730">
        <v>2</v>
      </c>
      <c r="AE1730" t="s">
        <v>48</v>
      </c>
      <c r="AF1730" t="s">
        <v>17925</v>
      </c>
      <c r="AG1730" t="s">
        <v>17926</v>
      </c>
      <c r="AH1730" t="str">
        <f>HYPERLINK("http://compartments.jensenlab.org/Entity?figures=subcell_cell_%&amp;knowledge=10&amp;textmining=10&amp;experiments=10&amp;predictions=10&amp;type1=9606&amp;type2=-22&amp;id1=ENSP00000386022","link")</f>
        <v>link</v>
      </c>
      <c r="AJ1730" t="s">
        <v>51</v>
      </c>
      <c r="AK1730" t="str">
        <f>HYPERLINK("http://www.proteinatlas.org/Q8N5U1","no")</f>
        <v>no</v>
      </c>
      <c r="AM1730">
        <v>219995</v>
      </c>
    </row>
    <row r="1731" spans="1:39" x14ac:dyDescent="0.35">
      <c r="A1731" t="s">
        <v>17927</v>
      </c>
      <c r="B1731" t="str">
        <f>HYPERLINK("http://www.uniprot.org/uniprot/Q8N608","Q8N608")</f>
        <v>Q8N608</v>
      </c>
      <c r="C1731" t="s">
        <v>17928</v>
      </c>
      <c r="D1731" t="s">
        <v>17929</v>
      </c>
      <c r="E1731" t="s">
        <v>39</v>
      </c>
      <c r="F1731" t="s">
        <v>40</v>
      </c>
      <c r="H1731">
        <v>796</v>
      </c>
      <c r="I1731">
        <v>1</v>
      </c>
      <c r="J1731">
        <v>0</v>
      </c>
      <c r="K1731" t="s">
        <v>17930</v>
      </c>
      <c r="L1731" t="s">
        <v>57</v>
      </c>
      <c r="N1731">
        <v>0.63070000000000004</v>
      </c>
      <c r="O1731" s="1">
        <v>2</v>
      </c>
      <c r="P1731" t="s">
        <v>17931</v>
      </c>
      <c r="Q1731" t="s">
        <v>17932</v>
      </c>
      <c r="S1731" t="s">
        <v>60</v>
      </c>
      <c r="T1731" t="s">
        <v>60</v>
      </c>
      <c r="U1731" t="s">
        <v>17933</v>
      </c>
      <c r="V1731">
        <v>8</v>
      </c>
      <c r="AE1731" t="s">
        <v>359</v>
      </c>
      <c r="AF1731" t="s">
        <v>17934</v>
      </c>
      <c r="AG1731" t="s">
        <v>17935</v>
      </c>
      <c r="AH1731" t="str">
        <f>HYPERLINK("http://compartments.jensenlab.org/Entity?figures=subcell_cell_%&amp;knowledge=10&amp;textmining=10&amp;experiments=10&amp;predictions=10&amp;type1=9606&amp;type2=-22&amp;id1=ENSP00000386565","link")</f>
        <v>link</v>
      </c>
      <c r="AJ1731" t="s">
        <v>51</v>
      </c>
      <c r="AK1731" t="str">
        <f>HYPERLINK("http://www.proteinatlas.org/Q8N608","HPA048767")</f>
        <v>HPA048767</v>
      </c>
      <c r="AM1731">
        <v>57628</v>
      </c>
    </row>
    <row r="1732" spans="1:39" x14ac:dyDescent="0.35">
      <c r="A1732" t="s">
        <v>17936</v>
      </c>
      <c r="B1732" t="str">
        <f>HYPERLINK("http://www.uniprot.org/uniprot/Q8N628","Q8N628")</f>
        <v>Q8N628</v>
      </c>
      <c r="C1732" t="s">
        <v>17937</v>
      </c>
      <c r="D1732" t="s">
        <v>17938</v>
      </c>
      <c r="E1732" t="s">
        <v>39</v>
      </c>
      <c r="F1732" t="s">
        <v>55</v>
      </c>
      <c r="H1732">
        <v>320</v>
      </c>
      <c r="I1732">
        <v>7</v>
      </c>
      <c r="J1732">
        <v>0</v>
      </c>
      <c r="K1732" t="s">
        <v>17939</v>
      </c>
      <c r="L1732" t="s">
        <v>57</v>
      </c>
      <c r="M1732" t="s">
        <v>39</v>
      </c>
      <c r="N1732">
        <v>0.98939999999999995</v>
      </c>
      <c r="O1732" s="1">
        <v>1</v>
      </c>
      <c r="P1732" t="s">
        <v>17940</v>
      </c>
      <c r="Q1732" t="s">
        <v>17941</v>
      </c>
      <c r="S1732" t="s">
        <v>166</v>
      </c>
      <c r="T1732" t="s">
        <v>167</v>
      </c>
      <c r="U1732">
        <v>6</v>
      </c>
      <c r="V1732">
        <v>1</v>
      </c>
      <c r="AE1732" t="s">
        <v>74</v>
      </c>
      <c r="AF1732" t="s">
        <v>169</v>
      </c>
      <c r="AG1732" t="s">
        <v>17942</v>
      </c>
      <c r="AH1732" t="str">
        <f>HYPERLINK("http://compartments.jensenlab.org/Entity?figures=subcell_cell_%&amp;knowledge=10&amp;textmining=10&amp;experiments=10&amp;predictions=10&amp;type1=9606&amp;type2=-22&amp;id1=ENSP00000355443","link")</f>
        <v>link</v>
      </c>
      <c r="AI1732" t="s">
        <v>65</v>
      </c>
      <c r="AJ1732" t="s">
        <v>51</v>
      </c>
      <c r="AK1732" t="str">
        <f>HYPERLINK("http://www.proteinatlas.org/Q8N628","HPA053920")</f>
        <v>HPA053920</v>
      </c>
      <c r="AM1732">
        <v>81472</v>
      </c>
    </row>
    <row r="1733" spans="1:39" x14ac:dyDescent="0.35">
      <c r="A1733" t="s">
        <v>17943</v>
      </c>
      <c r="B1733" t="str">
        <f>HYPERLINK("http://www.uniprot.org/uniprot/Q8N695","Q8N695")</f>
        <v>Q8N695</v>
      </c>
      <c r="C1733" t="s">
        <v>17944</v>
      </c>
      <c r="D1733" t="s">
        <v>17945</v>
      </c>
      <c r="E1733" t="s">
        <v>39</v>
      </c>
      <c r="F1733" t="s">
        <v>40</v>
      </c>
      <c r="H1733">
        <v>610</v>
      </c>
      <c r="I1733">
        <v>13</v>
      </c>
      <c r="J1733">
        <v>0</v>
      </c>
      <c r="K1733" t="s">
        <v>17946</v>
      </c>
      <c r="L1733" t="s">
        <v>57</v>
      </c>
      <c r="N1733">
        <v>0.88619999999999999</v>
      </c>
      <c r="O1733" s="1">
        <v>1</v>
      </c>
      <c r="P1733" t="s">
        <v>17947</v>
      </c>
      <c r="Q1733" t="s">
        <v>17948</v>
      </c>
      <c r="S1733" t="s">
        <v>45</v>
      </c>
      <c r="T1733" t="s">
        <v>72</v>
      </c>
      <c r="U1733" t="s">
        <v>17949</v>
      </c>
      <c r="V1733">
        <v>2</v>
      </c>
      <c r="AE1733" t="s">
        <v>10045</v>
      </c>
      <c r="AF1733" t="s">
        <v>17950</v>
      </c>
      <c r="AG1733" t="s">
        <v>17951</v>
      </c>
      <c r="AH1733" t="str">
        <f>HYPERLINK("http://compartments.jensenlab.org/Entity?figures=subcell_cell_%&amp;knowledge=10&amp;textmining=10&amp;experiments=10&amp;predictions=10&amp;type1=9606&amp;type2=-22&amp;id1=ENSP00000445340","link")</f>
        <v>link</v>
      </c>
      <c r="AK1733" t="str">
        <f>HYPERLINK("http://www.proteinatlas.org/Q8N695","no")</f>
        <v>no</v>
      </c>
      <c r="AM1733">
        <v>160728</v>
      </c>
    </row>
    <row r="1734" spans="1:39" x14ac:dyDescent="0.35">
      <c r="A1734" t="s">
        <v>17952</v>
      </c>
      <c r="B1734" t="str">
        <f>HYPERLINK("http://www.uniprot.org/uniprot/Q8N697","Q8N697")</f>
        <v>Q8N697</v>
      </c>
      <c r="C1734" t="s">
        <v>17953</v>
      </c>
      <c r="D1734" t="s">
        <v>17954</v>
      </c>
      <c r="E1734" t="s">
        <v>39</v>
      </c>
      <c r="F1734" t="s">
        <v>40</v>
      </c>
      <c r="H1734">
        <v>577</v>
      </c>
      <c r="I1734">
        <v>12</v>
      </c>
      <c r="J1734">
        <v>0</v>
      </c>
      <c r="K1734" t="s">
        <v>17955</v>
      </c>
      <c r="L1734" t="s">
        <v>118</v>
      </c>
      <c r="N1734">
        <v>0.6946</v>
      </c>
      <c r="O1734" s="1">
        <v>2</v>
      </c>
      <c r="P1734" t="s">
        <v>17956</v>
      </c>
      <c r="Q1734" t="s">
        <v>17957</v>
      </c>
      <c r="S1734" t="s">
        <v>45</v>
      </c>
      <c r="T1734" t="s">
        <v>9581</v>
      </c>
      <c r="U1734" t="s">
        <v>17958</v>
      </c>
      <c r="V1734">
        <v>4</v>
      </c>
      <c r="Y1734">
        <v>197</v>
      </c>
      <c r="Z1734" t="s">
        <v>123</v>
      </c>
      <c r="AA1734">
        <v>3</v>
      </c>
      <c r="AB1734" t="s">
        <v>17959</v>
      </c>
      <c r="AC1734" t="s">
        <v>17960</v>
      </c>
      <c r="AD1734" t="s">
        <v>17961</v>
      </c>
      <c r="AE1734" t="s">
        <v>48</v>
      </c>
      <c r="AF1734" t="s">
        <v>17962</v>
      </c>
      <c r="AG1734" t="s">
        <v>17963</v>
      </c>
      <c r="AH1734" t="str">
        <f>HYPERLINK("http://compartments.jensenlab.org/Entity?figures=subcell_cell_%&amp;knowledge=10&amp;textmining=10&amp;experiments=10&amp;predictions=10&amp;type1=9606&amp;type2=-22&amp;id1=ENSP00000266771","link")</f>
        <v>link</v>
      </c>
      <c r="AJ1734" t="s">
        <v>2393</v>
      </c>
      <c r="AK1734" t="str">
        <f>HYPERLINK("http://www.proteinatlas.org/Q8N697","HPA016713")</f>
        <v>HPA016713</v>
      </c>
      <c r="AM1734">
        <v>121260</v>
      </c>
    </row>
    <row r="1735" spans="1:39" x14ac:dyDescent="0.35">
      <c r="A1735" t="s">
        <v>17964</v>
      </c>
      <c r="B1735" t="str">
        <f>HYPERLINK("http://www.uniprot.org/uniprot/Q8N6C5","Q8N6C5")</f>
        <v>Q8N6C5</v>
      </c>
      <c r="C1735" t="s">
        <v>17965</v>
      </c>
      <c r="D1735" t="s">
        <v>17966</v>
      </c>
      <c r="E1735" t="s">
        <v>39</v>
      </c>
      <c r="F1735" t="s">
        <v>40</v>
      </c>
      <c r="H1735">
        <v>1336</v>
      </c>
      <c r="I1735">
        <v>2</v>
      </c>
      <c r="J1735">
        <v>1</v>
      </c>
      <c r="K1735" t="s">
        <v>17967</v>
      </c>
      <c r="L1735" t="s">
        <v>101</v>
      </c>
      <c r="N1735">
        <v>0.81840000000000002</v>
      </c>
      <c r="O1735" s="1">
        <v>1</v>
      </c>
      <c r="P1735" t="s">
        <v>17968</v>
      </c>
      <c r="Q1735" t="s">
        <v>17969</v>
      </c>
      <c r="S1735" t="s">
        <v>166</v>
      </c>
      <c r="T1735" t="s">
        <v>418</v>
      </c>
      <c r="U1735" t="s">
        <v>17970</v>
      </c>
      <c r="V1735">
        <v>15</v>
      </c>
      <c r="W1735" t="s">
        <v>17970</v>
      </c>
      <c r="Y1735" t="s">
        <v>17971</v>
      </c>
      <c r="Z1735" t="s">
        <v>107</v>
      </c>
      <c r="AA1735">
        <v>2</v>
      </c>
      <c r="AB1735" t="s">
        <v>17972</v>
      </c>
      <c r="AC1735" t="s">
        <v>17973</v>
      </c>
      <c r="AD1735" t="s">
        <v>17974</v>
      </c>
      <c r="AE1735" t="s">
        <v>17975</v>
      </c>
      <c r="AF1735" t="s">
        <v>17976</v>
      </c>
      <c r="AG1735" t="s">
        <v>17977</v>
      </c>
      <c r="AH1735" t="str">
        <f>HYPERLINK("http://compartments.jensenlab.org/Entity?figures=subcell_cell_%&amp;knowledge=10&amp;textmining=10&amp;experiments=10&amp;predictions=10&amp;type1=9606&amp;type2=-22&amp;id1=ENSP00000355010","link")</f>
        <v>link</v>
      </c>
      <c r="AJ1735" t="s">
        <v>902</v>
      </c>
      <c r="AK1735" t="str">
        <f>HYPERLINK("http://www.proteinatlas.org/Q8N6C5","HPA035582")</f>
        <v>HPA035582</v>
      </c>
      <c r="AM1735">
        <v>3547</v>
      </c>
    </row>
    <row r="1736" spans="1:39" x14ac:dyDescent="0.35">
      <c r="A1736" t="s">
        <v>17978</v>
      </c>
      <c r="B1736" t="str">
        <f>HYPERLINK("http://www.uniprot.org/uniprot/Q8N6F1","Q8N6F1")</f>
        <v>Q8N6F1</v>
      </c>
      <c r="C1736" t="s">
        <v>17979</v>
      </c>
      <c r="D1736" t="s">
        <v>17980</v>
      </c>
      <c r="E1736" t="s">
        <v>39</v>
      </c>
      <c r="F1736" t="s">
        <v>40</v>
      </c>
      <c r="H1736">
        <v>224</v>
      </c>
      <c r="I1736">
        <v>4</v>
      </c>
      <c r="J1736">
        <v>0</v>
      </c>
      <c r="K1736" t="s">
        <v>17981</v>
      </c>
      <c r="L1736" t="s">
        <v>57</v>
      </c>
      <c r="N1736">
        <v>0.64270000000000005</v>
      </c>
      <c r="O1736" s="1">
        <v>2</v>
      </c>
      <c r="P1736" t="s">
        <v>17982</v>
      </c>
      <c r="Q1736" t="s">
        <v>17983</v>
      </c>
      <c r="S1736" t="s">
        <v>91</v>
      </c>
      <c r="T1736" t="s">
        <v>537</v>
      </c>
      <c r="U1736">
        <v>193</v>
      </c>
      <c r="V1736">
        <v>0</v>
      </c>
      <c r="Y1736" t="s">
        <v>3270</v>
      </c>
      <c r="AE1736" t="s">
        <v>539</v>
      </c>
      <c r="AF1736" t="s">
        <v>17984</v>
      </c>
      <c r="AG1736" t="s">
        <v>17985</v>
      </c>
      <c r="AH1736" t="str">
        <f>HYPERLINK("http://compartments.jensenlab.org/Entity?figures=subcell_cell_%&amp;knowledge=10&amp;textmining=10&amp;experiments=10&amp;predictions=10&amp;type1=9606&amp;type2=-22&amp;id1=ENSP00000296387","link")</f>
        <v>link</v>
      </c>
      <c r="AI1736" t="s">
        <v>65</v>
      </c>
      <c r="AJ1736" t="s">
        <v>299</v>
      </c>
      <c r="AK1736" t="str">
        <f>HYPERLINK("http://www.proteinatlas.org/Q8N6F1","no")</f>
        <v>no</v>
      </c>
      <c r="AM1736">
        <v>149461</v>
      </c>
    </row>
    <row r="1737" spans="1:39" x14ac:dyDescent="0.35">
      <c r="A1737" t="s">
        <v>17986</v>
      </c>
      <c r="B1737" t="str">
        <f>HYPERLINK("http://www.uniprot.org/uniprot/Q8N6P7","Q8N6P7")</f>
        <v>Q8N6P7</v>
      </c>
      <c r="C1737" t="s">
        <v>17987</v>
      </c>
      <c r="D1737" t="s">
        <v>17988</v>
      </c>
      <c r="E1737" t="s">
        <v>39</v>
      </c>
      <c r="F1737" t="s">
        <v>40</v>
      </c>
      <c r="H1737">
        <v>574</v>
      </c>
      <c r="I1737">
        <v>1</v>
      </c>
      <c r="J1737">
        <v>1</v>
      </c>
      <c r="K1737" t="s">
        <v>17989</v>
      </c>
      <c r="L1737" t="s">
        <v>57</v>
      </c>
      <c r="N1737">
        <v>0.75249999999999995</v>
      </c>
      <c r="O1737" s="1">
        <v>1</v>
      </c>
      <c r="P1737" t="s">
        <v>17990</v>
      </c>
      <c r="Q1737" t="s">
        <v>17991</v>
      </c>
      <c r="S1737" t="s">
        <v>166</v>
      </c>
      <c r="T1737" t="s">
        <v>5643</v>
      </c>
      <c r="U1737" t="s">
        <v>17992</v>
      </c>
      <c r="V1737">
        <v>3</v>
      </c>
      <c r="AE1737" t="s">
        <v>144</v>
      </c>
      <c r="AF1737" t="s">
        <v>13256</v>
      </c>
      <c r="AG1737" t="s">
        <v>17993</v>
      </c>
      <c r="AH1737" t="str">
        <f>HYPERLINK("http://compartments.jensenlab.org/Entity?figures=subcell_cell_%&amp;knowledge=10&amp;textmining=10&amp;experiments=10&amp;predictions=10&amp;type1=9606&amp;type2=-22&amp;id1=ENSP00000270800","link")</f>
        <v>link</v>
      </c>
      <c r="AJ1737" t="s">
        <v>51</v>
      </c>
      <c r="AK1737" t="str">
        <f>HYPERLINK("http://www.proteinatlas.org/Q8N6P7","HPA042399")</f>
        <v>HPA042399</v>
      </c>
      <c r="AM1737">
        <v>58985</v>
      </c>
    </row>
    <row r="1738" spans="1:39" x14ac:dyDescent="0.35">
      <c r="A1738" t="s">
        <v>17994</v>
      </c>
      <c r="B1738" t="str">
        <f>HYPERLINK("http://www.uniprot.org/uniprot/Q8N6Q3","Q8N6Q3")</f>
        <v>Q8N6Q3</v>
      </c>
      <c r="C1738" t="s">
        <v>17995</v>
      </c>
      <c r="D1738" t="s">
        <v>17996</v>
      </c>
      <c r="E1738" t="s">
        <v>39</v>
      </c>
      <c r="F1738" t="s">
        <v>239</v>
      </c>
      <c r="H1738">
        <v>437</v>
      </c>
      <c r="I1738">
        <v>0</v>
      </c>
      <c r="J1738">
        <v>1</v>
      </c>
      <c r="K1738" t="s">
        <v>17997</v>
      </c>
      <c r="L1738" t="s">
        <v>57</v>
      </c>
      <c r="N1738">
        <v>0.7944</v>
      </c>
      <c r="O1738" s="1" t="s">
        <v>997</v>
      </c>
      <c r="P1738" t="s">
        <v>17998</v>
      </c>
      <c r="R1738" t="s">
        <v>17996</v>
      </c>
      <c r="U1738" t="s">
        <v>17999</v>
      </c>
      <c r="V1738">
        <v>3</v>
      </c>
      <c r="W1738" t="s">
        <v>17999</v>
      </c>
      <c r="AE1738" t="s">
        <v>243</v>
      </c>
      <c r="AF1738" t="s">
        <v>18000</v>
      </c>
      <c r="AG1738" t="s">
        <v>18001</v>
      </c>
      <c r="AK1738" t="str">
        <f>HYPERLINK("http://www.proteinatlas.org/Q8N6Q3","no")</f>
        <v>no</v>
      </c>
      <c r="AM1738">
        <v>57126</v>
      </c>
    </row>
    <row r="1739" spans="1:39" x14ac:dyDescent="0.35">
      <c r="A1739" t="s">
        <v>18002</v>
      </c>
      <c r="B1739" t="str">
        <f>HYPERLINK("http://www.uniprot.org/uniprot/Q8N6U8","Q8N6U8")</f>
        <v>Q8N6U8</v>
      </c>
      <c r="C1739" t="s">
        <v>18003</v>
      </c>
      <c r="D1739" t="s">
        <v>18004</v>
      </c>
      <c r="E1739" t="s">
        <v>39</v>
      </c>
      <c r="F1739" t="s">
        <v>40</v>
      </c>
      <c r="H1739">
        <v>529</v>
      </c>
      <c r="I1739">
        <v>7</v>
      </c>
      <c r="J1739">
        <v>0</v>
      </c>
      <c r="K1739" t="s">
        <v>18005</v>
      </c>
      <c r="L1739" t="s">
        <v>57</v>
      </c>
      <c r="N1739">
        <v>0.79239999999999999</v>
      </c>
      <c r="O1739" s="1">
        <v>1</v>
      </c>
      <c r="P1739" t="s">
        <v>18006</v>
      </c>
      <c r="Q1739" t="s">
        <v>18007</v>
      </c>
      <c r="S1739" t="s">
        <v>166</v>
      </c>
      <c r="T1739" t="s">
        <v>838</v>
      </c>
      <c r="U1739" t="s">
        <v>18008</v>
      </c>
      <c r="V1739">
        <v>3</v>
      </c>
      <c r="Y1739" t="s">
        <v>18009</v>
      </c>
      <c r="AE1739" t="s">
        <v>18010</v>
      </c>
      <c r="AF1739" t="s">
        <v>18011</v>
      </c>
      <c r="AG1739" t="s">
        <v>18012</v>
      </c>
      <c r="AH1739" t="str">
        <f>HYPERLINK("http://compartments.jensenlab.org/Entity?figures=subcell_cell_%&amp;knowledge=10&amp;textmining=10&amp;experiments=10&amp;predictions=10&amp;type1=9606&amp;type2=-22&amp;id1=ENSP00000356809","link")</f>
        <v>link</v>
      </c>
      <c r="AK1739" t="str">
        <f>HYPERLINK("http://www.proteinatlas.org/Q8N6U8","HPA015576")</f>
        <v>HPA015576</v>
      </c>
      <c r="AM1739">
        <v>23432</v>
      </c>
    </row>
    <row r="1740" spans="1:39" x14ac:dyDescent="0.35">
      <c r="A1740" t="s">
        <v>18013</v>
      </c>
      <c r="B1740" t="str">
        <f>HYPERLINK("http://www.uniprot.org/uniprot/Q8N6Y1","Q8N6Y1")</f>
        <v>Q8N6Y1</v>
      </c>
      <c r="C1740" t="s">
        <v>18014</v>
      </c>
      <c r="D1740" t="s">
        <v>18015</v>
      </c>
      <c r="E1740" t="s">
        <v>39</v>
      </c>
      <c r="F1740" t="s">
        <v>55</v>
      </c>
      <c r="H1740">
        <v>951</v>
      </c>
      <c r="I1740">
        <v>1</v>
      </c>
      <c r="J1740">
        <v>1</v>
      </c>
      <c r="K1740" t="s">
        <v>18016</v>
      </c>
      <c r="L1740" t="s">
        <v>101</v>
      </c>
      <c r="M1740" t="s">
        <v>39</v>
      </c>
      <c r="N1740">
        <v>0.875</v>
      </c>
      <c r="O1740" s="1">
        <v>1</v>
      </c>
      <c r="P1740" t="s">
        <v>18017</v>
      </c>
      <c r="Q1740" t="s">
        <v>18018</v>
      </c>
      <c r="S1740" t="s">
        <v>91</v>
      </c>
      <c r="T1740" t="s">
        <v>216</v>
      </c>
      <c r="U1740" t="s">
        <v>18019</v>
      </c>
      <c r="V1740">
        <v>9</v>
      </c>
      <c r="Z1740" t="s">
        <v>107</v>
      </c>
      <c r="AA1740">
        <v>2</v>
      </c>
      <c r="AB1740" t="s">
        <v>18020</v>
      </c>
      <c r="AC1740" t="s">
        <v>18021</v>
      </c>
      <c r="AD1740" t="s">
        <v>18022</v>
      </c>
      <c r="AE1740" t="s">
        <v>332</v>
      </c>
      <c r="AF1740" t="s">
        <v>18023</v>
      </c>
      <c r="AG1740" t="s">
        <v>18024</v>
      </c>
      <c r="AH1740" t="str">
        <f>HYPERLINK("http://compartments.jensenlab.org/Entity?figures=subcell_cell_%&amp;knowledge=10&amp;textmining=10&amp;experiments=10&amp;predictions=10&amp;type1=9606&amp;type2=-22&amp;id1=ENSP00000386653","link")</f>
        <v>link</v>
      </c>
      <c r="AI1740" t="s">
        <v>65</v>
      </c>
      <c r="AJ1740" t="s">
        <v>51</v>
      </c>
      <c r="AK1740" t="str">
        <f>HYPERLINK("http://www.proteinatlas.org/Q8N6Y1","no")</f>
        <v>no</v>
      </c>
      <c r="AM1740">
        <v>64881</v>
      </c>
    </row>
    <row r="1741" spans="1:39" x14ac:dyDescent="0.35">
      <c r="A1741" t="s">
        <v>18025</v>
      </c>
      <c r="B1741" t="str">
        <f>HYPERLINK("http://www.uniprot.org/uniprot/Q8N743","Q8N743")</f>
        <v>Q8N743</v>
      </c>
      <c r="C1741" t="s">
        <v>18026</v>
      </c>
      <c r="D1741" t="s">
        <v>18027</v>
      </c>
      <c r="E1741" t="s">
        <v>39</v>
      </c>
      <c r="F1741" t="s">
        <v>40</v>
      </c>
      <c r="H1741">
        <v>410</v>
      </c>
      <c r="I1741">
        <v>1</v>
      </c>
      <c r="J1741">
        <v>1</v>
      </c>
      <c r="K1741" t="s">
        <v>18028</v>
      </c>
      <c r="L1741" t="s">
        <v>57</v>
      </c>
      <c r="N1741">
        <v>0.96809999999999996</v>
      </c>
      <c r="O1741" s="1">
        <v>1</v>
      </c>
      <c r="R1741" t="s">
        <v>18029</v>
      </c>
      <c r="S1741" t="s">
        <v>166</v>
      </c>
      <c r="T1741" t="s">
        <v>9489</v>
      </c>
      <c r="U1741" t="s">
        <v>18030</v>
      </c>
      <c r="V1741">
        <v>3</v>
      </c>
      <c r="AE1741" t="s">
        <v>332</v>
      </c>
      <c r="AF1741" t="s">
        <v>13323</v>
      </c>
      <c r="AG1741" t="s">
        <v>18031</v>
      </c>
      <c r="AK1741" t="str">
        <f>HYPERLINK("http://www.proteinatlas.org/Q8N743","no")</f>
        <v>no</v>
      </c>
      <c r="AM1741">
        <v>115653</v>
      </c>
    </row>
    <row r="1742" spans="1:39" x14ac:dyDescent="0.35">
      <c r="A1742" t="s">
        <v>18032</v>
      </c>
      <c r="B1742" t="str">
        <f>HYPERLINK("http://www.uniprot.org/uniprot/Q8N7C0","Q8N7C0")</f>
        <v>Q8N7C0</v>
      </c>
      <c r="C1742" t="s">
        <v>18033</v>
      </c>
      <c r="D1742" t="s">
        <v>18034</v>
      </c>
      <c r="E1742" t="s">
        <v>39</v>
      </c>
      <c r="F1742" t="s">
        <v>40</v>
      </c>
      <c r="H1742">
        <v>313</v>
      </c>
      <c r="I1742">
        <v>1</v>
      </c>
      <c r="J1742">
        <v>1</v>
      </c>
      <c r="K1742" t="s">
        <v>18035</v>
      </c>
      <c r="L1742" t="s">
        <v>57</v>
      </c>
      <c r="N1742">
        <v>0.86829999999999996</v>
      </c>
      <c r="O1742" s="1">
        <v>1</v>
      </c>
      <c r="P1742" t="s">
        <v>18036</v>
      </c>
      <c r="Q1742" t="s">
        <v>18037</v>
      </c>
      <c r="S1742" t="s">
        <v>91</v>
      </c>
      <c r="T1742" t="s">
        <v>260</v>
      </c>
      <c r="U1742" t="s">
        <v>18038</v>
      </c>
      <c r="V1742">
        <v>4</v>
      </c>
      <c r="AE1742" t="s">
        <v>3665</v>
      </c>
      <c r="AF1742" t="s">
        <v>18039</v>
      </c>
      <c r="AG1742" t="s">
        <v>18040</v>
      </c>
      <c r="AH1742" t="str">
        <f>HYPERLINK("http://compartments.jensenlab.org/Entity?figures=subcell_cell_%&amp;knowledge=10&amp;textmining=10&amp;experiments=10&amp;predictions=10&amp;type1=9606&amp;type2=-22&amp;id1=ENSP00000294818","link")</f>
        <v>link</v>
      </c>
      <c r="AJ1742" t="s">
        <v>51</v>
      </c>
      <c r="AK1742" t="str">
        <f>HYPERLINK("http://www.proteinatlas.org/Q8N7C0","HPA054100")</f>
        <v>HPA054100</v>
      </c>
      <c r="AM1742">
        <v>440699</v>
      </c>
    </row>
    <row r="1743" spans="1:39" x14ac:dyDescent="0.35">
      <c r="A1743" t="s">
        <v>18041</v>
      </c>
      <c r="B1743" t="str">
        <f>HYPERLINK("http://www.uniprot.org/uniprot/Q8N7C4","Q8N7C4")</f>
        <v>Q8N7C4</v>
      </c>
      <c r="C1743" t="s">
        <v>18042</v>
      </c>
      <c r="D1743" t="s">
        <v>18043</v>
      </c>
      <c r="E1743" t="s">
        <v>39</v>
      </c>
      <c r="F1743" t="s">
        <v>40</v>
      </c>
      <c r="H1743">
        <v>229</v>
      </c>
      <c r="I1743">
        <v>4</v>
      </c>
      <c r="J1743">
        <v>0</v>
      </c>
      <c r="K1743" t="s">
        <v>18044</v>
      </c>
      <c r="L1743" t="s">
        <v>42</v>
      </c>
      <c r="N1743">
        <v>0.65869999999999995</v>
      </c>
      <c r="O1743" s="1">
        <v>2</v>
      </c>
      <c r="P1743" t="s">
        <v>18045</v>
      </c>
      <c r="Q1743" t="s">
        <v>18046</v>
      </c>
      <c r="S1743" t="s">
        <v>60</v>
      </c>
      <c r="T1743" t="s">
        <v>60</v>
      </c>
      <c r="U1743" t="s">
        <v>18047</v>
      </c>
      <c r="V1743">
        <v>1</v>
      </c>
      <c r="AE1743" t="s">
        <v>48</v>
      </c>
      <c r="AF1743" t="s">
        <v>2332</v>
      </c>
      <c r="AG1743" t="s">
        <v>18048</v>
      </c>
      <c r="AH1743" t="str">
        <f>HYPERLINK("http://compartments.jensenlab.org/Entity?figures=subcell_cell_%&amp;knowledge=10&amp;textmining=10&amp;experiments=10&amp;predictions=10&amp;type1=9606&amp;type2=-22&amp;id1=ENSP00000338164","link")</f>
        <v>link</v>
      </c>
      <c r="AJ1743" t="s">
        <v>51</v>
      </c>
      <c r="AK1743" t="str">
        <f>HYPERLINK("http://www.proteinatlas.org/Q8N7C4","no")</f>
        <v>no</v>
      </c>
      <c r="AM1743">
        <v>221468</v>
      </c>
    </row>
    <row r="1744" spans="1:39" x14ac:dyDescent="0.35">
      <c r="A1744" t="s">
        <v>18049</v>
      </c>
      <c r="B1744" t="str">
        <f>HYPERLINK("http://www.uniprot.org/uniprot/Q8N7P1","Q8N7P1")</f>
        <v>Q8N7P1</v>
      </c>
      <c r="C1744" t="s">
        <v>18050</v>
      </c>
      <c r="D1744" t="s">
        <v>18051</v>
      </c>
      <c r="E1744" t="s">
        <v>39</v>
      </c>
      <c r="F1744" t="s">
        <v>40</v>
      </c>
      <c r="H1744">
        <v>536</v>
      </c>
      <c r="I1744">
        <v>1</v>
      </c>
      <c r="J1744">
        <v>0</v>
      </c>
      <c r="K1744" t="s">
        <v>18052</v>
      </c>
      <c r="L1744" t="s">
        <v>42</v>
      </c>
      <c r="N1744">
        <v>0.63670000000000004</v>
      </c>
      <c r="O1744" s="1">
        <v>2</v>
      </c>
      <c r="P1744" t="s">
        <v>18053</v>
      </c>
      <c r="Q1744" t="s">
        <v>18054</v>
      </c>
      <c r="S1744" t="s">
        <v>60</v>
      </c>
      <c r="T1744" t="s">
        <v>60</v>
      </c>
      <c r="U1744" t="s">
        <v>18055</v>
      </c>
      <c r="V1744">
        <v>11</v>
      </c>
      <c r="AE1744" t="s">
        <v>94</v>
      </c>
      <c r="AF1744" t="s">
        <v>18056</v>
      </c>
      <c r="AG1744" t="s">
        <v>18057</v>
      </c>
      <c r="AH1744" t="str">
        <f>HYPERLINK("http://compartments.jensenlab.org/Entity?figures=subcell_cell_%&amp;knowledge=10&amp;textmining=10&amp;experiments=10&amp;predictions=10&amp;type1=9606&amp;type2=-22&amp;id1=ENSP00000414188","link")</f>
        <v>link</v>
      </c>
      <c r="AK1744" t="str">
        <f>HYPERLINK("http://www.proteinatlas.org/Q8N7P1","HPA028389;HPA050367")</f>
        <v>HPA028389;HPA050367</v>
      </c>
      <c r="AM1744">
        <v>200150</v>
      </c>
    </row>
    <row r="1745" spans="1:39" x14ac:dyDescent="0.35">
      <c r="A1745" t="s">
        <v>18058</v>
      </c>
      <c r="B1745" t="str">
        <f>HYPERLINK("http://www.uniprot.org/uniprot/Q8N7P3","Q8N7P3")</f>
        <v>Q8N7P3</v>
      </c>
      <c r="C1745" t="s">
        <v>18059</v>
      </c>
      <c r="D1745" t="s">
        <v>18060</v>
      </c>
      <c r="E1745" t="s">
        <v>39</v>
      </c>
      <c r="F1745" t="s">
        <v>40</v>
      </c>
      <c r="H1745">
        <v>220</v>
      </c>
      <c r="I1745">
        <v>4</v>
      </c>
      <c r="J1745">
        <v>0</v>
      </c>
      <c r="K1745" t="s">
        <v>18061</v>
      </c>
      <c r="L1745" t="s">
        <v>57</v>
      </c>
      <c r="N1745">
        <v>0.68859999999999999</v>
      </c>
      <c r="O1745" s="1">
        <v>2</v>
      </c>
      <c r="P1745" t="s">
        <v>18062</v>
      </c>
      <c r="Q1745" t="s">
        <v>18063</v>
      </c>
      <c r="S1745" t="s">
        <v>91</v>
      </c>
      <c r="T1745" t="s">
        <v>537</v>
      </c>
      <c r="U1745">
        <v>45</v>
      </c>
      <c r="V1745">
        <v>1</v>
      </c>
      <c r="Y1745" t="s">
        <v>538</v>
      </c>
      <c r="AE1745" t="s">
        <v>539</v>
      </c>
      <c r="AF1745" t="s">
        <v>2741</v>
      </c>
      <c r="AG1745" t="s">
        <v>18064</v>
      </c>
      <c r="AH1745" t="str">
        <f>HYPERLINK("http://compartments.jensenlab.org/Entity?figures=subcell_cell_%&amp;knowledge=10&amp;textmining=10&amp;experiments=10&amp;predictions=10&amp;type1=9606&amp;type2=-22&amp;id1=ENSP00000318113","link")</f>
        <v>link</v>
      </c>
      <c r="AI1745" t="s">
        <v>65</v>
      </c>
      <c r="AJ1745" t="s">
        <v>51</v>
      </c>
      <c r="AK1745" t="str">
        <f>HYPERLINK("http://www.proteinatlas.org/Q8N7P3","no")</f>
        <v>no</v>
      </c>
      <c r="AM1745">
        <v>53842</v>
      </c>
    </row>
    <row r="1746" spans="1:39" x14ac:dyDescent="0.35">
      <c r="A1746" t="s">
        <v>18065</v>
      </c>
      <c r="B1746" t="str">
        <f>HYPERLINK("http://www.uniprot.org/uniprot/Q8N7X8","Q8N7X8")</f>
        <v>Q8N7X8</v>
      </c>
      <c r="C1746" t="s">
        <v>18066</v>
      </c>
      <c r="D1746" t="s">
        <v>18067</v>
      </c>
      <c r="E1746" t="s">
        <v>39</v>
      </c>
      <c r="F1746" t="s">
        <v>40</v>
      </c>
      <c r="H1746">
        <v>197</v>
      </c>
      <c r="I1746">
        <v>1</v>
      </c>
      <c r="J1746">
        <v>0</v>
      </c>
      <c r="K1746" t="s">
        <v>18068</v>
      </c>
      <c r="L1746" t="s">
        <v>42</v>
      </c>
      <c r="N1746">
        <v>0.60680000000000001</v>
      </c>
      <c r="O1746" s="1">
        <v>2</v>
      </c>
      <c r="P1746" t="s">
        <v>18069</v>
      </c>
      <c r="Q1746" t="s">
        <v>18070</v>
      </c>
      <c r="S1746" t="s">
        <v>60</v>
      </c>
      <c r="T1746" t="s">
        <v>60</v>
      </c>
      <c r="U1746" t="s">
        <v>18071</v>
      </c>
      <c r="V1746">
        <v>3</v>
      </c>
      <c r="AE1746" t="s">
        <v>94</v>
      </c>
      <c r="AF1746" t="s">
        <v>15168</v>
      </c>
      <c r="AG1746" t="s">
        <v>18072</v>
      </c>
      <c r="AH1746" t="str">
        <f>HYPERLINK("http://compartments.jensenlab.org/Entity?figures=subcell_cell_%&amp;knowledge=10&amp;textmining=10&amp;experiments=10&amp;predictions=10&amp;type1=9606&amp;type2=-22&amp;id1=ENSP00000321249","link")</f>
        <v>link</v>
      </c>
      <c r="AJ1746" t="s">
        <v>51</v>
      </c>
      <c r="AK1746" t="str">
        <f>HYPERLINK("http://www.proteinatlas.org/Q8N7X8","HPA041577;HPA046789")</f>
        <v>HPA041577;HPA046789</v>
      </c>
      <c r="AM1746">
        <v>284369</v>
      </c>
    </row>
    <row r="1747" spans="1:39" x14ac:dyDescent="0.35">
      <c r="A1747" t="s">
        <v>18073</v>
      </c>
      <c r="B1747" t="str">
        <f>HYPERLINK("http://www.uniprot.org/uniprot/Q8N8D7","Q8N8D7")</f>
        <v>Q8N8D7</v>
      </c>
      <c r="C1747" t="s">
        <v>18074</v>
      </c>
      <c r="D1747" t="s">
        <v>18075</v>
      </c>
      <c r="E1747" t="s">
        <v>39</v>
      </c>
      <c r="F1747" t="s">
        <v>40</v>
      </c>
      <c r="H1747">
        <v>197</v>
      </c>
      <c r="I1747">
        <v>3</v>
      </c>
      <c r="J1747">
        <v>1</v>
      </c>
      <c r="K1747" t="s">
        <v>18076</v>
      </c>
      <c r="L1747" t="s">
        <v>42</v>
      </c>
      <c r="N1747">
        <v>0.67069999999999996</v>
      </c>
      <c r="O1747" s="1">
        <v>2</v>
      </c>
      <c r="P1747" t="s">
        <v>18077</v>
      </c>
      <c r="Q1747" t="s">
        <v>18078</v>
      </c>
      <c r="S1747" t="s">
        <v>45</v>
      </c>
      <c r="T1747" t="s">
        <v>14427</v>
      </c>
      <c r="U1747">
        <v>99</v>
      </c>
      <c r="V1747">
        <v>1</v>
      </c>
      <c r="Y1747">
        <v>72</v>
      </c>
      <c r="AE1747" t="s">
        <v>74</v>
      </c>
      <c r="AF1747" t="s">
        <v>14493</v>
      </c>
      <c r="AG1747" t="s">
        <v>18079</v>
      </c>
      <c r="AH1747" t="str">
        <f>HYPERLINK("http://compartments.jensenlab.org/Entity?figures=subcell_cell_%&amp;knowledge=10&amp;textmining=10&amp;experiments=10&amp;predictions=10&amp;type1=9606&amp;type2=-22&amp;id1=ENSP00000429073","link")</f>
        <v>link</v>
      </c>
      <c r="AK1747" t="str">
        <f>HYPERLINK("http://www.proteinatlas.org/Q8N8D7","HPA018833")</f>
        <v>HPA018833</v>
      </c>
      <c r="AM1747">
        <v>286183</v>
      </c>
    </row>
    <row r="1748" spans="1:39" x14ac:dyDescent="0.35">
      <c r="A1748" t="s">
        <v>18080</v>
      </c>
      <c r="B1748" t="str">
        <f>HYPERLINK("http://www.uniprot.org/uniprot/Q8N8F7","Q8N8F7")</f>
        <v>Q8N8F7</v>
      </c>
      <c r="C1748" t="s">
        <v>18081</v>
      </c>
      <c r="D1748" t="s">
        <v>18082</v>
      </c>
      <c r="E1748" t="s">
        <v>39</v>
      </c>
      <c r="F1748" t="s">
        <v>40</v>
      </c>
      <c r="H1748">
        <v>131</v>
      </c>
      <c r="I1748">
        <v>1</v>
      </c>
      <c r="J1748">
        <v>0</v>
      </c>
      <c r="K1748" t="s">
        <v>18083</v>
      </c>
      <c r="L1748" t="s">
        <v>42</v>
      </c>
      <c r="N1748">
        <v>0.67269999999999996</v>
      </c>
      <c r="O1748" s="1">
        <v>2</v>
      </c>
      <c r="P1748" t="s">
        <v>18084</v>
      </c>
      <c r="Q1748" t="s">
        <v>18085</v>
      </c>
      <c r="S1748" t="s">
        <v>60</v>
      </c>
      <c r="T1748" t="s">
        <v>60</v>
      </c>
      <c r="U1748">
        <v>57</v>
      </c>
      <c r="V1748">
        <v>1</v>
      </c>
      <c r="AE1748" t="s">
        <v>94</v>
      </c>
      <c r="AF1748" t="s">
        <v>16226</v>
      </c>
      <c r="AG1748" t="s">
        <v>18086</v>
      </c>
      <c r="AH1748" t="str">
        <f>HYPERLINK("http://compartments.jensenlab.org/Entity?figures=subcell_cell_%&amp;knowledge=10&amp;textmining=10&amp;experiments=10&amp;predictions=10&amp;type1=9606&amp;type2=-22&amp;id1=ENSP00000323304","link")</f>
        <v>link</v>
      </c>
      <c r="AJ1748" t="s">
        <v>51</v>
      </c>
      <c r="AK1748" t="str">
        <f>HYPERLINK("http://www.proteinatlas.org/Q8N8F7","HPA013753;HPA047988")</f>
        <v>HPA013753;HPA047988</v>
      </c>
      <c r="AM1748">
        <v>286006</v>
      </c>
    </row>
    <row r="1749" spans="1:39" x14ac:dyDescent="0.35">
      <c r="A1749" t="s">
        <v>18087</v>
      </c>
      <c r="B1749" t="str">
        <f>HYPERLINK("http://www.uniprot.org/uniprot/Q8N8Z6","Q8N8Z6")</f>
        <v>Q8N8Z6</v>
      </c>
      <c r="C1749" t="s">
        <v>18088</v>
      </c>
      <c r="D1749" t="s">
        <v>18089</v>
      </c>
      <c r="E1749" t="s">
        <v>39</v>
      </c>
      <c r="F1749" t="s">
        <v>40</v>
      </c>
      <c r="H1749">
        <v>715</v>
      </c>
      <c r="I1749">
        <v>1</v>
      </c>
      <c r="J1749">
        <v>1</v>
      </c>
      <c r="K1749" t="s">
        <v>18090</v>
      </c>
      <c r="L1749" t="s">
        <v>101</v>
      </c>
      <c r="N1749">
        <v>0.96209999999999996</v>
      </c>
      <c r="O1749" s="1">
        <v>1</v>
      </c>
      <c r="P1749" t="s">
        <v>18091</v>
      </c>
      <c r="Q1749" t="s">
        <v>18092</v>
      </c>
      <c r="S1749" t="s">
        <v>60</v>
      </c>
      <c r="T1749" t="s">
        <v>60</v>
      </c>
      <c r="U1749" t="s">
        <v>18093</v>
      </c>
      <c r="V1749">
        <v>6</v>
      </c>
      <c r="X1749">
        <v>433</v>
      </c>
      <c r="Z1749" t="s">
        <v>107</v>
      </c>
      <c r="AA1749">
        <v>6</v>
      </c>
      <c r="AB1749" t="s">
        <v>18094</v>
      </c>
      <c r="AC1749" t="s">
        <v>18095</v>
      </c>
      <c r="AD1749" t="s">
        <v>18096</v>
      </c>
      <c r="AE1749" t="s">
        <v>144</v>
      </c>
      <c r="AF1749" t="s">
        <v>18097</v>
      </c>
      <c r="AG1749" t="s">
        <v>18098</v>
      </c>
      <c r="AH1749" t="str">
        <f>HYPERLINK("http://compartments.jensenlab.org/Entity?figures=subcell_cell_%&amp;knowledge=10&amp;textmining=10&amp;experiments=10&amp;predictions=10&amp;type1=9606&amp;type2=-22&amp;id1=ENSP00000342422","link")</f>
        <v>link</v>
      </c>
      <c r="AK1749" t="str">
        <f>HYPERLINK("http://www.proteinatlas.org/Q8N8Z6","HPA059667")</f>
        <v>HPA059667</v>
      </c>
      <c r="AM1749">
        <v>285761</v>
      </c>
    </row>
    <row r="1750" spans="1:39" x14ac:dyDescent="0.35">
      <c r="A1750" t="s">
        <v>18099</v>
      </c>
      <c r="B1750" t="str">
        <f>HYPERLINK("http://www.uniprot.org/uniprot/Q8N967","Q8N967")</f>
        <v>Q8N967</v>
      </c>
      <c r="C1750" t="s">
        <v>18100</v>
      </c>
      <c r="D1750" t="s">
        <v>18101</v>
      </c>
      <c r="E1750" t="s">
        <v>39</v>
      </c>
      <c r="F1750" t="s">
        <v>40</v>
      </c>
      <c r="H1750">
        <v>370</v>
      </c>
      <c r="I1750">
        <v>1</v>
      </c>
      <c r="J1750">
        <v>1</v>
      </c>
      <c r="K1750" t="s">
        <v>18102</v>
      </c>
      <c r="L1750" t="s">
        <v>57</v>
      </c>
      <c r="N1750">
        <v>0.80840000000000001</v>
      </c>
      <c r="O1750" s="1">
        <v>1</v>
      </c>
      <c r="P1750" t="s">
        <v>18103</v>
      </c>
      <c r="Q1750" t="s">
        <v>18104</v>
      </c>
      <c r="S1750" t="s">
        <v>91</v>
      </c>
      <c r="T1750" t="s">
        <v>260</v>
      </c>
      <c r="U1750" t="s">
        <v>18105</v>
      </c>
      <c r="V1750">
        <v>4</v>
      </c>
      <c r="Y1750">
        <v>212</v>
      </c>
      <c r="AE1750" t="s">
        <v>144</v>
      </c>
      <c r="AF1750" t="s">
        <v>529</v>
      </c>
      <c r="AG1750" t="s">
        <v>18106</v>
      </c>
      <c r="AH1750" t="str">
        <f>HYPERLINK("http://compartments.jensenlab.org/Entity?figures=subcell_cell_%&amp;knowledge=10&amp;textmining=10&amp;experiments=10&amp;predictions=10&amp;type1=9606&amp;type2=-22&amp;id1=ENSP00000299194","link")</f>
        <v>link</v>
      </c>
      <c r="AJ1750" t="s">
        <v>51</v>
      </c>
      <c r="AK1750" t="str">
        <f>HYPERLINK("http://www.proteinatlas.org/Q8N967","HPA055094")</f>
        <v>HPA055094</v>
      </c>
      <c r="AM1750">
        <v>654429</v>
      </c>
    </row>
    <row r="1751" spans="1:39" x14ac:dyDescent="0.35">
      <c r="A1751" t="s">
        <v>18107</v>
      </c>
      <c r="B1751" t="str">
        <f>HYPERLINK("http://www.uniprot.org/uniprot/Q8NA29","Q8NA29")</f>
        <v>Q8NA29</v>
      </c>
      <c r="C1751" t="s">
        <v>18108</v>
      </c>
      <c r="D1751" t="s">
        <v>18109</v>
      </c>
      <c r="E1751" t="s">
        <v>39</v>
      </c>
      <c r="F1751" t="s">
        <v>40</v>
      </c>
      <c r="H1751">
        <v>543</v>
      </c>
      <c r="I1751">
        <v>11</v>
      </c>
      <c r="J1751">
        <v>0</v>
      </c>
      <c r="K1751" t="s">
        <v>18110</v>
      </c>
      <c r="L1751" t="s">
        <v>57</v>
      </c>
      <c r="N1751">
        <v>0.90820000000000001</v>
      </c>
      <c r="O1751" s="1">
        <v>1</v>
      </c>
      <c r="P1751" t="s">
        <v>18111</v>
      </c>
      <c r="Q1751" t="s">
        <v>18112</v>
      </c>
      <c r="S1751" t="s">
        <v>60</v>
      </c>
      <c r="T1751" t="s">
        <v>60</v>
      </c>
      <c r="U1751" t="s">
        <v>18113</v>
      </c>
      <c r="V1751">
        <v>2</v>
      </c>
      <c r="AE1751" t="s">
        <v>1497</v>
      </c>
      <c r="AF1751" t="s">
        <v>18114</v>
      </c>
      <c r="AG1751" t="s">
        <v>18115</v>
      </c>
      <c r="AH1751" t="str">
        <f>HYPERLINK("http://compartments.jensenlab.org/Entity?figures=subcell_cell_%&amp;knowledge=10&amp;textmining=10&amp;experiments=10&amp;predictions=10&amp;type1=9606&amp;type2=-22&amp;id1=ENSP00000361895","link")</f>
        <v>link</v>
      </c>
      <c r="AI1751" t="s">
        <v>65</v>
      </c>
      <c r="AJ1751" t="s">
        <v>345</v>
      </c>
      <c r="AK1751" t="str">
        <f>HYPERLINK("http://www.proteinatlas.org/Q8NA29","HPA043107")</f>
        <v>HPA043107</v>
      </c>
      <c r="AM1751">
        <v>84879</v>
      </c>
    </row>
    <row r="1752" spans="1:39" x14ac:dyDescent="0.35">
      <c r="A1752" t="s">
        <v>18116</v>
      </c>
      <c r="B1752" t="str">
        <f>HYPERLINK("http://www.uniprot.org/uniprot/Q8NAC3","Q8NAC3")</f>
        <v>Q8NAC3</v>
      </c>
      <c r="C1752" t="s">
        <v>18117</v>
      </c>
      <c r="D1752" t="s">
        <v>18118</v>
      </c>
      <c r="E1752" t="s">
        <v>39</v>
      </c>
      <c r="F1752" t="s">
        <v>55</v>
      </c>
      <c r="H1752">
        <v>791</v>
      </c>
      <c r="I1752">
        <v>1</v>
      </c>
      <c r="J1752">
        <v>1</v>
      </c>
      <c r="K1752" t="s">
        <v>18119</v>
      </c>
      <c r="L1752" t="s">
        <v>57</v>
      </c>
      <c r="M1752" t="s">
        <v>39</v>
      </c>
      <c r="N1752">
        <v>0.7641</v>
      </c>
      <c r="O1752" s="1">
        <v>1</v>
      </c>
      <c r="P1752" t="s">
        <v>18120</v>
      </c>
      <c r="Q1752" t="s">
        <v>18121</v>
      </c>
      <c r="S1752" t="s">
        <v>166</v>
      </c>
      <c r="T1752" t="s">
        <v>18122</v>
      </c>
      <c r="U1752" t="s">
        <v>18123</v>
      </c>
      <c r="V1752">
        <v>9</v>
      </c>
      <c r="AE1752" t="s">
        <v>332</v>
      </c>
      <c r="AF1752" t="s">
        <v>18124</v>
      </c>
      <c r="AG1752" t="s">
        <v>18125</v>
      </c>
      <c r="AH1752" t="str">
        <f>HYPERLINK("http://compartments.jensenlab.org/Entity?figures=subcell_cell_%&amp;knowledge=10&amp;textmining=10&amp;experiments=10&amp;predictions=10&amp;type1=9606&amp;type2=-22&amp;id1=ENSP00000295981","link")</f>
        <v>link</v>
      </c>
      <c r="AI1752" t="s">
        <v>65</v>
      </c>
      <c r="AJ1752" t="s">
        <v>51</v>
      </c>
      <c r="AK1752" t="str">
        <f>HYPERLINK("http://www.proteinatlas.org/Q8NAC3","HPA019885;CAB026255;HPA048514")</f>
        <v>HPA019885;CAB026255;HPA048514</v>
      </c>
      <c r="AM1752">
        <v>84818</v>
      </c>
    </row>
    <row r="1753" spans="1:39" x14ac:dyDescent="0.35">
      <c r="A1753" t="s">
        <v>18126</v>
      </c>
      <c r="B1753" t="str">
        <f>HYPERLINK("http://www.uniprot.org/uniprot/Q8NAU1","Q8NAU1")</f>
        <v>Q8NAU1</v>
      </c>
      <c r="C1753" t="s">
        <v>18127</v>
      </c>
      <c r="D1753" t="s">
        <v>18128</v>
      </c>
      <c r="E1753" t="s">
        <v>39</v>
      </c>
      <c r="F1753" t="s">
        <v>55</v>
      </c>
      <c r="H1753">
        <v>212</v>
      </c>
      <c r="I1753">
        <v>1</v>
      </c>
      <c r="J1753">
        <v>1</v>
      </c>
      <c r="K1753" t="s">
        <v>18129</v>
      </c>
      <c r="L1753" t="s">
        <v>101</v>
      </c>
      <c r="M1753" t="s">
        <v>39</v>
      </c>
      <c r="N1753">
        <v>0.87150000000000005</v>
      </c>
      <c r="O1753" s="1">
        <v>1</v>
      </c>
      <c r="P1753" t="s">
        <v>18130</v>
      </c>
      <c r="S1753" t="s">
        <v>60</v>
      </c>
      <c r="T1753" t="s">
        <v>60</v>
      </c>
      <c r="U1753" t="s">
        <v>18131</v>
      </c>
      <c r="V1753">
        <v>2</v>
      </c>
      <c r="W1753" t="s">
        <v>18131</v>
      </c>
      <c r="Z1753" t="s">
        <v>107</v>
      </c>
      <c r="AA1753">
        <v>1</v>
      </c>
      <c r="AB1753" t="s">
        <v>18132</v>
      </c>
      <c r="AC1753">
        <v>84</v>
      </c>
      <c r="AD1753" t="s">
        <v>18133</v>
      </c>
      <c r="AE1753" t="s">
        <v>18134</v>
      </c>
      <c r="AF1753" t="s">
        <v>18135</v>
      </c>
      <c r="AG1753" t="s">
        <v>18136</v>
      </c>
      <c r="AK1753" t="str">
        <f>HYPERLINK("http://www.proteinatlas.org/Q8NAU1","HPA051290")</f>
        <v>HPA051290</v>
      </c>
      <c r="AM1753">
        <v>252995</v>
      </c>
    </row>
    <row r="1754" spans="1:39" x14ac:dyDescent="0.35">
      <c r="A1754" t="s">
        <v>18137</v>
      </c>
      <c r="B1754" t="str">
        <f>HYPERLINK("http://www.uniprot.org/uniprot/Q8NBI5","Q8NBI5")</f>
        <v>Q8NBI5</v>
      </c>
      <c r="C1754" t="s">
        <v>18138</v>
      </c>
      <c r="D1754" t="s">
        <v>18139</v>
      </c>
      <c r="E1754" t="s">
        <v>39</v>
      </c>
      <c r="F1754" t="s">
        <v>40</v>
      </c>
      <c r="H1754">
        <v>491</v>
      </c>
      <c r="I1754">
        <v>12</v>
      </c>
      <c r="J1754">
        <v>0</v>
      </c>
      <c r="K1754" t="s">
        <v>18140</v>
      </c>
      <c r="L1754" t="s">
        <v>3024</v>
      </c>
      <c r="N1754">
        <v>0.66469999999999996</v>
      </c>
      <c r="O1754" s="1">
        <v>2</v>
      </c>
      <c r="P1754" t="s">
        <v>18141</v>
      </c>
      <c r="Q1754" t="s">
        <v>18142</v>
      </c>
      <c r="S1754" t="s">
        <v>45</v>
      </c>
      <c r="T1754" t="s">
        <v>2676</v>
      </c>
      <c r="U1754" t="s">
        <v>18143</v>
      </c>
      <c r="V1754">
        <v>3</v>
      </c>
      <c r="Z1754" t="s">
        <v>123</v>
      </c>
      <c r="AA1754">
        <v>15</v>
      </c>
      <c r="AB1754" t="s">
        <v>18144</v>
      </c>
      <c r="AC1754" t="s">
        <v>18143</v>
      </c>
      <c r="AD1754" t="s">
        <v>18145</v>
      </c>
      <c r="AE1754" t="s">
        <v>48</v>
      </c>
      <c r="AF1754" t="s">
        <v>1174</v>
      </c>
      <c r="AG1754" t="s">
        <v>18146</v>
      </c>
      <c r="AH1754" t="str">
        <f>HYPERLINK("http://compartments.jensenlab.org/Entity?figures=subcell_cell_%&amp;knowledge=10&amp;textmining=10&amp;experiments=10&amp;predictions=10&amp;type1=9606&amp;type2=-22&amp;id1=ENSP00000337561","link")</f>
        <v>link</v>
      </c>
      <c r="AJ1754" t="s">
        <v>51</v>
      </c>
      <c r="AK1754" t="str">
        <f>HYPERLINK("http://www.proteinatlas.org/Q8NBI5","HPA030551")</f>
        <v>HPA030551</v>
      </c>
      <c r="AM1754">
        <v>29015</v>
      </c>
    </row>
    <row r="1755" spans="1:39" x14ac:dyDescent="0.35">
      <c r="A1755" t="s">
        <v>18147</v>
      </c>
      <c r="B1755" t="str">
        <f>HYPERLINK("http://www.uniprot.org/uniprot/Q8NBJ9","Q8NBJ9")</f>
        <v>Q8NBJ9</v>
      </c>
      <c r="C1755" t="s">
        <v>18148</v>
      </c>
      <c r="D1755" t="s">
        <v>18149</v>
      </c>
      <c r="E1755" t="s">
        <v>39</v>
      </c>
      <c r="F1755" t="s">
        <v>40</v>
      </c>
      <c r="H1755">
        <v>832</v>
      </c>
      <c r="I1755">
        <v>10</v>
      </c>
      <c r="J1755">
        <v>1</v>
      </c>
      <c r="K1755" t="s">
        <v>18150</v>
      </c>
      <c r="L1755" t="s">
        <v>101</v>
      </c>
      <c r="N1755">
        <v>0.91820000000000002</v>
      </c>
      <c r="O1755" s="1">
        <v>1</v>
      </c>
      <c r="P1755" t="s">
        <v>18151</v>
      </c>
      <c r="Q1755" t="s">
        <v>18152</v>
      </c>
      <c r="S1755" t="s">
        <v>60</v>
      </c>
      <c r="T1755" t="s">
        <v>60</v>
      </c>
      <c r="U1755" t="s">
        <v>18153</v>
      </c>
      <c r="V1755">
        <v>10</v>
      </c>
      <c r="Y1755">
        <v>317</v>
      </c>
      <c r="Z1755" t="s">
        <v>107</v>
      </c>
      <c r="AA1755">
        <v>2</v>
      </c>
      <c r="AB1755" t="s">
        <v>18154</v>
      </c>
      <c r="AC1755" t="s">
        <v>18155</v>
      </c>
      <c r="AD1755" t="s">
        <v>18156</v>
      </c>
      <c r="AE1755" t="s">
        <v>2218</v>
      </c>
      <c r="AF1755" t="s">
        <v>18157</v>
      </c>
      <c r="AG1755" t="s">
        <v>18158</v>
      </c>
      <c r="AH1755" t="str">
        <f>HYPERLINK("http://compartments.jensenlab.org/Entity?figures=subcell_cell_%&amp;knowledge=10&amp;textmining=10&amp;experiments=10&amp;predictions=10&amp;type1=9606&amp;type2=-22&amp;id1=ENSP00000314023","link")</f>
        <v>link</v>
      </c>
      <c r="AI1755" t="s">
        <v>1487</v>
      </c>
      <c r="AJ1755" t="s">
        <v>1488</v>
      </c>
      <c r="AK1755" t="str">
        <f>HYPERLINK("http://www.proteinatlas.org/Q8NBJ9","HPA052352")</f>
        <v>HPA052352</v>
      </c>
      <c r="AM1755">
        <v>51092</v>
      </c>
    </row>
    <row r="1756" spans="1:39" x14ac:dyDescent="0.35">
      <c r="A1756" t="s">
        <v>18159</v>
      </c>
      <c r="B1756" t="str">
        <f>HYPERLINK("http://www.uniprot.org/uniprot/Q8NBL3","Q8NBL3")</f>
        <v>Q8NBL3</v>
      </c>
      <c r="C1756" t="s">
        <v>18160</v>
      </c>
      <c r="D1756" t="s">
        <v>18161</v>
      </c>
      <c r="E1756" t="s">
        <v>39</v>
      </c>
      <c r="F1756" t="s">
        <v>40</v>
      </c>
      <c r="H1756">
        <v>297</v>
      </c>
      <c r="I1756">
        <v>3</v>
      </c>
      <c r="J1756">
        <v>1</v>
      </c>
      <c r="K1756" t="s">
        <v>18162</v>
      </c>
      <c r="L1756" t="s">
        <v>57</v>
      </c>
      <c r="N1756">
        <v>0.74850000000000005</v>
      </c>
      <c r="O1756" s="1">
        <v>1</v>
      </c>
      <c r="P1756" t="s">
        <v>18163</v>
      </c>
      <c r="Q1756" t="s">
        <v>18164</v>
      </c>
      <c r="S1756" t="s">
        <v>60</v>
      </c>
      <c r="T1756" t="s">
        <v>60</v>
      </c>
      <c r="U1756">
        <v>158</v>
      </c>
      <c r="V1756">
        <v>1</v>
      </c>
      <c r="AE1756" t="s">
        <v>48</v>
      </c>
      <c r="AF1756" t="s">
        <v>13398</v>
      </c>
      <c r="AG1756" t="s">
        <v>18165</v>
      </c>
      <c r="AH1756" t="str">
        <f>HYPERLINK("http://compartments.jensenlab.org/Entity?figures=subcell_cell_%&amp;knowledge=10&amp;textmining=10&amp;experiments=10&amp;predictions=10&amp;type1=9606&amp;type2=-22&amp;id1=ENSP00000281961","link")</f>
        <v>link</v>
      </c>
      <c r="AJ1756" t="s">
        <v>51</v>
      </c>
      <c r="AK1756" t="str">
        <f>HYPERLINK("http://www.proteinatlas.org/Q8NBL3","HPA052128")</f>
        <v>HPA052128</v>
      </c>
      <c r="AM1756">
        <v>130733</v>
      </c>
    </row>
    <row r="1757" spans="1:39" x14ac:dyDescent="0.35">
      <c r="A1757" t="s">
        <v>18166</v>
      </c>
      <c r="B1757" t="str">
        <f>HYPERLINK("http://www.uniprot.org/uniprot/Q8NBM4","Q8NBM4")</f>
        <v>Q8NBM4</v>
      </c>
      <c r="C1757" t="s">
        <v>18167</v>
      </c>
      <c r="D1757" t="s">
        <v>18168</v>
      </c>
      <c r="E1757" t="s">
        <v>39</v>
      </c>
      <c r="F1757" t="s">
        <v>40</v>
      </c>
      <c r="H1757">
        <v>344</v>
      </c>
      <c r="I1757">
        <v>3</v>
      </c>
      <c r="J1757">
        <v>1</v>
      </c>
      <c r="K1757" t="s">
        <v>18169</v>
      </c>
      <c r="L1757" t="s">
        <v>57</v>
      </c>
      <c r="N1757">
        <v>0.65469999999999995</v>
      </c>
      <c r="O1757" s="1">
        <v>2</v>
      </c>
      <c r="P1757" t="s">
        <v>18170</v>
      </c>
      <c r="Q1757" t="s">
        <v>18171</v>
      </c>
      <c r="S1757" t="s">
        <v>60</v>
      </c>
      <c r="T1757" t="s">
        <v>60</v>
      </c>
      <c r="U1757">
        <v>161</v>
      </c>
      <c r="V1757">
        <v>1</v>
      </c>
      <c r="AE1757" t="s">
        <v>48</v>
      </c>
      <c r="AF1757" t="s">
        <v>16495</v>
      </c>
      <c r="AG1757" t="s">
        <v>18172</v>
      </c>
      <c r="AH1757" t="str">
        <f>HYPERLINK("http://compartments.jensenlab.org/Entity?figures=subcell_cell_%&amp;knowledge=10&amp;textmining=10&amp;experiments=10&amp;predictions=10&amp;type1=9606&amp;type2=-22&amp;id1=ENSP00000383911","link")</f>
        <v>link</v>
      </c>
      <c r="AJ1757" t="s">
        <v>51</v>
      </c>
      <c r="AK1757" t="str">
        <f>HYPERLINK("http://www.proteinatlas.org/Q8NBM4","HPA013448")</f>
        <v>HPA013448</v>
      </c>
      <c r="AM1757">
        <v>337867</v>
      </c>
    </row>
    <row r="1758" spans="1:39" x14ac:dyDescent="0.35">
      <c r="A1758" t="s">
        <v>18173</v>
      </c>
      <c r="B1758" t="str">
        <f>HYPERLINK("http://www.uniprot.org/uniprot/Q8NBN3","Q8NBN3")</f>
        <v>Q8NBN3</v>
      </c>
      <c r="C1758" t="s">
        <v>18174</v>
      </c>
      <c r="D1758" t="s">
        <v>18175</v>
      </c>
      <c r="E1758" t="s">
        <v>39</v>
      </c>
      <c r="F1758" t="s">
        <v>40</v>
      </c>
      <c r="H1758">
        <v>555</v>
      </c>
      <c r="I1758">
        <v>7</v>
      </c>
      <c r="J1758">
        <v>1</v>
      </c>
      <c r="K1758" t="s">
        <v>18176</v>
      </c>
      <c r="L1758" t="s">
        <v>1592</v>
      </c>
      <c r="N1758">
        <v>0.68859999999999999</v>
      </c>
      <c r="O1758" s="1">
        <v>2</v>
      </c>
      <c r="P1758" t="s">
        <v>18177</v>
      </c>
      <c r="Q1758" t="s">
        <v>18178</v>
      </c>
      <c r="S1758" t="s">
        <v>60</v>
      </c>
      <c r="T1758" t="s">
        <v>60</v>
      </c>
      <c r="U1758" t="s">
        <v>18179</v>
      </c>
      <c r="V1758">
        <v>5</v>
      </c>
      <c r="Y1758">
        <v>244</v>
      </c>
      <c r="Z1758" t="s">
        <v>107</v>
      </c>
      <c r="AA1758">
        <v>8</v>
      </c>
      <c r="AB1758" t="s">
        <v>18180</v>
      </c>
      <c r="AC1758" t="s">
        <v>18181</v>
      </c>
      <c r="AD1758" t="s">
        <v>18182</v>
      </c>
      <c r="AE1758" t="s">
        <v>48</v>
      </c>
      <c r="AF1758" t="s">
        <v>16178</v>
      </c>
      <c r="AG1758" t="s">
        <v>18183</v>
      </c>
      <c r="AH1758" t="str">
        <f>HYPERLINK("http://compartments.jensenlab.org/Entity?figures=subcell_cell_%&amp;knowledge=10&amp;textmining=10&amp;experiments=10&amp;predictions=10&amp;type1=9606&amp;type2=-22&amp;id1=ENSP00000374484","link")</f>
        <v>link</v>
      </c>
      <c r="AJ1758" t="s">
        <v>51</v>
      </c>
      <c r="AK1758" t="str">
        <f>HYPERLINK("http://www.proteinatlas.org/Q8NBN3","HPA018104;HPA018189")</f>
        <v>HPA018104;HPA018189</v>
      </c>
      <c r="AM1758">
        <v>25963</v>
      </c>
    </row>
    <row r="1759" spans="1:39" x14ac:dyDescent="0.35">
      <c r="A1759" t="s">
        <v>18184</v>
      </c>
      <c r="B1759" t="str">
        <f>HYPERLINK("http://www.uniprot.org/uniprot/Q8NBR0","Q8NBR0")</f>
        <v>Q8NBR0</v>
      </c>
      <c r="C1759" t="s">
        <v>18185</v>
      </c>
      <c r="D1759" t="s">
        <v>18186</v>
      </c>
      <c r="E1759" t="s">
        <v>39</v>
      </c>
      <c r="F1759" t="s">
        <v>40</v>
      </c>
      <c r="H1759">
        <v>393</v>
      </c>
      <c r="I1759">
        <v>1</v>
      </c>
      <c r="J1759">
        <v>1</v>
      </c>
      <c r="K1759" t="s">
        <v>18187</v>
      </c>
      <c r="L1759" t="s">
        <v>57</v>
      </c>
      <c r="N1759">
        <v>0.64270000000000005</v>
      </c>
      <c r="O1759" s="1">
        <v>2</v>
      </c>
      <c r="P1759" t="s">
        <v>18188</v>
      </c>
      <c r="Q1759" t="s">
        <v>18189</v>
      </c>
      <c r="S1759" t="s">
        <v>60</v>
      </c>
      <c r="T1759" t="s">
        <v>60</v>
      </c>
      <c r="U1759">
        <v>262</v>
      </c>
      <c r="V1759">
        <v>1</v>
      </c>
      <c r="AE1759" t="s">
        <v>18190</v>
      </c>
      <c r="AF1759" t="s">
        <v>18191</v>
      </c>
      <c r="AG1759" t="s">
        <v>18192</v>
      </c>
      <c r="AH1759" t="str">
        <f>HYPERLINK("http://compartments.jensenlab.org/Entity?figures=subcell_cell_%&amp;knowledge=10&amp;textmining=10&amp;experiments=10&amp;predictions=10&amp;type1=9606&amp;type2=-22&amp;id1=ENSP00000301057","link")</f>
        <v>link</v>
      </c>
      <c r="AI1759" t="s">
        <v>65</v>
      </c>
      <c r="AJ1759" t="s">
        <v>2124</v>
      </c>
      <c r="AK1759" t="str">
        <f>HYPERLINK("http://www.proteinatlas.org/Q8NBR0","HPA043963")</f>
        <v>HPA043963</v>
      </c>
      <c r="AM1759">
        <v>90313</v>
      </c>
    </row>
    <row r="1760" spans="1:39" x14ac:dyDescent="0.35">
      <c r="A1760" t="s">
        <v>18193</v>
      </c>
      <c r="B1760" t="str">
        <f>HYPERLINK("http://www.uniprot.org/uniprot/Q8NBT3","Q8NBT3")</f>
        <v>Q8NBT3</v>
      </c>
      <c r="C1760" t="s">
        <v>18194</v>
      </c>
      <c r="D1760" t="s">
        <v>18195</v>
      </c>
      <c r="E1760" t="s">
        <v>39</v>
      </c>
      <c r="F1760" t="s">
        <v>40</v>
      </c>
      <c r="H1760">
        <v>493</v>
      </c>
      <c r="I1760">
        <v>7</v>
      </c>
      <c r="J1760">
        <v>1</v>
      </c>
      <c r="K1760" t="s">
        <v>18196</v>
      </c>
      <c r="L1760" t="s">
        <v>42</v>
      </c>
      <c r="N1760">
        <v>0.81240000000000001</v>
      </c>
      <c r="O1760" s="1">
        <v>1</v>
      </c>
      <c r="P1760" t="s">
        <v>18197</v>
      </c>
      <c r="Q1760" t="s">
        <v>18198</v>
      </c>
      <c r="S1760" t="s">
        <v>60</v>
      </c>
      <c r="T1760" t="s">
        <v>60</v>
      </c>
      <c r="U1760" t="s">
        <v>18199</v>
      </c>
      <c r="V1760">
        <v>3</v>
      </c>
      <c r="AE1760" t="s">
        <v>48</v>
      </c>
      <c r="AF1760" t="s">
        <v>83</v>
      </c>
      <c r="AG1760" t="s">
        <v>18200</v>
      </c>
      <c r="AH1760" t="str">
        <f>HYPERLINK("http://compartments.jensenlab.org/Entity?figures=subcell_cell_%&amp;knowledge=10&amp;textmining=10&amp;experiments=10&amp;predictions=10&amp;type1=9606&amp;type2=-22&amp;id1=ENSP00000301204","link")</f>
        <v>link</v>
      </c>
      <c r="AJ1760" t="s">
        <v>51</v>
      </c>
      <c r="AK1760" t="str">
        <f>HYPERLINK("http://www.proteinatlas.org/Q8NBT3","HPA055654")</f>
        <v>HPA055654</v>
      </c>
      <c r="AM1760">
        <v>284339</v>
      </c>
    </row>
    <row r="1761" spans="1:39" x14ac:dyDescent="0.35">
      <c r="A1761" t="s">
        <v>18201</v>
      </c>
      <c r="B1761" t="str">
        <f>HYPERLINK("http://www.uniprot.org/uniprot/Q8NBW4","Q8NBW4")</f>
        <v>Q8NBW4</v>
      </c>
      <c r="C1761" t="s">
        <v>18202</v>
      </c>
      <c r="D1761" t="s">
        <v>18203</v>
      </c>
      <c r="E1761" t="s">
        <v>39</v>
      </c>
      <c r="F1761" t="s">
        <v>40</v>
      </c>
      <c r="H1761">
        <v>561</v>
      </c>
      <c r="I1761">
        <v>11</v>
      </c>
      <c r="J1761">
        <v>0</v>
      </c>
      <c r="K1761" t="s">
        <v>18204</v>
      </c>
      <c r="L1761" t="s">
        <v>118</v>
      </c>
      <c r="N1761">
        <v>0.7046</v>
      </c>
      <c r="O1761" s="1">
        <v>2</v>
      </c>
      <c r="P1761" t="s">
        <v>18205</v>
      </c>
      <c r="Q1761" t="s">
        <v>18206</v>
      </c>
      <c r="S1761" t="s">
        <v>45</v>
      </c>
      <c r="T1761" t="s">
        <v>598</v>
      </c>
      <c r="U1761" t="s">
        <v>18207</v>
      </c>
      <c r="V1761">
        <v>4</v>
      </c>
      <c r="Z1761" t="s">
        <v>123</v>
      </c>
      <c r="AA1761">
        <v>2</v>
      </c>
      <c r="AB1761" t="s">
        <v>18208</v>
      </c>
      <c r="AC1761" t="s">
        <v>18209</v>
      </c>
      <c r="AD1761" t="s">
        <v>18210</v>
      </c>
      <c r="AE1761" t="s">
        <v>48</v>
      </c>
      <c r="AF1761" t="s">
        <v>18211</v>
      </c>
      <c r="AG1761" t="s">
        <v>18212</v>
      </c>
      <c r="AH1761" t="str">
        <f>HYPERLINK("http://compartments.jensenlab.org/Entity?figures=subcell_cell_%&amp;knowledge=10&amp;textmining=10&amp;experiments=10&amp;predictions=10&amp;type1=9606&amp;type2=-22&amp;id1=ENSP00000316596","link")</f>
        <v>link</v>
      </c>
      <c r="AJ1761" t="s">
        <v>51</v>
      </c>
      <c r="AK1761" t="str">
        <f>HYPERLINK("http://www.proteinatlas.org/Q8NBW4","HPA043785")</f>
        <v>HPA043785</v>
      </c>
      <c r="AM1761">
        <v>153129</v>
      </c>
    </row>
    <row r="1762" spans="1:39" x14ac:dyDescent="0.35">
      <c r="A1762" t="s">
        <v>18213</v>
      </c>
      <c r="B1762" t="str">
        <f>HYPERLINK("http://www.uniprot.org/uniprot/Q8NC01","Q8NC01")</f>
        <v>Q8NC01</v>
      </c>
      <c r="C1762" t="s">
        <v>18214</v>
      </c>
      <c r="D1762" t="s">
        <v>18215</v>
      </c>
      <c r="E1762" t="s">
        <v>39</v>
      </c>
      <c r="F1762" t="s">
        <v>40</v>
      </c>
      <c r="H1762">
        <v>280</v>
      </c>
      <c r="I1762">
        <v>1</v>
      </c>
      <c r="J1762">
        <v>0</v>
      </c>
      <c r="K1762" t="s">
        <v>18216</v>
      </c>
      <c r="L1762" t="s">
        <v>101</v>
      </c>
      <c r="N1762">
        <v>0.8044</v>
      </c>
      <c r="O1762" s="1">
        <v>1</v>
      </c>
      <c r="P1762" t="s">
        <v>18217</v>
      </c>
      <c r="Q1762" t="s">
        <v>18218</v>
      </c>
      <c r="S1762" t="s">
        <v>166</v>
      </c>
      <c r="T1762" t="s">
        <v>4251</v>
      </c>
      <c r="U1762" t="s">
        <v>18219</v>
      </c>
      <c r="V1762">
        <v>2</v>
      </c>
      <c r="W1762">
        <v>169</v>
      </c>
      <c r="Z1762" t="s">
        <v>123</v>
      </c>
      <c r="AA1762">
        <v>1</v>
      </c>
      <c r="AB1762" t="s">
        <v>18220</v>
      </c>
      <c r="AC1762">
        <v>95</v>
      </c>
      <c r="AD1762" t="s">
        <v>18221</v>
      </c>
      <c r="AE1762" t="s">
        <v>359</v>
      </c>
      <c r="AF1762" t="s">
        <v>18222</v>
      </c>
      <c r="AG1762" t="s">
        <v>18223</v>
      </c>
      <c r="AH1762" t="str">
        <f>HYPERLINK("http://compartments.jensenlab.org/Entity?figures=subcell_cell_%&amp;knowledge=10&amp;textmining=10&amp;experiments=10&amp;predictions=10&amp;type1=9606&amp;type2=-22&amp;id1=ENSP00000326407","link")</f>
        <v>link</v>
      </c>
      <c r="AJ1762" t="s">
        <v>113</v>
      </c>
      <c r="AK1762" t="str">
        <f>HYPERLINK("http://www.proteinatlas.org/Q8NC01","HPA056307;HPA061929")</f>
        <v>HPA056307;HPA061929</v>
      </c>
      <c r="AM1762">
        <v>51267</v>
      </c>
    </row>
    <row r="1763" spans="1:39" x14ac:dyDescent="0.35">
      <c r="A1763" t="s">
        <v>18224</v>
      </c>
      <c r="B1763" t="str">
        <f>HYPERLINK("http://www.uniprot.org/uniprot/Q8NC42","Q8NC42")</f>
        <v>Q8NC42</v>
      </c>
      <c r="C1763" t="s">
        <v>18225</v>
      </c>
      <c r="D1763" t="s">
        <v>18226</v>
      </c>
      <c r="E1763" t="s">
        <v>39</v>
      </c>
      <c r="F1763" t="s">
        <v>40</v>
      </c>
      <c r="H1763">
        <v>400</v>
      </c>
      <c r="I1763">
        <v>1</v>
      </c>
      <c r="J1763">
        <v>1</v>
      </c>
      <c r="K1763" t="s">
        <v>18227</v>
      </c>
      <c r="L1763" t="s">
        <v>118</v>
      </c>
      <c r="N1763">
        <v>0.82440000000000002</v>
      </c>
      <c r="O1763" s="1">
        <v>1</v>
      </c>
      <c r="P1763" t="s">
        <v>18228</v>
      </c>
      <c r="Q1763" t="s">
        <v>18229</v>
      </c>
      <c r="S1763" t="s">
        <v>60</v>
      </c>
      <c r="T1763" t="s">
        <v>60</v>
      </c>
      <c r="U1763" t="s">
        <v>18230</v>
      </c>
      <c r="V1763">
        <v>3</v>
      </c>
      <c r="Z1763" t="s">
        <v>107</v>
      </c>
      <c r="AA1763">
        <v>3</v>
      </c>
      <c r="AB1763" t="s">
        <v>18231</v>
      </c>
      <c r="AC1763" t="s">
        <v>18232</v>
      </c>
      <c r="AD1763" t="s">
        <v>18233</v>
      </c>
      <c r="AE1763" t="s">
        <v>94</v>
      </c>
      <c r="AF1763" t="s">
        <v>18234</v>
      </c>
      <c r="AG1763" t="s">
        <v>18235</v>
      </c>
      <c r="AH1763" t="str">
        <f>HYPERLINK("http://compartments.jensenlab.org/Entity?figures=subcell_cell_%&amp;knowledge=10&amp;textmining=10&amp;experiments=10&amp;predictions=10&amp;type1=9606&amp;type2=-22&amp;id1=ENSP00000295317","link")</f>
        <v>link</v>
      </c>
      <c r="AJ1763" t="s">
        <v>51</v>
      </c>
      <c r="AK1763" t="str">
        <f>HYPERLINK("http://www.proteinatlas.org/Q8NC42","HPA011424")</f>
        <v>HPA011424</v>
      </c>
      <c r="AM1763">
        <v>284996</v>
      </c>
    </row>
    <row r="1764" spans="1:39" x14ac:dyDescent="0.35">
      <c r="A1764" t="s">
        <v>18236</v>
      </c>
      <c r="B1764" t="str">
        <f>HYPERLINK("http://www.uniprot.org/uniprot/Q8NC54","Q8NC54")</f>
        <v>Q8NC54</v>
      </c>
      <c r="C1764" t="s">
        <v>18237</v>
      </c>
      <c r="D1764" t="s">
        <v>18238</v>
      </c>
      <c r="E1764" t="s">
        <v>39</v>
      </c>
      <c r="F1764" t="s">
        <v>40</v>
      </c>
      <c r="H1764">
        <v>265</v>
      </c>
      <c r="I1764">
        <v>1</v>
      </c>
      <c r="J1764">
        <v>1</v>
      </c>
      <c r="K1764" t="s">
        <v>18239</v>
      </c>
      <c r="L1764" t="s">
        <v>57</v>
      </c>
      <c r="N1764">
        <v>0.63870000000000005</v>
      </c>
      <c r="O1764" s="1">
        <v>2</v>
      </c>
      <c r="P1764" t="s">
        <v>18240</v>
      </c>
      <c r="Q1764" t="s">
        <v>18241</v>
      </c>
      <c r="S1764" t="s">
        <v>60</v>
      </c>
      <c r="T1764" t="s">
        <v>60</v>
      </c>
      <c r="U1764" t="s">
        <v>18242</v>
      </c>
      <c r="V1764">
        <v>2</v>
      </c>
      <c r="AE1764" t="s">
        <v>144</v>
      </c>
      <c r="AF1764" t="s">
        <v>409</v>
      </c>
      <c r="AG1764" t="s">
        <v>18243</v>
      </c>
      <c r="AH1764" t="str">
        <f>HYPERLINK("http://compartments.jensenlab.org/Entity?figures=subcell_cell_%&amp;knowledge=10&amp;textmining=10&amp;experiments=10&amp;predictions=10&amp;type1=9606&amp;type2=-22&amp;id1=ENSP00000231512","link")</f>
        <v>link</v>
      </c>
      <c r="AJ1764" t="s">
        <v>51</v>
      </c>
      <c r="AK1764" t="str">
        <f>HYPERLINK("http://www.proteinatlas.org/Q8NC54","HPA039165")</f>
        <v>HPA039165</v>
      </c>
      <c r="AM1764">
        <v>56951</v>
      </c>
    </row>
    <row r="1765" spans="1:39" x14ac:dyDescent="0.35">
      <c r="A1765" t="s">
        <v>18244</v>
      </c>
      <c r="B1765" t="str">
        <f>HYPERLINK("http://www.uniprot.org/uniprot/Q8NC67","Q8NC67")</f>
        <v>Q8NC67</v>
      </c>
      <c r="C1765" t="s">
        <v>18245</v>
      </c>
      <c r="D1765" t="s">
        <v>18246</v>
      </c>
      <c r="E1765" t="s">
        <v>39</v>
      </c>
      <c r="F1765" t="s">
        <v>40</v>
      </c>
      <c r="H1765">
        <v>525</v>
      </c>
      <c r="I1765">
        <v>1</v>
      </c>
      <c r="J1765">
        <v>1</v>
      </c>
      <c r="K1765" t="s">
        <v>18247</v>
      </c>
      <c r="L1765" t="s">
        <v>57</v>
      </c>
      <c r="N1765">
        <v>0.67069999999999996</v>
      </c>
      <c r="O1765" s="1">
        <v>2</v>
      </c>
      <c r="P1765" t="s">
        <v>18248</v>
      </c>
      <c r="Q1765" t="s">
        <v>18249</v>
      </c>
      <c r="S1765" t="s">
        <v>60</v>
      </c>
      <c r="T1765" t="s">
        <v>60</v>
      </c>
      <c r="U1765" t="s">
        <v>18250</v>
      </c>
      <c r="V1765">
        <v>1</v>
      </c>
      <c r="Y1765" t="s">
        <v>18251</v>
      </c>
      <c r="AE1765" t="s">
        <v>144</v>
      </c>
      <c r="AF1765" t="s">
        <v>18252</v>
      </c>
      <c r="AG1765" t="s">
        <v>18253</v>
      </c>
      <c r="AH1765" t="str">
        <f>HYPERLINK("http://compartments.jensenlab.org/Entity?figures=subcell_cell_%&amp;knowledge=10&amp;textmining=10&amp;experiments=10&amp;predictions=10&amp;type1=9606&amp;type2=-22&amp;id1=ENSP00000455169","link")</f>
        <v>link</v>
      </c>
      <c r="AK1765" t="str">
        <f>HYPERLINK("http://www.proteinatlas.org/Q8NC67","HPA013180")</f>
        <v>HPA013180</v>
      </c>
      <c r="AM1765">
        <v>81831</v>
      </c>
    </row>
    <row r="1766" spans="1:39" x14ac:dyDescent="0.35">
      <c r="A1766" t="s">
        <v>18254</v>
      </c>
      <c r="B1766" t="str">
        <f>HYPERLINK("http://www.uniprot.org/uniprot/Q8NCC5","Q8NCC5")</f>
        <v>Q8NCC5</v>
      </c>
      <c r="C1766" t="s">
        <v>18255</v>
      </c>
      <c r="D1766" t="s">
        <v>18256</v>
      </c>
      <c r="E1766" t="s">
        <v>39</v>
      </c>
      <c r="F1766" t="s">
        <v>40</v>
      </c>
      <c r="H1766">
        <v>494</v>
      </c>
      <c r="I1766">
        <v>12</v>
      </c>
      <c r="J1766">
        <v>0</v>
      </c>
      <c r="K1766" t="s">
        <v>18257</v>
      </c>
      <c r="L1766" t="s">
        <v>42</v>
      </c>
      <c r="N1766">
        <v>0.71260000000000001</v>
      </c>
      <c r="O1766" s="1">
        <v>2</v>
      </c>
      <c r="P1766" t="s">
        <v>18258</v>
      </c>
      <c r="Q1766" t="s">
        <v>18259</v>
      </c>
      <c r="S1766" t="s">
        <v>45</v>
      </c>
      <c r="T1766" t="s">
        <v>1983</v>
      </c>
      <c r="U1766" t="s">
        <v>18260</v>
      </c>
      <c r="V1766">
        <v>1</v>
      </c>
      <c r="AE1766" t="s">
        <v>48</v>
      </c>
      <c r="AF1766" t="s">
        <v>18261</v>
      </c>
      <c r="AG1766" t="s">
        <v>18262</v>
      </c>
      <c r="AH1766" t="str">
        <f>HYPERLINK("http://compartments.jensenlab.org/Entity?figures=subcell_cell_%&amp;knowledge=10&amp;textmining=10&amp;experiments=10&amp;predictions=10&amp;type1=9606&amp;type2=-22&amp;id1=ENSP00000321498","link")</f>
        <v>link</v>
      </c>
      <c r="AJ1766" t="s">
        <v>51</v>
      </c>
      <c r="AK1766" t="str">
        <f>HYPERLINK("http://www.proteinatlas.org/Q8NCC5","HPA014713")</f>
        <v>HPA014713</v>
      </c>
      <c r="AM1766">
        <v>84255</v>
      </c>
    </row>
    <row r="1767" spans="1:39" x14ac:dyDescent="0.35">
      <c r="A1767" t="s">
        <v>18263</v>
      </c>
      <c r="B1767" t="str">
        <f>HYPERLINK("http://www.uniprot.org/uniprot/Q8NCG7","Q8NCG7")</f>
        <v>Q8NCG7</v>
      </c>
      <c r="C1767" t="s">
        <v>18264</v>
      </c>
      <c r="D1767" t="s">
        <v>18265</v>
      </c>
      <c r="E1767" t="s">
        <v>39</v>
      </c>
      <c r="F1767" t="s">
        <v>55</v>
      </c>
      <c r="H1767">
        <v>672</v>
      </c>
      <c r="I1767">
        <v>4</v>
      </c>
      <c r="J1767">
        <v>0</v>
      </c>
      <c r="K1767" t="s">
        <v>18266</v>
      </c>
      <c r="L1767" t="s">
        <v>57</v>
      </c>
      <c r="M1767" t="s">
        <v>39</v>
      </c>
      <c r="N1767">
        <v>0.34410000000000002</v>
      </c>
      <c r="O1767" s="1"/>
      <c r="P1767" t="s">
        <v>18267</v>
      </c>
      <c r="Q1767" t="s">
        <v>18268</v>
      </c>
      <c r="S1767" t="s">
        <v>60</v>
      </c>
      <c r="T1767" t="s">
        <v>60</v>
      </c>
      <c r="V1767">
        <v>0</v>
      </c>
      <c r="X1767" t="s">
        <v>18269</v>
      </c>
      <c r="AE1767" t="s">
        <v>74</v>
      </c>
      <c r="AF1767" t="s">
        <v>18270</v>
      </c>
      <c r="AG1767" t="s">
        <v>18271</v>
      </c>
      <c r="AH1767" t="str">
        <f>HYPERLINK("http://compartments.jensenlab.org/Entity?figures=subcell_cell_%&amp;knowledge=10&amp;textmining=10&amp;experiments=10&amp;predictions=10&amp;type1=9606&amp;type2=-22&amp;id1=ENSP00000297056","link")</f>
        <v>link</v>
      </c>
      <c r="AI1767" t="s">
        <v>65</v>
      </c>
      <c r="AJ1767" t="s">
        <v>51</v>
      </c>
      <c r="AK1767" t="str">
        <f>HYPERLINK("http://www.proteinatlas.org/Q8NCG7","no")</f>
        <v>no</v>
      </c>
      <c r="AM1767">
        <v>221955</v>
      </c>
    </row>
    <row r="1768" spans="1:39" x14ac:dyDescent="0.35">
      <c r="A1768" t="s">
        <v>18272</v>
      </c>
      <c r="B1768" t="str">
        <f>HYPERLINK("http://www.uniprot.org/uniprot/Q8NCL8","Q8NCL8")</f>
        <v>Q8NCL8</v>
      </c>
      <c r="C1768" t="s">
        <v>18273</v>
      </c>
      <c r="D1768" t="s">
        <v>18274</v>
      </c>
      <c r="E1768" t="s">
        <v>39</v>
      </c>
      <c r="F1768" t="s">
        <v>40</v>
      </c>
      <c r="H1768">
        <v>245</v>
      </c>
      <c r="I1768">
        <v>4</v>
      </c>
      <c r="J1768">
        <v>0</v>
      </c>
      <c r="K1768" t="s">
        <v>18275</v>
      </c>
      <c r="L1768" t="s">
        <v>42</v>
      </c>
      <c r="N1768">
        <v>0.81240000000000001</v>
      </c>
      <c r="O1768" s="1">
        <v>1</v>
      </c>
      <c r="P1768" t="s">
        <v>18276</v>
      </c>
      <c r="Q1768" t="s">
        <v>18277</v>
      </c>
      <c r="S1768" t="s">
        <v>60</v>
      </c>
      <c r="T1768" t="s">
        <v>60</v>
      </c>
      <c r="U1768" t="s">
        <v>18278</v>
      </c>
      <c r="V1768">
        <v>3</v>
      </c>
      <c r="AE1768" t="s">
        <v>48</v>
      </c>
      <c r="AF1768" t="s">
        <v>14609</v>
      </c>
      <c r="AG1768" t="s">
        <v>18279</v>
      </c>
      <c r="AH1768" t="str">
        <f>HYPERLINK("http://compartments.jensenlab.org/Entity?figures=subcell_cell_%&amp;knowledge=10&amp;textmining=10&amp;experiments=10&amp;predictions=10&amp;type1=9606&amp;type2=-22&amp;id1=ENSP00000450377","link")</f>
        <v>link</v>
      </c>
      <c r="AK1768" t="str">
        <f>HYPERLINK("http://www.proteinatlas.org/Q8NCL8","HPA040720")</f>
        <v>HPA040720</v>
      </c>
      <c r="AM1768">
        <v>89894</v>
      </c>
    </row>
    <row r="1769" spans="1:39" x14ac:dyDescent="0.35">
      <c r="A1769" t="s">
        <v>18280</v>
      </c>
      <c r="B1769" t="str">
        <f>HYPERLINK("http://www.uniprot.org/uniprot/Q8NCS7","Q8NCS7")</f>
        <v>Q8NCS7</v>
      </c>
      <c r="C1769" t="s">
        <v>18281</v>
      </c>
      <c r="D1769" t="s">
        <v>18282</v>
      </c>
      <c r="E1769" t="s">
        <v>39</v>
      </c>
      <c r="F1769" t="s">
        <v>40</v>
      </c>
      <c r="H1769">
        <v>719</v>
      </c>
      <c r="I1769">
        <v>9</v>
      </c>
      <c r="J1769">
        <v>0</v>
      </c>
      <c r="K1769" t="s">
        <v>18283</v>
      </c>
      <c r="L1769" t="s">
        <v>1592</v>
      </c>
      <c r="N1769">
        <v>0.82040000000000002</v>
      </c>
      <c r="O1769" s="1">
        <v>1</v>
      </c>
      <c r="P1769" t="s">
        <v>18284</v>
      </c>
      <c r="S1769" t="s">
        <v>45</v>
      </c>
      <c r="T1769" t="s">
        <v>14483</v>
      </c>
      <c r="U1769" t="s">
        <v>18285</v>
      </c>
      <c r="V1769">
        <v>5</v>
      </c>
      <c r="Z1769" t="s">
        <v>123</v>
      </c>
      <c r="AA1769">
        <v>1</v>
      </c>
      <c r="AB1769" t="s">
        <v>18286</v>
      </c>
      <c r="AC1769" t="s">
        <v>18287</v>
      </c>
      <c r="AD1769" t="s">
        <v>18288</v>
      </c>
      <c r="AE1769" t="s">
        <v>48</v>
      </c>
      <c r="AF1769" t="s">
        <v>2332</v>
      </c>
      <c r="AG1769" t="s">
        <v>18289</v>
      </c>
      <c r="AK1769" t="str">
        <f>HYPERLINK("http://www.proteinatlas.org/Q8NCS7","HPA047455;HPA051011")</f>
        <v>HPA047455;HPA051011</v>
      </c>
      <c r="AM1769">
        <v>204962</v>
      </c>
    </row>
    <row r="1770" spans="1:39" x14ac:dyDescent="0.35">
      <c r="A1770" t="s">
        <v>18290</v>
      </c>
      <c r="B1770" t="str">
        <f>HYPERLINK("http://www.uniprot.org/uniprot/Q8NCW0","Q8NCW0")</f>
        <v>Q8NCW0</v>
      </c>
      <c r="C1770" t="s">
        <v>18291</v>
      </c>
      <c r="D1770" t="s">
        <v>18292</v>
      </c>
      <c r="E1770" t="s">
        <v>39</v>
      </c>
      <c r="F1770" t="s">
        <v>40</v>
      </c>
      <c r="H1770">
        <v>462</v>
      </c>
      <c r="I1770">
        <v>1</v>
      </c>
      <c r="J1770">
        <v>1</v>
      </c>
      <c r="K1770" t="s">
        <v>18293</v>
      </c>
      <c r="L1770" t="s">
        <v>57</v>
      </c>
      <c r="N1770">
        <v>0.78639999999999999</v>
      </c>
      <c r="O1770" s="1">
        <v>1</v>
      </c>
      <c r="S1770" t="s">
        <v>60</v>
      </c>
      <c r="T1770" t="s">
        <v>60</v>
      </c>
      <c r="U1770" t="s">
        <v>18294</v>
      </c>
      <c r="V1770">
        <v>4</v>
      </c>
      <c r="Y1770">
        <v>416</v>
      </c>
      <c r="AE1770" t="s">
        <v>144</v>
      </c>
      <c r="AF1770" t="s">
        <v>18295</v>
      </c>
      <c r="AG1770" t="s">
        <v>18296</v>
      </c>
      <c r="AK1770" t="str">
        <f>HYPERLINK("http://www.proteinatlas.org/Q8NCW0","no")</f>
        <v>no</v>
      </c>
      <c r="AM1770">
        <v>79412</v>
      </c>
    </row>
    <row r="1771" spans="1:39" x14ac:dyDescent="0.35">
      <c r="A1771" t="s">
        <v>18297</v>
      </c>
      <c r="B1771" t="str">
        <f>HYPERLINK("http://www.uniprot.org/uniprot/Q8ND94","Q8ND94")</f>
        <v>Q8ND94</v>
      </c>
      <c r="C1771" t="s">
        <v>18298</v>
      </c>
      <c r="D1771" t="s">
        <v>18299</v>
      </c>
      <c r="E1771" t="s">
        <v>39</v>
      </c>
      <c r="F1771" t="s">
        <v>40</v>
      </c>
      <c r="H1771">
        <v>238</v>
      </c>
      <c r="I1771">
        <v>1</v>
      </c>
      <c r="J1771">
        <v>1</v>
      </c>
      <c r="K1771" t="s">
        <v>18300</v>
      </c>
      <c r="L1771" t="s">
        <v>101</v>
      </c>
      <c r="N1771">
        <v>0.68259999999999998</v>
      </c>
      <c r="O1771" s="1">
        <v>2</v>
      </c>
      <c r="P1771" t="s">
        <v>18301</v>
      </c>
      <c r="Q1771" t="s">
        <v>18302</v>
      </c>
      <c r="S1771" t="s">
        <v>60</v>
      </c>
      <c r="T1771" t="s">
        <v>60</v>
      </c>
      <c r="U1771">
        <v>132</v>
      </c>
      <c r="V1771">
        <v>1</v>
      </c>
      <c r="Z1771" t="s">
        <v>107</v>
      </c>
      <c r="AA1771">
        <v>1</v>
      </c>
      <c r="AB1771" t="s">
        <v>18303</v>
      </c>
      <c r="AC1771">
        <v>132</v>
      </c>
      <c r="AD1771" t="s">
        <v>18304</v>
      </c>
      <c r="AE1771" t="s">
        <v>144</v>
      </c>
      <c r="AF1771" t="s">
        <v>409</v>
      </c>
      <c r="AG1771" t="s">
        <v>18305</v>
      </c>
      <c r="AH1771" t="str">
        <f>HYPERLINK("http://compartments.jensenlab.org/Entity?figures=subcell_cell_%&amp;knowledge=10&amp;textmining=10&amp;experiments=10&amp;predictions=10&amp;type1=9606&amp;type2=-22&amp;id1=ENSP00000325808","link")</f>
        <v>link</v>
      </c>
      <c r="AJ1771" t="s">
        <v>51</v>
      </c>
      <c r="AK1771" t="str">
        <f>HYPERLINK("http://www.proteinatlas.org/Q8ND94","HPA042480;HPA050317")</f>
        <v>HPA042480;HPA050317</v>
      </c>
      <c r="AM1771">
        <v>221091</v>
      </c>
    </row>
    <row r="1772" spans="1:39" x14ac:dyDescent="0.35">
      <c r="A1772" t="s">
        <v>18306</v>
      </c>
      <c r="B1772" t="str">
        <f>HYPERLINK("http://www.uniprot.org/uniprot/Q8NDV2","Q8NDV2")</f>
        <v>Q8NDV2</v>
      </c>
      <c r="C1772" t="s">
        <v>18307</v>
      </c>
      <c r="D1772" t="s">
        <v>18308</v>
      </c>
      <c r="E1772" t="s">
        <v>39</v>
      </c>
      <c r="F1772" t="s">
        <v>55</v>
      </c>
      <c r="H1772">
        <v>337</v>
      </c>
      <c r="I1772">
        <v>7</v>
      </c>
      <c r="J1772">
        <v>0</v>
      </c>
      <c r="K1772" t="s">
        <v>18309</v>
      </c>
      <c r="L1772" t="s">
        <v>57</v>
      </c>
      <c r="M1772" t="s">
        <v>39</v>
      </c>
      <c r="N1772">
        <v>0.71350000000000002</v>
      </c>
      <c r="O1772" s="1">
        <v>2</v>
      </c>
      <c r="P1772" t="s">
        <v>18310</v>
      </c>
      <c r="Q1772" t="s">
        <v>18311</v>
      </c>
      <c r="S1772" t="s">
        <v>166</v>
      </c>
      <c r="T1772" t="s">
        <v>838</v>
      </c>
      <c r="U1772">
        <v>47</v>
      </c>
      <c r="V1772">
        <v>0</v>
      </c>
      <c r="AE1772" t="s">
        <v>74</v>
      </c>
      <c r="AF1772" t="s">
        <v>9608</v>
      </c>
      <c r="AG1772" t="s">
        <v>18312</v>
      </c>
      <c r="AH1772" t="str">
        <f>HYPERLINK("http://compartments.jensenlab.org/Entity?figures=subcell_cell_%&amp;knowledge=10&amp;textmining=10&amp;experiments=10&amp;predictions=10&amp;type1=9606&amp;type2=-22&amp;id1=ENSP00000284674","link")</f>
        <v>link</v>
      </c>
      <c r="AI1772" t="s">
        <v>65</v>
      </c>
      <c r="AJ1772" t="s">
        <v>51</v>
      </c>
      <c r="AK1772" t="str">
        <f>HYPERLINK("http://www.proteinatlas.org/Q8NDV2","no")</f>
        <v>no</v>
      </c>
      <c r="AM1772">
        <v>2849</v>
      </c>
    </row>
    <row r="1773" spans="1:39" x14ac:dyDescent="0.35">
      <c r="A1773" t="s">
        <v>18313</v>
      </c>
      <c r="B1773" t="str">
        <f>HYPERLINK("http://www.uniprot.org/uniprot/Q8NDX2","Q8NDX2")</f>
        <v>Q8NDX2</v>
      </c>
      <c r="C1773" t="s">
        <v>18314</v>
      </c>
      <c r="D1773" t="s">
        <v>18315</v>
      </c>
      <c r="E1773" t="s">
        <v>39</v>
      </c>
      <c r="F1773" t="s">
        <v>40</v>
      </c>
      <c r="H1773">
        <v>589</v>
      </c>
      <c r="I1773">
        <v>12</v>
      </c>
      <c r="J1773">
        <v>0</v>
      </c>
      <c r="K1773" t="s">
        <v>18316</v>
      </c>
      <c r="L1773" t="s">
        <v>57</v>
      </c>
      <c r="N1773">
        <v>0.60880000000000001</v>
      </c>
      <c r="O1773" s="1">
        <v>2</v>
      </c>
      <c r="P1773" t="s">
        <v>18317</v>
      </c>
      <c r="Q1773" t="s">
        <v>18318</v>
      </c>
      <c r="S1773" t="s">
        <v>45</v>
      </c>
      <c r="T1773" t="s">
        <v>13311</v>
      </c>
      <c r="U1773" t="s">
        <v>18319</v>
      </c>
      <c r="V1773">
        <v>2</v>
      </c>
      <c r="Y1773">
        <v>207</v>
      </c>
      <c r="AE1773" t="s">
        <v>18320</v>
      </c>
      <c r="AF1773" t="s">
        <v>18321</v>
      </c>
      <c r="AG1773" t="s">
        <v>18322</v>
      </c>
      <c r="AH1773" t="str">
        <f>HYPERLINK("http://compartments.jensenlab.org/Entity?figures=subcell_cell_%&amp;knowledge=10&amp;textmining=10&amp;experiments=10&amp;predictions=10&amp;type1=9606&amp;type2=-22&amp;id1=ENSP00000316909","link")</f>
        <v>link</v>
      </c>
      <c r="AJ1773" t="s">
        <v>51</v>
      </c>
      <c r="AK1773" t="str">
        <f>HYPERLINK("http://www.proteinatlas.org/Q8NDX2","no")</f>
        <v>no</v>
      </c>
      <c r="AM1773">
        <v>246213</v>
      </c>
    </row>
    <row r="1774" spans="1:39" x14ac:dyDescent="0.35">
      <c r="A1774" t="s">
        <v>18323</v>
      </c>
      <c r="B1774" t="str">
        <f>HYPERLINK("http://www.uniprot.org/uniprot/Q8NE00","Q8NE00")</f>
        <v>Q8NE00</v>
      </c>
      <c r="C1774" t="s">
        <v>18324</v>
      </c>
      <c r="D1774" t="s">
        <v>18325</v>
      </c>
      <c r="E1774" t="s">
        <v>39</v>
      </c>
      <c r="F1774" t="s">
        <v>40</v>
      </c>
      <c r="H1774">
        <v>496</v>
      </c>
      <c r="I1774">
        <v>11</v>
      </c>
      <c r="J1774">
        <v>0</v>
      </c>
      <c r="K1774" t="s">
        <v>18326</v>
      </c>
      <c r="L1774" t="s">
        <v>101</v>
      </c>
      <c r="N1774">
        <v>0.78239999999999998</v>
      </c>
      <c r="O1774" s="1">
        <v>1</v>
      </c>
      <c r="P1774" t="s">
        <v>18327</v>
      </c>
      <c r="Q1774" t="s">
        <v>18328</v>
      </c>
      <c r="S1774" t="s">
        <v>45</v>
      </c>
      <c r="T1774" t="s">
        <v>598</v>
      </c>
      <c r="U1774" t="s">
        <v>18329</v>
      </c>
      <c r="V1774">
        <v>2</v>
      </c>
      <c r="Z1774" t="s">
        <v>123</v>
      </c>
      <c r="AA1774">
        <v>1</v>
      </c>
      <c r="AB1774" t="s">
        <v>18330</v>
      </c>
      <c r="AC1774">
        <v>181</v>
      </c>
      <c r="AD1774" t="s">
        <v>18331</v>
      </c>
      <c r="AE1774" t="s">
        <v>48</v>
      </c>
      <c r="AF1774" t="s">
        <v>472</v>
      </c>
      <c r="AG1774" t="s">
        <v>18332</v>
      </c>
      <c r="AH1774" t="str">
        <f>HYPERLINK("http://compartments.jensenlab.org/Entity?figures=subcell_cell_%&amp;knowledge=10&amp;textmining=10&amp;experiments=10&amp;predictions=10&amp;type1=9606&amp;type2=-22&amp;id1=ENSP00000334849","link")</f>
        <v>link</v>
      </c>
      <c r="AJ1774" t="s">
        <v>51</v>
      </c>
      <c r="AK1774" t="str">
        <f>HYPERLINK("http://www.proteinatlas.org/Q8NE00","HPA044330")</f>
        <v>HPA044330</v>
      </c>
      <c r="AM1774">
        <v>54868</v>
      </c>
    </row>
    <row r="1775" spans="1:39" x14ac:dyDescent="0.35">
      <c r="A1775" t="s">
        <v>18333</v>
      </c>
      <c r="B1775" t="str">
        <f>HYPERLINK("http://www.uniprot.org/uniprot/Q8NE01","Q8NE01")</f>
        <v>Q8NE01</v>
      </c>
      <c r="C1775" t="s">
        <v>18334</v>
      </c>
      <c r="D1775" t="s">
        <v>18335</v>
      </c>
      <c r="E1775" t="s">
        <v>39</v>
      </c>
      <c r="F1775" t="s">
        <v>55</v>
      </c>
      <c r="H1775">
        <v>707</v>
      </c>
      <c r="I1775">
        <v>3</v>
      </c>
      <c r="J1775">
        <v>1</v>
      </c>
      <c r="K1775" t="s">
        <v>18336</v>
      </c>
      <c r="L1775" t="s">
        <v>1592</v>
      </c>
      <c r="M1775" t="s">
        <v>39</v>
      </c>
      <c r="N1775">
        <v>0.4194</v>
      </c>
      <c r="O1775" s="1">
        <v>3</v>
      </c>
      <c r="P1775" t="s">
        <v>18337</v>
      </c>
      <c r="Q1775" t="s">
        <v>18338</v>
      </c>
      <c r="S1775" t="s">
        <v>60</v>
      </c>
      <c r="T1775" t="s">
        <v>60</v>
      </c>
      <c r="U1775" t="s">
        <v>18339</v>
      </c>
      <c r="V1775">
        <v>1</v>
      </c>
      <c r="Z1775" t="s">
        <v>107</v>
      </c>
      <c r="AA1775">
        <v>1</v>
      </c>
      <c r="AB1775" t="s">
        <v>18340</v>
      </c>
      <c r="AC1775">
        <v>73</v>
      </c>
      <c r="AD1775" t="s">
        <v>18341</v>
      </c>
      <c r="AE1775" t="s">
        <v>74</v>
      </c>
      <c r="AF1775" t="s">
        <v>18342</v>
      </c>
      <c r="AG1775" t="s">
        <v>18343</v>
      </c>
      <c r="AH1775" t="str">
        <f>HYPERLINK("http://compartments.jensenlab.org/Entity?figures=subcell_cell_%&amp;knowledge=10&amp;textmining=10&amp;experiments=10&amp;predictions=10&amp;type1=9606&amp;type2=-22&amp;id1=ENSP00000305449","link")</f>
        <v>link</v>
      </c>
      <c r="AI1775" t="s">
        <v>65</v>
      </c>
      <c r="AJ1775" t="s">
        <v>51</v>
      </c>
      <c r="AK1775" t="str">
        <f>HYPERLINK("http://www.proteinatlas.org/Q8NE01","HPA016711")</f>
        <v>HPA016711</v>
      </c>
      <c r="AM1775">
        <v>26505</v>
      </c>
    </row>
    <row r="1776" spans="1:39" x14ac:dyDescent="0.35">
      <c r="A1776" t="s">
        <v>18344</v>
      </c>
      <c r="B1776" t="str">
        <f>HYPERLINK("http://www.uniprot.org/uniprot/Q8NE79","Q8NE79")</f>
        <v>Q8NE79</v>
      </c>
      <c r="C1776" t="s">
        <v>18345</v>
      </c>
      <c r="D1776" t="s">
        <v>18346</v>
      </c>
      <c r="E1776" t="s">
        <v>39</v>
      </c>
      <c r="F1776" t="s">
        <v>55</v>
      </c>
      <c r="H1776">
        <v>360</v>
      </c>
      <c r="I1776">
        <v>3</v>
      </c>
      <c r="J1776">
        <v>0</v>
      </c>
      <c r="K1776" t="s">
        <v>18347</v>
      </c>
      <c r="L1776" t="s">
        <v>101</v>
      </c>
      <c r="M1776" t="s">
        <v>39</v>
      </c>
      <c r="N1776">
        <v>0.38069999999999998</v>
      </c>
      <c r="O1776" s="1"/>
      <c r="P1776" t="s">
        <v>18348</v>
      </c>
      <c r="Q1776" t="s">
        <v>18349</v>
      </c>
      <c r="S1776" t="s">
        <v>60</v>
      </c>
      <c r="T1776" t="s">
        <v>60</v>
      </c>
      <c r="U1776" t="s">
        <v>18350</v>
      </c>
      <c r="V1776">
        <v>2</v>
      </c>
      <c r="Z1776" t="s">
        <v>107</v>
      </c>
      <c r="AA1776">
        <v>1</v>
      </c>
      <c r="AB1776" t="s">
        <v>18351</v>
      </c>
      <c r="AC1776">
        <v>30</v>
      </c>
      <c r="AD1776" t="s">
        <v>18352</v>
      </c>
      <c r="AE1776" t="s">
        <v>18353</v>
      </c>
      <c r="AF1776" t="s">
        <v>18354</v>
      </c>
      <c r="AG1776" t="s">
        <v>18355</v>
      </c>
      <c r="AH1776" t="str">
        <f>HYPERLINK("http://compartments.jensenlab.org/Entity?figures=subcell_cell_%&amp;knowledge=10&amp;textmining=10&amp;experiments=10&amp;predictions=10&amp;type1=9606&amp;type2=-22&amp;id1=ENSP00000313172","link")</f>
        <v>link</v>
      </c>
      <c r="AI1776" t="s">
        <v>65</v>
      </c>
      <c r="AJ1776" t="s">
        <v>51</v>
      </c>
      <c r="AK1776" t="str">
        <f>HYPERLINK("http://www.proteinatlas.org/Q8NE79","HPA014788;HPA018176")</f>
        <v>HPA014788;HPA018176</v>
      </c>
      <c r="AM1776">
        <v>11149</v>
      </c>
    </row>
    <row r="1777" spans="1:39" x14ac:dyDescent="0.35">
      <c r="A1777" t="s">
        <v>18356</v>
      </c>
      <c r="B1777" t="str">
        <f>HYPERLINK("http://www.uniprot.org/uniprot/Q8NEA5","Q8NEA5")</f>
        <v>Q8NEA5</v>
      </c>
      <c r="C1777" t="s">
        <v>18357</v>
      </c>
      <c r="D1777" t="s">
        <v>18358</v>
      </c>
      <c r="E1777" t="s">
        <v>39</v>
      </c>
      <c r="F1777" t="s">
        <v>40</v>
      </c>
      <c r="H1777">
        <v>215</v>
      </c>
      <c r="I1777">
        <v>1</v>
      </c>
      <c r="J1777">
        <v>1</v>
      </c>
      <c r="K1777" t="s">
        <v>18359</v>
      </c>
      <c r="L1777" t="s">
        <v>57</v>
      </c>
      <c r="N1777">
        <v>0.6986</v>
      </c>
      <c r="O1777" s="1">
        <v>2</v>
      </c>
      <c r="P1777" t="s">
        <v>18360</v>
      </c>
      <c r="Q1777" t="s">
        <v>18361</v>
      </c>
      <c r="S1777" t="s">
        <v>60</v>
      </c>
      <c r="T1777" t="s">
        <v>60</v>
      </c>
      <c r="U1777" t="s">
        <v>18362</v>
      </c>
      <c r="V1777">
        <v>2</v>
      </c>
      <c r="AE1777" t="s">
        <v>144</v>
      </c>
      <c r="AF1777" t="s">
        <v>18363</v>
      </c>
      <c r="AG1777" t="s">
        <v>18364</v>
      </c>
      <c r="AH1777" t="str">
        <f>HYPERLINK("http://compartments.jensenlab.org/Entity?figures=subcell_cell_%&amp;knowledge=10&amp;textmining=10&amp;experiments=10&amp;predictions=10&amp;type1=9606&amp;type2=-22&amp;id1=ENSP00000321519","link")</f>
        <v>link</v>
      </c>
      <c r="AJ1777" t="s">
        <v>51</v>
      </c>
      <c r="AK1777" t="str">
        <f>HYPERLINK("http://www.proteinatlas.org/Q8NEA5","HPA014527")</f>
        <v>HPA014527</v>
      </c>
      <c r="AM1777">
        <v>147685</v>
      </c>
    </row>
    <row r="1778" spans="1:39" x14ac:dyDescent="0.35">
      <c r="A1778" t="s">
        <v>18365</v>
      </c>
      <c r="B1778" t="str">
        <f>HYPERLINK("http://www.uniprot.org/uniprot/Q8NER5","Q8NER5")</f>
        <v>Q8NER5</v>
      </c>
      <c r="C1778" t="s">
        <v>18366</v>
      </c>
      <c r="D1778" t="s">
        <v>18367</v>
      </c>
      <c r="E1778" t="s">
        <v>39</v>
      </c>
      <c r="F1778" t="s">
        <v>40</v>
      </c>
      <c r="H1778">
        <v>493</v>
      </c>
      <c r="I1778">
        <v>1</v>
      </c>
      <c r="J1778">
        <v>1</v>
      </c>
      <c r="K1778" t="s">
        <v>18368</v>
      </c>
      <c r="L1778" t="s">
        <v>57</v>
      </c>
      <c r="N1778">
        <v>0.82630000000000003</v>
      </c>
      <c r="O1778" s="1">
        <v>1</v>
      </c>
      <c r="P1778" t="s">
        <v>18369</v>
      </c>
      <c r="Q1778" t="s">
        <v>18370</v>
      </c>
      <c r="S1778" t="s">
        <v>166</v>
      </c>
      <c r="T1778" t="s">
        <v>7370</v>
      </c>
      <c r="U1778" t="s">
        <v>18371</v>
      </c>
      <c r="V1778">
        <v>3</v>
      </c>
      <c r="AE1778" t="s">
        <v>144</v>
      </c>
      <c r="AF1778" t="s">
        <v>18372</v>
      </c>
      <c r="AG1778" t="s">
        <v>18373</v>
      </c>
      <c r="AH1778" t="str">
        <f>HYPERLINK("http://compartments.jensenlab.org/Entity?figures=subcell_cell_%&amp;knowledge=10&amp;textmining=10&amp;experiments=10&amp;predictions=10&amp;type1=9606&amp;type2=-22&amp;id1=ENSP00000243349","link")</f>
        <v>link</v>
      </c>
      <c r="AI1778" t="s">
        <v>65</v>
      </c>
      <c r="AJ1778" t="s">
        <v>51</v>
      </c>
      <c r="AK1778" t="str">
        <f>HYPERLINK("http://www.proteinatlas.org/Q8NER5","HPA007982;HPA011933")</f>
        <v>HPA007982;HPA011933</v>
      </c>
      <c r="AM1778">
        <v>130399</v>
      </c>
    </row>
    <row r="1779" spans="1:39" x14ac:dyDescent="0.35">
      <c r="A1779" t="s">
        <v>18374</v>
      </c>
      <c r="B1779" t="str">
        <f>HYPERLINK("http://www.uniprot.org/uniprot/Q8NET5","Q8NET5")</f>
        <v>Q8NET5</v>
      </c>
      <c r="C1779" t="s">
        <v>18375</v>
      </c>
      <c r="D1779" t="s">
        <v>18376</v>
      </c>
      <c r="E1779" t="s">
        <v>39</v>
      </c>
      <c r="F1779" t="s">
        <v>40</v>
      </c>
      <c r="H1779">
        <v>270</v>
      </c>
      <c r="I1779">
        <v>1</v>
      </c>
      <c r="J1779">
        <v>1</v>
      </c>
      <c r="K1779" t="s">
        <v>18377</v>
      </c>
      <c r="L1779" t="s">
        <v>57</v>
      </c>
      <c r="N1779">
        <v>0.96209999999999996</v>
      </c>
      <c r="O1779" s="1">
        <v>1</v>
      </c>
      <c r="P1779" t="s">
        <v>18378</v>
      </c>
      <c r="Q1779" t="s">
        <v>18379</v>
      </c>
      <c r="S1779" t="s">
        <v>60</v>
      </c>
      <c r="T1779" t="s">
        <v>60</v>
      </c>
      <c r="U1779">
        <v>107</v>
      </c>
      <c r="V1779">
        <v>1</v>
      </c>
      <c r="W1779">
        <v>107</v>
      </c>
      <c r="X1779" t="s">
        <v>18380</v>
      </c>
      <c r="AE1779" t="s">
        <v>332</v>
      </c>
      <c r="AF1779" t="s">
        <v>18381</v>
      </c>
      <c r="AG1779" t="s">
        <v>18382</v>
      </c>
      <c r="AH1779" t="str">
        <f>HYPERLINK("http://compartments.jensenlab.org/Entity?figures=subcell_cell_%&amp;knowledge=10&amp;textmining=10&amp;experiments=10&amp;predictions=10&amp;type1=9606&amp;type2=-22&amp;id1=ENSP00000333680","link")</f>
        <v>link</v>
      </c>
      <c r="AI1779" t="s">
        <v>65</v>
      </c>
      <c r="AJ1779" t="s">
        <v>113</v>
      </c>
      <c r="AK1779" t="str">
        <f>HYPERLINK("http://www.proteinatlas.org/Q8NET5","HPA031812")</f>
        <v>HPA031812</v>
      </c>
      <c r="AM1779">
        <v>150372</v>
      </c>
    </row>
    <row r="1780" spans="1:39" x14ac:dyDescent="0.35">
      <c r="A1780" t="s">
        <v>18383</v>
      </c>
      <c r="B1780" t="str">
        <f>HYPERLINK("http://www.uniprot.org/uniprot/Q8NFF2","Q8NFF2")</f>
        <v>Q8NFF2</v>
      </c>
      <c r="C1780" t="s">
        <v>18384</v>
      </c>
      <c r="D1780" t="s">
        <v>18385</v>
      </c>
      <c r="E1780" t="s">
        <v>39</v>
      </c>
      <c r="F1780" t="s">
        <v>40</v>
      </c>
      <c r="H1780">
        <v>622</v>
      </c>
      <c r="I1780">
        <v>10</v>
      </c>
      <c r="J1780">
        <v>1</v>
      </c>
      <c r="K1780" t="s">
        <v>18386</v>
      </c>
      <c r="L1780" t="s">
        <v>57</v>
      </c>
      <c r="N1780">
        <v>0.75449999999999995</v>
      </c>
      <c r="O1780" s="1">
        <v>1</v>
      </c>
      <c r="P1780" t="s">
        <v>18387</v>
      </c>
      <c r="Q1780" t="s">
        <v>18388</v>
      </c>
      <c r="S1780" t="s">
        <v>45</v>
      </c>
      <c r="T1780" t="s">
        <v>15297</v>
      </c>
      <c r="U1780" t="s">
        <v>18389</v>
      </c>
      <c r="V1780">
        <v>2</v>
      </c>
      <c r="AE1780" t="s">
        <v>18390</v>
      </c>
      <c r="AF1780" t="s">
        <v>18391</v>
      </c>
      <c r="AG1780" t="s">
        <v>18392</v>
      </c>
      <c r="AH1780" t="str">
        <f>HYPERLINK("http://compartments.jensenlab.org/Entity?figures=subcell_cell_%&amp;knowledge=10&amp;textmining=10&amp;experiments=10&amp;predictions=10&amp;type1=9606&amp;type2=-22&amp;id1=ENSP00000431840","link")</f>
        <v>link</v>
      </c>
      <c r="AK1780" t="str">
        <f>HYPERLINK("http://www.proteinatlas.org/Q8NFF2","no")</f>
        <v>no</v>
      </c>
      <c r="AM1780">
        <v>123041</v>
      </c>
    </row>
    <row r="1781" spans="1:39" x14ac:dyDescent="0.35">
      <c r="A1781" t="s">
        <v>18393</v>
      </c>
      <c r="B1781" t="str">
        <f>HYPERLINK("http://www.uniprot.org/uniprot/Q8NFJ5","Q8NFJ5")</f>
        <v>Q8NFJ5</v>
      </c>
      <c r="C1781" t="s">
        <v>18394</v>
      </c>
      <c r="D1781" t="s">
        <v>18395</v>
      </c>
      <c r="E1781" t="s">
        <v>39</v>
      </c>
      <c r="F1781" t="s">
        <v>55</v>
      </c>
      <c r="H1781">
        <v>357</v>
      </c>
      <c r="I1781">
        <v>7</v>
      </c>
      <c r="J1781">
        <v>0</v>
      </c>
      <c r="K1781" t="s">
        <v>18396</v>
      </c>
      <c r="L1781" t="s">
        <v>101</v>
      </c>
      <c r="M1781" t="s">
        <v>39</v>
      </c>
      <c r="N1781">
        <v>0.90959999999999996</v>
      </c>
      <c r="O1781" s="1">
        <v>1</v>
      </c>
      <c r="P1781" t="s">
        <v>18397</v>
      </c>
      <c r="Q1781" t="s">
        <v>18398</v>
      </c>
      <c r="S1781" t="s">
        <v>166</v>
      </c>
      <c r="T1781" t="s">
        <v>874</v>
      </c>
      <c r="U1781">
        <v>158</v>
      </c>
      <c r="V1781">
        <v>1</v>
      </c>
      <c r="W1781">
        <v>158</v>
      </c>
      <c r="Y1781">
        <v>224</v>
      </c>
      <c r="Z1781" t="s">
        <v>107</v>
      </c>
      <c r="AA1781">
        <v>1</v>
      </c>
      <c r="AB1781" t="s">
        <v>18399</v>
      </c>
      <c r="AC1781">
        <v>158</v>
      </c>
      <c r="AD1781" t="s">
        <v>18400</v>
      </c>
      <c r="AE1781" t="s">
        <v>18401</v>
      </c>
      <c r="AF1781" t="s">
        <v>18402</v>
      </c>
      <c r="AG1781" t="s">
        <v>18403</v>
      </c>
      <c r="AH1781" t="str">
        <f>HYPERLINK("http://compartments.jensenlab.org/Entity?figures=subcell_cell_%&amp;knowledge=10&amp;textmining=10&amp;experiments=10&amp;predictions=10&amp;type1=9606&amp;type2=-22&amp;id1=ENSP00000014914","link")</f>
        <v>link</v>
      </c>
      <c r="AI1781" t="s">
        <v>65</v>
      </c>
      <c r="AJ1781" t="s">
        <v>3228</v>
      </c>
      <c r="AK1781" t="str">
        <f>HYPERLINK("http://www.proteinatlas.org/Q8NFJ5","HPA007928;CAB020771;HPA046526")</f>
        <v>HPA007928;CAB020771;HPA046526</v>
      </c>
      <c r="AL1781" t="s">
        <v>18404</v>
      </c>
      <c r="AM1781">
        <v>9052</v>
      </c>
    </row>
    <row r="1782" spans="1:39" x14ac:dyDescent="0.35">
      <c r="A1782" t="s">
        <v>18405</v>
      </c>
      <c r="B1782" t="str">
        <f>HYPERLINK("http://www.uniprot.org/uniprot/Q8NFJ6","Q8NFJ6")</f>
        <v>Q8NFJ6</v>
      </c>
      <c r="C1782" t="s">
        <v>18406</v>
      </c>
      <c r="D1782" t="s">
        <v>18407</v>
      </c>
      <c r="E1782" t="s">
        <v>39</v>
      </c>
      <c r="F1782" t="s">
        <v>55</v>
      </c>
      <c r="H1782">
        <v>384</v>
      </c>
      <c r="I1782">
        <v>7</v>
      </c>
      <c r="J1782">
        <v>0</v>
      </c>
      <c r="K1782" t="s">
        <v>18408</v>
      </c>
      <c r="L1782" t="s">
        <v>57</v>
      </c>
      <c r="M1782" t="s">
        <v>39</v>
      </c>
      <c r="N1782">
        <v>0.88329999999999997</v>
      </c>
      <c r="O1782" s="1">
        <v>1</v>
      </c>
      <c r="P1782" t="s">
        <v>18409</v>
      </c>
      <c r="Q1782" t="s">
        <v>18410</v>
      </c>
      <c r="S1782" t="s">
        <v>166</v>
      </c>
      <c r="T1782" t="s">
        <v>838</v>
      </c>
      <c r="U1782" t="s">
        <v>18411</v>
      </c>
      <c r="V1782">
        <v>2</v>
      </c>
      <c r="AE1782" t="s">
        <v>74</v>
      </c>
      <c r="AF1782" t="s">
        <v>18412</v>
      </c>
      <c r="AG1782" t="s">
        <v>18413</v>
      </c>
      <c r="AH1782" t="str">
        <f>HYPERLINK("http://compartments.jensenlab.org/Entity?figures=subcell_cell_%&amp;knowledge=10&amp;textmining=10&amp;experiments=10&amp;predictions=10&amp;type1=9606&amp;type2=-22&amp;id1=ENSP00000217270","link")</f>
        <v>link</v>
      </c>
      <c r="AI1782" t="s">
        <v>65</v>
      </c>
      <c r="AJ1782" t="s">
        <v>51</v>
      </c>
      <c r="AK1782" t="str">
        <f>HYPERLINK("http://www.proteinatlas.org/Q8NFJ6","HPA047281")</f>
        <v>HPA047281</v>
      </c>
      <c r="AM1782">
        <v>128674</v>
      </c>
    </row>
    <row r="1783" spans="1:39" x14ac:dyDescent="0.35">
      <c r="A1783" t="s">
        <v>18414</v>
      </c>
      <c r="B1783" t="str">
        <f>HYPERLINK("http://www.uniprot.org/uniprot/Q8NFK1","Q8NFK1")</f>
        <v>Q8NFK1</v>
      </c>
      <c r="C1783" t="s">
        <v>18415</v>
      </c>
      <c r="D1783" t="s">
        <v>18416</v>
      </c>
      <c r="E1783" t="s">
        <v>39</v>
      </c>
      <c r="F1783" t="s">
        <v>40</v>
      </c>
      <c r="H1783">
        <v>279</v>
      </c>
      <c r="I1783">
        <v>4</v>
      </c>
      <c r="J1783">
        <v>0</v>
      </c>
      <c r="K1783" t="s">
        <v>18417</v>
      </c>
      <c r="L1783" t="s">
        <v>57</v>
      </c>
      <c r="N1783">
        <v>0.58279999999999998</v>
      </c>
      <c r="O1783" s="1">
        <v>2</v>
      </c>
      <c r="P1783" t="s">
        <v>18418</v>
      </c>
      <c r="Q1783" t="s">
        <v>18419</v>
      </c>
      <c r="S1783" t="s">
        <v>91</v>
      </c>
      <c r="T1783" t="s">
        <v>2797</v>
      </c>
      <c r="U1783">
        <v>181</v>
      </c>
      <c r="V1783">
        <v>1</v>
      </c>
      <c r="Y1783">
        <v>219</v>
      </c>
      <c r="AE1783" t="s">
        <v>2798</v>
      </c>
      <c r="AF1783" t="s">
        <v>3242</v>
      </c>
      <c r="AG1783" t="s">
        <v>18420</v>
      </c>
      <c r="AH1783" t="str">
        <f>HYPERLINK("http://compartments.jensenlab.org/Entity?figures=subcell_cell_%&amp;knowledge=10&amp;textmining=10&amp;experiments=10&amp;predictions=10&amp;type1=9606&amp;type2=-22&amp;id1=ENSP00000325775","link")</f>
        <v>link</v>
      </c>
      <c r="AI1783" t="s">
        <v>65</v>
      </c>
      <c r="AJ1783" t="s">
        <v>51</v>
      </c>
      <c r="AK1783" t="str">
        <f>HYPERLINK("http://www.proteinatlas.org/Q8NFK1","HPA015024")</f>
        <v>HPA015024</v>
      </c>
      <c r="AM1783">
        <v>349149</v>
      </c>
    </row>
    <row r="1784" spans="1:39" x14ac:dyDescent="0.35">
      <c r="A1784" t="s">
        <v>18421</v>
      </c>
      <c r="B1784" t="str">
        <f>HYPERLINK("http://www.uniprot.org/uniprot/Q8NFM7","Q8NFM7")</f>
        <v>Q8NFM7</v>
      </c>
      <c r="C1784" t="s">
        <v>18422</v>
      </c>
      <c r="D1784" t="s">
        <v>18423</v>
      </c>
      <c r="E1784" t="s">
        <v>39</v>
      </c>
      <c r="F1784" t="s">
        <v>55</v>
      </c>
      <c r="H1784">
        <v>739</v>
      </c>
      <c r="I1784">
        <v>1</v>
      </c>
      <c r="J1784">
        <v>1</v>
      </c>
      <c r="K1784" t="s">
        <v>18424</v>
      </c>
      <c r="L1784" t="s">
        <v>101</v>
      </c>
      <c r="M1784" t="s">
        <v>39</v>
      </c>
      <c r="N1784">
        <v>0.7853</v>
      </c>
      <c r="O1784" s="1">
        <v>1</v>
      </c>
      <c r="P1784" t="s">
        <v>18425</v>
      </c>
      <c r="Q1784" t="s">
        <v>18426</v>
      </c>
      <c r="S1784" t="s">
        <v>166</v>
      </c>
      <c r="T1784" t="s">
        <v>18122</v>
      </c>
      <c r="U1784" t="s">
        <v>18427</v>
      </c>
      <c r="V1784">
        <v>9</v>
      </c>
      <c r="Z1784" t="s">
        <v>107</v>
      </c>
      <c r="AA1784">
        <v>2</v>
      </c>
      <c r="AB1784" t="s">
        <v>18428</v>
      </c>
      <c r="AC1784" t="s">
        <v>18429</v>
      </c>
      <c r="AD1784" t="s">
        <v>18430</v>
      </c>
      <c r="AE1784" t="s">
        <v>18431</v>
      </c>
      <c r="AF1784" t="s">
        <v>18432</v>
      </c>
      <c r="AG1784" t="s">
        <v>18433</v>
      </c>
      <c r="AH1784" t="str">
        <f>HYPERLINK("http://compartments.jensenlab.org/Entity?figures=subcell_cell_%&amp;knowledge=10&amp;textmining=10&amp;experiments=10&amp;predictions=10&amp;type1=9606&amp;type2=-22&amp;id1=ENSP00000296318","link")</f>
        <v>link</v>
      </c>
      <c r="AI1784" t="s">
        <v>1216</v>
      </c>
      <c r="AJ1784" t="s">
        <v>2124</v>
      </c>
      <c r="AK1784" t="str">
        <f>HYPERLINK("http://www.proteinatlas.org/Q8NFM7","HPA039577;HPA043550")</f>
        <v>HPA039577;HPA043550</v>
      </c>
      <c r="AM1784">
        <v>54756</v>
      </c>
    </row>
    <row r="1785" spans="1:39" x14ac:dyDescent="0.35">
      <c r="A1785" t="s">
        <v>18434</v>
      </c>
      <c r="B1785" t="str">
        <f>HYPERLINK("http://www.uniprot.org/uniprot/Q8NFN8","Q8NFN8")</f>
        <v>Q8NFN8</v>
      </c>
      <c r="C1785" t="s">
        <v>18435</v>
      </c>
      <c r="D1785" t="s">
        <v>18436</v>
      </c>
      <c r="E1785" t="s">
        <v>39</v>
      </c>
      <c r="F1785" t="s">
        <v>55</v>
      </c>
      <c r="H1785">
        <v>814</v>
      </c>
      <c r="I1785">
        <v>7</v>
      </c>
      <c r="J1785">
        <v>0</v>
      </c>
      <c r="K1785" t="s">
        <v>18437</v>
      </c>
      <c r="L1785" t="s">
        <v>57</v>
      </c>
      <c r="M1785" t="s">
        <v>39</v>
      </c>
      <c r="N1785">
        <v>0.69799999999999995</v>
      </c>
      <c r="O1785" s="1">
        <v>2</v>
      </c>
      <c r="P1785" t="s">
        <v>18438</v>
      </c>
      <c r="Q1785" t="s">
        <v>18439</v>
      </c>
      <c r="S1785" t="s">
        <v>166</v>
      </c>
      <c r="T1785" t="s">
        <v>874</v>
      </c>
      <c r="U1785" t="s">
        <v>18440</v>
      </c>
      <c r="V1785">
        <v>1</v>
      </c>
      <c r="Y1785">
        <v>724</v>
      </c>
      <c r="AE1785" t="s">
        <v>74</v>
      </c>
      <c r="AF1785" t="s">
        <v>18441</v>
      </c>
      <c r="AG1785" t="s">
        <v>18442</v>
      </c>
      <c r="AH1785" t="str">
        <f>HYPERLINK("http://compartments.jensenlab.org/Entity?figures=subcell_cell_%&amp;knowledge=10&amp;textmining=10&amp;experiments=10&amp;predictions=10&amp;type1=9606&amp;type2=-22&amp;id1=ENSP00000324553","link")</f>
        <v>link</v>
      </c>
      <c r="AI1785" t="s">
        <v>65</v>
      </c>
      <c r="AJ1785" t="s">
        <v>51</v>
      </c>
      <c r="AK1785" t="str">
        <f>HYPERLINK("http://www.proteinatlas.org/Q8NFN8","HPA028642;HPA028644")</f>
        <v>HPA028642;HPA028644</v>
      </c>
      <c r="AM1785">
        <v>165829</v>
      </c>
    </row>
    <row r="1786" spans="1:39" x14ac:dyDescent="0.35">
      <c r="A1786" t="s">
        <v>18443</v>
      </c>
      <c r="B1786" t="str">
        <f>HYPERLINK("http://www.uniprot.org/uniprot/Q8NFP4","Q8NFP4")</f>
        <v>Q8NFP4</v>
      </c>
      <c r="C1786" t="s">
        <v>18444</v>
      </c>
      <c r="D1786" t="s">
        <v>18445</v>
      </c>
      <c r="E1786" t="s">
        <v>39</v>
      </c>
      <c r="F1786" t="s">
        <v>239</v>
      </c>
      <c r="H1786">
        <v>955</v>
      </c>
      <c r="I1786">
        <v>0</v>
      </c>
      <c r="J1786">
        <v>1</v>
      </c>
      <c r="K1786" t="s">
        <v>18446</v>
      </c>
      <c r="L1786" t="s">
        <v>996</v>
      </c>
      <c r="N1786">
        <v>0.59279999999999999</v>
      </c>
      <c r="O1786" s="1" t="s">
        <v>241</v>
      </c>
      <c r="P1786" t="s">
        <v>18447</v>
      </c>
      <c r="Q1786" t="s">
        <v>18448</v>
      </c>
      <c r="S1786" t="s">
        <v>60</v>
      </c>
      <c r="T1786" t="s">
        <v>60</v>
      </c>
      <c r="U1786" t="s">
        <v>18449</v>
      </c>
      <c r="V1786">
        <v>11</v>
      </c>
      <c r="Z1786" t="s">
        <v>107</v>
      </c>
      <c r="AA1786">
        <v>3</v>
      </c>
      <c r="AB1786" t="s">
        <v>18450</v>
      </c>
      <c r="AC1786" t="s">
        <v>18451</v>
      </c>
      <c r="AD1786" t="s">
        <v>18452</v>
      </c>
      <c r="AE1786" t="s">
        <v>243</v>
      </c>
      <c r="AF1786" t="s">
        <v>18453</v>
      </c>
      <c r="AG1786" t="s">
        <v>18454</v>
      </c>
      <c r="AH1786" t="str">
        <f>HYPERLINK("http://compartments.jensenlab.org/Entity?figures=subcell_cell_%&amp;knowledge=10&amp;textmining=10&amp;experiments=10&amp;predictions=10&amp;type1=9606&amp;type2=-22&amp;id1=ENSP00000402584","link")</f>
        <v>link</v>
      </c>
      <c r="AK1786" t="str">
        <f>HYPERLINK("http://www.proteinatlas.org/Q8NFP4","HPA031235;HPA050382")</f>
        <v>HPA031235;HPA050382</v>
      </c>
      <c r="AM1786">
        <v>266727</v>
      </c>
    </row>
    <row r="1787" spans="1:39" x14ac:dyDescent="0.35">
      <c r="A1787" t="s">
        <v>18455</v>
      </c>
      <c r="B1787" t="str">
        <f>HYPERLINK("http://www.uniprot.org/uniprot/Q8NFR9","Q8NFR9")</f>
        <v>Q8NFR9</v>
      </c>
      <c r="C1787" t="s">
        <v>18456</v>
      </c>
      <c r="D1787" t="s">
        <v>18457</v>
      </c>
      <c r="E1787" t="s">
        <v>39</v>
      </c>
      <c r="F1787" t="s">
        <v>40</v>
      </c>
      <c r="H1787">
        <v>667</v>
      </c>
      <c r="I1787">
        <v>1</v>
      </c>
      <c r="J1787">
        <v>1</v>
      </c>
      <c r="K1787" t="s">
        <v>18458</v>
      </c>
      <c r="L1787" t="s">
        <v>57</v>
      </c>
      <c r="N1787">
        <v>0.80840000000000001</v>
      </c>
      <c r="O1787" s="1">
        <v>1</v>
      </c>
      <c r="P1787" t="s">
        <v>18459</v>
      </c>
      <c r="Q1787" t="s">
        <v>18460</v>
      </c>
      <c r="S1787" t="s">
        <v>166</v>
      </c>
      <c r="T1787" t="s">
        <v>18122</v>
      </c>
      <c r="U1787" t="s">
        <v>18461</v>
      </c>
      <c r="V1787">
        <v>3</v>
      </c>
      <c r="W1787" t="s">
        <v>18461</v>
      </c>
      <c r="AE1787" t="s">
        <v>18462</v>
      </c>
      <c r="AF1787" t="s">
        <v>18463</v>
      </c>
      <c r="AG1787" t="s">
        <v>18464</v>
      </c>
      <c r="AH1787" t="str">
        <f>HYPERLINK("http://compartments.jensenlab.org/Entity?figures=subcell_cell_%&amp;knowledge=10&amp;textmining=10&amp;experiments=10&amp;predictions=10&amp;type1=9606&amp;type2=-22&amp;id1=ENSP00000373325","link")</f>
        <v>link</v>
      </c>
      <c r="AK1787" t="str">
        <f>HYPERLINK("http://www.proteinatlas.org/Q8NFR9","HPA019011")</f>
        <v>HPA019011</v>
      </c>
      <c r="AM1787">
        <v>132014</v>
      </c>
    </row>
    <row r="1788" spans="1:39" x14ac:dyDescent="0.35">
      <c r="A1788" t="s">
        <v>18465</v>
      </c>
      <c r="B1788" t="str">
        <f>HYPERLINK("http://www.uniprot.org/uniprot/Q8NFT8","Q8NFT8")</f>
        <v>Q8NFT8</v>
      </c>
      <c r="C1788" t="s">
        <v>18466</v>
      </c>
      <c r="D1788" t="s">
        <v>18467</v>
      </c>
      <c r="E1788" t="s">
        <v>39</v>
      </c>
      <c r="F1788" t="s">
        <v>55</v>
      </c>
      <c r="H1788">
        <v>737</v>
      </c>
      <c r="I1788">
        <v>1</v>
      </c>
      <c r="J1788">
        <v>1</v>
      </c>
      <c r="K1788" t="s">
        <v>18468</v>
      </c>
      <c r="L1788" t="s">
        <v>101</v>
      </c>
      <c r="M1788" t="s">
        <v>39</v>
      </c>
      <c r="N1788">
        <v>0.94020000000000004</v>
      </c>
      <c r="O1788" s="1">
        <v>1</v>
      </c>
      <c r="P1788" t="s">
        <v>18469</v>
      </c>
      <c r="Q1788" t="s">
        <v>18470</v>
      </c>
      <c r="S1788" t="s">
        <v>60</v>
      </c>
      <c r="T1788" t="s">
        <v>60</v>
      </c>
      <c r="U1788" t="s">
        <v>18471</v>
      </c>
      <c r="V1788">
        <v>11</v>
      </c>
      <c r="Z1788" t="s">
        <v>107</v>
      </c>
      <c r="AA1788">
        <v>2</v>
      </c>
      <c r="AB1788" t="s">
        <v>18472</v>
      </c>
      <c r="AC1788" t="s">
        <v>18473</v>
      </c>
      <c r="AD1788" t="s">
        <v>18474</v>
      </c>
      <c r="AE1788" t="s">
        <v>332</v>
      </c>
      <c r="AF1788" t="s">
        <v>18475</v>
      </c>
      <c r="AG1788" t="s">
        <v>18476</v>
      </c>
      <c r="AH1788" t="str">
        <f>HYPERLINK("http://compartments.jensenlab.org/Entity?figures=subcell_cell_%&amp;knowledge=10&amp;textmining=10&amp;experiments=10&amp;predictions=10&amp;type1=9606&amp;type2=-22&amp;id1=ENSP00000345229","link")</f>
        <v>link</v>
      </c>
      <c r="AI1788" t="s">
        <v>4125</v>
      </c>
      <c r="AJ1788" t="s">
        <v>1791</v>
      </c>
      <c r="AK1788" t="str">
        <f>HYPERLINK("http://www.proteinatlas.org/Q8NFT8","HPA017320")</f>
        <v>HPA017320</v>
      </c>
      <c r="AM1788">
        <v>92737</v>
      </c>
    </row>
    <row r="1789" spans="1:39" x14ac:dyDescent="0.35">
      <c r="A1789" t="s">
        <v>18477</v>
      </c>
      <c r="B1789" t="str">
        <f>HYPERLINK("http://www.uniprot.org/uniprot/Q8NFU0","Q8NFU0")</f>
        <v>Q8NFU0</v>
      </c>
      <c r="C1789" t="s">
        <v>18478</v>
      </c>
      <c r="D1789" t="s">
        <v>18479</v>
      </c>
      <c r="E1789" t="s">
        <v>39</v>
      </c>
      <c r="F1789" t="s">
        <v>55</v>
      </c>
      <c r="H1789">
        <v>473</v>
      </c>
      <c r="I1789">
        <v>4</v>
      </c>
      <c r="J1789">
        <v>0</v>
      </c>
      <c r="K1789" t="s">
        <v>18480</v>
      </c>
      <c r="L1789" t="s">
        <v>57</v>
      </c>
      <c r="M1789" t="s">
        <v>39</v>
      </c>
      <c r="N1789">
        <v>0.25130000000000002</v>
      </c>
      <c r="O1789" s="1"/>
      <c r="P1789" t="s">
        <v>18481</v>
      </c>
      <c r="Q1789" t="s">
        <v>18482</v>
      </c>
      <c r="S1789" t="s">
        <v>45</v>
      </c>
      <c r="T1789" t="s">
        <v>18483</v>
      </c>
      <c r="U1789">
        <v>70</v>
      </c>
      <c r="V1789">
        <v>1</v>
      </c>
      <c r="AE1789" t="s">
        <v>74</v>
      </c>
      <c r="AF1789" t="s">
        <v>18484</v>
      </c>
      <c r="AG1789" t="s">
        <v>18485</v>
      </c>
      <c r="AH1789" t="str">
        <f>HYPERLINK("http://compartments.jensenlab.org/Entity?figures=subcell_cell_%&amp;knowledge=10&amp;textmining=10&amp;experiments=10&amp;predictions=10&amp;type1=9606&amp;type2=-22&amp;id1=ENSP00000361281","link")</f>
        <v>link</v>
      </c>
      <c r="AI1789" t="s">
        <v>65</v>
      </c>
      <c r="AJ1789" t="s">
        <v>51</v>
      </c>
      <c r="AK1789" t="str">
        <f>HYPERLINK("http://www.proteinatlas.org/Q8NFU0","HPA058564")</f>
        <v>HPA058564</v>
      </c>
      <c r="AM1789">
        <v>266675</v>
      </c>
    </row>
    <row r="1790" spans="1:39" x14ac:dyDescent="0.35">
      <c r="A1790" t="s">
        <v>18486</v>
      </c>
      <c r="B1790" t="str">
        <f>HYPERLINK("http://www.uniprot.org/uniprot/Q8NFU1","Q8NFU1")</f>
        <v>Q8NFU1</v>
      </c>
      <c r="C1790" t="s">
        <v>18487</v>
      </c>
      <c r="D1790" t="s">
        <v>18488</v>
      </c>
      <c r="E1790" t="s">
        <v>39</v>
      </c>
      <c r="F1790" t="s">
        <v>55</v>
      </c>
      <c r="H1790">
        <v>509</v>
      </c>
      <c r="I1790">
        <v>4</v>
      </c>
      <c r="J1790">
        <v>0</v>
      </c>
      <c r="K1790" t="s">
        <v>18489</v>
      </c>
      <c r="L1790" t="s">
        <v>57</v>
      </c>
      <c r="M1790" t="s">
        <v>39</v>
      </c>
      <c r="N1790">
        <v>0.25669999999999998</v>
      </c>
      <c r="O1790" s="1"/>
      <c r="P1790" t="s">
        <v>18490</v>
      </c>
      <c r="Q1790" t="s">
        <v>18491</v>
      </c>
      <c r="S1790" t="s">
        <v>45</v>
      </c>
      <c r="T1790" t="s">
        <v>18483</v>
      </c>
      <c r="U1790">
        <v>175</v>
      </c>
      <c r="V1790">
        <v>0</v>
      </c>
      <c r="AE1790" t="s">
        <v>74</v>
      </c>
      <c r="AF1790" t="s">
        <v>18492</v>
      </c>
      <c r="AG1790" t="s">
        <v>18493</v>
      </c>
      <c r="AH1790" t="str">
        <f>HYPERLINK("http://compartments.jensenlab.org/Entity?figures=subcell_cell_%&amp;knowledge=10&amp;textmining=10&amp;experiments=10&amp;predictions=10&amp;type1=9606&amp;type2=-22&amp;id1=ENSP00000042931","link")</f>
        <v>link</v>
      </c>
      <c r="AI1790" t="s">
        <v>65</v>
      </c>
      <c r="AJ1790" t="s">
        <v>51</v>
      </c>
      <c r="AK1790" t="str">
        <f>HYPERLINK("http://www.proteinatlas.org/Q8NFU1","HPA046229")</f>
        <v>HPA046229</v>
      </c>
      <c r="AM1790">
        <v>54831</v>
      </c>
    </row>
    <row r="1791" spans="1:39" x14ac:dyDescent="0.35">
      <c r="A1791" t="s">
        <v>18494</v>
      </c>
      <c r="B1791" t="str">
        <f>HYPERLINK("http://www.uniprot.org/uniprot/Q8NFY4","Q8NFY4")</f>
        <v>Q8NFY4</v>
      </c>
      <c r="C1791" t="s">
        <v>18495</v>
      </c>
      <c r="D1791" t="s">
        <v>18496</v>
      </c>
      <c r="E1791" t="s">
        <v>39</v>
      </c>
      <c r="F1791" t="s">
        <v>40</v>
      </c>
      <c r="H1791">
        <v>1073</v>
      </c>
      <c r="I1791">
        <v>1</v>
      </c>
      <c r="J1791">
        <v>1</v>
      </c>
      <c r="K1791" t="s">
        <v>18497</v>
      </c>
      <c r="L1791" t="s">
        <v>57</v>
      </c>
      <c r="N1791">
        <v>0.94210000000000005</v>
      </c>
      <c r="O1791" s="1">
        <v>1</v>
      </c>
      <c r="P1791" t="s">
        <v>18498</v>
      </c>
      <c r="Q1791" t="s">
        <v>18499</v>
      </c>
      <c r="S1791" t="s">
        <v>91</v>
      </c>
      <c r="T1791" t="s">
        <v>3379</v>
      </c>
      <c r="U1791" t="s">
        <v>18500</v>
      </c>
      <c r="V1791">
        <v>5</v>
      </c>
      <c r="AE1791" t="s">
        <v>18501</v>
      </c>
      <c r="AF1791" t="s">
        <v>18502</v>
      </c>
      <c r="AG1791" t="s">
        <v>18503</v>
      </c>
      <c r="AH1791" t="str">
        <f>HYPERLINK("http://compartments.jensenlab.org/Entity?figures=subcell_cell_%&amp;knowledge=10&amp;textmining=10&amp;experiments=10&amp;predictions=10&amp;type1=9606&amp;type2=-22&amp;id1=ENSP00000324857","link")</f>
        <v>link</v>
      </c>
      <c r="AI1791" t="s">
        <v>65</v>
      </c>
      <c r="AJ1791" t="s">
        <v>2124</v>
      </c>
      <c r="AK1791" t="str">
        <f>HYPERLINK("http://www.proteinatlas.org/Q8NFY4","HPA043109")</f>
        <v>HPA043109</v>
      </c>
      <c r="AM1791">
        <v>80031</v>
      </c>
    </row>
    <row r="1792" spans="1:39" x14ac:dyDescent="0.35">
      <c r="A1792" t="s">
        <v>18504</v>
      </c>
      <c r="B1792" t="str">
        <f>HYPERLINK("http://www.uniprot.org/uniprot/Q8NFZ3","Q8NFZ3")</f>
        <v>Q8NFZ3</v>
      </c>
      <c r="C1792" t="s">
        <v>18505</v>
      </c>
      <c r="D1792" t="s">
        <v>18506</v>
      </c>
      <c r="E1792" t="s">
        <v>39</v>
      </c>
      <c r="F1792" t="s">
        <v>40</v>
      </c>
      <c r="H1792">
        <v>816</v>
      </c>
      <c r="I1792">
        <v>1</v>
      </c>
      <c r="J1792">
        <v>1</v>
      </c>
      <c r="K1792" t="s">
        <v>17597</v>
      </c>
      <c r="L1792" t="s">
        <v>57</v>
      </c>
      <c r="N1792">
        <v>0.87819999999999998</v>
      </c>
      <c r="O1792" s="1">
        <v>1</v>
      </c>
      <c r="P1792" t="s">
        <v>18507</v>
      </c>
      <c r="Q1792" t="s">
        <v>18508</v>
      </c>
      <c r="S1792" t="s">
        <v>91</v>
      </c>
      <c r="T1792" t="s">
        <v>17600</v>
      </c>
      <c r="U1792" t="s">
        <v>17601</v>
      </c>
      <c r="V1792">
        <v>2</v>
      </c>
      <c r="W1792" t="s">
        <v>17601</v>
      </c>
      <c r="AE1792" t="s">
        <v>17604</v>
      </c>
      <c r="AF1792" t="s">
        <v>17783</v>
      </c>
      <c r="AG1792" t="s">
        <v>18509</v>
      </c>
      <c r="AH1792" t="str">
        <f>HYPERLINK("http://compartments.jensenlab.org/Entity?figures=subcell_cell_%&amp;knowledge=10&amp;textmining=10&amp;experiments=10&amp;predictions=10&amp;type1=9606&amp;type2=-22&amp;id1=ENSP00000342535","link")</f>
        <v>link</v>
      </c>
      <c r="AI1792" t="s">
        <v>65</v>
      </c>
      <c r="AJ1792" t="s">
        <v>1811</v>
      </c>
      <c r="AK1792" t="str">
        <f>HYPERLINK("http://www.proteinatlas.org/Q8NFZ3","HPA001651")</f>
        <v>HPA001651</v>
      </c>
      <c r="AM1792">
        <v>22829</v>
      </c>
    </row>
    <row r="1793" spans="1:39" x14ac:dyDescent="0.35">
      <c r="A1793" t="s">
        <v>18510</v>
      </c>
      <c r="B1793" t="str">
        <f>HYPERLINK("http://www.uniprot.org/uniprot/Q8NFZ4","Q8NFZ4")</f>
        <v>Q8NFZ4</v>
      </c>
      <c r="C1793" t="s">
        <v>18511</v>
      </c>
      <c r="D1793" t="s">
        <v>18512</v>
      </c>
      <c r="E1793" t="s">
        <v>39</v>
      </c>
      <c r="F1793" t="s">
        <v>55</v>
      </c>
      <c r="H1793">
        <v>835</v>
      </c>
      <c r="I1793">
        <v>1</v>
      </c>
      <c r="J1793">
        <v>1</v>
      </c>
      <c r="K1793" t="s">
        <v>18513</v>
      </c>
      <c r="L1793" t="s">
        <v>101</v>
      </c>
      <c r="N1793">
        <v>0.79239999999999999</v>
      </c>
      <c r="O1793" s="1">
        <v>1</v>
      </c>
      <c r="P1793" t="s">
        <v>18514</v>
      </c>
      <c r="Q1793" t="s">
        <v>18515</v>
      </c>
      <c r="S1793" t="s">
        <v>91</v>
      </c>
      <c r="T1793" t="s">
        <v>17600</v>
      </c>
      <c r="U1793" t="s">
        <v>18516</v>
      </c>
      <c r="V1793">
        <v>3</v>
      </c>
      <c r="W1793" t="s">
        <v>18516</v>
      </c>
      <c r="Z1793" t="s">
        <v>107</v>
      </c>
      <c r="AA1793">
        <v>1</v>
      </c>
      <c r="AB1793" t="s">
        <v>18517</v>
      </c>
      <c r="AC1793">
        <v>522</v>
      </c>
      <c r="AD1793" t="s">
        <v>18518</v>
      </c>
      <c r="AE1793" t="s">
        <v>18519</v>
      </c>
      <c r="AF1793" t="s">
        <v>18520</v>
      </c>
      <c r="AG1793" t="s">
        <v>18521</v>
      </c>
      <c r="AH1793" t="str">
        <f>HYPERLINK("http://compartments.jensenlab.org/Entity?figures=subcell_cell_%&amp;knowledge=10&amp;textmining=10&amp;experiments=10&amp;predictions=10&amp;type1=9606&amp;type2=-22&amp;id1=ENSP00000305288","link")</f>
        <v>link</v>
      </c>
      <c r="AI1793" t="s">
        <v>65</v>
      </c>
      <c r="AJ1793" t="s">
        <v>51</v>
      </c>
      <c r="AK1793" t="str">
        <f>HYPERLINK("http://www.proteinatlas.org/Q8NFZ4","HPA055321")</f>
        <v>HPA055321</v>
      </c>
      <c r="AM1793">
        <v>57555</v>
      </c>
    </row>
    <row r="1794" spans="1:39" x14ac:dyDescent="0.35">
      <c r="A1794" t="s">
        <v>18522</v>
      </c>
      <c r="B1794" t="str">
        <f>HYPERLINK("http://www.uniprot.org/uniprot/Q8NFZ6","Q8NFZ6")</f>
        <v>Q8NFZ6</v>
      </c>
      <c r="C1794" t="s">
        <v>18523</v>
      </c>
      <c r="D1794" t="s">
        <v>18524</v>
      </c>
      <c r="E1794" t="s">
        <v>39</v>
      </c>
      <c r="F1794" t="s">
        <v>55</v>
      </c>
      <c r="H1794">
        <v>395</v>
      </c>
      <c r="I1794">
        <v>8</v>
      </c>
      <c r="J1794">
        <v>0</v>
      </c>
      <c r="K1794" t="s">
        <v>18525</v>
      </c>
      <c r="L1794" t="s">
        <v>57</v>
      </c>
      <c r="M1794" t="s">
        <v>39</v>
      </c>
      <c r="N1794">
        <v>0.91059999999999997</v>
      </c>
      <c r="O1794" s="1">
        <v>1</v>
      </c>
      <c r="P1794" t="s">
        <v>18526</v>
      </c>
      <c r="Q1794" t="s">
        <v>18527</v>
      </c>
      <c r="S1794" t="s">
        <v>166</v>
      </c>
      <c r="T1794" t="s">
        <v>16579</v>
      </c>
      <c r="U1794" t="s">
        <v>18528</v>
      </c>
      <c r="V1794">
        <v>2</v>
      </c>
      <c r="AE1794" t="s">
        <v>74</v>
      </c>
      <c r="AF1794" t="s">
        <v>16581</v>
      </c>
      <c r="AG1794" t="s">
        <v>18529</v>
      </c>
      <c r="AH1794" t="str">
        <f>HYPERLINK("http://compartments.jensenlab.org/Entity?figures=subcell_cell_%&amp;knowledge=10&amp;textmining=10&amp;experiments=10&amp;predictions=10&amp;type1=9606&amp;type2=-22&amp;id1=ENSP00000351244","link")</f>
        <v>link</v>
      </c>
      <c r="AI1794" t="s">
        <v>65</v>
      </c>
      <c r="AJ1794" t="s">
        <v>51</v>
      </c>
      <c r="AK1794" t="str">
        <f>HYPERLINK("http://www.proteinatlas.org/Q8NFZ6","HPA044551")</f>
        <v>HPA044551</v>
      </c>
      <c r="AM1794">
        <v>317701</v>
      </c>
    </row>
    <row r="1795" spans="1:39" x14ac:dyDescent="0.35">
      <c r="A1795" t="s">
        <v>18530</v>
      </c>
      <c r="B1795" t="str">
        <f>HYPERLINK("http://www.uniprot.org/uniprot/Q8NFZ8","Q8NFZ8")</f>
        <v>Q8NFZ8</v>
      </c>
      <c r="C1795" t="s">
        <v>18531</v>
      </c>
      <c r="D1795" t="s">
        <v>18532</v>
      </c>
      <c r="E1795" t="s">
        <v>39</v>
      </c>
      <c r="F1795" t="s">
        <v>40</v>
      </c>
      <c r="H1795">
        <v>388</v>
      </c>
      <c r="I1795">
        <v>1</v>
      </c>
      <c r="J1795">
        <v>1</v>
      </c>
      <c r="K1795" t="s">
        <v>18533</v>
      </c>
      <c r="L1795" t="s">
        <v>101</v>
      </c>
      <c r="N1795">
        <v>0.93410000000000004</v>
      </c>
      <c r="O1795" s="1">
        <v>1</v>
      </c>
      <c r="P1795" t="s">
        <v>18534</v>
      </c>
      <c r="Q1795" t="s">
        <v>18535</v>
      </c>
      <c r="S1795" t="s">
        <v>60</v>
      </c>
      <c r="T1795" t="s">
        <v>60</v>
      </c>
      <c r="U1795" t="s">
        <v>18536</v>
      </c>
      <c r="V1795">
        <v>4</v>
      </c>
      <c r="Z1795" t="s">
        <v>107</v>
      </c>
      <c r="AA1795">
        <v>5</v>
      </c>
      <c r="AB1795" t="s">
        <v>18537</v>
      </c>
      <c r="AC1795" t="s">
        <v>18538</v>
      </c>
      <c r="AD1795" t="s">
        <v>18539</v>
      </c>
      <c r="AE1795" t="s">
        <v>144</v>
      </c>
      <c r="AF1795" t="s">
        <v>18540</v>
      </c>
      <c r="AG1795" t="s">
        <v>18541</v>
      </c>
      <c r="AH1795" t="str">
        <f>HYPERLINK("http://compartments.jensenlab.org/Entity?figures=subcell_cell_%&amp;knowledge=10&amp;textmining=10&amp;experiments=10&amp;predictions=10&amp;type1=9606&amp;type2=-22&amp;id1=ENSP00000222374","link")</f>
        <v>link</v>
      </c>
      <c r="AJ1795" t="s">
        <v>51</v>
      </c>
      <c r="AK1795" t="str">
        <f>HYPERLINK("http://www.proteinatlas.org/Q8NFZ8","HPA012612")</f>
        <v>HPA012612</v>
      </c>
      <c r="AM1795">
        <v>199731</v>
      </c>
    </row>
    <row r="1796" spans="1:39" x14ac:dyDescent="0.35">
      <c r="A1796" t="s">
        <v>18542</v>
      </c>
      <c r="B1796" t="str">
        <f>HYPERLINK("http://www.uniprot.org/uniprot/Q8NG11","Q8NG11")</f>
        <v>Q8NG11</v>
      </c>
      <c r="C1796" t="s">
        <v>18543</v>
      </c>
      <c r="D1796" t="s">
        <v>18544</v>
      </c>
      <c r="E1796" t="s">
        <v>39</v>
      </c>
      <c r="F1796" t="s">
        <v>40</v>
      </c>
      <c r="H1796">
        <v>270</v>
      </c>
      <c r="I1796">
        <v>4</v>
      </c>
      <c r="J1796">
        <v>0</v>
      </c>
      <c r="K1796" t="s">
        <v>18545</v>
      </c>
      <c r="L1796" t="s">
        <v>118</v>
      </c>
      <c r="N1796">
        <v>0.61680000000000001</v>
      </c>
      <c r="O1796" s="1">
        <v>2</v>
      </c>
      <c r="P1796" t="s">
        <v>18546</v>
      </c>
      <c r="Q1796" t="s">
        <v>18547</v>
      </c>
      <c r="S1796" t="s">
        <v>91</v>
      </c>
      <c r="T1796" t="s">
        <v>135</v>
      </c>
      <c r="U1796">
        <v>169</v>
      </c>
      <c r="V1796">
        <v>1</v>
      </c>
      <c r="Z1796" t="s">
        <v>123</v>
      </c>
      <c r="AA1796">
        <v>1</v>
      </c>
      <c r="AB1796" t="s">
        <v>18548</v>
      </c>
      <c r="AC1796">
        <v>169</v>
      </c>
      <c r="AD1796" t="s">
        <v>18549</v>
      </c>
      <c r="AE1796" t="s">
        <v>48</v>
      </c>
      <c r="AF1796" t="s">
        <v>2332</v>
      </c>
      <c r="AG1796" t="s">
        <v>18550</v>
      </c>
      <c r="AH1796" t="str">
        <f>HYPERLINK("http://compartments.jensenlab.org/Entity?figures=subcell_cell_%&amp;knowledge=10&amp;textmining=10&amp;experiments=10&amp;predictions=10&amp;type1=9606&amp;type2=-22&amp;id1=ENSP00000361229","link")</f>
        <v>link</v>
      </c>
      <c r="AJ1796" t="s">
        <v>51</v>
      </c>
      <c r="AK1796" t="str">
        <f>HYPERLINK("http://www.proteinatlas.org/Q8NG11","HPA014773;HPA057174")</f>
        <v>HPA014773;HPA057174</v>
      </c>
      <c r="AM1796">
        <v>81619</v>
      </c>
    </row>
    <row r="1797" spans="1:39" x14ac:dyDescent="0.35">
      <c r="A1797" t="s">
        <v>18551</v>
      </c>
      <c r="B1797" t="str">
        <f>HYPERLINK("http://www.uniprot.org/uniprot/Q8NG75","Q8NG75")</f>
        <v>Q8NG75</v>
      </c>
      <c r="C1797" t="s">
        <v>18552</v>
      </c>
      <c r="D1797" t="s">
        <v>18553</v>
      </c>
      <c r="E1797" t="s">
        <v>39</v>
      </c>
      <c r="F1797" t="s">
        <v>55</v>
      </c>
      <c r="H1797">
        <v>326</v>
      </c>
      <c r="I1797">
        <v>7</v>
      </c>
      <c r="J1797">
        <v>0</v>
      </c>
      <c r="K1797" t="s">
        <v>18554</v>
      </c>
      <c r="L1797" t="s">
        <v>57</v>
      </c>
      <c r="N1797">
        <v>0.93410000000000004</v>
      </c>
      <c r="O1797" s="1">
        <v>1</v>
      </c>
      <c r="P1797" t="s">
        <v>18555</v>
      </c>
      <c r="Q1797" t="s">
        <v>18556</v>
      </c>
      <c r="S1797" t="s">
        <v>166</v>
      </c>
      <c r="T1797" t="s">
        <v>167</v>
      </c>
      <c r="U1797" t="s">
        <v>18557</v>
      </c>
      <c r="V1797">
        <v>2</v>
      </c>
      <c r="AE1797" t="s">
        <v>74</v>
      </c>
      <c r="AF1797" t="s">
        <v>455</v>
      </c>
      <c r="AG1797" t="s">
        <v>18558</v>
      </c>
      <c r="AH1797" t="str">
        <f>HYPERLINK("http://compartments.jensenlab.org/Entity?figures=subcell_cell_%&amp;knowledge=10&amp;textmining=10&amp;experiments=10&amp;predictions=10&amp;type1=9606&amp;type2=-22&amp;id1=ENSP00000323612","link")</f>
        <v>link</v>
      </c>
      <c r="AI1797" t="s">
        <v>65</v>
      </c>
      <c r="AJ1797" t="s">
        <v>51</v>
      </c>
      <c r="AK1797" t="str">
        <f>HYPERLINK("http://www.proteinatlas.org/Q8NG75","HPA050952")</f>
        <v>HPA050952</v>
      </c>
      <c r="AM1797">
        <v>390155</v>
      </c>
    </row>
    <row r="1798" spans="1:39" x14ac:dyDescent="0.35">
      <c r="A1798" t="s">
        <v>18559</v>
      </c>
      <c r="B1798" t="str">
        <f>HYPERLINK("http://www.uniprot.org/uniprot/Q8NG76","Q8NG76")</f>
        <v>Q8NG76</v>
      </c>
      <c r="C1798" t="s">
        <v>18560</v>
      </c>
      <c r="D1798" t="s">
        <v>18561</v>
      </c>
      <c r="E1798" t="s">
        <v>39</v>
      </c>
      <c r="F1798" t="s">
        <v>55</v>
      </c>
      <c r="H1798">
        <v>320</v>
      </c>
      <c r="I1798">
        <v>7</v>
      </c>
      <c r="J1798">
        <v>0</v>
      </c>
      <c r="K1798" t="s">
        <v>18562</v>
      </c>
      <c r="L1798" t="s">
        <v>57</v>
      </c>
      <c r="N1798">
        <v>0.96409999999999996</v>
      </c>
      <c r="O1798" s="1">
        <v>1</v>
      </c>
      <c r="P1798" t="s">
        <v>18563</v>
      </c>
      <c r="Q1798" t="s">
        <v>18564</v>
      </c>
      <c r="S1798" t="s">
        <v>166</v>
      </c>
      <c r="T1798" t="s">
        <v>167</v>
      </c>
      <c r="U1798" t="s">
        <v>18565</v>
      </c>
      <c r="V1798">
        <v>2</v>
      </c>
      <c r="AE1798" t="s">
        <v>74</v>
      </c>
      <c r="AF1798" t="s">
        <v>169</v>
      </c>
      <c r="AG1798" t="s">
        <v>18566</v>
      </c>
      <c r="AH1798" t="str">
        <f>HYPERLINK("http://compartments.jensenlab.org/Entity?figures=subcell_cell_%&amp;knowledge=10&amp;textmining=10&amp;experiments=10&amp;predictions=10&amp;type1=9606&amp;type2=-22&amp;id1=ENSP00000324687","link")</f>
        <v>link</v>
      </c>
      <c r="AI1798" t="s">
        <v>65</v>
      </c>
      <c r="AJ1798" t="s">
        <v>51</v>
      </c>
      <c r="AK1798" t="str">
        <f>HYPERLINK("http://www.proteinatlas.org/Q8NG76","no")</f>
        <v>no</v>
      </c>
      <c r="AM1798">
        <v>391195</v>
      </c>
    </row>
    <row r="1799" spans="1:39" x14ac:dyDescent="0.35">
      <c r="A1799" t="s">
        <v>18567</v>
      </c>
      <c r="B1799" t="str">
        <f>HYPERLINK("http://www.uniprot.org/uniprot/Q8NG77","Q8NG77")</f>
        <v>Q8NG77</v>
      </c>
      <c r="C1799" t="s">
        <v>18568</v>
      </c>
      <c r="D1799" t="s">
        <v>18569</v>
      </c>
      <c r="E1799" t="s">
        <v>39</v>
      </c>
      <c r="F1799" t="s">
        <v>55</v>
      </c>
      <c r="H1799">
        <v>320</v>
      </c>
      <c r="I1799">
        <v>7</v>
      </c>
      <c r="J1799">
        <v>0</v>
      </c>
      <c r="K1799" t="s">
        <v>18562</v>
      </c>
      <c r="L1799" t="s">
        <v>57</v>
      </c>
      <c r="M1799" t="s">
        <v>39</v>
      </c>
      <c r="N1799">
        <v>0.93010000000000004</v>
      </c>
      <c r="O1799" s="1">
        <v>1</v>
      </c>
      <c r="P1799" t="s">
        <v>18570</v>
      </c>
      <c r="Q1799" t="s">
        <v>18571</v>
      </c>
      <c r="S1799" t="s">
        <v>166</v>
      </c>
      <c r="T1799" t="s">
        <v>167</v>
      </c>
      <c r="U1799" t="s">
        <v>18565</v>
      </c>
      <c r="V1799">
        <v>2</v>
      </c>
      <c r="AE1799" t="s">
        <v>74</v>
      </c>
      <c r="AF1799" t="s">
        <v>169</v>
      </c>
      <c r="AG1799" t="s">
        <v>18572</v>
      </c>
      <c r="AH1799" t="str">
        <f>HYPERLINK("http://compartments.jensenlab.org/Entity?figures=subcell_cell_%&amp;knowledge=10&amp;textmining=10&amp;experiments=10&amp;predictions=10&amp;type1=9606&amp;type2=-22&amp;id1=ENSP00000324583","link")</f>
        <v>link</v>
      </c>
      <c r="AI1799" t="s">
        <v>65</v>
      </c>
      <c r="AJ1799" t="s">
        <v>51</v>
      </c>
      <c r="AK1799" t="str">
        <f>HYPERLINK("http://www.proteinatlas.org/Q8NG77","no")</f>
        <v>no</v>
      </c>
      <c r="AM1799">
        <v>127064</v>
      </c>
    </row>
    <row r="1800" spans="1:39" x14ac:dyDescent="0.35">
      <c r="A1800" t="s">
        <v>18573</v>
      </c>
      <c r="B1800" t="str">
        <f>HYPERLINK("http://www.uniprot.org/uniprot/Q8NG78","Q8NG78")</f>
        <v>Q8NG78</v>
      </c>
      <c r="C1800" t="s">
        <v>18574</v>
      </c>
      <c r="D1800" t="s">
        <v>18575</v>
      </c>
      <c r="E1800" t="s">
        <v>39</v>
      </c>
      <c r="F1800" t="s">
        <v>40</v>
      </c>
      <c r="H1800">
        <v>346</v>
      </c>
      <c r="I1800">
        <v>7</v>
      </c>
      <c r="J1800">
        <v>0</v>
      </c>
      <c r="K1800" t="s">
        <v>18576</v>
      </c>
      <c r="L1800" t="s">
        <v>57</v>
      </c>
      <c r="N1800">
        <v>0.98599999999999999</v>
      </c>
      <c r="O1800" s="1">
        <v>1</v>
      </c>
      <c r="P1800" t="s">
        <v>18577</v>
      </c>
      <c r="Q1800" t="s">
        <v>18578</v>
      </c>
      <c r="S1800" t="s">
        <v>166</v>
      </c>
      <c r="T1800" t="s">
        <v>167</v>
      </c>
      <c r="U1800" t="s">
        <v>18579</v>
      </c>
      <c r="V1800">
        <v>2</v>
      </c>
      <c r="AE1800" t="s">
        <v>74</v>
      </c>
      <c r="AF1800" t="s">
        <v>549</v>
      </c>
      <c r="AG1800" t="s">
        <v>18580</v>
      </c>
      <c r="AH1800" t="str">
        <f>HYPERLINK("http://compartments.jensenlab.org/Entity?figures=subcell_cell_%&amp;knowledge=10&amp;textmining=10&amp;experiments=10&amp;predictions=10&amp;type1=9606&amp;type2=-22&amp;id1=ENSP00000477014","link")</f>
        <v>link</v>
      </c>
      <c r="AK1800" t="str">
        <f>HYPERLINK("http://www.proteinatlas.org/Q8NG78","no")</f>
        <v>no</v>
      </c>
      <c r="AM1800">
        <v>219865</v>
      </c>
    </row>
    <row r="1801" spans="1:39" x14ac:dyDescent="0.35">
      <c r="A1801" t="s">
        <v>18581</v>
      </c>
      <c r="B1801" t="str">
        <f>HYPERLINK("http://www.uniprot.org/uniprot/Q8NG80","Q8NG80")</f>
        <v>Q8NG80</v>
      </c>
      <c r="C1801" t="s">
        <v>18582</v>
      </c>
      <c r="D1801" t="s">
        <v>18583</v>
      </c>
      <c r="E1801" t="s">
        <v>39</v>
      </c>
      <c r="F1801" t="s">
        <v>55</v>
      </c>
      <c r="H1801">
        <v>312</v>
      </c>
      <c r="I1801">
        <v>7</v>
      </c>
      <c r="J1801">
        <v>0</v>
      </c>
      <c r="K1801" t="s">
        <v>18584</v>
      </c>
      <c r="L1801" t="s">
        <v>57</v>
      </c>
      <c r="M1801" t="s">
        <v>39</v>
      </c>
      <c r="N1801">
        <v>0.96530000000000005</v>
      </c>
      <c r="O1801" s="1">
        <v>1</v>
      </c>
      <c r="P1801" t="s">
        <v>18585</v>
      </c>
      <c r="Q1801" t="s">
        <v>18586</v>
      </c>
      <c r="S1801" t="s">
        <v>166</v>
      </c>
      <c r="T1801" t="s">
        <v>167</v>
      </c>
      <c r="U1801" t="s">
        <v>18587</v>
      </c>
      <c r="V1801">
        <v>2</v>
      </c>
      <c r="AE1801" t="s">
        <v>74</v>
      </c>
      <c r="AF1801" t="s">
        <v>549</v>
      </c>
      <c r="AG1801" t="s">
        <v>18588</v>
      </c>
      <c r="AH1801" t="str">
        <f>HYPERLINK("http://compartments.jensenlab.org/Entity?figures=subcell_cell_%&amp;knowledge=10&amp;textmining=10&amp;experiments=10&amp;predictions=10&amp;type1=9606&amp;type2=-22&amp;id1=ENSP00000347428","link")</f>
        <v>link</v>
      </c>
      <c r="AI1801" t="s">
        <v>65</v>
      </c>
      <c r="AJ1801" t="s">
        <v>51</v>
      </c>
      <c r="AK1801" t="str">
        <f>HYPERLINK("http://www.proteinatlas.org/Q8NG80","no")</f>
        <v>no</v>
      </c>
      <c r="AM1801">
        <v>81466</v>
      </c>
    </row>
    <row r="1802" spans="1:39" x14ac:dyDescent="0.35">
      <c r="A1802" t="s">
        <v>18589</v>
      </c>
      <c r="B1802" t="str">
        <f>HYPERLINK("http://www.uniprot.org/uniprot/Q8NG81","Q8NG81")</f>
        <v>Q8NG81</v>
      </c>
      <c r="C1802" t="s">
        <v>18590</v>
      </c>
      <c r="D1802" t="s">
        <v>18591</v>
      </c>
      <c r="E1802" t="s">
        <v>39</v>
      </c>
      <c r="F1802" t="s">
        <v>55</v>
      </c>
      <c r="H1802">
        <v>312</v>
      </c>
      <c r="I1802">
        <v>7</v>
      </c>
      <c r="J1802">
        <v>0</v>
      </c>
      <c r="K1802" t="s">
        <v>18592</v>
      </c>
      <c r="L1802" t="s">
        <v>57</v>
      </c>
      <c r="N1802">
        <v>0.998</v>
      </c>
      <c r="O1802" s="1">
        <v>1</v>
      </c>
      <c r="P1802" t="s">
        <v>18593</v>
      </c>
      <c r="Q1802" t="s">
        <v>18594</v>
      </c>
      <c r="S1802" t="s">
        <v>166</v>
      </c>
      <c r="T1802" t="s">
        <v>167</v>
      </c>
      <c r="U1802" t="s">
        <v>168</v>
      </c>
      <c r="V1802">
        <v>3</v>
      </c>
      <c r="AE1802" t="s">
        <v>74</v>
      </c>
      <c r="AF1802" t="s">
        <v>169</v>
      </c>
      <c r="AG1802" t="s">
        <v>18595</v>
      </c>
      <c r="AH1802" t="str">
        <f>HYPERLINK("http://compartments.jensenlab.org/Entity?figures=subcell_cell_%&amp;knowledge=10&amp;textmining=10&amp;experiments=10&amp;predictions=10&amp;type1=9606&amp;type2=-22&amp;id1=ENSP00000324557","link")</f>
        <v>link</v>
      </c>
      <c r="AI1802" t="s">
        <v>65</v>
      </c>
      <c r="AJ1802" t="s">
        <v>51</v>
      </c>
      <c r="AK1802" t="str">
        <f>HYPERLINK("http://www.proteinatlas.org/Q8NG81","no")</f>
        <v>no</v>
      </c>
      <c r="AM1802">
        <v>391196</v>
      </c>
    </row>
    <row r="1803" spans="1:39" x14ac:dyDescent="0.35">
      <c r="A1803" t="s">
        <v>18596</v>
      </c>
      <c r="B1803" t="str">
        <f>HYPERLINK("http://www.uniprot.org/uniprot/Q8NG83","Q8NG83")</f>
        <v>Q8NG83</v>
      </c>
      <c r="C1803" t="s">
        <v>18597</v>
      </c>
      <c r="D1803" t="s">
        <v>18598</v>
      </c>
      <c r="E1803" t="s">
        <v>39</v>
      </c>
      <c r="F1803" t="s">
        <v>55</v>
      </c>
      <c r="H1803">
        <v>312</v>
      </c>
      <c r="I1803">
        <v>7</v>
      </c>
      <c r="J1803">
        <v>0</v>
      </c>
      <c r="K1803" t="s">
        <v>18599</v>
      </c>
      <c r="L1803" t="s">
        <v>57</v>
      </c>
      <c r="N1803">
        <v>0.95809999999999995</v>
      </c>
      <c r="O1803" s="1">
        <v>1</v>
      </c>
      <c r="P1803" t="s">
        <v>18600</v>
      </c>
      <c r="Q1803" t="s">
        <v>18601</v>
      </c>
      <c r="S1803" t="s">
        <v>166</v>
      </c>
      <c r="T1803" t="s">
        <v>167</v>
      </c>
      <c r="U1803" t="s">
        <v>519</v>
      </c>
      <c r="V1803">
        <v>2</v>
      </c>
      <c r="AE1803" t="s">
        <v>74</v>
      </c>
      <c r="AF1803" t="s">
        <v>549</v>
      </c>
      <c r="AG1803" t="s">
        <v>18602</v>
      </c>
      <c r="AH1803" t="str">
        <f>HYPERLINK("http://compartments.jensenlab.org/Entity?figures=subcell_cell_%&amp;knowledge=10&amp;textmining=10&amp;experiments=10&amp;predictions=10&amp;type1=9606&amp;type2=-22&amp;id1=ENSP00000389625","link")</f>
        <v>link</v>
      </c>
      <c r="AI1803" t="s">
        <v>65</v>
      </c>
      <c r="AJ1803" t="s">
        <v>51</v>
      </c>
      <c r="AK1803" t="str">
        <f>HYPERLINK("http://www.proteinatlas.org/Q8NG83","no")</f>
        <v>no</v>
      </c>
      <c r="AM1803">
        <v>127062</v>
      </c>
    </row>
    <row r="1804" spans="1:39" x14ac:dyDescent="0.35">
      <c r="A1804" t="s">
        <v>18603</v>
      </c>
      <c r="B1804" t="str">
        <f>HYPERLINK("http://www.uniprot.org/uniprot/Q8NG84","Q8NG84")</f>
        <v>Q8NG84</v>
      </c>
      <c r="C1804" t="s">
        <v>18604</v>
      </c>
      <c r="D1804" t="s">
        <v>18605</v>
      </c>
      <c r="E1804" t="s">
        <v>39</v>
      </c>
      <c r="F1804" t="s">
        <v>55</v>
      </c>
      <c r="H1804">
        <v>335</v>
      </c>
      <c r="I1804">
        <v>7</v>
      </c>
      <c r="J1804">
        <v>0</v>
      </c>
      <c r="K1804" t="s">
        <v>18606</v>
      </c>
      <c r="L1804" t="s">
        <v>57</v>
      </c>
      <c r="M1804" t="s">
        <v>39</v>
      </c>
      <c r="N1804">
        <v>0.9899</v>
      </c>
      <c r="O1804" s="1">
        <v>1</v>
      </c>
      <c r="P1804" t="s">
        <v>18607</v>
      </c>
      <c r="Q1804" t="s">
        <v>18608</v>
      </c>
      <c r="S1804" t="s">
        <v>166</v>
      </c>
      <c r="T1804" t="s">
        <v>167</v>
      </c>
      <c r="U1804" t="s">
        <v>18609</v>
      </c>
      <c r="V1804">
        <v>2</v>
      </c>
      <c r="AE1804" t="s">
        <v>74</v>
      </c>
      <c r="AF1804" t="s">
        <v>169</v>
      </c>
      <c r="AG1804" t="s">
        <v>18610</v>
      </c>
      <c r="AH1804" t="str">
        <f>HYPERLINK("http://compartments.jensenlab.org/Entity?figures=subcell_cell_%&amp;knowledge=10&amp;textmining=10&amp;experiments=10&amp;predictions=10&amp;type1=9606&amp;type2=-22&amp;id1=ENSP00000355436","link")</f>
        <v>link</v>
      </c>
      <c r="AI1804" t="s">
        <v>65</v>
      </c>
      <c r="AJ1804" t="s">
        <v>51</v>
      </c>
      <c r="AK1804" t="str">
        <f>HYPERLINK("http://www.proteinatlas.org/Q8NG84","HPA052544")</f>
        <v>HPA052544</v>
      </c>
      <c r="AM1804">
        <v>391191</v>
      </c>
    </row>
    <row r="1805" spans="1:39" x14ac:dyDescent="0.35">
      <c r="A1805" t="s">
        <v>18611</v>
      </c>
      <c r="B1805" t="str">
        <f>HYPERLINK("http://www.uniprot.org/uniprot/Q8NG85","Q8NG85")</f>
        <v>Q8NG85</v>
      </c>
      <c r="C1805" t="s">
        <v>18612</v>
      </c>
      <c r="D1805" t="s">
        <v>18613</v>
      </c>
      <c r="E1805" t="s">
        <v>39</v>
      </c>
      <c r="F1805" t="s">
        <v>55</v>
      </c>
      <c r="H1805">
        <v>312</v>
      </c>
      <c r="I1805">
        <v>7</v>
      </c>
      <c r="J1805">
        <v>0</v>
      </c>
      <c r="K1805" t="s">
        <v>18614</v>
      </c>
      <c r="L1805" t="s">
        <v>57</v>
      </c>
      <c r="N1805">
        <v>0.998</v>
      </c>
      <c r="O1805" s="1">
        <v>1</v>
      </c>
      <c r="P1805" t="s">
        <v>18615</v>
      </c>
      <c r="Q1805" t="s">
        <v>18616</v>
      </c>
      <c r="S1805" t="s">
        <v>166</v>
      </c>
      <c r="T1805" t="s">
        <v>167</v>
      </c>
      <c r="U1805" t="s">
        <v>18587</v>
      </c>
      <c r="V1805">
        <v>2</v>
      </c>
      <c r="AE1805" t="s">
        <v>74</v>
      </c>
      <c r="AF1805" t="s">
        <v>169</v>
      </c>
      <c r="AG1805" t="s">
        <v>18617</v>
      </c>
      <c r="AH1805" t="str">
        <f>HYPERLINK("http://compartments.jensenlab.org/Entity?figures=subcell_cell_%&amp;knowledge=10&amp;textmining=10&amp;experiments=10&amp;predictions=10&amp;type1=9606&amp;type2=-22&amp;id1=ENSP00000353044","link")</f>
        <v>link</v>
      </c>
      <c r="AI1805" t="s">
        <v>65</v>
      </c>
      <c r="AJ1805" t="s">
        <v>51</v>
      </c>
      <c r="AK1805" t="str">
        <f>HYPERLINK("http://www.proteinatlas.org/Q8NG85","no")</f>
        <v>no</v>
      </c>
      <c r="AM1805">
        <v>391192</v>
      </c>
    </row>
    <row r="1806" spans="1:39" x14ac:dyDescent="0.35">
      <c r="A1806" t="s">
        <v>18618</v>
      </c>
      <c r="B1806" t="str">
        <f>HYPERLINK("http://www.uniprot.org/uniprot/Q8NG92","Q8NG92")</f>
        <v>Q8NG92</v>
      </c>
      <c r="C1806" t="s">
        <v>18619</v>
      </c>
      <c r="D1806" t="s">
        <v>18620</v>
      </c>
      <c r="E1806" t="s">
        <v>39</v>
      </c>
      <c r="F1806" t="s">
        <v>55</v>
      </c>
      <c r="H1806">
        <v>308</v>
      </c>
      <c r="I1806">
        <v>7</v>
      </c>
      <c r="J1806">
        <v>0</v>
      </c>
      <c r="K1806" t="s">
        <v>18621</v>
      </c>
      <c r="L1806" t="s">
        <v>57</v>
      </c>
      <c r="M1806" t="s">
        <v>39</v>
      </c>
      <c r="N1806">
        <v>0.92310000000000003</v>
      </c>
      <c r="O1806" s="1">
        <v>1</v>
      </c>
      <c r="P1806" t="s">
        <v>18622</v>
      </c>
      <c r="Q1806" t="s">
        <v>18623</v>
      </c>
      <c r="S1806" t="s">
        <v>166</v>
      </c>
      <c r="T1806" t="s">
        <v>167</v>
      </c>
      <c r="U1806" t="s">
        <v>1191</v>
      </c>
      <c r="V1806">
        <v>1</v>
      </c>
      <c r="AE1806" t="s">
        <v>74</v>
      </c>
      <c r="AF1806" t="s">
        <v>169</v>
      </c>
      <c r="AG1806" t="s">
        <v>18624</v>
      </c>
      <c r="AH1806" t="str">
        <f>HYPERLINK("http://compartments.jensenlab.org/Entity?figures=subcell_cell_%&amp;knowledge=10&amp;textmining=10&amp;experiments=10&amp;predictions=10&amp;type1=9606&amp;type2=-22&amp;id1=ENSP00000340748","link")</f>
        <v>link</v>
      </c>
      <c r="AI1806" t="s">
        <v>65</v>
      </c>
      <c r="AJ1806" t="s">
        <v>51</v>
      </c>
      <c r="AK1806" t="str">
        <f>HYPERLINK("http://www.proteinatlas.org/Q8NG92","no")</f>
        <v>no</v>
      </c>
      <c r="AM1806">
        <v>347468</v>
      </c>
    </row>
    <row r="1807" spans="1:39" x14ac:dyDescent="0.35">
      <c r="A1807" t="s">
        <v>18625</v>
      </c>
      <c r="B1807" t="str">
        <f>HYPERLINK("http://www.uniprot.org/uniprot/Q8NG94","Q8NG94")</f>
        <v>Q8NG94</v>
      </c>
      <c r="C1807" t="s">
        <v>18626</v>
      </c>
      <c r="D1807" t="s">
        <v>18627</v>
      </c>
      <c r="E1807" t="s">
        <v>39</v>
      </c>
      <c r="F1807" t="s">
        <v>55</v>
      </c>
      <c r="H1807">
        <v>326</v>
      </c>
      <c r="I1807">
        <v>7</v>
      </c>
      <c r="J1807">
        <v>0</v>
      </c>
      <c r="K1807" t="s">
        <v>699</v>
      </c>
      <c r="L1807" t="s">
        <v>57</v>
      </c>
      <c r="N1807">
        <v>0.97599999999999998</v>
      </c>
      <c r="O1807" s="1">
        <v>1</v>
      </c>
      <c r="P1807" t="s">
        <v>18628</v>
      </c>
      <c r="Q1807" t="s">
        <v>18629</v>
      </c>
      <c r="S1807" t="s">
        <v>166</v>
      </c>
      <c r="T1807" t="s">
        <v>167</v>
      </c>
      <c r="U1807" t="s">
        <v>702</v>
      </c>
      <c r="V1807">
        <v>3</v>
      </c>
      <c r="AE1807" t="s">
        <v>74</v>
      </c>
      <c r="AF1807" t="s">
        <v>549</v>
      </c>
      <c r="AG1807" t="s">
        <v>18630</v>
      </c>
      <c r="AH1807" t="str">
        <f>HYPERLINK("http://compartments.jensenlab.org/Entity?figures=subcell_cell_%&amp;knowledge=10&amp;textmining=10&amp;experiments=10&amp;predictions=10&amp;type1=9606&amp;type2=-22&amp;id1=ENSP00000252835","link")</f>
        <v>link</v>
      </c>
      <c r="AI1807" t="s">
        <v>65</v>
      </c>
      <c r="AJ1807" t="s">
        <v>51</v>
      </c>
      <c r="AK1807" t="str">
        <f>HYPERLINK("http://www.proteinatlas.org/Q8NG94","HPA047370")</f>
        <v>HPA047370</v>
      </c>
      <c r="AM1807">
        <v>81061</v>
      </c>
    </row>
    <row r="1808" spans="1:39" x14ac:dyDescent="0.35">
      <c r="A1808" t="s">
        <v>18631</v>
      </c>
      <c r="B1808" t="str">
        <f>HYPERLINK("http://www.uniprot.org/uniprot/Q8NG95","Q8NG95")</f>
        <v>Q8NG95</v>
      </c>
      <c r="C1808" t="s">
        <v>18632</v>
      </c>
      <c r="D1808" t="s">
        <v>18633</v>
      </c>
      <c r="E1808" t="s">
        <v>39</v>
      </c>
      <c r="F1808" t="s">
        <v>55</v>
      </c>
      <c r="H1808">
        <v>312</v>
      </c>
      <c r="I1808">
        <v>7</v>
      </c>
      <c r="J1808">
        <v>0</v>
      </c>
      <c r="K1808" t="s">
        <v>18634</v>
      </c>
      <c r="L1808" t="s">
        <v>57</v>
      </c>
      <c r="N1808">
        <v>0.99199999999999999</v>
      </c>
      <c r="O1808" s="1">
        <v>1</v>
      </c>
      <c r="P1808" t="s">
        <v>18635</v>
      </c>
      <c r="Q1808" t="s">
        <v>18636</v>
      </c>
      <c r="S1808" t="s">
        <v>166</v>
      </c>
      <c r="T1808" t="s">
        <v>167</v>
      </c>
      <c r="U1808" t="s">
        <v>18637</v>
      </c>
      <c r="V1808">
        <v>2</v>
      </c>
      <c r="AE1808" t="s">
        <v>74</v>
      </c>
      <c r="AF1808" t="s">
        <v>169</v>
      </c>
      <c r="AG1808" t="s">
        <v>18638</v>
      </c>
      <c r="AH1808" t="str">
        <f>HYPERLINK("http://compartments.jensenlab.org/Entity?figures=subcell_cell_%&amp;knowledge=10&amp;textmining=10&amp;experiments=10&amp;predictions=10&amp;type1=9606&amp;type2=-22&amp;id1=ENSP00000302867","link")</f>
        <v>link</v>
      </c>
      <c r="AI1808" t="s">
        <v>65</v>
      </c>
      <c r="AJ1808" t="s">
        <v>51</v>
      </c>
      <c r="AK1808" t="str">
        <f>HYPERLINK("http://www.proteinatlas.org/Q8NG95","no")</f>
        <v>no</v>
      </c>
      <c r="AM1808">
        <v>390883</v>
      </c>
    </row>
    <row r="1809" spans="1:39" x14ac:dyDescent="0.35">
      <c r="A1809" t="s">
        <v>18639</v>
      </c>
      <c r="B1809" t="str">
        <f>HYPERLINK("http://www.uniprot.org/uniprot/Q8NG97","Q8NG97")</f>
        <v>Q8NG97</v>
      </c>
      <c r="C1809" t="s">
        <v>18640</v>
      </c>
      <c r="D1809" t="s">
        <v>18641</v>
      </c>
      <c r="E1809" t="s">
        <v>39</v>
      </c>
      <c r="F1809" t="s">
        <v>55</v>
      </c>
      <c r="H1809">
        <v>314</v>
      </c>
      <c r="I1809">
        <v>7</v>
      </c>
      <c r="J1809">
        <v>0</v>
      </c>
      <c r="K1809" t="s">
        <v>18642</v>
      </c>
      <c r="L1809" t="s">
        <v>57</v>
      </c>
      <c r="N1809">
        <v>0.97799999999999998</v>
      </c>
      <c r="O1809" s="1">
        <v>1</v>
      </c>
      <c r="P1809" t="s">
        <v>18643</v>
      </c>
      <c r="Q1809" t="s">
        <v>18644</v>
      </c>
      <c r="S1809" t="s">
        <v>166</v>
      </c>
      <c r="T1809" t="s">
        <v>167</v>
      </c>
      <c r="U1809" t="s">
        <v>18645</v>
      </c>
      <c r="V1809">
        <v>1</v>
      </c>
      <c r="AE1809" t="s">
        <v>74</v>
      </c>
      <c r="AF1809" t="s">
        <v>455</v>
      </c>
      <c r="AG1809" t="s">
        <v>18646</v>
      </c>
      <c r="AH1809" t="str">
        <f>HYPERLINK("http://compartments.jensenlab.org/Entity?figures=subcell_cell_%&amp;knowledge=10&amp;textmining=10&amp;experiments=10&amp;predictions=10&amp;type1=9606&amp;type2=-22&amp;id1=ENSP00000316284","link")</f>
        <v>link</v>
      </c>
      <c r="AI1809" t="s">
        <v>65</v>
      </c>
      <c r="AJ1809" t="s">
        <v>51</v>
      </c>
      <c r="AK1809" t="str">
        <f>HYPERLINK("http://www.proteinatlas.org/Q8NG97","HPA048760")</f>
        <v>HPA048760</v>
      </c>
      <c r="AM1809">
        <v>284383</v>
      </c>
    </row>
    <row r="1810" spans="1:39" x14ac:dyDescent="0.35">
      <c r="A1810" t="s">
        <v>18647</v>
      </c>
      <c r="B1810" t="str">
        <f>HYPERLINK("http://www.uniprot.org/uniprot/Q8NG98","Q8NG98")</f>
        <v>Q8NG98</v>
      </c>
      <c r="C1810" t="s">
        <v>18648</v>
      </c>
      <c r="D1810" t="s">
        <v>18649</v>
      </c>
      <c r="E1810" t="s">
        <v>39</v>
      </c>
      <c r="F1810" t="s">
        <v>55</v>
      </c>
      <c r="H1810">
        <v>312</v>
      </c>
      <c r="I1810">
        <v>7</v>
      </c>
      <c r="J1810">
        <v>0</v>
      </c>
      <c r="K1810" t="s">
        <v>18650</v>
      </c>
      <c r="L1810" t="s">
        <v>57</v>
      </c>
      <c r="M1810" t="s">
        <v>39</v>
      </c>
      <c r="N1810">
        <v>0.98560000000000003</v>
      </c>
      <c r="O1810" s="1">
        <v>1</v>
      </c>
      <c r="P1810" t="s">
        <v>18651</v>
      </c>
      <c r="Q1810" t="s">
        <v>18652</v>
      </c>
      <c r="S1810" t="s">
        <v>166</v>
      </c>
      <c r="T1810" t="s">
        <v>167</v>
      </c>
      <c r="U1810" t="s">
        <v>1191</v>
      </c>
      <c r="V1810">
        <v>1</v>
      </c>
      <c r="AE1810" t="s">
        <v>74</v>
      </c>
      <c r="AF1810" t="s">
        <v>169</v>
      </c>
      <c r="AG1810" t="s">
        <v>18653</v>
      </c>
      <c r="AH1810" t="str">
        <f>HYPERLINK("http://compartments.jensenlab.org/Entity?figures=subcell_cell_%&amp;knowledge=10&amp;textmining=10&amp;experiments=10&amp;predictions=10&amp;type1=9606&amp;type2=-22&amp;id1=ENSP00000310488","link")</f>
        <v>link</v>
      </c>
      <c r="AI1810" t="s">
        <v>65</v>
      </c>
      <c r="AJ1810" t="s">
        <v>51</v>
      </c>
      <c r="AK1810" t="str">
        <f>HYPERLINK("http://www.proteinatlas.org/Q8NG98","no")</f>
        <v>no</v>
      </c>
      <c r="AM1810">
        <v>125958</v>
      </c>
    </row>
    <row r="1811" spans="1:39" x14ac:dyDescent="0.35">
      <c r="A1811" t="s">
        <v>18654</v>
      </c>
      <c r="B1811" t="str">
        <f>HYPERLINK("http://www.uniprot.org/uniprot/Q8NG99","Q8NG99")</f>
        <v>Q8NG99</v>
      </c>
      <c r="C1811" t="s">
        <v>18655</v>
      </c>
      <c r="D1811" t="s">
        <v>18656</v>
      </c>
      <c r="E1811" t="s">
        <v>39</v>
      </c>
      <c r="F1811" t="s">
        <v>55</v>
      </c>
      <c r="H1811">
        <v>324</v>
      </c>
      <c r="I1811">
        <v>7</v>
      </c>
      <c r="J1811">
        <v>0</v>
      </c>
      <c r="K1811" t="s">
        <v>18657</v>
      </c>
      <c r="L1811" t="s">
        <v>57</v>
      </c>
      <c r="M1811" t="s">
        <v>39</v>
      </c>
      <c r="N1811">
        <v>0.97709999999999997</v>
      </c>
      <c r="O1811" s="1">
        <v>1</v>
      </c>
      <c r="P1811" t="s">
        <v>18658</v>
      </c>
      <c r="Q1811" t="s">
        <v>18659</v>
      </c>
      <c r="S1811" t="s">
        <v>166</v>
      </c>
      <c r="T1811" t="s">
        <v>167</v>
      </c>
      <c r="U1811" t="s">
        <v>18660</v>
      </c>
      <c r="V1811">
        <v>2</v>
      </c>
      <c r="AE1811" t="s">
        <v>74</v>
      </c>
      <c r="AF1811" t="s">
        <v>169</v>
      </c>
      <c r="AG1811" t="s">
        <v>18661</v>
      </c>
      <c r="AH1811" t="str">
        <f>HYPERLINK("http://compartments.jensenlab.org/Entity?figures=subcell_cell_%&amp;knowledge=10&amp;textmining=10&amp;experiments=10&amp;predictions=10&amp;type1=9606&amp;type2=-22&amp;id1=ENSP00000303822","link")</f>
        <v>link</v>
      </c>
      <c r="AI1811" t="s">
        <v>65</v>
      </c>
      <c r="AJ1811" t="s">
        <v>51</v>
      </c>
      <c r="AK1811" t="str">
        <f>HYPERLINK("http://www.proteinatlas.org/Q8NG99","no")</f>
        <v>no</v>
      </c>
      <c r="AM1811">
        <v>390882</v>
      </c>
    </row>
    <row r="1812" spans="1:39" x14ac:dyDescent="0.35">
      <c r="A1812" t="s">
        <v>18662</v>
      </c>
      <c r="B1812" t="str">
        <f>HYPERLINK("http://www.uniprot.org/uniprot/Q8NGA0","Q8NGA0")</f>
        <v>Q8NGA0</v>
      </c>
      <c r="C1812" t="s">
        <v>18663</v>
      </c>
      <c r="D1812" t="s">
        <v>18664</v>
      </c>
      <c r="E1812" t="s">
        <v>39</v>
      </c>
      <c r="F1812" t="s">
        <v>40</v>
      </c>
      <c r="H1812">
        <v>311</v>
      </c>
      <c r="I1812">
        <v>7</v>
      </c>
      <c r="J1812">
        <v>0</v>
      </c>
      <c r="K1812" t="s">
        <v>18665</v>
      </c>
      <c r="L1812" t="s">
        <v>57</v>
      </c>
      <c r="N1812">
        <v>0.97799999999999998</v>
      </c>
      <c r="O1812" s="1">
        <v>1</v>
      </c>
      <c r="P1812" t="s">
        <v>18666</v>
      </c>
      <c r="Q1812" t="s">
        <v>18667</v>
      </c>
      <c r="S1812" t="s">
        <v>166</v>
      </c>
      <c r="T1812" t="s">
        <v>167</v>
      </c>
      <c r="U1812" t="s">
        <v>18660</v>
      </c>
      <c r="V1812">
        <v>2</v>
      </c>
      <c r="AE1812" t="s">
        <v>74</v>
      </c>
      <c r="AF1812" t="s">
        <v>169</v>
      </c>
      <c r="AG1812" t="s">
        <v>18668</v>
      </c>
      <c r="AH1812" t="str">
        <f>HYPERLINK("http://compartments.jensenlab.org/Entity?figures=subcell_cell_%&amp;knowledge=10&amp;textmining=10&amp;experiments=10&amp;predictions=10&amp;type1=9606&amp;type2=-22&amp;id1=ENSP00000444134","link")</f>
        <v>link</v>
      </c>
      <c r="AK1812" t="str">
        <f>HYPERLINK("http://www.proteinatlas.org/Q8NGA0","no")</f>
        <v>no</v>
      </c>
      <c r="AM1812">
        <v>125962</v>
      </c>
    </row>
    <row r="1813" spans="1:39" x14ac:dyDescent="0.35">
      <c r="A1813" t="s">
        <v>18669</v>
      </c>
      <c r="B1813" t="str">
        <f>HYPERLINK("http://www.uniprot.org/uniprot/Q8NGA1","Q8NGA1")</f>
        <v>Q8NGA1</v>
      </c>
      <c r="C1813" t="s">
        <v>18670</v>
      </c>
      <c r="D1813" t="s">
        <v>18671</v>
      </c>
      <c r="E1813" t="s">
        <v>39</v>
      </c>
      <c r="F1813" t="s">
        <v>55</v>
      </c>
      <c r="H1813">
        <v>313</v>
      </c>
      <c r="I1813">
        <v>7</v>
      </c>
      <c r="J1813">
        <v>0</v>
      </c>
      <c r="K1813" t="s">
        <v>18672</v>
      </c>
      <c r="L1813" t="s">
        <v>57</v>
      </c>
      <c r="N1813">
        <v>0.996</v>
      </c>
      <c r="O1813" s="1">
        <v>1</v>
      </c>
      <c r="P1813" t="s">
        <v>18673</v>
      </c>
      <c r="Q1813" t="s">
        <v>18674</v>
      </c>
      <c r="S1813" t="s">
        <v>166</v>
      </c>
      <c r="T1813" t="s">
        <v>167</v>
      </c>
      <c r="U1813" t="s">
        <v>1191</v>
      </c>
      <c r="V1813">
        <v>1</v>
      </c>
      <c r="AE1813" t="s">
        <v>74</v>
      </c>
      <c r="AF1813" t="s">
        <v>549</v>
      </c>
      <c r="AG1813" t="s">
        <v>18675</v>
      </c>
      <c r="AH1813" t="str">
        <f>HYPERLINK("http://compartments.jensenlab.org/Entity?figures=subcell_cell_%&amp;knowledge=10&amp;textmining=10&amp;experiments=10&amp;predictions=10&amp;type1=9606&amp;type2=-22&amp;id1=ENSP00000401966","link")</f>
        <v>link</v>
      </c>
      <c r="AI1813" t="s">
        <v>65</v>
      </c>
      <c r="AJ1813" t="s">
        <v>51</v>
      </c>
      <c r="AK1813" t="str">
        <f>HYPERLINK("http://www.proteinatlas.org/Q8NGA1","no")</f>
        <v>no</v>
      </c>
      <c r="AM1813">
        <v>125963</v>
      </c>
    </row>
    <row r="1814" spans="1:39" x14ac:dyDescent="0.35">
      <c r="A1814" t="s">
        <v>18676</v>
      </c>
      <c r="B1814" t="str">
        <f>HYPERLINK("http://www.uniprot.org/uniprot/Q8NGA2","Q8NGA2")</f>
        <v>Q8NGA2</v>
      </c>
      <c r="C1814" t="s">
        <v>18677</v>
      </c>
      <c r="D1814" t="s">
        <v>18678</v>
      </c>
      <c r="E1814" t="s">
        <v>39</v>
      </c>
      <c r="F1814" t="s">
        <v>40</v>
      </c>
      <c r="H1814">
        <v>310</v>
      </c>
      <c r="I1814">
        <v>7</v>
      </c>
      <c r="J1814">
        <v>0</v>
      </c>
      <c r="K1814" t="s">
        <v>18679</v>
      </c>
      <c r="L1814" t="s">
        <v>57</v>
      </c>
      <c r="N1814">
        <v>0.97209999999999996</v>
      </c>
      <c r="O1814" s="1">
        <v>1</v>
      </c>
      <c r="S1814" t="s">
        <v>166</v>
      </c>
      <c r="T1814" t="s">
        <v>2880</v>
      </c>
      <c r="U1814" t="s">
        <v>2899</v>
      </c>
      <c r="V1814">
        <v>1</v>
      </c>
      <c r="AE1814" t="s">
        <v>74</v>
      </c>
      <c r="AF1814" t="s">
        <v>549</v>
      </c>
      <c r="AG1814" t="s">
        <v>18680</v>
      </c>
      <c r="AK1814" t="str">
        <f>HYPERLINK("http://www.proteinatlas.org/Q8NGA2","no")</f>
        <v>no</v>
      </c>
    </row>
    <row r="1815" spans="1:39" x14ac:dyDescent="0.35">
      <c r="A1815" t="s">
        <v>18681</v>
      </c>
      <c r="B1815" t="str">
        <f>HYPERLINK("http://www.uniprot.org/uniprot/Q8NGA4","Q8NGA4")</f>
        <v>Q8NGA4</v>
      </c>
      <c r="C1815" t="s">
        <v>18682</v>
      </c>
      <c r="D1815" t="s">
        <v>18683</v>
      </c>
      <c r="E1815" t="s">
        <v>39</v>
      </c>
      <c r="F1815" t="s">
        <v>40</v>
      </c>
      <c r="H1815">
        <v>272</v>
      </c>
      <c r="I1815">
        <v>5</v>
      </c>
      <c r="J1815">
        <v>0</v>
      </c>
      <c r="K1815" t="s">
        <v>18684</v>
      </c>
      <c r="L1815" t="s">
        <v>57</v>
      </c>
      <c r="N1815">
        <v>0.68459999999999999</v>
      </c>
      <c r="O1815" s="1">
        <v>2</v>
      </c>
      <c r="S1815" t="s">
        <v>60</v>
      </c>
      <c r="T1815" t="s">
        <v>60</v>
      </c>
      <c r="U1815" t="s">
        <v>18685</v>
      </c>
      <c r="V1815">
        <v>2</v>
      </c>
      <c r="AE1815" t="s">
        <v>74</v>
      </c>
      <c r="AF1815" t="s">
        <v>1913</v>
      </c>
      <c r="AG1815" t="s">
        <v>18686</v>
      </c>
      <c r="AK1815" t="str">
        <f>HYPERLINK("http://www.proteinatlas.org/Q8NGA4","no")</f>
        <v>no</v>
      </c>
    </row>
    <row r="1816" spans="1:39" x14ac:dyDescent="0.35">
      <c r="A1816" t="s">
        <v>18687</v>
      </c>
      <c r="B1816" t="str">
        <f>HYPERLINK("http://www.uniprot.org/uniprot/Q8NGA5","Q8NGA5")</f>
        <v>Q8NGA5</v>
      </c>
      <c r="C1816" t="s">
        <v>18688</v>
      </c>
      <c r="D1816" t="s">
        <v>18689</v>
      </c>
      <c r="E1816" t="s">
        <v>39</v>
      </c>
      <c r="F1816" t="s">
        <v>55</v>
      </c>
      <c r="H1816">
        <v>316</v>
      </c>
      <c r="I1816">
        <v>7</v>
      </c>
      <c r="J1816">
        <v>0</v>
      </c>
      <c r="K1816" t="s">
        <v>18690</v>
      </c>
      <c r="L1816" t="s">
        <v>57</v>
      </c>
      <c r="N1816">
        <v>0.96209999999999996</v>
      </c>
      <c r="O1816" s="1">
        <v>1</v>
      </c>
      <c r="P1816" t="s">
        <v>18691</v>
      </c>
      <c r="Q1816" t="s">
        <v>18692</v>
      </c>
      <c r="S1816" t="s">
        <v>166</v>
      </c>
      <c r="T1816" t="s">
        <v>167</v>
      </c>
      <c r="U1816" t="s">
        <v>18693</v>
      </c>
      <c r="V1816">
        <v>2</v>
      </c>
      <c r="AE1816" t="s">
        <v>74</v>
      </c>
      <c r="AF1816" t="s">
        <v>169</v>
      </c>
      <c r="AG1816" t="s">
        <v>18694</v>
      </c>
      <c r="AH1816" t="str">
        <f>HYPERLINK("http://compartments.jensenlab.org/Entity?figures=subcell_cell_%&amp;knowledge=10&amp;textmining=10&amp;experiments=10&amp;predictions=10&amp;type1=9606&amp;type2=-22&amp;id1=ENSP00000318834","link")</f>
        <v>link</v>
      </c>
      <c r="AI1816" t="s">
        <v>65</v>
      </c>
      <c r="AJ1816" t="s">
        <v>51</v>
      </c>
      <c r="AK1816" t="str">
        <f>HYPERLINK("http://www.proteinatlas.org/Q8NGA5","no")</f>
        <v>no</v>
      </c>
      <c r="AM1816">
        <v>126541</v>
      </c>
    </row>
    <row r="1817" spans="1:39" x14ac:dyDescent="0.35">
      <c r="A1817" t="s">
        <v>18695</v>
      </c>
      <c r="B1817" t="str">
        <f>HYPERLINK("http://www.uniprot.org/uniprot/Q8NGA6","Q8NGA6")</f>
        <v>Q8NGA6</v>
      </c>
      <c r="C1817" t="s">
        <v>18696</v>
      </c>
      <c r="D1817" t="s">
        <v>18697</v>
      </c>
      <c r="E1817" t="s">
        <v>39</v>
      </c>
      <c r="F1817" t="s">
        <v>55</v>
      </c>
      <c r="H1817">
        <v>315</v>
      </c>
      <c r="I1817">
        <v>7</v>
      </c>
      <c r="J1817">
        <v>0</v>
      </c>
      <c r="K1817" t="s">
        <v>18698</v>
      </c>
      <c r="L1817" t="s">
        <v>57</v>
      </c>
      <c r="N1817">
        <v>0.90820000000000001</v>
      </c>
      <c r="O1817" s="1">
        <v>1</v>
      </c>
      <c r="P1817" t="s">
        <v>18699</v>
      </c>
      <c r="Q1817" t="s">
        <v>18700</v>
      </c>
      <c r="S1817" t="s">
        <v>166</v>
      </c>
      <c r="T1817" t="s">
        <v>167</v>
      </c>
      <c r="U1817">
        <v>5</v>
      </c>
      <c r="V1817">
        <v>1</v>
      </c>
      <c r="AE1817" t="s">
        <v>74</v>
      </c>
      <c r="AF1817" t="s">
        <v>549</v>
      </c>
      <c r="AG1817" t="s">
        <v>18701</v>
      </c>
      <c r="AH1817" t="str">
        <f>HYPERLINK("http://compartments.jensenlab.org/Entity?figures=subcell_cell_%&amp;knowledge=10&amp;textmining=10&amp;experiments=10&amp;predictions=10&amp;type1=9606&amp;type2=-22&amp;id1=ENSP00000310704","link")</f>
        <v>link</v>
      </c>
      <c r="AI1817" t="s">
        <v>65</v>
      </c>
      <c r="AJ1817" t="s">
        <v>51</v>
      </c>
      <c r="AK1817" t="str">
        <f>HYPERLINK("http://www.proteinatlas.org/Q8NGA6","no")</f>
        <v>no</v>
      </c>
      <c r="AM1817">
        <v>284433</v>
      </c>
    </row>
    <row r="1818" spans="1:39" x14ac:dyDescent="0.35">
      <c r="A1818" t="s">
        <v>18702</v>
      </c>
      <c r="B1818" t="str">
        <f>HYPERLINK("http://www.uniprot.org/uniprot/Q8NGA8","Q8NGA8")</f>
        <v>Q8NGA8</v>
      </c>
      <c r="C1818" t="s">
        <v>18703</v>
      </c>
      <c r="D1818" t="s">
        <v>18704</v>
      </c>
      <c r="E1818" t="s">
        <v>39</v>
      </c>
      <c r="F1818" t="s">
        <v>55</v>
      </c>
      <c r="H1818">
        <v>305</v>
      </c>
      <c r="I1818">
        <v>7</v>
      </c>
      <c r="J1818">
        <v>0</v>
      </c>
      <c r="K1818" t="s">
        <v>18705</v>
      </c>
      <c r="L1818" t="s">
        <v>57</v>
      </c>
      <c r="N1818">
        <v>0.78639999999999999</v>
      </c>
      <c r="O1818" s="1">
        <v>1</v>
      </c>
      <c r="P1818" t="s">
        <v>18706</v>
      </c>
      <c r="Q1818" t="s">
        <v>18707</v>
      </c>
      <c r="S1818" t="s">
        <v>166</v>
      </c>
      <c r="T1818" t="s">
        <v>167</v>
      </c>
      <c r="U1818">
        <v>58</v>
      </c>
      <c r="V1818">
        <v>0</v>
      </c>
      <c r="AE1818" t="s">
        <v>74</v>
      </c>
      <c r="AF1818" t="s">
        <v>277</v>
      </c>
      <c r="AG1818" t="s">
        <v>18708</v>
      </c>
      <c r="AH1818" t="str">
        <f>HYPERLINK("http://compartments.jensenlab.org/Entity?figures=subcell_cell_%&amp;knowledge=10&amp;textmining=10&amp;experiments=10&amp;predictions=10&amp;type1=9606&amp;type2=-22&amp;id1=ENSP00000315047","link")</f>
        <v>link</v>
      </c>
      <c r="AI1818" t="s">
        <v>65</v>
      </c>
      <c r="AJ1818" t="s">
        <v>51</v>
      </c>
      <c r="AK1818" t="str">
        <f>HYPERLINK("http://www.proteinatlas.org/Q8NGA8","no")</f>
        <v>no</v>
      </c>
      <c r="AM1818">
        <v>81099</v>
      </c>
    </row>
    <row r="1819" spans="1:39" x14ac:dyDescent="0.35">
      <c r="A1819" t="s">
        <v>18709</v>
      </c>
      <c r="B1819" t="str">
        <f>HYPERLINK("http://www.uniprot.org/uniprot/Q8NGB2","Q8NGB2")</f>
        <v>Q8NGB2</v>
      </c>
      <c r="C1819" t="s">
        <v>18710</v>
      </c>
      <c r="D1819" t="s">
        <v>18711</v>
      </c>
      <c r="E1819" t="s">
        <v>39</v>
      </c>
      <c r="F1819" t="s">
        <v>55</v>
      </c>
      <c r="H1819">
        <v>326</v>
      </c>
      <c r="I1819">
        <v>7</v>
      </c>
      <c r="J1819">
        <v>0</v>
      </c>
      <c r="K1819" t="s">
        <v>18712</v>
      </c>
      <c r="L1819" t="s">
        <v>57</v>
      </c>
      <c r="N1819">
        <v>0.93210000000000004</v>
      </c>
      <c r="O1819" s="1">
        <v>1</v>
      </c>
      <c r="P1819" t="s">
        <v>18713</v>
      </c>
      <c r="Q1819" t="s">
        <v>18714</v>
      </c>
      <c r="S1819" t="s">
        <v>166</v>
      </c>
      <c r="T1819" t="s">
        <v>167</v>
      </c>
      <c r="U1819">
        <v>29</v>
      </c>
      <c r="V1819">
        <v>1</v>
      </c>
      <c r="AE1819" t="s">
        <v>74</v>
      </c>
      <c r="AF1819" t="s">
        <v>549</v>
      </c>
      <c r="AG1819" t="s">
        <v>18715</v>
      </c>
      <c r="AH1819" t="str">
        <f>HYPERLINK("http://compartments.jensenlab.org/Entity?figures=subcell_cell_%&amp;knowledge=10&amp;textmining=10&amp;experiments=10&amp;predictions=10&amp;type1=9606&amp;type2=-22&amp;id1=ENSP00000321338","link")</f>
        <v>link</v>
      </c>
      <c r="AI1819" t="s">
        <v>65</v>
      </c>
      <c r="AJ1819" t="s">
        <v>51</v>
      </c>
      <c r="AK1819" t="str">
        <f>HYPERLINK("http://www.proteinatlas.org/Q8NGB2","HPA049516")</f>
        <v>HPA049516</v>
      </c>
    </row>
    <row r="1820" spans="1:39" x14ac:dyDescent="0.35">
      <c r="A1820" t="s">
        <v>18716</v>
      </c>
      <c r="B1820" t="str">
        <f>HYPERLINK("http://www.uniprot.org/uniprot/Q8NGB4","Q8NGB4")</f>
        <v>Q8NGB4</v>
      </c>
      <c r="C1820" t="s">
        <v>18717</v>
      </c>
      <c r="D1820" t="s">
        <v>18718</v>
      </c>
      <c r="E1820" t="s">
        <v>39</v>
      </c>
      <c r="F1820" t="s">
        <v>55</v>
      </c>
      <c r="H1820">
        <v>309</v>
      </c>
      <c r="I1820">
        <v>7</v>
      </c>
      <c r="J1820">
        <v>0</v>
      </c>
      <c r="K1820" t="s">
        <v>18719</v>
      </c>
      <c r="L1820" t="s">
        <v>57</v>
      </c>
      <c r="N1820">
        <v>0.98399999999999999</v>
      </c>
      <c r="O1820" s="1">
        <v>1</v>
      </c>
      <c r="P1820" t="s">
        <v>18720</v>
      </c>
      <c r="Q1820" t="s">
        <v>18721</v>
      </c>
      <c r="S1820" t="s">
        <v>166</v>
      </c>
      <c r="T1820" t="s">
        <v>167</v>
      </c>
      <c r="U1820">
        <v>6</v>
      </c>
      <c r="V1820">
        <v>1</v>
      </c>
      <c r="AE1820" t="s">
        <v>74</v>
      </c>
      <c r="AF1820" t="s">
        <v>549</v>
      </c>
      <c r="AG1820" t="s">
        <v>18722</v>
      </c>
      <c r="AH1820" t="str">
        <f>HYPERLINK("http://compartments.jensenlab.org/Entity?figures=subcell_cell_%&amp;knowledge=10&amp;textmining=10&amp;experiments=10&amp;predictions=10&amp;type1=9606&amp;type2=-22&amp;id1=ENSP00000321447","link")</f>
        <v>link</v>
      </c>
      <c r="AI1820" t="s">
        <v>65</v>
      </c>
      <c r="AJ1820" t="s">
        <v>51</v>
      </c>
      <c r="AK1820" t="str">
        <f>HYPERLINK("http://www.proteinatlas.org/Q8NGB4","no")</f>
        <v>no</v>
      </c>
      <c r="AM1820">
        <v>256148</v>
      </c>
    </row>
    <row r="1821" spans="1:39" x14ac:dyDescent="0.35">
      <c r="A1821" t="s">
        <v>18723</v>
      </c>
      <c r="B1821" t="str">
        <f>HYPERLINK("http://www.uniprot.org/uniprot/Q8NGB6","Q8NGB6")</f>
        <v>Q8NGB6</v>
      </c>
      <c r="C1821" t="s">
        <v>18724</v>
      </c>
      <c r="D1821" t="s">
        <v>18725</v>
      </c>
      <c r="E1821" t="s">
        <v>39</v>
      </c>
      <c r="F1821" t="s">
        <v>55</v>
      </c>
      <c r="H1821">
        <v>313</v>
      </c>
      <c r="I1821">
        <v>7</v>
      </c>
      <c r="J1821">
        <v>0</v>
      </c>
      <c r="K1821" t="s">
        <v>18726</v>
      </c>
      <c r="L1821" t="s">
        <v>57</v>
      </c>
      <c r="M1821" t="s">
        <v>39</v>
      </c>
      <c r="N1821">
        <v>0.98880000000000001</v>
      </c>
      <c r="O1821" s="1">
        <v>1</v>
      </c>
      <c r="P1821" t="s">
        <v>18727</v>
      </c>
      <c r="Q1821" t="s">
        <v>18728</v>
      </c>
      <c r="S1821" t="s">
        <v>166</v>
      </c>
      <c r="T1821" t="s">
        <v>167</v>
      </c>
      <c r="U1821">
        <v>5</v>
      </c>
      <c r="V1821">
        <v>1</v>
      </c>
      <c r="AE1821" t="s">
        <v>74</v>
      </c>
      <c r="AF1821" t="s">
        <v>169</v>
      </c>
      <c r="AG1821" t="s">
        <v>18729</v>
      </c>
      <c r="AH1821" t="str">
        <f>HYPERLINK("http://compartments.jensenlab.org/Entity?figures=subcell_cell_%&amp;knowledge=10&amp;textmining=10&amp;experiments=10&amp;predictions=10&amp;type1=9606&amp;type2=-22&amp;id1=ENSP00000329467","link")</f>
        <v>link</v>
      </c>
      <c r="AI1821" t="s">
        <v>65</v>
      </c>
      <c r="AJ1821" t="s">
        <v>51</v>
      </c>
      <c r="AK1821" t="str">
        <f>HYPERLINK("http://www.proteinatlas.org/Q8NGB6","HPA058889")</f>
        <v>HPA058889</v>
      </c>
      <c r="AM1821">
        <v>390538</v>
      </c>
    </row>
    <row r="1822" spans="1:39" x14ac:dyDescent="0.35">
      <c r="A1822" t="s">
        <v>18730</v>
      </c>
      <c r="B1822" t="str">
        <f>HYPERLINK("http://www.uniprot.org/uniprot/Q8NGB8","Q8NGB8")</f>
        <v>Q8NGB8</v>
      </c>
      <c r="C1822" t="s">
        <v>18731</v>
      </c>
      <c r="D1822" t="s">
        <v>18732</v>
      </c>
      <c r="E1822" t="s">
        <v>39</v>
      </c>
      <c r="F1822" t="s">
        <v>55</v>
      </c>
      <c r="H1822">
        <v>312</v>
      </c>
      <c r="I1822">
        <v>7</v>
      </c>
      <c r="J1822">
        <v>0</v>
      </c>
      <c r="K1822" t="s">
        <v>18733</v>
      </c>
      <c r="L1822" t="s">
        <v>57</v>
      </c>
      <c r="N1822">
        <v>0.98199999999999998</v>
      </c>
      <c r="O1822" s="1">
        <v>1</v>
      </c>
      <c r="P1822" t="s">
        <v>18734</v>
      </c>
      <c r="Q1822" t="s">
        <v>18735</v>
      </c>
      <c r="S1822" t="s">
        <v>166</v>
      </c>
      <c r="T1822" t="s">
        <v>167</v>
      </c>
      <c r="U1822" t="s">
        <v>1191</v>
      </c>
      <c r="V1822">
        <v>1</v>
      </c>
      <c r="AE1822" t="s">
        <v>74</v>
      </c>
      <c r="AF1822" t="s">
        <v>549</v>
      </c>
      <c r="AG1822" t="s">
        <v>18736</v>
      </c>
      <c r="AH1822" t="str">
        <f>HYPERLINK("http://compartments.jensenlab.org/Entity?figures=subcell_cell_%&amp;knowledge=10&amp;textmining=10&amp;experiments=10&amp;predictions=10&amp;type1=9606&amp;type2=-22&amp;id1=ENSP00000333184","link")</f>
        <v>link</v>
      </c>
      <c r="AI1822" t="s">
        <v>65</v>
      </c>
      <c r="AJ1822" t="s">
        <v>51</v>
      </c>
      <c r="AK1822" t="str">
        <f>HYPERLINK("http://www.proteinatlas.org/Q8NGB8","no")</f>
        <v>no</v>
      </c>
      <c r="AM1822">
        <v>390649</v>
      </c>
    </row>
    <row r="1823" spans="1:39" x14ac:dyDescent="0.35">
      <c r="A1823" t="s">
        <v>18737</v>
      </c>
      <c r="B1823" t="str">
        <f>HYPERLINK("http://www.uniprot.org/uniprot/Q8NGB9","Q8NGB9")</f>
        <v>Q8NGB9</v>
      </c>
      <c r="C1823" t="s">
        <v>18738</v>
      </c>
      <c r="D1823" t="s">
        <v>18739</v>
      </c>
      <c r="E1823" t="s">
        <v>39</v>
      </c>
      <c r="F1823" t="s">
        <v>55</v>
      </c>
      <c r="H1823">
        <v>312</v>
      </c>
      <c r="I1823">
        <v>7</v>
      </c>
      <c r="J1823">
        <v>0</v>
      </c>
      <c r="K1823" t="s">
        <v>18740</v>
      </c>
      <c r="L1823" t="s">
        <v>57</v>
      </c>
      <c r="N1823">
        <v>0.97799999999999998</v>
      </c>
      <c r="O1823" s="1">
        <v>1</v>
      </c>
      <c r="P1823" t="s">
        <v>18741</v>
      </c>
      <c r="Q1823" t="s">
        <v>18742</v>
      </c>
      <c r="S1823" t="s">
        <v>166</v>
      </c>
      <c r="T1823" t="s">
        <v>167</v>
      </c>
      <c r="U1823" t="s">
        <v>18743</v>
      </c>
      <c r="V1823">
        <v>1</v>
      </c>
      <c r="AE1823" t="s">
        <v>74</v>
      </c>
      <c r="AF1823" t="s">
        <v>549</v>
      </c>
      <c r="AG1823" t="s">
        <v>18744</v>
      </c>
      <c r="AH1823" t="str">
        <f>HYPERLINK("http://compartments.jensenlab.org/Entity?figures=subcell_cell_%&amp;knowledge=10&amp;textmining=10&amp;experiments=10&amp;predictions=10&amp;type1=9606&amp;type2=-22&amp;id1=ENSP00000327525","link")</f>
        <v>link</v>
      </c>
      <c r="AI1823" t="s">
        <v>65</v>
      </c>
      <c r="AJ1823" t="s">
        <v>51</v>
      </c>
      <c r="AK1823" t="str">
        <f>HYPERLINK("http://www.proteinatlas.org/Q8NGB9","no")</f>
        <v>no</v>
      </c>
      <c r="AM1823">
        <v>390648</v>
      </c>
    </row>
    <row r="1824" spans="1:39" x14ac:dyDescent="0.35">
      <c r="A1824" t="s">
        <v>18745</v>
      </c>
      <c r="B1824" t="str">
        <f>HYPERLINK("http://www.uniprot.org/uniprot/Q8NGC0","Q8NGC0")</f>
        <v>Q8NGC0</v>
      </c>
      <c r="C1824" t="s">
        <v>18746</v>
      </c>
      <c r="D1824" t="s">
        <v>18747</v>
      </c>
      <c r="E1824" t="s">
        <v>39</v>
      </c>
      <c r="F1824" t="s">
        <v>55</v>
      </c>
      <c r="H1824">
        <v>362</v>
      </c>
      <c r="I1824">
        <v>7</v>
      </c>
      <c r="J1824">
        <v>0</v>
      </c>
      <c r="K1824" t="s">
        <v>18748</v>
      </c>
      <c r="L1824" t="s">
        <v>57</v>
      </c>
      <c r="M1824" t="s">
        <v>39</v>
      </c>
      <c r="N1824">
        <v>0.82179999999999997</v>
      </c>
      <c r="O1824" s="1">
        <v>1</v>
      </c>
      <c r="P1824" t="s">
        <v>18749</v>
      </c>
      <c r="Q1824" t="s">
        <v>18750</v>
      </c>
      <c r="S1824" t="s">
        <v>166</v>
      </c>
      <c r="T1824" t="s">
        <v>167</v>
      </c>
      <c r="U1824">
        <v>56</v>
      </c>
      <c r="V1824">
        <v>1</v>
      </c>
      <c r="AE1824" t="s">
        <v>74</v>
      </c>
      <c r="AF1824" t="s">
        <v>169</v>
      </c>
      <c r="AG1824" t="s">
        <v>18751</v>
      </c>
      <c r="AH1824" t="str">
        <f>HYPERLINK("http://compartments.jensenlab.org/Entity?figures=subcell_cell_%&amp;knowledge=10&amp;textmining=10&amp;experiments=10&amp;predictions=10&amp;type1=9606&amp;type2=-22&amp;id1=ENSP00000302057","link")</f>
        <v>link</v>
      </c>
      <c r="AI1824" t="s">
        <v>65</v>
      </c>
      <c r="AJ1824" t="s">
        <v>51</v>
      </c>
      <c r="AK1824" t="str">
        <f>HYPERLINK("http://www.proteinatlas.org/Q8NGC0","no")</f>
        <v>no</v>
      </c>
      <c r="AM1824">
        <v>390445</v>
      </c>
    </row>
    <row r="1825" spans="1:39" x14ac:dyDescent="0.35">
      <c r="A1825" t="s">
        <v>18752</v>
      </c>
      <c r="B1825" t="str">
        <f>HYPERLINK("http://www.uniprot.org/uniprot/Q8NGC1","Q8NGC1")</f>
        <v>Q8NGC1</v>
      </c>
      <c r="C1825" t="s">
        <v>18753</v>
      </c>
      <c r="D1825" t="s">
        <v>18754</v>
      </c>
      <c r="E1825" t="s">
        <v>39</v>
      </c>
      <c r="F1825" t="s">
        <v>55</v>
      </c>
      <c r="H1825">
        <v>345</v>
      </c>
      <c r="I1825">
        <v>7</v>
      </c>
      <c r="J1825">
        <v>0</v>
      </c>
      <c r="K1825" t="s">
        <v>18755</v>
      </c>
      <c r="L1825" t="s">
        <v>57</v>
      </c>
      <c r="M1825" t="s">
        <v>39</v>
      </c>
      <c r="N1825">
        <v>0.91390000000000005</v>
      </c>
      <c r="O1825" s="1">
        <v>1</v>
      </c>
      <c r="P1825" t="s">
        <v>18756</v>
      </c>
      <c r="Q1825" t="s">
        <v>18757</v>
      </c>
      <c r="S1825" t="s">
        <v>166</v>
      </c>
      <c r="T1825" t="s">
        <v>167</v>
      </c>
      <c r="U1825" t="s">
        <v>18758</v>
      </c>
      <c r="V1825">
        <v>2</v>
      </c>
      <c r="AE1825" t="s">
        <v>74</v>
      </c>
      <c r="AF1825" t="s">
        <v>169</v>
      </c>
      <c r="AG1825" t="s">
        <v>18759</v>
      </c>
      <c r="AH1825" t="str">
        <f>HYPERLINK("http://compartments.jensenlab.org/Entity?figures=subcell_cell_%&amp;knowledge=10&amp;textmining=10&amp;experiments=10&amp;predictions=10&amp;type1=9606&amp;type2=-22&amp;id1=ENSP00000349930","link")</f>
        <v>link</v>
      </c>
      <c r="AI1825" t="s">
        <v>65</v>
      </c>
      <c r="AJ1825" t="s">
        <v>51</v>
      </c>
      <c r="AK1825" t="str">
        <f>HYPERLINK("http://www.proteinatlas.org/Q8NGC1","no")</f>
        <v>no</v>
      </c>
      <c r="AM1825">
        <v>390439</v>
      </c>
    </row>
    <row r="1826" spans="1:39" x14ac:dyDescent="0.35">
      <c r="A1826" t="s">
        <v>18760</v>
      </c>
      <c r="B1826" t="str">
        <f>HYPERLINK("http://www.uniprot.org/uniprot/Q8NGC2","Q8NGC2")</f>
        <v>Q8NGC2</v>
      </c>
      <c r="C1826" t="s">
        <v>18761</v>
      </c>
      <c r="D1826" t="s">
        <v>18762</v>
      </c>
      <c r="E1826" t="s">
        <v>39</v>
      </c>
      <c r="F1826" t="s">
        <v>55</v>
      </c>
      <c r="H1826">
        <v>313</v>
      </c>
      <c r="I1826">
        <v>7</v>
      </c>
      <c r="J1826">
        <v>0</v>
      </c>
      <c r="K1826" t="s">
        <v>18763</v>
      </c>
      <c r="L1826" t="s">
        <v>57</v>
      </c>
      <c r="N1826">
        <v>0.98199999999999998</v>
      </c>
      <c r="O1826" s="1">
        <v>1</v>
      </c>
      <c r="P1826" t="s">
        <v>18764</v>
      </c>
      <c r="Q1826" t="s">
        <v>18765</v>
      </c>
      <c r="S1826" t="s">
        <v>166</v>
      </c>
      <c r="T1826" t="s">
        <v>167</v>
      </c>
      <c r="U1826" t="s">
        <v>1191</v>
      </c>
      <c r="V1826">
        <v>1</v>
      </c>
      <c r="AE1826" t="s">
        <v>74</v>
      </c>
      <c r="AF1826" t="s">
        <v>169</v>
      </c>
      <c r="AG1826" t="s">
        <v>18766</v>
      </c>
      <c r="AH1826" t="str">
        <f>HYPERLINK("http://compartments.jensenlab.org/Entity?figures=subcell_cell_%&amp;knowledge=10&amp;textmining=10&amp;experiments=10&amp;predictions=10&amp;type1=9606&amp;type2=-22&amp;id1=ENSP00000386195","link")</f>
        <v>link</v>
      </c>
      <c r="AI1826" t="s">
        <v>65</v>
      </c>
      <c r="AJ1826" t="s">
        <v>51</v>
      </c>
      <c r="AK1826" t="str">
        <f>HYPERLINK("http://www.proteinatlas.org/Q8NGC2","no")</f>
        <v>no</v>
      </c>
    </row>
    <row r="1827" spans="1:39" x14ac:dyDescent="0.35">
      <c r="A1827" t="s">
        <v>18767</v>
      </c>
      <c r="B1827" t="str">
        <f>HYPERLINK("http://www.uniprot.org/uniprot/Q8NGC3","Q8NGC3")</f>
        <v>Q8NGC3</v>
      </c>
      <c r="C1827" t="s">
        <v>18768</v>
      </c>
      <c r="D1827" t="s">
        <v>18769</v>
      </c>
      <c r="E1827" t="s">
        <v>39</v>
      </c>
      <c r="F1827" t="s">
        <v>40</v>
      </c>
      <c r="H1827">
        <v>310</v>
      </c>
      <c r="I1827">
        <v>7</v>
      </c>
      <c r="J1827">
        <v>0</v>
      </c>
      <c r="K1827" t="s">
        <v>18770</v>
      </c>
      <c r="L1827" t="s">
        <v>57</v>
      </c>
      <c r="N1827">
        <v>0.64470000000000005</v>
      </c>
      <c r="O1827" s="1">
        <v>2</v>
      </c>
      <c r="P1827" t="s">
        <v>18771</v>
      </c>
      <c r="Q1827" t="s">
        <v>18772</v>
      </c>
      <c r="S1827" t="s">
        <v>166</v>
      </c>
      <c r="T1827" t="s">
        <v>167</v>
      </c>
      <c r="U1827">
        <v>6</v>
      </c>
      <c r="V1827">
        <v>1</v>
      </c>
      <c r="AE1827" t="s">
        <v>74</v>
      </c>
      <c r="AF1827" t="s">
        <v>169</v>
      </c>
      <c r="AG1827" t="s">
        <v>18773</v>
      </c>
      <c r="AH1827" t="str">
        <f>HYPERLINK("http://compartments.jensenlab.org/Entity?figures=subcell_cell_%&amp;knowledge=10&amp;textmining=10&amp;experiments=10&amp;predictions=10&amp;type1=9606&amp;type2=-22&amp;id1=ENSP00000445383","link")</f>
        <v>link</v>
      </c>
      <c r="AK1827" t="str">
        <f>HYPERLINK("http://www.proteinatlas.org/Q8NGC3","no")</f>
        <v>no</v>
      </c>
    </row>
    <row r="1828" spans="1:39" x14ac:dyDescent="0.35">
      <c r="A1828" t="s">
        <v>18774</v>
      </c>
      <c r="B1828" t="str">
        <f>HYPERLINK("http://www.uniprot.org/uniprot/Q8NGC4","Q8NGC4")</f>
        <v>Q8NGC4</v>
      </c>
      <c r="C1828" t="s">
        <v>18775</v>
      </c>
      <c r="D1828" t="s">
        <v>18776</v>
      </c>
      <c r="E1828" t="s">
        <v>39</v>
      </c>
      <c r="F1828" t="s">
        <v>55</v>
      </c>
      <c r="H1828">
        <v>313</v>
      </c>
      <c r="I1828">
        <v>7</v>
      </c>
      <c r="J1828">
        <v>0</v>
      </c>
      <c r="K1828" t="s">
        <v>18777</v>
      </c>
      <c r="L1828" t="s">
        <v>57</v>
      </c>
      <c r="M1828" t="s">
        <v>39</v>
      </c>
      <c r="N1828">
        <v>0.93479999999999996</v>
      </c>
      <c r="O1828" s="1">
        <v>1</v>
      </c>
      <c r="P1828" t="s">
        <v>18778</v>
      </c>
      <c r="Q1828" t="s">
        <v>18779</v>
      </c>
      <c r="S1828" t="s">
        <v>166</v>
      </c>
      <c r="T1828" t="s">
        <v>167</v>
      </c>
      <c r="U1828" t="s">
        <v>18780</v>
      </c>
      <c r="V1828">
        <v>2</v>
      </c>
      <c r="AE1828" t="s">
        <v>74</v>
      </c>
      <c r="AF1828" t="s">
        <v>169</v>
      </c>
      <c r="AG1828" t="s">
        <v>18781</v>
      </c>
      <c r="AH1828" t="str">
        <f>HYPERLINK("http://compartments.jensenlab.org/Entity?figures=subcell_cell_%&amp;knowledge=10&amp;textmining=10&amp;experiments=10&amp;predictions=10&amp;type1=9606&amp;type2=-22&amp;id1=ENSP00000302437","link")</f>
        <v>link</v>
      </c>
      <c r="AI1828" t="s">
        <v>65</v>
      </c>
      <c r="AJ1828" t="s">
        <v>51</v>
      </c>
      <c r="AK1828" t="str">
        <f>HYPERLINK("http://www.proteinatlas.org/Q8NGC4","HPA019766")</f>
        <v>HPA019766</v>
      </c>
      <c r="AM1828">
        <v>26533</v>
      </c>
    </row>
    <row r="1829" spans="1:39" x14ac:dyDescent="0.35">
      <c r="A1829" t="s">
        <v>18782</v>
      </c>
      <c r="B1829" t="str">
        <f>HYPERLINK("http://www.uniprot.org/uniprot/Q8NGC5","Q8NGC5")</f>
        <v>Q8NGC5</v>
      </c>
      <c r="C1829" t="s">
        <v>18783</v>
      </c>
      <c r="D1829" t="s">
        <v>18784</v>
      </c>
      <c r="E1829" t="s">
        <v>39</v>
      </c>
      <c r="F1829" t="s">
        <v>40</v>
      </c>
      <c r="H1829">
        <v>347</v>
      </c>
      <c r="I1829">
        <v>7</v>
      </c>
      <c r="J1829">
        <v>0</v>
      </c>
      <c r="K1829" t="s">
        <v>18785</v>
      </c>
      <c r="L1829" t="s">
        <v>57</v>
      </c>
      <c r="N1829">
        <v>0.88019999999999998</v>
      </c>
      <c r="O1829" s="1">
        <v>1</v>
      </c>
      <c r="P1829" t="s">
        <v>18786</v>
      </c>
      <c r="Q1829" t="s">
        <v>18787</v>
      </c>
      <c r="S1829" t="s">
        <v>166</v>
      </c>
      <c r="T1829" t="s">
        <v>167</v>
      </c>
      <c r="U1829" t="s">
        <v>18788</v>
      </c>
      <c r="V1829">
        <v>1</v>
      </c>
      <c r="AE1829" t="s">
        <v>74</v>
      </c>
      <c r="AF1829" t="s">
        <v>549</v>
      </c>
      <c r="AG1829" t="s">
        <v>18789</v>
      </c>
      <c r="AH1829" t="str">
        <f>HYPERLINK("http://compartments.jensenlab.org/Entity?figures=subcell_cell_%&amp;knowledge=10&amp;textmining=10&amp;experiments=10&amp;predictions=10&amp;type1=9606&amp;type2=-22&amp;id1=ENSP00000437629","link")</f>
        <v>link</v>
      </c>
      <c r="AK1829" t="str">
        <f>HYPERLINK("http://www.proteinatlas.org/Q8NGC5","no")</f>
        <v>no</v>
      </c>
    </row>
    <row r="1830" spans="1:39" x14ac:dyDescent="0.35">
      <c r="A1830" t="s">
        <v>18790</v>
      </c>
      <c r="B1830" t="str">
        <f>HYPERLINK("http://www.uniprot.org/uniprot/Q8NGC6","Q8NGC6")</f>
        <v>Q8NGC6</v>
      </c>
      <c r="C1830" t="s">
        <v>18791</v>
      </c>
      <c r="D1830" t="s">
        <v>18792</v>
      </c>
      <c r="E1830" t="s">
        <v>39</v>
      </c>
      <c r="F1830" t="s">
        <v>55</v>
      </c>
      <c r="H1830">
        <v>315</v>
      </c>
      <c r="I1830">
        <v>7</v>
      </c>
      <c r="J1830">
        <v>0</v>
      </c>
      <c r="K1830" t="s">
        <v>18793</v>
      </c>
      <c r="L1830" t="s">
        <v>57</v>
      </c>
      <c r="N1830">
        <v>0.97209999999999996</v>
      </c>
      <c r="O1830" s="1">
        <v>1</v>
      </c>
      <c r="P1830" t="s">
        <v>18794</v>
      </c>
      <c r="Q1830" t="s">
        <v>18795</v>
      </c>
      <c r="S1830" t="s">
        <v>166</v>
      </c>
      <c r="T1830" t="s">
        <v>167</v>
      </c>
      <c r="U1830" t="s">
        <v>18796</v>
      </c>
      <c r="V1830">
        <v>2</v>
      </c>
      <c r="AE1830" t="s">
        <v>74</v>
      </c>
      <c r="AF1830" t="s">
        <v>549</v>
      </c>
      <c r="AG1830" t="s">
        <v>18797</v>
      </c>
      <c r="AH1830" t="str">
        <f>HYPERLINK("http://compartments.jensenlab.org/Entity?figures=subcell_cell_%&amp;knowledge=10&amp;textmining=10&amp;experiments=10&amp;predictions=10&amp;type1=9606&amp;type2=-22&amp;id1=ENSP00000319197","link")</f>
        <v>link</v>
      </c>
      <c r="AI1830" t="s">
        <v>65</v>
      </c>
      <c r="AJ1830" t="s">
        <v>51</v>
      </c>
      <c r="AK1830" t="str">
        <f>HYPERLINK("http://www.proteinatlas.org/Q8NGC6","no")</f>
        <v>no</v>
      </c>
      <c r="AM1830">
        <v>390436</v>
      </c>
    </row>
    <row r="1831" spans="1:39" x14ac:dyDescent="0.35">
      <c r="A1831" t="s">
        <v>18798</v>
      </c>
      <c r="B1831" t="str">
        <f>HYPERLINK("http://www.uniprot.org/uniprot/Q8NGC7","Q8NGC7")</f>
        <v>Q8NGC7</v>
      </c>
      <c r="C1831" t="s">
        <v>18799</v>
      </c>
      <c r="D1831" t="s">
        <v>18800</v>
      </c>
      <c r="E1831" t="s">
        <v>39</v>
      </c>
      <c r="F1831" t="s">
        <v>55</v>
      </c>
      <c r="H1831">
        <v>330</v>
      </c>
      <c r="I1831">
        <v>7</v>
      </c>
      <c r="J1831">
        <v>0</v>
      </c>
      <c r="K1831" t="s">
        <v>18801</v>
      </c>
      <c r="L1831" t="s">
        <v>57</v>
      </c>
      <c r="M1831" t="s">
        <v>39</v>
      </c>
      <c r="N1831">
        <v>0.94479999999999997</v>
      </c>
      <c r="O1831" s="1">
        <v>1</v>
      </c>
      <c r="P1831" t="s">
        <v>18802</v>
      </c>
      <c r="Q1831" t="s">
        <v>18803</v>
      </c>
      <c r="S1831" t="s">
        <v>166</v>
      </c>
      <c r="T1831" t="s">
        <v>167</v>
      </c>
      <c r="U1831">
        <v>21</v>
      </c>
      <c r="V1831">
        <v>1</v>
      </c>
      <c r="AE1831" t="s">
        <v>74</v>
      </c>
      <c r="AF1831" t="s">
        <v>169</v>
      </c>
      <c r="AG1831" t="s">
        <v>18804</v>
      </c>
      <c r="AH1831" t="str">
        <f>HYPERLINK("http://compartments.jensenlab.org/Entity?figures=subcell_cell_%&amp;knowledge=10&amp;textmining=10&amp;experiments=10&amp;predictions=10&amp;type1=9606&amp;type2=-22&amp;id1=ENSP00000319071","link")</f>
        <v>link</v>
      </c>
      <c r="AI1831" t="s">
        <v>65</v>
      </c>
      <c r="AJ1831" t="s">
        <v>51</v>
      </c>
      <c r="AK1831" t="str">
        <f>HYPERLINK("http://www.proteinatlas.org/Q8NGC7","no")</f>
        <v>no</v>
      </c>
      <c r="AM1831">
        <v>122748</v>
      </c>
    </row>
    <row r="1832" spans="1:39" x14ac:dyDescent="0.35">
      <c r="A1832" t="s">
        <v>18805</v>
      </c>
      <c r="B1832" t="str">
        <f>HYPERLINK("http://www.uniprot.org/uniprot/Q8NGC8","Q8NGC8")</f>
        <v>Q8NGC8</v>
      </c>
      <c r="C1832" t="s">
        <v>18806</v>
      </c>
      <c r="D1832" t="s">
        <v>18807</v>
      </c>
      <c r="E1832" t="s">
        <v>39</v>
      </c>
      <c r="F1832" t="s">
        <v>40</v>
      </c>
      <c r="H1832">
        <v>314</v>
      </c>
      <c r="I1832">
        <v>7</v>
      </c>
      <c r="J1832">
        <v>0</v>
      </c>
      <c r="K1832" t="s">
        <v>18808</v>
      </c>
      <c r="L1832" t="s">
        <v>57</v>
      </c>
      <c r="N1832">
        <v>0.96209999999999996</v>
      </c>
      <c r="O1832" s="1">
        <v>1</v>
      </c>
      <c r="S1832" t="s">
        <v>166</v>
      </c>
      <c r="T1832" t="s">
        <v>167</v>
      </c>
      <c r="U1832" t="s">
        <v>18809</v>
      </c>
      <c r="V1832">
        <v>1</v>
      </c>
      <c r="AE1832" t="s">
        <v>74</v>
      </c>
      <c r="AF1832" t="s">
        <v>169</v>
      </c>
      <c r="AG1832" t="s">
        <v>18810</v>
      </c>
      <c r="AK1832" t="str">
        <f>HYPERLINK("http://www.proteinatlas.org/Q8NGC8","no")</f>
        <v>no</v>
      </c>
    </row>
    <row r="1833" spans="1:39" x14ac:dyDescent="0.35">
      <c r="A1833" t="s">
        <v>18811</v>
      </c>
      <c r="B1833" t="str">
        <f>HYPERLINK("http://www.uniprot.org/uniprot/Q8NGC9","Q8NGC9")</f>
        <v>Q8NGC9</v>
      </c>
      <c r="C1833" t="s">
        <v>18812</v>
      </c>
      <c r="D1833" t="s">
        <v>18813</v>
      </c>
      <c r="E1833" t="s">
        <v>39</v>
      </c>
      <c r="F1833" t="s">
        <v>55</v>
      </c>
      <c r="H1833">
        <v>324</v>
      </c>
      <c r="I1833">
        <v>7</v>
      </c>
      <c r="J1833">
        <v>0</v>
      </c>
      <c r="K1833" t="s">
        <v>18814</v>
      </c>
      <c r="L1833" t="s">
        <v>57</v>
      </c>
      <c r="M1833" t="s">
        <v>39</v>
      </c>
      <c r="N1833">
        <v>0.87309999999999999</v>
      </c>
      <c r="O1833" s="1">
        <v>1</v>
      </c>
      <c r="P1833" t="s">
        <v>18815</v>
      </c>
      <c r="Q1833" t="s">
        <v>18816</v>
      </c>
      <c r="S1833" t="s">
        <v>166</v>
      </c>
      <c r="T1833" t="s">
        <v>167</v>
      </c>
      <c r="U1833">
        <v>12</v>
      </c>
      <c r="V1833">
        <v>1</v>
      </c>
      <c r="AE1833" t="s">
        <v>74</v>
      </c>
      <c r="AF1833" t="s">
        <v>169</v>
      </c>
      <c r="AG1833" t="s">
        <v>18817</v>
      </c>
      <c r="AH1833" t="str">
        <f>HYPERLINK("http://compartments.jensenlab.org/Entity?figures=subcell_cell_%&amp;knowledge=10&amp;textmining=10&amp;experiments=10&amp;predictions=10&amp;type1=9606&amp;type2=-22&amp;id1=ENSP00000318997","link")</f>
        <v>link</v>
      </c>
      <c r="AI1833" t="s">
        <v>65</v>
      </c>
      <c r="AJ1833" t="s">
        <v>51</v>
      </c>
      <c r="AK1833" t="str">
        <f>HYPERLINK("http://www.proteinatlas.org/Q8NGC9","HPA052790")</f>
        <v>HPA052790</v>
      </c>
      <c r="AM1833">
        <v>390442</v>
      </c>
    </row>
    <row r="1834" spans="1:39" x14ac:dyDescent="0.35">
      <c r="A1834" t="s">
        <v>18818</v>
      </c>
      <c r="B1834" t="str">
        <f>HYPERLINK("http://www.uniprot.org/uniprot/Q8NGD0","Q8NGD0")</f>
        <v>Q8NGD0</v>
      </c>
      <c r="C1834" t="s">
        <v>18819</v>
      </c>
      <c r="D1834" t="s">
        <v>18820</v>
      </c>
      <c r="E1834" t="s">
        <v>39</v>
      </c>
      <c r="F1834" t="s">
        <v>55</v>
      </c>
      <c r="H1834">
        <v>313</v>
      </c>
      <c r="I1834">
        <v>7</v>
      </c>
      <c r="J1834">
        <v>0</v>
      </c>
      <c r="K1834" t="s">
        <v>18821</v>
      </c>
      <c r="L1834" t="s">
        <v>57</v>
      </c>
      <c r="M1834" t="s">
        <v>39</v>
      </c>
      <c r="N1834">
        <v>0.98719999999999997</v>
      </c>
      <c r="O1834" s="1">
        <v>1</v>
      </c>
      <c r="P1834" t="s">
        <v>18822</v>
      </c>
      <c r="Q1834" t="s">
        <v>18823</v>
      </c>
      <c r="S1834" t="s">
        <v>166</v>
      </c>
      <c r="T1834" t="s">
        <v>167</v>
      </c>
      <c r="U1834">
        <v>5</v>
      </c>
      <c r="V1834">
        <v>1</v>
      </c>
      <c r="AE1834" t="s">
        <v>74</v>
      </c>
      <c r="AF1834" t="s">
        <v>169</v>
      </c>
      <c r="AG1834" t="s">
        <v>18824</v>
      </c>
      <c r="AH1834" t="str">
        <f>HYPERLINK("http://compartments.jensenlab.org/Entity?figures=subcell_cell_%&amp;knowledge=10&amp;textmining=10&amp;experiments=10&amp;predictions=10&amp;type1=9606&amp;type2=-22&amp;id1=ENSP00000319654","link")</f>
        <v>link</v>
      </c>
      <c r="AI1834" t="s">
        <v>65</v>
      </c>
      <c r="AJ1834" t="s">
        <v>51</v>
      </c>
      <c r="AK1834" t="str">
        <f>HYPERLINK("http://www.proteinatlas.org/Q8NGD0","HPA058889")</f>
        <v>HPA058889</v>
      </c>
      <c r="AM1834">
        <v>441670</v>
      </c>
    </row>
    <row r="1835" spans="1:39" x14ac:dyDescent="0.35">
      <c r="A1835" t="s">
        <v>18825</v>
      </c>
      <c r="B1835" t="str">
        <f>HYPERLINK("http://www.uniprot.org/uniprot/Q8NGD1","Q8NGD1")</f>
        <v>Q8NGD1</v>
      </c>
      <c r="C1835" t="s">
        <v>18826</v>
      </c>
      <c r="D1835" t="s">
        <v>18827</v>
      </c>
      <c r="E1835" t="s">
        <v>39</v>
      </c>
      <c r="F1835" t="s">
        <v>55</v>
      </c>
      <c r="H1835">
        <v>307</v>
      </c>
      <c r="I1835">
        <v>7</v>
      </c>
      <c r="J1835">
        <v>0</v>
      </c>
      <c r="K1835" t="s">
        <v>18828</v>
      </c>
      <c r="L1835" t="s">
        <v>57</v>
      </c>
      <c r="N1835">
        <v>0.96209999999999996</v>
      </c>
      <c r="O1835" s="1">
        <v>1</v>
      </c>
      <c r="P1835" t="s">
        <v>18829</v>
      </c>
      <c r="Q1835" t="s">
        <v>18830</v>
      </c>
      <c r="S1835" t="s">
        <v>166</v>
      </c>
      <c r="T1835" t="s">
        <v>167</v>
      </c>
      <c r="U1835">
        <v>5</v>
      </c>
      <c r="V1835">
        <v>1</v>
      </c>
      <c r="AE1835" t="s">
        <v>74</v>
      </c>
      <c r="AF1835" t="s">
        <v>169</v>
      </c>
      <c r="AG1835" t="s">
        <v>18831</v>
      </c>
      <c r="AH1835" t="str">
        <f>HYPERLINK("http://compartments.jensenlab.org/Entity?figures=subcell_cell_%&amp;knowledge=10&amp;textmining=10&amp;experiments=10&amp;predictions=10&amp;type1=9606&amp;type2=-22&amp;id1=ENSP00000319601","link")</f>
        <v>link</v>
      </c>
      <c r="AI1835" t="s">
        <v>65</v>
      </c>
      <c r="AJ1835" t="s">
        <v>51</v>
      </c>
      <c r="AK1835" t="str">
        <f>HYPERLINK("http://www.proteinatlas.org/Q8NGD1","no")</f>
        <v>no</v>
      </c>
      <c r="AM1835">
        <v>390429</v>
      </c>
    </row>
    <row r="1836" spans="1:39" x14ac:dyDescent="0.35">
      <c r="A1836" t="s">
        <v>18832</v>
      </c>
      <c r="B1836" t="str">
        <f>HYPERLINK("http://www.uniprot.org/uniprot/Q8NGD2","Q8NGD2")</f>
        <v>Q8NGD2</v>
      </c>
      <c r="C1836" t="s">
        <v>18833</v>
      </c>
      <c r="D1836" t="s">
        <v>18834</v>
      </c>
      <c r="E1836" t="s">
        <v>39</v>
      </c>
      <c r="F1836" t="s">
        <v>55</v>
      </c>
      <c r="H1836">
        <v>314</v>
      </c>
      <c r="I1836">
        <v>7</v>
      </c>
      <c r="J1836">
        <v>0</v>
      </c>
      <c r="K1836" t="s">
        <v>18835</v>
      </c>
      <c r="L1836" t="s">
        <v>57</v>
      </c>
      <c r="M1836" t="s">
        <v>39</v>
      </c>
      <c r="N1836">
        <v>0.95540000000000003</v>
      </c>
      <c r="O1836" s="1">
        <v>1</v>
      </c>
      <c r="P1836" t="s">
        <v>18836</v>
      </c>
      <c r="Q1836" t="s">
        <v>18837</v>
      </c>
      <c r="S1836" t="s">
        <v>166</v>
      </c>
      <c r="T1836" t="s">
        <v>167</v>
      </c>
      <c r="U1836" t="s">
        <v>1191</v>
      </c>
      <c r="V1836">
        <v>1</v>
      </c>
      <c r="AE1836" t="s">
        <v>74</v>
      </c>
      <c r="AF1836" t="s">
        <v>169</v>
      </c>
      <c r="AG1836" t="s">
        <v>18838</v>
      </c>
      <c r="AH1836" t="str">
        <f>HYPERLINK("http://compartments.jensenlab.org/Entity?figures=subcell_cell_%&amp;knowledge=10&amp;textmining=10&amp;experiments=10&amp;predictions=10&amp;type1=9606&amp;type2=-22&amp;id1=ENSP00000298642","link")</f>
        <v>link</v>
      </c>
      <c r="AI1836" t="s">
        <v>65</v>
      </c>
      <c r="AJ1836" t="s">
        <v>51</v>
      </c>
      <c r="AK1836" t="str">
        <f>HYPERLINK("http://www.proteinatlas.org/Q8NGD2","no")</f>
        <v>no</v>
      </c>
      <c r="AM1836">
        <v>390431</v>
      </c>
    </row>
    <row r="1837" spans="1:39" x14ac:dyDescent="0.35">
      <c r="A1837" t="s">
        <v>18839</v>
      </c>
      <c r="B1837" t="str">
        <f>HYPERLINK("http://www.uniprot.org/uniprot/Q8NGD3","Q8NGD3")</f>
        <v>Q8NGD3</v>
      </c>
      <c r="C1837" t="s">
        <v>18840</v>
      </c>
      <c r="D1837" t="s">
        <v>18841</v>
      </c>
      <c r="E1837" t="s">
        <v>39</v>
      </c>
      <c r="F1837" t="s">
        <v>55</v>
      </c>
      <c r="H1837">
        <v>323</v>
      </c>
      <c r="I1837">
        <v>7</v>
      </c>
      <c r="J1837">
        <v>0</v>
      </c>
      <c r="K1837" t="s">
        <v>18842</v>
      </c>
      <c r="L1837" t="s">
        <v>57</v>
      </c>
      <c r="N1837">
        <v>0.99199999999999999</v>
      </c>
      <c r="O1837" s="1">
        <v>1</v>
      </c>
      <c r="P1837" t="s">
        <v>18843</v>
      </c>
      <c r="Q1837" t="s">
        <v>18844</v>
      </c>
      <c r="S1837" t="s">
        <v>166</v>
      </c>
      <c r="T1837" t="s">
        <v>167</v>
      </c>
      <c r="U1837" t="s">
        <v>1191</v>
      </c>
      <c r="V1837">
        <v>1</v>
      </c>
      <c r="AE1837" t="s">
        <v>74</v>
      </c>
      <c r="AF1837" t="s">
        <v>169</v>
      </c>
      <c r="AG1837" t="s">
        <v>18845</v>
      </c>
      <c r="AH1837" t="str">
        <f>HYPERLINK("http://compartments.jensenlab.org/Entity?figures=subcell_cell_%&amp;knowledge=10&amp;textmining=10&amp;experiments=10&amp;predictions=10&amp;type1=9606&amp;type2=-22&amp;id1=ENSP00000319511","link")</f>
        <v>link</v>
      </c>
      <c r="AI1837" t="s">
        <v>65</v>
      </c>
      <c r="AJ1837" t="s">
        <v>51</v>
      </c>
      <c r="AK1837" t="str">
        <f>HYPERLINK("http://www.proteinatlas.org/Q8NGD3","no")</f>
        <v>no</v>
      </c>
      <c r="AM1837">
        <v>79317</v>
      </c>
    </row>
    <row r="1838" spans="1:39" x14ac:dyDescent="0.35">
      <c r="A1838" t="s">
        <v>18846</v>
      </c>
      <c r="B1838" t="str">
        <f>HYPERLINK("http://www.uniprot.org/uniprot/Q8NGD4","Q8NGD4")</f>
        <v>Q8NGD4</v>
      </c>
      <c r="C1838" t="s">
        <v>18847</v>
      </c>
      <c r="D1838" t="s">
        <v>18848</v>
      </c>
      <c r="E1838" t="s">
        <v>39</v>
      </c>
      <c r="F1838" t="s">
        <v>55</v>
      </c>
      <c r="H1838">
        <v>311</v>
      </c>
      <c r="I1838">
        <v>7</v>
      </c>
      <c r="J1838">
        <v>0</v>
      </c>
      <c r="K1838" t="s">
        <v>18849</v>
      </c>
      <c r="L1838" t="s">
        <v>57</v>
      </c>
      <c r="M1838" t="s">
        <v>39</v>
      </c>
      <c r="N1838">
        <v>0.98850000000000005</v>
      </c>
      <c r="O1838" s="1">
        <v>1</v>
      </c>
      <c r="P1838" t="s">
        <v>18850</v>
      </c>
      <c r="Q1838" t="s">
        <v>18851</v>
      </c>
      <c r="S1838" t="s">
        <v>166</v>
      </c>
      <c r="T1838" t="s">
        <v>167</v>
      </c>
      <c r="U1838" t="s">
        <v>1191</v>
      </c>
      <c r="V1838">
        <v>1</v>
      </c>
      <c r="AE1838" t="s">
        <v>74</v>
      </c>
      <c r="AF1838" t="s">
        <v>169</v>
      </c>
      <c r="AG1838" t="s">
        <v>18852</v>
      </c>
      <c r="AH1838" t="str">
        <f>HYPERLINK("http://compartments.jensenlab.org/Entity?figures=subcell_cell_%&amp;knowledge=10&amp;textmining=10&amp;experiments=10&amp;predictions=10&amp;type1=9606&amp;type2=-22&amp;id1=ENSP00000285600","link")</f>
        <v>link</v>
      </c>
      <c r="AI1838" t="s">
        <v>65</v>
      </c>
      <c r="AJ1838" t="s">
        <v>51</v>
      </c>
      <c r="AK1838" t="str">
        <f>HYPERLINK("http://www.proteinatlas.org/Q8NGD4","HPA028877")</f>
        <v>HPA028877</v>
      </c>
      <c r="AM1838">
        <v>79544</v>
      </c>
    </row>
    <row r="1839" spans="1:39" x14ac:dyDescent="0.35">
      <c r="A1839" t="s">
        <v>18853</v>
      </c>
      <c r="B1839" t="str">
        <f>HYPERLINK("http://www.uniprot.org/uniprot/Q8NGD5","Q8NGD5")</f>
        <v>Q8NGD5</v>
      </c>
      <c r="C1839" t="s">
        <v>18854</v>
      </c>
      <c r="D1839" t="s">
        <v>18855</v>
      </c>
      <c r="E1839" t="s">
        <v>39</v>
      </c>
      <c r="F1839" t="s">
        <v>55</v>
      </c>
      <c r="H1839">
        <v>310</v>
      </c>
      <c r="I1839">
        <v>7</v>
      </c>
      <c r="J1839">
        <v>0</v>
      </c>
      <c r="K1839" t="s">
        <v>18856</v>
      </c>
      <c r="L1839" t="s">
        <v>57</v>
      </c>
      <c r="N1839">
        <v>0.99</v>
      </c>
      <c r="O1839" s="1">
        <v>1</v>
      </c>
      <c r="P1839" t="s">
        <v>18857</v>
      </c>
      <c r="Q1839" t="s">
        <v>18858</v>
      </c>
      <c r="S1839" t="s">
        <v>166</v>
      </c>
      <c r="T1839" t="s">
        <v>167</v>
      </c>
      <c r="U1839">
        <v>5</v>
      </c>
      <c r="V1839">
        <v>1</v>
      </c>
      <c r="AE1839" t="s">
        <v>74</v>
      </c>
      <c r="AF1839" t="s">
        <v>169</v>
      </c>
      <c r="AG1839" t="s">
        <v>18859</v>
      </c>
      <c r="AH1839" t="str">
        <f>HYPERLINK("http://compartments.jensenlab.org/Entity?figures=subcell_cell_%&amp;knowledge=10&amp;textmining=10&amp;experiments=10&amp;predictions=10&amp;type1=9606&amp;type2=-22&amp;id1=ENSP00000305011","link")</f>
        <v>link</v>
      </c>
      <c r="AI1839" t="s">
        <v>65</v>
      </c>
      <c r="AJ1839" t="s">
        <v>51</v>
      </c>
      <c r="AK1839" t="str">
        <f>HYPERLINK("http://www.proteinatlas.org/Q8NGD5","no")</f>
        <v>no</v>
      </c>
      <c r="AM1839">
        <v>122740</v>
      </c>
    </row>
    <row r="1840" spans="1:39" x14ac:dyDescent="0.35">
      <c r="A1840" t="s">
        <v>18860</v>
      </c>
      <c r="B1840" t="str">
        <f>HYPERLINK("http://www.uniprot.org/uniprot/Q8NGE0","Q8NGE0")</f>
        <v>Q8NGE0</v>
      </c>
      <c r="C1840" t="s">
        <v>18861</v>
      </c>
      <c r="D1840" t="s">
        <v>18862</v>
      </c>
      <c r="E1840" t="s">
        <v>39</v>
      </c>
      <c r="F1840" t="s">
        <v>55</v>
      </c>
      <c r="H1840">
        <v>317</v>
      </c>
      <c r="I1840">
        <v>7</v>
      </c>
      <c r="J1840">
        <v>0</v>
      </c>
      <c r="K1840" t="s">
        <v>18863</v>
      </c>
      <c r="L1840" t="s">
        <v>57</v>
      </c>
      <c r="M1840" t="s">
        <v>39</v>
      </c>
      <c r="N1840">
        <v>0.98309999999999997</v>
      </c>
      <c r="O1840" s="1">
        <v>1</v>
      </c>
      <c r="P1840" t="s">
        <v>18864</v>
      </c>
      <c r="Q1840" t="s">
        <v>18865</v>
      </c>
      <c r="S1840" t="s">
        <v>166</v>
      </c>
      <c r="T1840" t="s">
        <v>167</v>
      </c>
      <c r="U1840">
        <v>4</v>
      </c>
      <c r="V1840">
        <v>1</v>
      </c>
      <c r="AE1840" t="s">
        <v>74</v>
      </c>
      <c r="AF1840" t="s">
        <v>169</v>
      </c>
      <c r="AG1840" t="s">
        <v>18866</v>
      </c>
      <c r="AH1840" t="str">
        <f>HYPERLINK("http://compartments.jensenlab.org/Entity?figures=subcell_cell_%&amp;knowledge=10&amp;textmining=10&amp;experiments=10&amp;predictions=10&amp;type1=9606&amp;type2=-22&amp;id1=ENSP00000308689","link")</f>
        <v>link</v>
      </c>
      <c r="AI1840" t="s">
        <v>65</v>
      </c>
      <c r="AJ1840" t="s">
        <v>51</v>
      </c>
      <c r="AK1840" t="str">
        <f>HYPERLINK("http://www.proteinatlas.org/Q8NGE0","HPA049913")</f>
        <v>HPA049913</v>
      </c>
      <c r="AM1840">
        <v>121275</v>
      </c>
    </row>
    <row r="1841" spans="1:39" x14ac:dyDescent="0.35">
      <c r="A1841" t="s">
        <v>18867</v>
      </c>
      <c r="B1841" t="str">
        <f>HYPERLINK("http://www.uniprot.org/uniprot/Q8NGE1","Q8NGE1")</f>
        <v>Q8NGE1</v>
      </c>
      <c r="C1841" t="s">
        <v>18868</v>
      </c>
      <c r="D1841" t="s">
        <v>18869</v>
      </c>
      <c r="E1841" t="s">
        <v>39</v>
      </c>
      <c r="F1841" t="s">
        <v>55</v>
      </c>
      <c r="H1841">
        <v>309</v>
      </c>
      <c r="I1841">
        <v>7</v>
      </c>
      <c r="J1841">
        <v>0</v>
      </c>
      <c r="K1841" t="s">
        <v>18870</v>
      </c>
      <c r="L1841" t="s">
        <v>57</v>
      </c>
      <c r="M1841" t="s">
        <v>39</v>
      </c>
      <c r="N1841">
        <v>0.99509999999999998</v>
      </c>
      <c r="O1841" s="1">
        <v>1</v>
      </c>
      <c r="P1841" t="s">
        <v>18871</v>
      </c>
      <c r="Q1841" t="s">
        <v>18872</v>
      </c>
      <c r="S1841" t="s">
        <v>166</v>
      </c>
      <c r="T1841" t="s">
        <v>167</v>
      </c>
      <c r="U1841" t="s">
        <v>234</v>
      </c>
      <c r="V1841">
        <v>1</v>
      </c>
      <c r="AE1841" t="s">
        <v>74</v>
      </c>
      <c r="AF1841" t="s">
        <v>169</v>
      </c>
      <c r="AG1841" t="s">
        <v>18873</v>
      </c>
      <c r="AH1841" t="str">
        <f>HYPERLINK("http://compartments.jensenlab.org/Entity?figures=subcell_cell_%&amp;knowledge=10&amp;textmining=10&amp;experiments=10&amp;predictions=10&amp;type1=9606&amp;type2=-22&amp;id1=ENSP00000377799","link")</f>
        <v>link</v>
      </c>
      <c r="AI1841" t="s">
        <v>65</v>
      </c>
      <c r="AJ1841" t="s">
        <v>51</v>
      </c>
      <c r="AK1841" t="str">
        <f>HYPERLINK("http://www.proteinatlas.org/Q8NGE1","no")</f>
        <v>no</v>
      </c>
      <c r="AM1841">
        <v>341418</v>
      </c>
    </row>
    <row r="1842" spans="1:39" x14ac:dyDescent="0.35">
      <c r="A1842" t="s">
        <v>18874</v>
      </c>
      <c r="B1842" t="str">
        <f>HYPERLINK("http://www.uniprot.org/uniprot/Q8NGE2","Q8NGE2")</f>
        <v>Q8NGE2</v>
      </c>
      <c r="C1842" t="s">
        <v>18875</v>
      </c>
      <c r="D1842" t="s">
        <v>18876</v>
      </c>
      <c r="E1842" t="s">
        <v>39</v>
      </c>
      <c r="F1842" t="s">
        <v>55</v>
      </c>
      <c r="H1842">
        <v>309</v>
      </c>
      <c r="I1842">
        <v>7</v>
      </c>
      <c r="J1842">
        <v>0</v>
      </c>
      <c r="K1842" t="s">
        <v>18877</v>
      </c>
      <c r="L1842" t="s">
        <v>57</v>
      </c>
      <c r="M1842" t="s">
        <v>39</v>
      </c>
      <c r="N1842">
        <v>1</v>
      </c>
      <c r="O1842" s="1">
        <v>1</v>
      </c>
      <c r="P1842" t="s">
        <v>18878</v>
      </c>
      <c r="Q1842" t="s">
        <v>18879</v>
      </c>
      <c r="S1842" t="s">
        <v>166</v>
      </c>
      <c r="T1842" t="s">
        <v>167</v>
      </c>
      <c r="U1842" t="s">
        <v>18880</v>
      </c>
      <c r="V1842">
        <v>2</v>
      </c>
      <c r="AE1842" t="s">
        <v>74</v>
      </c>
      <c r="AF1842" t="s">
        <v>549</v>
      </c>
      <c r="AG1842" t="s">
        <v>18881</v>
      </c>
      <c r="AH1842" t="str">
        <f>HYPERLINK("http://compartments.jensenlab.org/Entity?figures=subcell_cell_%&amp;knowledge=10&amp;textmining=10&amp;experiments=10&amp;predictions=10&amp;type1=9606&amp;type2=-22&amp;id1=ENSP00000323423","link")</f>
        <v>link</v>
      </c>
      <c r="AI1842" t="s">
        <v>65</v>
      </c>
      <c r="AJ1842" t="s">
        <v>51</v>
      </c>
      <c r="AK1842" t="str">
        <f>HYPERLINK("http://www.proteinatlas.org/Q8NGE2","no")</f>
        <v>no</v>
      </c>
      <c r="AM1842">
        <v>121129</v>
      </c>
    </row>
    <row r="1843" spans="1:39" x14ac:dyDescent="0.35">
      <c r="A1843" t="s">
        <v>18882</v>
      </c>
      <c r="B1843" t="str">
        <f>HYPERLINK("http://www.uniprot.org/uniprot/Q8NGE3","Q8NGE3")</f>
        <v>Q8NGE3</v>
      </c>
      <c r="C1843" t="s">
        <v>18883</v>
      </c>
      <c r="D1843" t="s">
        <v>18884</v>
      </c>
      <c r="E1843" t="s">
        <v>39</v>
      </c>
      <c r="F1843" t="s">
        <v>55</v>
      </c>
      <c r="H1843">
        <v>313</v>
      </c>
      <c r="I1843">
        <v>7</v>
      </c>
      <c r="J1843">
        <v>0</v>
      </c>
      <c r="K1843" t="s">
        <v>18885</v>
      </c>
      <c r="L1843" t="s">
        <v>57</v>
      </c>
      <c r="M1843" t="s">
        <v>39</v>
      </c>
      <c r="N1843">
        <v>0.90859999999999996</v>
      </c>
      <c r="O1843" s="1">
        <v>1</v>
      </c>
      <c r="P1843" t="s">
        <v>18886</v>
      </c>
      <c r="Q1843" t="s">
        <v>18887</v>
      </c>
      <c r="S1843" t="s">
        <v>166</v>
      </c>
      <c r="T1843" t="s">
        <v>167</v>
      </c>
      <c r="U1843">
        <v>5</v>
      </c>
      <c r="V1843">
        <v>1</v>
      </c>
      <c r="AE1843" t="s">
        <v>74</v>
      </c>
      <c r="AF1843" t="s">
        <v>455</v>
      </c>
      <c r="AG1843" t="s">
        <v>18888</v>
      </c>
      <c r="AH1843" t="str">
        <f>HYPERLINK("http://compartments.jensenlab.org/Entity?figures=subcell_cell_%&amp;knowledge=10&amp;textmining=10&amp;experiments=10&amp;predictions=10&amp;type1=9606&amp;type2=-22&amp;id1=ENSP00000308082","link")</f>
        <v>link</v>
      </c>
      <c r="AI1843" t="s">
        <v>65</v>
      </c>
      <c r="AJ1843" t="s">
        <v>51</v>
      </c>
      <c r="AK1843" t="str">
        <f>HYPERLINK("http://www.proteinatlas.org/Q8NGE3","no")</f>
        <v>no</v>
      </c>
      <c r="AM1843">
        <v>121130</v>
      </c>
    </row>
    <row r="1844" spans="1:39" x14ac:dyDescent="0.35">
      <c r="A1844" t="s">
        <v>18889</v>
      </c>
      <c r="B1844" t="str">
        <f>HYPERLINK("http://www.uniprot.org/uniprot/Q8NGE5","Q8NGE5")</f>
        <v>Q8NGE5</v>
      </c>
      <c r="C1844" t="s">
        <v>18890</v>
      </c>
      <c r="D1844" t="s">
        <v>18891</v>
      </c>
      <c r="E1844" t="s">
        <v>39</v>
      </c>
      <c r="F1844" t="s">
        <v>55</v>
      </c>
      <c r="H1844">
        <v>316</v>
      </c>
      <c r="I1844">
        <v>7</v>
      </c>
      <c r="J1844">
        <v>0</v>
      </c>
      <c r="K1844" t="s">
        <v>18892</v>
      </c>
      <c r="L1844" t="s">
        <v>57</v>
      </c>
      <c r="M1844" t="s">
        <v>39</v>
      </c>
      <c r="N1844">
        <v>0.98939999999999995</v>
      </c>
      <c r="O1844" s="1">
        <v>1</v>
      </c>
      <c r="P1844" t="s">
        <v>18893</v>
      </c>
      <c r="Q1844" t="s">
        <v>18894</v>
      </c>
      <c r="S1844" t="s">
        <v>166</v>
      </c>
      <c r="T1844" t="s">
        <v>167</v>
      </c>
      <c r="U1844" t="s">
        <v>18895</v>
      </c>
      <c r="V1844">
        <v>2</v>
      </c>
      <c r="AE1844" t="s">
        <v>74</v>
      </c>
      <c r="AF1844" t="s">
        <v>455</v>
      </c>
      <c r="AG1844" t="s">
        <v>18896</v>
      </c>
      <c r="AH1844" t="str">
        <f>HYPERLINK("http://compartments.jensenlab.org/Entity?figures=subcell_cell_%&amp;knowledge=10&amp;textmining=10&amp;experiments=10&amp;predictions=10&amp;type1=9606&amp;type2=-22&amp;id1=ENSP00000326718","link")</f>
        <v>link</v>
      </c>
      <c r="AI1844" t="s">
        <v>65</v>
      </c>
      <c r="AJ1844" t="s">
        <v>51</v>
      </c>
      <c r="AK1844" t="str">
        <f>HYPERLINK("http://www.proteinatlas.org/Q8NGE5","HPA055111")</f>
        <v>HPA055111</v>
      </c>
      <c r="AM1844">
        <v>121364</v>
      </c>
    </row>
    <row r="1845" spans="1:39" x14ac:dyDescent="0.35">
      <c r="A1845" t="s">
        <v>18897</v>
      </c>
      <c r="B1845" t="str">
        <f>HYPERLINK("http://www.uniprot.org/uniprot/Q8NGE7","Q8NGE7")</f>
        <v>Q8NGE7</v>
      </c>
      <c r="C1845" t="s">
        <v>18898</v>
      </c>
      <c r="D1845" t="s">
        <v>18899</v>
      </c>
      <c r="E1845" t="s">
        <v>39</v>
      </c>
      <c r="F1845" t="s">
        <v>55</v>
      </c>
      <c r="H1845">
        <v>335</v>
      </c>
      <c r="I1845">
        <v>7</v>
      </c>
      <c r="J1845">
        <v>0</v>
      </c>
      <c r="K1845" t="s">
        <v>18900</v>
      </c>
      <c r="L1845" t="s">
        <v>18901</v>
      </c>
      <c r="M1845" t="s">
        <v>39</v>
      </c>
      <c r="N1845">
        <v>0.9798</v>
      </c>
      <c r="O1845" s="1">
        <v>1</v>
      </c>
      <c r="P1845" t="s">
        <v>18902</v>
      </c>
      <c r="Q1845" t="s">
        <v>18903</v>
      </c>
      <c r="S1845" t="s">
        <v>166</v>
      </c>
      <c r="T1845" t="s">
        <v>167</v>
      </c>
      <c r="U1845" t="s">
        <v>18904</v>
      </c>
      <c r="V1845">
        <v>2</v>
      </c>
      <c r="AE1845" t="s">
        <v>74</v>
      </c>
      <c r="AF1845" t="s">
        <v>169</v>
      </c>
      <c r="AG1845" t="s">
        <v>18905</v>
      </c>
      <c r="AH1845" t="str">
        <f>HYPERLINK("http://compartments.jensenlab.org/Entity?figures=subcell_cell_%&amp;knowledge=10&amp;textmining=10&amp;experiments=10&amp;predictions=10&amp;type1=9606&amp;type2=-22&amp;id1=ENSP00000307598","link")</f>
        <v>link</v>
      </c>
      <c r="AI1845" t="s">
        <v>65</v>
      </c>
      <c r="AJ1845" t="s">
        <v>51</v>
      </c>
      <c r="AK1845" t="str">
        <f>HYPERLINK("http://www.proteinatlas.org/Q8NGE7","HPA015808")</f>
        <v>HPA015808</v>
      </c>
      <c r="AM1845">
        <v>441639</v>
      </c>
    </row>
    <row r="1846" spans="1:39" x14ac:dyDescent="0.35">
      <c r="A1846" t="s">
        <v>18906</v>
      </c>
      <c r="B1846" t="str">
        <f>HYPERLINK("http://www.uniprot.org/uniprot/Q8NGE8","Q8NGE8")</f>
        <v>Q8NGE8</v>
      </c>
      <c r="C1846" t="s">
        <v>18907</v>
      </c>
      <c r="D1846" t="s">
        <v>18908</v>
      </c>
      <c r="E1846" t="s">
        <v>39</v>
      </c>
      <c r="F1846" t="s">
        <v>55</v>
      </c>
      <c r="H1846">
        <v>314</v>
      </c>
      <c r="I1846">
        <v>7</v>
      </c>
      <c r="J1846">
        <v>0</v>
      </c>
      <c r="K1846" t="s">
        <v>18909</v>
      </c>
      <c r="L1846" t="s">
        <v>57</v>
      </c>
      <c r="N1846">
        <v>0.96409999999999996</v>
      </c>
      <c r="O1846" s="1">
        <v>1</v>
      </c>
      <c r="P1846" t="s">
        <v>18910</v>
      </c>
      <c r="Q1846" t="s">
        <v>18911</v>
      </c>
      <c r="S1846" t="s">
        <v>166</v>
      </c>
      <c r="T1846" t="s">
        <v>167</v>
      </c>
      <c r="U1846" t="s">
        <v>1191</v>
      </c>
      <c r="V1846">
        <v>1</v>
      </c>
      <c r="AE1846" t="s">
        <v>74</v>
      </c>
      <c r="AF1846" t="s">
        <v>169</v>
      </c>
      <c r="AG1846" t="s">
        <v>18912</v>
      </c>
      <c r="AH1846" t="str">
        <f>HYPERLINK("http://compartments.jensenlab.org/Entity?figures=subcell_cell_%&amp;knowledge=10&amp;textmining=10&amp;experiments=10&amp;predictions=10&amp;type1=9606&amp;type2=-22&amp;id1=ENSP00000328563","link")</f>
        <v>link</v>
      </c>
      <c r="AI1846" t="s">
        <v>65</v>
      </c>
      <c r="AJ1846" t="s">
        <v>51</v>
      </c>
      <c r="AK1846" t="str">
        <f>HYPERLINK("http://www.proteinatlas.org/Q8NGE8","no")</f>
        <v>no</v>
      </c>
      <c r="AM1846">
        <v>390199</v>
      </c>
    </row>
    <row r="1847" spans="1:39" x14ac:dyDescent="0.35">
      <c r="A1847" t="s">
        <v>18913</v>
      </c>
      <c r="B1847" t="str">
        <f>HYPERLINK("http://www.uniprot.org/uniprot/Q8NGE9","Q8NGE9")</f>
        <v>Q8NGE9</v>
      </c>
      <c r="C1847" t="s">
        <v>18914</v>
      </c>
      <c r="D1847" t="s">
        <v>18915</v>
      </c>
      <c r="E1847" t="s">
        <v>39</v>
      </c>
      <c r="F1847" t="s">
        <v>55</v>
      </c>
      <c r="H1847">
        <v>314</v>
      </c>
      <c r="I1847">
        <v>7</v>
      </c>
      <c r="J1847">
        <v>0</v>
      </c>
      <c r="K1847" t="s">
        <v>18916</v>
      </c>
      <c r="L1847" t="s">
        <v>57</v>
      </c>
      <c r="N1847">
        <v>0.99199999999999999</v>
      </c>
      <c r="O1847" s="1">
        <v>1</v>
      </c>
      <c r="P1847" t="s">
        <v>18917</v>
      </c>
      <c r="Q1847" t="s">
        <v>18918</v>
      </c>
      <c r="S1847" t="s">
        <v>166</v>
      </c>
      <c r="T1847" t="s">
        <v>167</v>
      </c>
      <c r="U1847">
        <v>5</v>
      </c>
      <c r="V1847">
        <v>1</v>
      </c>
      <c r="AE1847" t="s">
        <v>74</v>
      </c>
      <c r="AF1847" t="s">
        <v>169</v>
      </c>
      <c r="AG1847" t="s">
        <v>18919</v>
      </c>
      <c r="AH1847" t="str">
        <f>HYPERLINK("http://compartments.jensenlab.org/Entity?figures=subcell_cell_%&amp;knowledge=10&amp;textmining=10&amp;experiments=10&amp;predictions=10&amp;type1=9606&amp;type2=-22&amp;id1=ENSP00000308714","link")</f>
        <v>link</v>
      </c>
      <c r="AI1847" t="s">
        <v>65</v>
      </c>
      <c r="AJ1847" t="s">
        <v>51</v>
      </c>
      <c r="AK1847" t="str">
        <f>HYPERLINK("http://www.proteinatlas.org/Q8NGE9","no")</f>
        <v>no</v>
      </c>
      <c r="AM1847">
        <v>219957</v>
      </c>
    </row>
    <row r="1848" spans="1:39" x14ac:dyDescent="0.35">
      <c r="A1848" t="s">
        <v>18920</v>
      </c>
      <c r="B1848" t="str">
        <f>HYPERLINK("http://www.uniprot.org/uniprot/Q8NGF0","Q8NGF0")</f>
        <v>Q8NGF0</v>
      </c>
      <c r="C1848" t="s">
        <v>18921</v>
      </c>
      <c r="D1848" t="s">
        <v>18922</v>
      </c>
      <c r="E1848" t="s">
        <v>39</v>
      </c>
      <c r="F1848" t="s">
        <v>55</v>
      </c>
      <c r="H1848">
        <v>335</v>
      </c>
      <c r="I1848">
        <v>7</v>
      </c>
      <c r="J1848">
        <v>0</v>
      </c>
      <c r="K1848" t="s">
        <v>18923</v>
      </c>
      <c r="L1848" t="s">
        <v>57</v>
      </c>
      <c r="M1848" t="s">
        <v>39</v>
      </c>
      <c r="N1848">
        <v>0.93220000000000003</v>
      </c>
      <c r="O1848" s="1">
        <v>1</v>
      </c>
      <c r="P1848" t="s">
        <v>18924</v>
      </c>
      <c r="Q1848" t="s">
        <v>18925</v>
      </c>
      <c r="S1848" t="s">
        <v>166</v>
      </c>
      <c r="T1848" t="s">
        <v>167</v>
      </c>
      <c r="U1848">
        <v>23</v>
      </c>
      <c r="V1848">
        <v>1</v>
      </c>
      <c r="AE1848" t="s">
        <v>74</v>
      </c>
      <c r="AF1848" t="s">
        <v>169</v>
      </c>
      <c r="AG1848" t="s">
        <v>18926</v>
      </c>
      <c r="AH1848" t="str">
        <f>HYPERLINK("http://compartments.jensenlab.org/Entity?figures=subcell_cell_%&amp;knowledge=10&amp;textmining=10&amp;experiments=10&amp;predictions=10&amp;type1=9606&amp;type2=-22&amp;id1=ENSP00000341581","link")</f>
        <v>link</v>
      </c>
      <c r="AI1848" t="s">
        <v>65</v>
      </c>
      <c r="AJ1848" t="s">
        <v>51</v>
      </c>
      <c r="AK1848" t="str">
        <f>HYPERLINK("http://www.proteinatlas.org/Q8NGF0","no")</f>
        <v>no</v>
      </c>
      <c r="AM1848">
        <v>340980</v>
      </c>
    </row>
    <row r="1849" spans="1:39" x14ac:dyDescent="0.35">
      <c r="A1849" t="s">
        <v>18927</v>
      </c>
      <c r="B1849" t="str">
        <f>HYPERLINK("http://www.uniprot.org/uniprot/Q8NGF1","Q8NGF1")</f>
        <v>Q8NGF1</v>
      </c>
      <c r="C1849" t="s">
        <v>18928</v>
      </c>
      <c r="D1849" t="s">
        <v>18929</v>
      </c>
      <c r="E1849" t="s">
        <v>39</v>
      </c>
      <c r="F1849" t="s">
        <v>40</v>
      </c>
      <c r="H1849">
        <v>315</v>
      </c>
      <c r="I1849">
        <v>7</v>
      </c>
      <c r="J1849">
        <v>0</v>
      </c>
      <c r="K1849" t="s">
        <v>18930</v>
      </c>
      <c r="L1849" t="s">
        <v>57</v>
      </c>
      <c r="N1849">
        <v>0.91220000000000001</v>
      </c>
      <c r="O1849" s="1">
        <v>1</v>
      </c>
      <c r="P1849" t="s">
        <v>18931</v>
      </c>
      <c r="Q1849" t="s">
        <v>18932</v>
      </c>
      <c r="S1849" t="s">
        <v>166</v>
      </c>
      <c r="T1849" t="s">
        <v>167</v>
      </c>
      <c r="U1849" t="s">
        <v>18933</v>
      </c>
      <c r="V1849">
        <v>1</v>
      </c>
      <c r="AE1849" t="s">
        <v>74</v>
      </c>
      <c r="AF1849" t="s">
        <v>169</v>
      </c>
      <c r="AG1849" t="s">
        <v>18934</v>
      </c>
      <c r="AH1849" t="str">
        <f>HYPERLINK("http://compartments.jensenlab.org/Entity?figures=subcell_cell_%&amp;knowledge=10&amp;textmining=10&amp;experiments=10&amp;predictions=10&amp;type1=9606&amp;type2=-22&amp;id1=ENSP00000348368","link")</f>
        <v>link</v>
      </c>
      <c r="AK1849" t="str">
        <f>HYPERLINK("http://www.proteinatlas.org/Q8NGF1","no")</f>
        <v>no</v>
      </c>
      <c r="AM1849">
        <v>119695</v>
      </c>
    </row>
    <row r="1850" spans="1:39" x14ac:dyDescent="0.35">
      <c r="A1850" t="s">
        <v>18935</v>
      </c>
      <c r="B1850" t="str">
        <f>HYPERLINK("http://www.uniprot.org/uniprot/Q8NGF3","Q8NGF3")</f>
        <v>Q8NGF3</v>
      </c>
      <c r="C1850" t="s">
        <v>18936</v>
      </c>
      <c r="D1850" t="s">
        <v>18937</v>
      </c>
      <c r="E1850" t="s">
        <v>39</v>
      </c>
      <c r="F1850" t="s">
        <v>55</v>
      </c>
      <c r="H1850">
        <v>324</v>
      </c>
      <c r="I1850">
        <v>7</v>
      </c>
      <c r="J1850">
        <v>0</v>
      </c>
      <c r="K1850" t="s">
        <v>18938</v>
      </c>
      <c r="L1850" t="s">
        <v>57</v>
      </c>
      <c r="M1850" t="s">
        <v>39</v>
      </c>
      <c r="N1850">
        <v>0.77170000000000005</v>
      </c>
      <c r="O1850" s="1">
        <v>1</v>
      </c>
      <c r="P1850" t="s">
        <v>18939</v>
      </c>
      <c r="Q1850" t="s">
        <v>18940</v>
      </c>
      <c r="S1850" t="s">
        <v>166</v>
      </c>
      <c r="T1850" t="s">
        <v>167</v>
      </c>
      <c r="U1850">
        <v>55</v>
      </c>
      <c r="V1850">
        <v>0</v>
      </c>
      <c r="AE1850" t="s">
        <v>74</v>
      </c>
      <c r="AF1850" t="s">
        <v>368</v>
      </c>
      <c r="AG1850" t="s">
        <v>18941</v>
      </c>
      <c r="AH1850" t="str">
        <f>HYPERLINK("http://compartments.jensenlab.org/Entity?figures=subcell_cell_%&amp;knowledge=10&amp;textmining=10&amp;experiments=10&amp;predictions=10&amp;type1=9606&amp;type2=-22&amp;id1=ENSP00000350222","link")</f>
        <v>link</v>
      </c>
      <c r="AI1850" t="s">
        <v>65</v>
      </c>
      <c r="AJ1850" t="s">
        <v>51</v>
      </c>
      <c r="AK1850" t="str">
        <f>HYPERLINK("http://www.proteinatlas.org/Q8NGF3","HPA061240")</f>
        <v>HPA061240</v>
      </c>
      <c r="AM1850">
        <v>390038</v>
      </c>
    </row>
    <row r="1851" spans="1:39" x14ac:dyDescent="0.35">
      <c r="A1851" t="s">
        <v>18942</v>
      </c>
      <c r="B1851" t="str">
        <f>HYPERLINK("http://www.uniprot.org/uniprot/Q8NGF4","Q8NGF4")</f>
        <v>Q8NGF4</v>
      </c>
      <c r="C1851" t="s">
        <v>18943</v>
      </c>
      <c r="D1851" t="s">
        <v>18944</v>
      </c>
      <c r="E1851" t="s">
        <v>39</v>
      </c>
      <c r="F1851" t="s">
        <v>55</v>
      </c>
      <c r="H1851">
        <v>316</v>
      </c>
      <c r="I1851">
        <v>7</v>
      </c>
      <c r="J1851">
        <v>0</v>
      </c>
      <c r="K1851" t="s">
        <v>18945</v>
      </c>
      <c r="L1851" t="s">
        <v>57</v>
      </c>
      <c r="N1851">
        <v>0.85429999999999995</v>
      </c>
      <c r="O1851" s="1">
        <v>1</v>
      </c>
      <c r="P1851" t="s">
        <v>18946</v>
      </c>
      <c r="Q1851" t="s">
        <v>18947</v>
      </c>
      <c r="S1851" t="s">
        <v>166</v>
      </c>
      <c r="T1851" t="s">
        <v>167</v>
      </c>
      <c r="U1851">
        <v>11</v>
      </c>
      <c r="V1851">
        <v>1</v>
      </c>
      <c r="AE1851" t="s">
        <v>74</v>
      </c>
      <c r="AF1851" t="s">
        <v>169</v>
      </c>
      <c r="AG1851" t="s">
        <v>18948</v>
      </c>
      <c r="AH1851" t="str">
        <f>HYPERLINK("http://compartments.jensenlab.org/Entity?figures=subcell_cell_%&amp;knowledge=10&amp;textmining=10&amp;experiments=10&amp;predictions=10&amp;type1=9606&amp;type2=-22&amp;id1=ENSP00000303111","link")</f>
        <v>link</v>
      </c>
      <c r="AI1851" t="s">
        <v>65</v>
      </c>
      <c r="AJ1851" t="s">
        <v>51</v>
      </c>
      <c r="AK1851" t="str">
        <f>HYPERLINK("http://www.proteinatlas.org/Q8NGF4","no")</f>
        <v>no</v>
      </c>
      <c r="AM1851">
        <v>338675</v>
      </c>
    </row>
    <row r="1852" spans="1:39" x14ac:dyDescent="0.35">
      <c r="A1852" t="s">
        <v>18949</v>
      </c>
      <c r="B1852" t="str">
        <f>HYPERLINK("http://www.uniprot.org/uniprot/Q8NGF6","Q8NGF6")</f>
        <v>Q8NGF6</v>
      </c>
      <c r="C1852" t="s">
        <v>18950</v>
      </c>
      <c r="D1852" t="s">
        <v>18951</v>
      </c>
      <c r="E1852" t="s">
        <v>39</v>
      </c>
      <c r="F1852" t="s">
        <v>55</v>
      </c>
      <c r="H1852">
        <v>305</v>
      </c>
      <c r="I1852">
        <v>7</v>
      </c>
      <c r="J1852">
        <v>0</v>
      </c>
      <c r="K1852" t="s">
        <v>18952</v>
      </c>
      <c r="L1852" t="s">
        <v>57</v>
      </c>
      <c r="M1852" t="s">
        <v>39</v>
      </c>
      <c r="N1852">
        <v>0.80589999999999995</v>
      </c>
      <c r="O1852" s="1">
        <v>1</v>
      </c>
      <c r="P1852" t="s">
        <v>18953</v>
      </c>
      <c r="Q1852" t="s">
        <v>18954</v>
      </c>
      <c r="S1852" t="s">
        <v>166</v>
      </c>
      <c r="T1852" t="s">
        <v>167</v>
      </c>
      <c r="V1852">
        <v>0</v>
      </c>
      <c r="AE1852" t="s">
        <v>74</v>
      </c>
      <c r="AF1852" t="s">
        <v>2173</v>
      </c>
      <c r="AG1852" t="s">
        <v>18955</v>
      </c>
      <c r="AH1852" t="str">
        <f>HYPERLINK("http://compartments.jensenlab.org/Entity?figures=subcell_cell_%&amp;knowledge=10&amp;textmining=10&amp;experiments=10&amp;predictions=10&amp;type1=9606&amp;type2=-22&amp;id1=ENSP00000378516","link")</f>
        <v>link</v>
      </c>
      <c r="AI1852" t="s">
        <v>65</v>
      </c>
      <c r="AJ1852" t="s">
        <v>51</v>
      </c>
      <c r="AK1852" t="str">
        <f>HYPERLINK("http://www.proteinatlas.org/Q8NGF6","no")</f>
        <v>no</v>
      </c>
      <c r="AM1852">
        <v>81341</v>
      </c>
    </row>
    <row r="1853" spans="1:39" x14ac:dyDescent="0.35">
      <c r="A1853" t="s">
        <v>18956</v>
      </c>
      <c r="B1853" t="str">
        <f>HYPERLINK("http://www.uniprot.org/uniprot/Q8NGF7","Q8NGF7")</f>
        <v>Q8NGF7</v>
      </c>
      <c r="C1853" t="s">
        <v>18957</v>
      </c>
      <c r="D1853" t="s">
        <v>18958</v>
      </c>
      <c r="E1853" t="s">
        <v>39</v>
      </c>
      <c r="F1853" t="s">
        <v>55</v>
      </c>
      <c r="H1853">
        <v>314</v>
      </c>
      <c r="I1853">
        <v>7</v>
      </c>
      <c r="J1853">
        <v>0</v>
      </c>
      <c r="K1853" t="s">
        <v>18959</v>
      </c>
      <c r="L1853" t="s">
        <v>57</v>
      </c>
      <c r="M1853" t="s">
        <v>39</v>
      </c>
      <c r="N1853">
        <v>0.84750000000000003</v>
      </c>
      <c r="O1853" s="1">
        <v>1</v>
      </c>
      <c r="P1853" t="s">
        <v>18960</v>
      </c>
      <c r="Q1853" t="s">
        <v>18961</v>
      </c>
      <c r="S1853" t="s">
        <v>166</v>
      </c>
      <c r="T1853" t="s">
        <v>167</v>
      </c>
      <c r="U1853" t="s">
        <v>18962</v>
      </c>
      <c r="V1853">
        <v>1</v>
      </c>
      <c r="AE1853" t="s">
        <v>74</v>
      </c>
      <c r="AF1853" t="s">
        <v>169</v>
      </c>
      <c r="AG1853" t="s">
        <v>18963</v>
      </c>
      <c r="AH1853" t="str">
        <f>HYPERLINK("http://compartments.jensenlab.org/Entity?figures=subcell_cell_%&amp;knowledge=10&amp;textmining=10&amp;experiments=10&amp;predictions=10&amp;type1=9606&amp;type2=-22&amp;id1=ENSP00000349945","link")</f>
        <v>link</v>
      </c>
      <c r="AI1853" t="s">
        <v>65</v>
      </c>
      <c r="AJ1853" t="s">
        <v>51</v>
      </c>
      <c r="AK1853" t="str">
        <f>HYPERLINK("http://www.proteinatlas.org/Q8NGF7","no")</f>
        <v>no</v>
      </c>
      <c r="AM1853">
        <v>219965</v>
      </c>
    </row>
    <row r="1854" spans="1:39" x14ac:dyDescent="0.35">
      <c r="A1854" t="s">
        <v>18964</v>
      </c>
      <c r="B1854" t="str">
        <f>HYPERLINK("http://www.uniprot.org/uniprot/Q8NGF8","Q8NGF8")</f>
        <v>Q8NGF8</v>
      </c>
      <c r="C1854" t="s">
        <v>18965</v>
      </c>
      <c r="D1854" t="s">
        <v>18966</v>
      </c>
      <c r="E1854" t="s">
        <v>39</v>
      </c>
      <c r="F1854" t="s">
        <v>55</v>
      </c>
      <c r="H1854">
        <v>309</v>
      </c>
      <c r="I1854">
        <v>7</v>
      </c>
      <c r="J1854">
        <v>0</v>
      </c>
      <c r="K1854" t="s">
        <v>18967</v>
      </c>
      <c r="L1854" t="s">
        <v>57</v>
      </c>
      <c r="M1854" t="s">
        <v>39</v>
      </c>
      <c r="N1854">
        <v>0.99390000000000001</v>
      </c>
      <c r="O1854" s="1">
        <v>1</v>
      </c>
      <c r="P1854" t="s">
        <v>18968</v>
      </c>
      <c r="Q1854" t="s">
        <v>18969</v>
      </c>
      <c r="S1854" t="s">
        <v>166</v>
      </c>
      <c r="T1854" t="s">
        <v>167</v>
      </c>
      <c r="U1854" t="s">
        <v>18970</v>
      </c>
      <c r="V1854">
        <v>1</v>
      </c>
      <c r="AE1854" t="s">
        <v>74</v>
      </c>
      <c r="AF1854" t="s">
        <v>169</v>
      </c>
      <c r="AG1854" t="s">
        <v>18971</v>
      </c>
      <c r="AH1854" t="str">
        <f>HYPERLINK("http://compartments.jensenlab.org/Entity?figures=subcell_cell_%&amp;knowledge=10&amp;textmining=10&amp;experiments=10&amp;predictions=10&amp;type1=9606&amp;type2=-22&amp;id1=ENSP00000311605","link")</f>
        <v>link</v>
      </c>
      <c r="AI1854" t="s">
        <v>65</v>
      </c>
      <c r="AJ1854" t="s">
        <v>51</v>
      </c>
      <c r="AK1854" t="str">
        <f>HYPERLINK("http://www.proteinatlas.org/Q8NGF8","HPA059443")</f>
        <v>HPA059443</v>
      </c>
      <c r="AM1854">
        <v>119765</v>
      </c>
    </row>
    <row r="1855" spans="1:39" x14ac:dyDescent="0.35">
      <c r="A1855" t="s">
        <v>18972</v>
      </c>
      <c r="B1855" t="str">
        <f>HYPERLINK("http://www.uniprot.org/uniprot/Q8NGF9","Q8NGF9")</f>
        <v>Q8NGF9</v>
      </c>
      <c r="C1855" t="s">
        <v>18973</v>
      </c>
      <c r="D1855" t="s">
        <v>18974</v>
      </c>
      <c r="E1855" t="s">
        <v>39</v>
      </c>
      <c r="F1855" t="s">
        <v>55</v>
      </c>
      <c r="H1855">
        <v>303</v>
      </c>
      <c r="I1855">
        <v>7</v>
      </c>
      <c r="J1855">
        <v>0</v>
      </c>
      <c r="K1855" t="s">
        <v>18975</v>
      </c>
      <c r="L1855" t="s">
        <v>57</v>
      </c>
      <c r="N1855">
        <v>0.71660000000000001</v>
      </c>
      <c r="O1855" s="1">
        <v>2</v>
      </c>
      <c r="P1855" t="s">
        <v>18976</v>
      </c>
      <c r="Q1855" t="s">
        <v>18977</v>
      </c>
      <c r="S1855" t="s">
        <v>166</v>
      </c>
      <c r="T1855" t="s">
        <v>167</v>
      </c>
      <c r="V1855">
        <v>0</v>
      </c>
      <c r="AE1855" t="s">
        <v>74</v>
      </c>
      <c r="AF1855" t="s">
        <v>368</v>
      </c>
      <c r="AG1855" t="s">
        <v>18978</v>
      </c>
      <c r="AH1855" t="str">
        <f>HYPERLINK("http://compartments.jensenlab.org/Entity?figures=subcell_cell_%&amp;knowledge=10&amp;textmining=10&amp;experiments=10&amp;predictions=10&amp;type1=9606&amp;type2=-22&amp;id1=ENSP00000307751","link")</f>
        <v>link</v>
      </c>
      <c r="AI1855" t="s">
        <v>65</v>
      </c>
      <c r="AJ1855" t="s">
        <v>51</v>
      </c>
      <c r="AK1855" t="str">
        <f>HYPERLINK("http://www.proteinatlas.org/Q8NGF9","HPA060249")</f>
        <v>HPA060249</v>
      </c>
      <c r="AM1855">
        <v>119764</v>
      </c>
    </row>
    <row r="1856" spans="1:39" x14ac:dyDescent="0.35">
      <c r="A1856" t="s">
        <v>18979</v>
      </c>
      <c r="B1856" t="str">
        <f>HYPERLINK("http://www.uniprot.org/uniprot/Q8NGG0","Q8NGG0")</f>
        <v>Q8NGG0</v>
      </c>
      <c r="C1856" t="s">
        <v>18980</v>
      </c>
      <c r="D1856" t="s">
        <v>18981</v>
      </c>
      <c r="E1856" t="s">
        <v>39</v>
      </c>
      <c r="F1856" t="s">
        <v>55</v>
      </c>
      <c r="H1856">
        <v>315</v>
      </c>
      <c r="I1856">
        <v>7</v>
      </c>
      <c r="J1856">
        <v>0</v>
      </c>
      <c r="K1856" t="s">
        <v>18982</v>
      </c>
      <c r="L1856" t="s">
        <v>57</v>
      </c>
      <c r="M1856" t="s">
        <v>39</v>
      </c>
      <c r="N1856">
        <v>1</v>
      </c>
      <c r="O1856" s="1">
        <v>1</v>
      </c>
      <c r="P1856" t="s">
        <v>18983</v>
      </c>
      <c r="Q1856" t="s">
        <v>18984</v>
      </c>
      <c r="S1856" t="s">
        <v>166</v>
      </c>
      <c r="T1856" t="s">
        <v>167</v>
      </c>
      <c r="U1856" t="s">
        <v>18985</v>
      </c>
      <c r="V1856">
        <v>2</v>
      </c>
      <c r="AE1856" t="s">
        <v>74</v>
      </c>
      <c r="AF1856" t="s">
        <v>169</v>
      </c>
      <c r="AG1856" t="s">
        <v>18986</v>
      </c>
      <c r="AH1856" t="str">
        <f>HYPERLINK("http://compartments.jensenlab.org/Entity?figures=subcell_cell_%&amp;knowledge=10&amp;textmining=10&amp;experiments=10&amp;predictions=10&amp;type1=9606&amp;type2=-22&amp;id1=ENSP00000301529","link")</f>
        <v>link</v>
      </c>
      <c r="AI1856" t="s">
        <v>65</v>
      </c>
      <c r="AJ1856" t="s">
        <v>51</v>
      </c>
      <c r="AK1856" t="str">
        <f>HYPERLINK("http://www.proteinatlas.org/Q8NGG0","no")</f>
        <v>no</v>
      </c>
      <c r="AM1856">
        <v>81168</v>
      </c>
    </row>
    <row r="1857" spans="1:39" x14ac:dyDescent="0.35">
      <c r="A1857" t="s">
        <v>18987</v>
      </c>
      <c r="B1857" t="str">
        <f>HYPERLINK("http://www.uniprot.org/uniprot/Q8NGG1","Q8NGG1")</f>
        <v>Q8NGG1</v>
      </c>
      <c r="C1857" t="s">
        <v>18988</v>
      </c>
      <c r="D1857" t="s">
        <v>18989</v>
      </c>
      <c r="E1857" t="s">
        <v>39</v>
      </c>
      <c r="F1857" t="s">
        <v>40</v>
      </c>
      <c r="H1857">
        <v>315</v>
      </c>
      <c r="I1857">
        <v>7</v>
      </c>
      <c r="J1857">
        <v>0</v>
      </c>
      <c r="K1857" t="s">
        <v>18990</v>
      </c>
      <c r="L1857" t="s">
        <v>57</v>
      </c>
      <c r="N1857">
        <v>0.99199999999999999</v>
      </c>
      <c r="O1857" s="1">
        <v>1</v>
      </c>
      <c r="S1857" t="s">
        <v>166</v>
      </c>
      <c r="T1857" t="s">
        <v>167</v>
      </c>
      <c r="U1857" t="s">
        <v>18985</v>
      </c>
      <c r="V1857">
        <v>2</v>
      </c>
      <c r="AE1857" t="s">
        <v>48</v>
      </c>
      <c r="AF1857" t="s">
        <v>18991</v>
      </c>
      <c r="AG1857" t="s">
        <v>18992</v>
      </c>
      <c r="AK1857" t="str">
        <f>HYPERLINK("http://www.proteinatlas.org/Q8NGG1","no")</f>
        <v>no</v>
      </c>
    </row>
    <row r="1858" spans="1:39" x14ac:dyDescent="0.35">
      <c r="A1858" t="s">
        <v>18993</v>
      </c>
      <c r="B1858" t="str">
        <f>HYPERLINK("http://www.uniprot.org/uniprot/Q8NGG2","Q8NGG2")</f>
        <v>Q8NGG2</v>
      </c>
      <c r="C1858" t="s">
        <v>18994</v>
      </c>
      <c r="D1858" t="s">
        <v>18995</v>
      </c>
      <c r="E1858" t="s">
        <v>39</v>
      </c>
      <c r="F1858" t="s">
        <v>55</v>
      </c>
      <c r="H1858">
        <v>359</v>
      </c>
      <c r="I1858">
        <v>7</v>
      </c>
      <c r="J1858">
        <v>0</v>
      </c>
      <c r="K1858" t="s">
        <v>18996</v>
      </c>
      <c r="L1858" t="s">
        <v>57</v>
      </c>
      <c r="M1858" t="s">
        <v>39</v>
      </c>
      <c r="N1858">
        <v>0.86980000000000002</v>
      </c>
      <c r="O1858" s="1">
        <v>1</v>
      </c>
      <c r="P1858" t="s">
        <v>18997</v>
      </c>
      <c r="Q1858" t="s">
        <v>18998</v>
      </c>
      <c r="S1858" t="s">
        <v>166</v>
      </c>
      <c r="T1858" t="s">
        <v>167</v>
      </c>
      <c r="U1858" t="s">
        <v>18999</v>
      </c>
      <c r="V1858">
        <v>1</v>
      </c>
      <c r="AE1858" t="s">
        <v>74</v>
      </c>
      <c r="AF1858" t="s">
        <v>455</v>
      </c>
      <c r="AG1858" t="s">
        <v>19000</v>
      </c>
      <c r="AH1858" t="str">
        <f>HYPERLINK("http://compartments.jensenlab.org/Entity?figures=subcell_cell_%&amp;knowledge=10&amp;textmining=10&amp;experiments=10&amp;predictions=10&amp;type1=9606&amp;type2=-22&amp;id1=ENSP00000323688","link")</f>
        <v>link</v>
      </c>
      <c r="AI1858" t="s">
        <v>65</v>
      </c>
      <c r="AJ1858" t="s">
        <v>51</v>
      </c>
      <c r="AK1858" t="str">
        <f>HYPERLINK("http://www.proteinatlas.org/Q8NGG2","HPA061909;HPA062599")</f>
        <v>HPA061909;HPA062599</v>
      </c>
      <c r="AM1858">
        <v>219464</v>
      </c>
    </row>
    <row r="1859" spans="1:39" x14ac:dyDescent="0.35">
      <c r="A1859" t="s">
        <v>19001</v>
      </c>
      <c r="B1859" t="str">
        <f>HYPERLINK("http://www.uniprot.org/uniprot/Q8NGG3","Q8NGG3")</f>
        <v>Q8NGG3</v>
      </c>
      <c r="C1859" t="s">
        <v>19002</v>
      </c>
      <c r="D1859" t="s">
        <v>19003</v>
      </c>
      <c r="E1859" t="s">
        <v>39</v>
      </c>
      <c r="F1859" t="s">
        <v>55</v>
      </c>
      <c r="H1859">
        <v>340</v>
      </c>
      <c r="I1859">
        <v>7</v>
      </c>
      <c r="J1859">
        <v>0</v>
      </c>
      <c r="K1859" t="s">
        <v>19004</v>
      </c>
      <c r="L1859" t="s">
        <v>57</v>
      </c>
      <c r="M1859" t="s">
        <v>39</v>
      </c>
      <c r="N1859">
        <v>0.97940000000000005</v>
      </c>
      <c r="O1859" s="1">
        <v>1</v>
      </c>
      <c r="P1859" t="s">
        <v>19005</v>
      </c>
      <c r="Q1859" t="s">
        <v>19006</v>
      </c>
      <c r="S1859" t="s">
        <v>166</v>
      </c>
      <c r="T1859" t="s">
        <v>167</v>
      </c>
      <c r="U1859" t="s">
        <v>19007</v>
      </c>
      <c r="V1859">
        <v>2</v>
      </c>
      <c r="AE1859" t="s">
        <v>74</v>
      </c>
      <c r="AF1859" t="s">
        <v>169</v>
      </c>
      <c r="AG1859" t="s">
        <v>19008</v>
      </c>
      <c r="AH1859" t="str">
        <f>HYPERLINK("http://compartments.jensenlab.org/Entity?figures=subcell_cell_%&amp;knowledge=10&amp;textmining=10&amp;experiments=10&amp;predictions=10&amp;type1=9606&amp;type2=-22&amp;id1=ENSP00000305403","link")</f>
        <v>link</v>
      </c>
      <c r="AI1859" t="s">
        <v>65</v>
      </c>
      <c r="AJ1859" t="s">
        <v>51</v>
      </c>
      <c r="AK1859" t="str">
        <f>HYPERLINK("http://www.proteinatlas.org/Q8NGG3","HPA044986")</f>
        <v>HPA044986</v>
      </c>
      <c r="AM1859">
        <v>390154</v>
      </c>
    </row>
    <row r="1860" spans="1:39" x14ac:dyDescent="0.35">
      <c r="A1860" t="s">
        <v>19009</v>
      </c>
      <c r="B1860" t="str">
        <f>HYPERLINK("http://www.uniprot.org/uniprot/Q8NGG4","Q8NGG4")</f>
        <v>Q8NGG4</v>
      </c>
      <c r="C1860" t="s">
        <v>19010</v>
      </c>
      <c r="D1860" t="s">
        <v>19011</v>
      </c>
      <c r="E1860" t="s">
        <v>39</v>
      </c>
      <c r="F1860" t="s">
        <v>55</v>
      </c>
      <c r="H1860">
        <v>311</v>
      </c>
      <c r="I1860">
        <v>7</v>
      </c>
      <c r="J1860">
        <v>0</v>
      </c>
      <c r="K1860" t="s">
        <v>19012</v>
      </c>
      <c r="L1860" t="s">
        <v>57</v>
      </c>
      <c r="N1860">
        <v>0.996</v>
      </c>
      <c r="O1860" s="1">
        <v>1</v>
      </c>
      <c r="P1860" t="s">
        <v>19013</v>
      </c>
      <c r="Q1860" t="s">
        <v>19014</v>
      </c>
      <c r="S1860" t="s">
        <v>166</v>
      </c>
      <c r="T1860" t="s">
        <v>167</v>
      </c>
      <c r="U1860" t="s">
        <v>19015</v>
      </c>
      <c r="V1860">
        <v>1</v>
      </c>
      <c r="AE1860" t="s">
        <v>74</v>
      </c>
      <c r="AF1860" t="s">
        <v>169</v>
      </c>
      <c r="AG1860" t="s">
        <v>19016</v>
      </c>
      <c r="AH1860" t="str">
        <f>HYPERLINK("http://compartments.jensenlab.org/Entity?figures=subcell_cell_%&amp;knowledge=10&amp;textmining=10&amp;experiments=10&amp;predictions=10&amp;type1=9606&amp;type2=-22&amp;id1=ENSP00000323595","link")</f>
        <v>link</v>
      </c>
      <c r="AI1860" t="s">
        <v>65</v>
      </c>
      <c r="AJ1860" t="s">
        <v>51</v>
      </c>
      <c r="AK1860" t="str">
        <f>HYPERLINK("http://www.proteinatlas.org/Q8NGG4","no")</f>
        <v>no</v>
      </c>
      <c r="AM1860">
        <v>219469</v>
      </c>
    </row>
    <row r="1861" spans="1:39" x14ac:dyDescent="0.35">
      <c r="A1861" t="s">
        <v>19017</v>
      </c>
      <c r="B1861" t="str">
        <f>HYPERLINK("http://www.uniprot.org/uniprot/Q8NGG5","Q8NGG5")</f>
        <v>Q8NGG5</v>
      </c>
      <c r="C1861" t="s">
        <v>19018</v>
      </c>
      <c r="D1861" t="s">
        <v>19019</v>
      </c>
      <c r="E1861" t="s">
        <v>39</v>
      </c>
      <c r="F1861" t="s">
        <v>55</v>
      </c>
      <c r="H1861">
        <v>319</v>
      </c>
      <c r="I1861">
        <v>7</v>
      </c>
      <c r="J1861">
        <v>0</v>
      </c>
      <c r="K1861" t="s">
        <v>19020</v>
      </c>
      <c r="L1861" t="s">
        <v>57</v>
      </c>
      <c r="M1861" t="s">
        <v>39</v>
      </c>
      <c r="N1861">
        <v>0.96840000000000004</v>
      </c>
      <c r="O1861" s="1">
        <v>1</v>
      </c>
      <c r="P1861" t="s">
        <v>19021</v>
      </c>
      <c r="Q1861" t="s">
        <v>19022</v>
      </c>
      <c r="S1861" t="s">
        <v>166</v>
      </c>
      <c r="T1861" t="s">
        <v>167</v>
      </c>
      <c r="U1861">
        <v>8</v>
      </c>
      <c r="V1861">
        <v>1</v>
      </c>
      <c r="AE1861" t="s">
        <v>74</v>
      </c>
      <c r="AF1861" t="s">
        <v>455</v>
      </c>
      <c r="AG1861" t="s">
        <v>19023</v>
      </c>
      <c r="AH1861" t="str">
        <f>HYPERLINK("http://compartments.jensenlab.org/Entity?figures=subcell_cell_%&amp;knowledge=10&amp;textmining=10&amp;experiments=10&amp;predictions=10&amp;type1=9606&amp;type2=-22&amp;id1=ENSP00000279783","link")</f>
        <v>link</v>
      </c>
      <c r="AI1861" t="s">
        <v>65</v>
      </c>
      <c r="AJ1861" t="s">
        <v>51</v>
      </c>
      <c r="AK1861" t="str">
        <f>HYPERLINK("http://www.proteinatlas.org/Q8NGG5","HPA055233")</f>
        <v>HPA055233</v>
      </c>
      <c r="AM1861">
        <v>390157</v>
      </c>
    </row>
    <row r="1862" spans="1:39" x14ac:dyDescent="0.35">
      <c r="A1862" t="s">
        <v>19024</v>
      </c>
      <c r="B1862" t="str">
        <f>HYPERLINK("http://www.uniprot.org/uniprot/Q8NGG6","Q8NGG6")</f>
        <v>Q8NGG6</v>
      </c>
      <c r="C1862" t="s">
        <v>19025</v>
      </c>
      <c r="D1862" t="s">
        <v>19026</v>
      </c>
      <c r="E1862" t="s">
        <v>39</v>
      </c>
      <c r="F1862" t="s">
        <v>55</v>
      </c>
      <c r="H1862">
        <v>310</v>
      </c>
      <c r="I1862">
        <v>7</v>
      </c>
      <c r="J1862">
        <v>0</v>
      </c>
      <c r="K1862" t="s">
        <v>19027</v>
      </c>
      <c r="L1862" t="s">
        <v>57</v>
      </c>
      <c r="N1862">
        <v>0.94210000000000005</v>
      </c>
      <c r="O1862" s="1">
        <v>1</v>
      </c>
      <c r="P1862" t="s">
        <v>19028</v>
      </c>
      <c r="Q1862" t="s">
        <v>19029</v>
      </c>
      <c r="S1862" t="s">
        <v>166</v>
      </c>
      <c r="T1862" t="s">
        <v>167</v>
      </c>
      <c r="U1862" t="s">
        <v>19030</v>
      </c>
      <c r="V1862">
        <v>3</v>
      </c>
      <c r="AE1862" t="s">
        <v>74</v>
      </c>
      <c r="AF1862" t="s">
        <v>549</v>
      </c>
      <c r="AG1862" t="s">
        <v>19031</v>
      </c>
      <c r="AH1862" t="str">
        <f>HYPERLINK("http://compartments.jensenlab.org/Entity?figures=subcell_cell_%&amp;knowledge=10&amp;textmining=10&amp;experiments=10&amp;predictions=10&amp;type1=9606&amp;type2=-22&amp;id1=ENSP00000307159","link")</f>
        <v>link</v>
      </c>
      <c r="AI1862" t="s">
        <v>65</v>
      </c>
      <c r="AJ1862" t="s">
        <v>51</v>
      </c>
      <c r="AK1862" t="str">
        <f>HYPERLINK("http://www.proteinatlas.org/Q8NGG6","no")</f>
        <v>no</v>
      </c>
      <c r="AM1862">
        <v>219858</v>
      </c>
    </row>
    <row r="1863" spans="1:39" x14ac:dyDescent="0.35">
      <c r="A1863" t="s">
        <v>19032</v>
      </c>
      <c r="B1863" t="str">
        <f>HYPERLINK("http://www.uniprot.org/uniprot/Q8NGG7","Q8NGG7")</f>
        <v>Q8NGG7</v>
      </c>
      <c r="C1863" t="s">
        <v>19033</v>
      </c>
      <c r="D1863" t="s">
        <v>19034</v>
      </c>
      <c r="E1863" t="s">
        <v>39</v>
      </c>
      <c r="F1863" t="s">
        <v>55</v>
      </c>
      <c r="H1863">
        <v>326</v>
      </c>
      <c r="I1863">
        <v>7</v>
      </c>
      <c r="J1863">
        <v>0</v>
      </c>
      <c r="K1863" t="s">
        <v>19035</v>
      </c>
      <c r="L1863" t="s">
        <v>57</v>
      </c>
      <c r="M1863" t="s">
        <v>39</v>
      </c>
      <c r="N1863">
        <v>0.95899999999999996</v>
      </c>
      <c r="O1863" s="1">
        <v>1</v>
      </c>
      <c r="P1863" t="s">
        <v>19036</v>
      </c>
      <c r="Q1863" t="s">
        <v>19037</v>
      </c>
      <c r="S1863" t="s">
        <v>166</v>
      </c>
      <c r="T1863" t="s">
        <v>167</v>
      </c>
      <c r="U1863" t="s">
        <v>19038</v>
      </c>
      <c r="V1863">
        <v>1</v>
      </c>
      <c r="AE1863" t="s">
        <v>74</v>
      </c>
      <c r="AF1863" t="s">
        <v>169</v>
      </c>
      <c r="AG1863" t="s">
        <v>19039</v>
      </c>
      <c r="AH1863" t="str">
        <f>HYPERLINK("http://compartments.jensenlab.org/Entity?figures=subcell_cell_%&amp;knowledge=10&amp;textmining=10&amp;experiments=10&amp;predictions=10&amp;type1=9606&amp;type2=-22&amp;id1=ENSP00000284287","link")</f>
        <v>link</v>
      </c>
      <c r="AI1863" t="s">
        <v>65</v>
      </c>
      <c r="AJ1863" t="s">
        <v>51</v>
      </c>
      <c r="AK1863" t="str">
        <f>HYPERLINK("http://www.proteinatlas.org/Q8NGG7","no")</f>
        <v>no</v>
      </c>
      <c r="AM1863">
        <v>390275</v>
      </c>
    </row>
    <row r="1864" spans="1:39" x14ac:dyDescent="0.35">
      <c r="A1864" t="s">
        <v>19040</v>
      </c>
      <c r="B1864" t="str">
        <f>HYPERLINK("http://www.uniprot.org/uniprot/Q8NGG8","Q8NGG8")</f>
        <v>Q8NGG8</v>
      </c>
      <c r="C1864" t="s">
        <v>19041</v>
      </c>
      <c r="D1864" t="s">
        <v>19042</v>
      </c>
      <c r="E1864" t="s">
        <v>39</v>
      </c>
      <c r="F1864" t="s">
        <v>55</v>
      </c>
      <c r="H1864">
        <v>313</v>
      </c>
      <c r="I1864">
        <v>7</v>
      </c>
      <c r="J1864">
        <v>0</v>
      </c>
      <c r="K1864" t="s">
        <v>19043</v>
      </c>
      <c r="L1864" t="s">
        <v>57</v>
      </c>
      <c r="N1864">
        <v>0.93010000000000004</v>
      </c>
      <c r="O1864" s="1">
        <v>1</v>
      </c>
      <c r="P1864" t="s">
        <v>19044</v>
      </c>
      <c r="Q1864" t="s">
        <v>19045</v>
      </c>
      <c r="S1864" t="s">
        <v>166</v>
      </c>
      <c r="T1864" t="s">
        <v>167</v>
      </c>
      <c r="U1864" t="s">
        <v>1191</v>
      </c>
      <c r="V1864">
        <v>1</v>
      </c>
      <c r="AE1864" t="s">
        <v>74</v>
      </c>
      <c r="AF1864" t="s">
        <v>169</v>
      </c>
      <c r="AG1864" t="s">
        <v>19046</v>
      </c>
      <c r="AH1864" t="str">
        <f>HYPERLINK("http://compartments.jensenlab.org/Entity?figures=subcell_cell_%&amp;knowledge=10&amp;textmining=10&amp;experiments=10&amp;predictions=10&amp;type1=9606&amp;type2=-22&amp;id1=ENSP00000346611","link")</f>
        <v>link</v>
      </c>
      <c r="AI1864" t="s">
        <v>65</v>
      </c>
      <c r="AJ1864" t="s">
        <v>51</v>
      </c>
      <c r="AK1864" t="str">
        <f>HYPERLINK("http://www.proteinatlas.org/Q8NGG8","no")</f>
        <v>no</v>
      </c>
      <c r="AM1864">
        <v>390271</v>
      </c>
    </row>
    <row r="1865" spans="1:39" x14ac:dyDescent="0.35">
      <c r="A1865" t="s">
        <v>19047</v>
      </c>
      <c r="B1865" t="str">
        <f>HYPERLINK("http://www.uniprot.org/uniprot/Q8NGH3","Q8NGH3")</f>
        <v>Q8NGH3</v>
      </c>
      <c r="C1865" t="s">
        <v>19048</v>
      </c>
      <c r="D1865" t="s">
        <v>19049</v>
      </c>
      <c r="E1865" t="s">
        <v>39</v>
      </c>
      <c r="F1865" t="s">
        <v>55</v>
      </c>
      <c r="H1865">
        <v>330</v>
      </c>
      <c r="I1865">
        <v>7</v>
      </c>
      <c r="J1865">
        <v>0</v>
      </c>
      <c r="K1865" t="s">
        <v>19050</v>
      </c>
      <c r="L1865" t="s">
        <v>57</v>
      </c>
      <c r="N1865">
        <v>0.98399999999999999</v>
      </c>
      <c r="O1865" s="1">
        <v>1</v>
      </c>
      <c r="P1865" t="s">
        <v>19051</v>
      </c>
      <c r="Q1865" t="s">
        <v>19052</v>
      </c>
      <c r="S1865" t="s">
        <v>166</v>
      </c>
      <c r="T1865" t="s">
        <v>167</v>
      </c>
      <c r="U1865" t="s">
        <v>19053</v>
      </c>
      <c r="V1865">
        <v>1</v>
      </c>
      <c r="AE1865" t="s">
        <v>74</v>
      </c>
      <c r="AF1865" t="s">
        <v>455</v>
      </c>
      <c r="AG1865" t="s">
        <v>19054</v>
      </c>
      <c r="AH1865" t="str">
        <f>HYPERLINK("http://compartments.jensenlab.org/Entity?figures=subcell_cell_%&amp;knowledge=10&amp;textmining=10&amp;experiments=10&amp;predictions=10&amp;type1=9606&amp;type2=-22&amp;id1=ENSP00000320560","link")</f>
        <v>link</v>
      </c>
      <c r="AI1865" t="s">
        <v>65</v>
      </c>
      <c r="AJ1865" t="s">
        <v>51</v>
      </c>
      <c r="AK1865" t="str">
        <f>HYPERLINK("http://www.proteinatlas.org/Q8NGH3","HPA052551")</f>
        <v>HPA052551</v>
      </c>
      <c r="AM1865">
        <v>120775</v>
      </c>
    </row>
    <row r="1866" spans="1:39" x14ac:dyDescent="0.35">
      <c r="A1866" t="s">
        <v>19055</v>
      </c>
      <c r="B1866" t="str">
        <f>HYPERLINK("http://www.uniprot.org/uniprot/Q8NGH5","Q8NGH5")</f>
        <v>Q8NGH5</v>
      </c>
      <c r="C1866" t="s">
        <v>19056</v>
      </c>
      <c r="D1866" t="s">
        <v>19057</v>
      </c>
      <c r="E1866" t="s">
        <v>39</v>
      </c>
      <c r="F1866" t="s">
        <v>55</v>
      </c>
      <c r="H1866">
        <v>318</v>
      </c>
      <c r="I1866">
        <v>7</v>
      </c>
      <c r="J1866">
        <v>0</v>
      </c>
      <c r="K1866" t="s">
        <v>19058</v>
      </c>
      <c r="L1866" t="s">
        <v>57</v>
      </c>
      <c r="M1866" t="s">
        <v>39</v>
      </c>
      <c r="N1866">
        <v>0.98929999999999996</v>
      </c>
      <c r="O1866" s="1">
        <v>1</v>
      </c>
      <c r="P1866" t="s">
        <v>19059</v>
      </c>
      <c r="Q1866" t="s">
        <v>19060</v>
      </c>
      <c r="S1866" t="s">
        <v>166</v>
      </c>
      <c r="T1866" t="s">
        <v>167</v>
      </c>
      <c r="U1866" t="s">
        <v>19061</v>
      </c>
      <c r="V1866">
        <v>3</v>
      </c>
      <c r="Y1866">
        <v>30</v>
      </c>
      <c r="AE1866" t="s">
        <v>74</v>
      </c>
      <c r="AF1866" t="s">
        <v>549</v>
      </c>
      <c r="AG1866" t="s">
        <v>19062</v>
      </c>
      <c r="AH1866" t="str">
        <f>HYPERLINK("http://compartments.jensenlab.org/Entity?figures=subcell_cell_%&amp;knowledge=10&amp;textmining=10&amp;experiments=10&amp;predictions=10&amp;type1=9606&amp;type2=-22&amp;id1=ENSP00000321246","link")</f>
        <v>link</v>
      </c>
      <c r="AI1866" t="s">
        <v>65</v>
      </c>
      <c r="AJ1866" t="s">
        <v>51</v>
      </c>
      <c r="AK1866" t="str">
        <f>HYPERLINK("http://www.proteinatlas.org/Q8NGH5","no")</f>
        <v>no</v>
      </c>
      <c r="AM1866">
        <v>120796</v>
      </c>
    </row>
    <row r="1867" spans="1:39" x14ac:dyDescent="0.35">
      <c r="A1867" t="s">
        <v>19063</v>
      </c>
      <c r="B1867" t="str">
        <f>HYPERLINK("http://www.uniprot.org/uniprot/Q8NGH6","Q8NGH6")</f>
        <v>Q8NGH6</v>
      </c>
      <c r="C1867" t="s">
        <v>19064</v>
      </c>
      <c r="D1867" t="s">
        <v>19065</v>
      </c>
      <c r="E1867" t="s">
        <v>39</v>
      </c>
      <c r="F1867" t="s">
        <v>40</v>
      </c>
      <c r="H1867">
        <v>319</v>
      </c>
      <c r="I1867">
        <v>7</v>
      </c>
      <c r="J1867">
        <v>0</v>
      </c>
      <c r="K1867" t="s">
        <v>19066</v>
      </c>
      <c r="L1867" t="s">
        <v>57</v>
      </c>
      <c r="N1867">
        <v>0.94610000000000005</v>
      </c>
      <c r="O1867" s="1">
        <v>1</v>
      </c>
      <c r="S1867" t="s">
        <v>166</v>
      </c>
      <c r="T1867" t="s">
        <v>2880</v>
      </c>
      <c r="U1867" t="s">
        <v>19067</v>
      </c>
      <c r="V1867">
        <v>1</v>
      </c>
      <c r="AE1867" t="s">
        <v>74</v>
      </c>
      <c r="AF1867" t="s">
        <v>549</v>
      </c>
      <c r="AG1867" t="s">
        <v>19068</v>
      </c>
      <c r="AK1867" t="str">
        <f>HYPERLINK("http://www.proteinatlas.org/Q8NGH6","no")</f>
        <v>no</v>
      </c>
    </row>
    <row r="1868" spans="1:39" x14ac:dyDescent="0.35">
      <c r="A1868" t="s">
        <v>19069</v>
      </c>
      <c r="B1868" t="str">
        <f>HYPERLINK("http://www.uniprot.org/uniprot/Q8NGH7","Q8NGH7")</f>
        <v>Q8NGH7</v>
      </c>
      <c r="C1868" t="s">
        <v>19070</v>
      </c>
      <c r="D1868" t="s">
        <v>19071</v>
      </c>
      <c r="E1868" t="s">
        <v>39</v>
      </c>
      <c r="F1868" t="s">
        <v>55</v>
      </c>
      <c r="H1868">
        <v>329</v>
      </c>
      <c r="I1868">
        <v>7</v>
      </c>
      <c r="J1868">
        <v>0</v>
      </c>
      <c r="K1868" t="s">
        <v>19072</v>
      </c>
      <c r="L1868" t="s">
        <v>57</v>
      </c>
      <c r="M1868" t="s">
        <v>39</v>
      </c>
      <c r="N1868">
        <v>0.87629999999999997</v>
      </c>
      <c r="O1868" s="1">
        <v>1</v>
      </c>
      <c r="P1868" t="s">
        <v>19073</v>
      </c>
      <c r="Q1868" t="s">
        <v>19074</v>
      </c>
      <c r="S1868" t="s">
        <v>166</v>
      </c>
      <c r="T1868" t="s">
        <v>167</v>
      </c>
      <c r="U1868" t="s">
        <v>19067</v>
      </c>
      <c r="V1868">
        <v>1</v>
      </c>
      <c r="AE1868" t="s">
        <v>74</v>
      </c>
      <c r="AF1868" t="s">
        <v>169</v>
      </c>
      <c r="AG1868" t="s">
        <v>19075</v>
      </c>
      <c r="AH1868" t="str">
        <f>HYPERLINK("http://compartments.jensenlab.org/Entity?figures=subcell_cell_%&amp;knowledge=10&amp;textmining=10&amp;experiments=10&amp;predictions=10&amp;type1=9606&amp;type2=-22&amp;id1=ENSP00000330338","link")</f>
        <v>link</v>
      </c>
      <c r="AI1868" t="s">
        <v>65</v>
      </c>
      <c r="AJ1868" t="s">
        <v>51</v>
      </c>
      <c r="AK1868" t="str">
        <f>HYPERLINK("http://www.proteinatlas.org/Q8NGH7","no")</f>
        <v>no</v>
      </c>
      <c r="AM1868">
        <v>338751</v>
      </c>
    </row>
    <row r="1869" spans="1:39" x14ac:dyDescent="0.35">
      <c r="A1869" t="s">
        <v>19076</v>
      </c>
      <c r="B1869" t="str">
        <f>HYPERLINK("http://www.uniprot.org/uniprot/Q8NGH8","Q8NGH8")</f>
        <v>Q8NGH8</v>
      </c>
      <c r="C1869" t="s">
        <v>19077</v>
      </c>
      <c r="D1869" t="s">
        <v>19078</v>
      </c>
      <c r="E1869" t="s">
        <v>39</v>
      </c>
      <c r="F1869" t="s">
        <v>55</v>
      </c>
      <c r="H1869">
        <v>313</v>
      </c>
      <c r="I1869">
        <v>7</v>
      </c>
      <c r="J1869">
        <v>0</v>
      </c>
      <c r="K1869" t="s">
        <v>19079</v>
      </c>
      <c r="L1869" t="s">
        <v>57</v>
      </c>
      <c r="N1869">
        <v>0.95609999999999995</v>
      </c>
      <c r="O1869" s="1">
        <v>1</v>
      </c>
      <c r="P1869" t="s">
        <v>19080</v>
      </c>
      <c r="Q1869" t="s">
        <v>19081</v>
      </c>
      <c r="S1869" t="s">
        <v>166</v>
      </c>
      <c r="T1869" t="s">
        <v>167</v>
      </c>
      <c r="U1869" t="s">
        <v>19082</v>
      </c>
      <c r="V1869">
        <v>2</v>
      </c>
      <c r="Y1869">
        <v>26</v>
      </c>
      <c r="AE1869" t="s">
        <v>74</v>
      </c>
      <c r="AF1869" t="s">
        <v>549</v>
      </c>
      <c r="AG1869" t="s">
        <v>19083</v>
      </c>
      <c r="AH1869" t="str">
        <f>HYPERLINK("http://compartments.jensenlab.org/Entity?figures=subcell_cell_%&amp;knowledge=10&amp;textmining=10&amp;experiments=10&amp;predictions=10&amp;type1=9606&amp;type2=-22&amp;id1=ENSP00000328215","link")</f>
        <v>link</v>
      </c>
      <c r="AI1869" t="s">
        <v>65</v>
      </c>
      <c r="AJ1869" t="s">
        <v>51</v>
      </c>
      <c r="AK1869" t="str">
        <f>HYPERLINK("http://www.proteinatlas.org/Q8NGH8","no")</f>
        <v>no</v>
      </c>
      <c r="AM1869">
        <v>120793</v>
      </c>
    </row>
    <row r="1870" spans="1:39" x14ac:dyDescent="0.35">
      <c r="A1870" t="s">
        <v>19084</v>
      </c>
      <c r="B1870" t="str">
        <f>HYPERLINK("http://www.uniprot.org/uniprot/Q8NGH9","Q8NGH9")</f>
        <v>Q8NGH9</v>
      </c>
      <c r="C1870" t="s">
        <v>19085</v>
      </c>
      <c r="D1870" t="s">
        <v>19086</v>
      </c>
      <c r="E1870" t="s">
        <v>39</v>
      </c>
      <c r="F1870" t="s">
        <v>55</v>
      </c>
      <c r="H1870">
        <v>312</v>
      </c>
      <c r="I1870">
        <v>7</v>
      </c>
      <c r="J1870">
        <v>0</v>
      </c>
      <c r="K1870" t="s">
        <v>19087</v>
      </c>
      <c r="L1870" t="s">
        <v>57</v>
      </c>
      <c r="N1870">
        <v>0.96009999999999995</v>
      </c>
      <c r="O1870" s="1">
        <v>1</v>
      </c>
      <c r="P1870" t="s">
        <v>19088</v>
      </c>
      <c r="Q1870" t="s">
        <v>19089</v>
      </c>
      <c r="S1870" t="s">
        <v>166</v>
      </c>
      <c r="T1870" t="s">
        <v>167</v>
      </c>
      <c r="U1870" t="s">
        <v>19090</v>
      </c>
      <c r="V1870">
        <v>1</v>
      </c>
      <c r="AE1870" t="s">
        <v>74</v>
      </c>
      <c r="AF1870" t="s">
        <v>169</v>
      </c>
      <c r="AG1870" t="s">
        <v>19091</v>
      </c>
      <c r="AH1870" t="str">
        <f>HYPERLINK("http://compartments.jensenlab.org/Entity?figures=subcell_cell_%&amp;knowledge=10&amp;textmining=10&amp;experiments=10&amp;predictions=10&amp;type1=9606&amp;type2=-22&amp;id1=ENSP00000321426","link")</f>
        <v>link</v>
      </c>
      <c r="AI1870" t="s">
        <v>65</v>
      </c>
      <c r="AJ1870" t="s">
        <v>51</v>
      </c>
      <c r="AK1870" t="str">
        <f>HYPERLINK("http://www.proteinatlas.org/Q8NGH9","no")</f>
        <v>no</v>
      </c>
      <c r="AM1870">
        <v>390081</v>
      </c>
    </row>
    <row r="1871" spans="1:39" x14ac:dyDescent="0.35">
      <c r="A1871" t="s">
        <v>19092</v>
      </c>
      <c r="B1871" t="str">
        <f>HYPERLINK("http://www.uniprot.org/uniprot/Q8NGI0","Q8NGI0")</f>
        <v>Q8NGI0</v>
      </c>
      <c r="C1871" t="s">
        <v>19093</v>
      </c>
      <c r="D1871" t="s">
        <v>19094</v>
      </c>
      <c r="E1871" t="s">
        <v>39</v>
      </c>
      <c r="F1871" t="s">
        <v>55</v>
      </c>
      <c r="H1871">
        <v>321</v>
      </c>
      <c r="I1871">
        <v>7</v>
      </c>
      <c r="J1871">
        <v>0</v>
      </c>
      <c r="K1871" t="s">
        <v>19095</v>
      </c>
      <c r="L1871" t="s">
        <v>57</v>
      </c>
      <c r="N1871">
        <v>0.96409999999999996</v>
      </c>
      <c r="O1871" s="1">
        <v>1</v>
      </c>
      <c r="P1871" t="s">
        <v>19096</v>
      </c>
      <c r="Q1871" t="s">
        <v>19097</v>
      </c>
      <c r="S1871" t="s">
        <v>166</v>
      </c>
      <c r="T1871" t="s">
        <v>167</v>
      </c>
      <c r="U1871">
        <v>5</v>
      </c>
      <c r="V1871">
        <v>1</v>
      </c>
      <c r="AE1871" t="s">
        <v>74</v>
      </c>
      <c r="AF1871" t="s">
        <v>169</v>
      </c>
      <c r="AG1871" t="s">
        <v>19098</v>
      </c>
      <c r="AH1871" t="str">
        <f>HYPERLINK("http://compartments.jensenlab.org/Entity?figures=subcell_cell_%&amp;knowledge=10&amp;textmining=10&amp;experiments=10&amp;predictions=10&amp;type1=9606&amp;type2=-22&amp;id1=ENSP00000322801","link")</f>
        <v>link</v>
      </c>
      <c r="AI1871" t="s">
        <v>65</v>
      </c>
      <c r="AJ1871" t="s">
        <v>51</v>
      </c>
      <c r="AK1871" t="str">
        <f>HYPERLINK("http://www.proteinatlas.org/Q8NGI0","no")</f>
        <v>no</v>
      </c>
      <c r="AM1871">
        <v>390077</v>
      </c>
    </row>
    <row r="1872" spans="1:39" x14ac:dyDescent="0.35">
      <c r="A1872" t="s">
        <v>19099</v>
      </c>
      <c r="B1872" t="str">
        <f>HYPERLINK("http://www.uniprot.org/uniprot/Q8NGI1","Q8NGI1")</f>
        <v>Q8NGI1</v>
      </c>
      <c r="C1872" t="s">
        <v>19100</v>
      </c>
      <c r="D1872" t="s">
        <v>19101</v>
      </c>
      <c r="E1872" t="s">
        <v>39</v>
      </c>
      <c r="F1872" t="s">
        <v>40</v>
      </c>
      <c r="H1872">
        <v>322</v>
      </c>
      <c r="I1872">
        <v>7</v>
      </c>
      <c r="J1872">
        <v>0</v>
      </c>
      <c r="K1872" t="s">
        <v>19102</v>
      </c>
      <c r="L1872" t="s">
        <v>57</v>
      </c>
      <c r="N1872">
        <v>0.95209999999999995</v>
      </c>
      <c r="O1872" s="1">
        <v>1</v>
      </c>
      <c r="S1872" t="s">
        <v>166</v>
      </c>
      <c r="T1872" t="s">
        <v>2880</v>
      </c>
      <c r="U1872">
        <v>12</v>
      </c>
      <c r="V1872">
        <v>1</v>
      </c>
      <c r="Y1872">
        <v>32</v>
      </c>
      <c r="AE1872" t="s">
        <v>74</v>
      </c>
      <c r="AF1872" t="s">
        <v>549</v>
      </c>
      <c r="AG1872" t="s">
        <v>19103</v>
      </c>
      <c r="AK1872" t="str">
        <f>HYPERLINK("http://www.proteinatlas.org/Q8NGI1","no")</f>
        <v>no</v>
      </c>
    </row>
    <row r="1873" spans="1:39" x14ac:dyDescent="0.35">
      <c r="A1873" t="s">
        <v>19104</v>
      </c>
      <c r="B1873" t="str">
        <f>HYPERLINK("http://www.uniprot.org/uniprot/Q8NGI2","Q8NGI2")</f>
        <v>Q8NGI2</v>
      </c>
      <c r="C1873" t="s">
        <v>19105</v>
      </c>
      <c r="D1873" t="s">
        <v>19106</v>
      </c>
      <c r="E1873" t="s">
        <v>39</v>
      </c>
      <c r="F1873" t="s">
        <v>55</v>
      </c>
      <c r="H1873">
        <v>321</v>
      </c>
      <c r="I1873">
        <v>7</v>
      </c>
      <c r="J1873">
        <v>0</v>
      </c>
      <c r="K1873" t="s">
        <v>19107</v>
      </c>
      <c r="L1873" t="s">
        <v>57</v>
      </c>
      <c r="M1873" t="s">
        <v>39</v>
      </c>
      <c r="N1873">
        <v>0.87929999999999997</v>
      </c>
      <c r="O1873" s="1">
        <v>1</v>
      </c>
      <c r="P1873" t="s">
        <v>19108</v>
      </c>
      <c r="Q1873" t="s">
        <v>19109</v>
      </c>
      <c r="S1873" t="s">
        <v>166</v>
      </c>
      <c r="T1873" t="s">
        <v>167</v>
      </c>
      <c r="U1873">
        <v>5</v>
      </c>
      <c r="V1873">
        <v>1</v>
      </c>
      <c r="AE1873" t="s">
        <v>74</v>
      </c>
      <c r="AF1873" t="s">
        <v>169</v>
      </c>
      <c r="AG1873" t="s">
        <v>19110</v>
      </c>
      <c r="AH1873" t="str">
        <f>HYPERLINK("http://compartments.jensenlab.org/Entity?figures=subcell_cell_%&amp;knowledge=10&amp;textmining=10&amp;experiments=10&amp;predictions=10&amp;type1=9606&amp;type2=-22&amp;id1=ENSP00000323224","link")</f>
        <v>link</v>
      </c>
      <c r="AI1873" t="s">
        <v>65</v>
      </c>
      <c r="AJ1873" t="s">
        <v>51</v>
      </c>
      <c r="AK1873" t="str">
        <f>HYPERLINK("http://www.proteinatlas.org/Q8NGI2","no")</f>
        <v>no</v>
      </c>
      <c r="AM1873">
        <v>390072</v>
      </c>
    </row>
    <row r="1874" spans="1:39" x14ac:dyDescent="0.35">
      <c r="A1874" t="s">
        <v>19111</v>
      </c>
      <c r="B1874" t="str">
        <f>HYPERLINK("http://www.uniprot.org/uniprot/Q8NGI3","Q8NGI3")</f>
        <v>Q8NGI3</v>
      </c>
      <c r="C1874" t="s">
        <v>19112</v>
      </c>
      <c r="D1874" t="s">
        <v>19113</v>
      </c>
      <c r="E1874" t="s">
        <v>39</v>
      </c>
      <c r="F1874" t="s">
        <v>55</v>
      </c>
      <c r="H1874">
        <v>324</v>
      </c>
      <c r="I1874">
        <v>7</v>
      </c>
      <c r="J1874">
        <v>0</v>
      </c>
      <c r="K1874" t="s">
        <v>19114</v>
      </c>
      <c r="L1874" t="s">
        <v>57</v>
      </c>
      <c r="M1874" t="s">
        <v>39</v>
      </c>
      <c r="N1874">
        <v>0.96430000000000005</v>
      </c>
      <c r="O1874" s="1">
        <v>1</v>
      </c>
      <c r="P1874" t="s">
        <v>19115</v>
      </c>
      <c r="Q1874" t="s">
        <v>19116</v>
      </c>
      <c r="S1874" t="s">
        <v>166</v>
      </c>
      <c r="T1874" t="s">
        <v>167</v>
      </c>
      <c r="U1874">
        <v>12</v>
      </c>
      <c r="V1874">
        <v>1</v>
      </c>
      <c r="Y1874">
        <v>32</v>
      </c>
      <c r="AE1874" t="s">
        <v>74</v>
      </c>
      <c r="AF1874" t="s">
        <v>169</v>
      </c>
      <c r="AG1874" t="s">
        <v>19117</v>
      </c>
      <c r="AH1874" t="str">
        <f>HYPERLINK("http://compartments.jensenlab.org/Entity?figures=subcell_cell_%&amp;knowledge=10&amp;textmining=10&amp;experiments=10&amp;predictions=10&amp;type1=9606&amp;type2=-22&amp;id1=ENSP00000322939","link")</f>
        <v>link</v>
      </c>
      <c r="AI1874" t="s">
        <v>65</v>
      </c>
      <c r="AJ1874" t="s">
        <v>51</v>
      </c>
      <c r="AK1874" t="str">
        <f>HYPERLINK("http://www.proteinatlas.org/Q8NGI3","HPA045043")</f>
        <v>HPA045043</v>
      </c>
      <c r="AM1874">
        <v>387748</v>
      </c>
    </row>
    <row r="1875" spans="1:39" x14ac:dyDescent="0.35">
      <c r="A1875" t="s">
        <v>19118</v>
      </c>
      <c r="B1875" t="str">
        <f>HYPERLINK("http://www.uniprot.org/uniprot/Q8NGI4","Q8NGI4")</f>
        <v>Q8NGI4</v>
      </c>
      <c r="C1875" t="s">
        <v>19119</v>
      </c>
      <c r="D1875" t="s">
        <v>19120</v>
      </c>
      <c r="E1875" t="s">
        <v>39</v>
      </c>
      <c r="F1875" t="s">
        <v>55</v>
      </c>
      <c r="H1875">
        <v>311</v>
      </c>
      <c r="I1875">
        <v>7</v>
      </c>
      <c r="J1875">
        <v>0</v>
      </c>
      <c r="K1875" t="s">
        <v>19121</v>
      </c>
      <c r="L1875" t="s">
        <v>57</v>
      </c>
      <c r="N1875">
        <v>0.96009999999999995</v>
      </c>
      <c r="O1875" s="1">
        <v>1</v>
      </c>
      <c r="P1875" t="s">
        <v>19122</v>
      </c>
      <c r="Q1875" t="s">
        <v>19123</v>
      </c>
      <c r="S1875" t="s">
        <v>166</v>
      </c>
      <c r="T1875" t="s">
        <v>167</v>
      </c>
      <c r="U1875">
        <v>5</v>
      </c>
      <c r="V1875">
        <v>1</v>
      </c>
      <c r="AE1875" t="s">
        <v>74</v>
      </c>
      <c r="AF1875" t="s">
        <v>169</v>
      </c>
      <c r="AG1875" t="s">
        <v>19124</v>
      </c>
      <c r="AH1875" t="str">
        <f>HYPERLINK("http://compartments.jensenlab.org/Entity?figures=subcell_cell_%&amp;knowledge=10&amp;textmining=10&amp;experiments=10&amp;predictions=10&amp;type1=9606&amp;type2=-22&amp;id1=ENSP00000320077","link")</f>
        <v>link</v>
      </c>
      <c r="AI1875" t="s">
        <v>65</v>
      </c>
      <c r="AJ1875" t="s">
        <v>51</v>
      </c>
      <c r="AK1875" t="str">
        <f>HYPERLINK("http://www.proteinatlas.org/Q8NGI4","no")</f>
        <v>no</v>
      </c>
      <c r="AM1875">
        <v>219986</v>
      </c>
    </row>
    <row r="1876" spans="1:39" x14ac:dyDescent="0.35">
      <c r="A1876" t="s">
        <v>19125</v>
      </c>
      <c r="B1876" t="str">
        <f>HYPERLINK("http://www.uniprot.org/uniprot/Q8NGI6","Q8NGI6")</f>
        <v>Q8NGI6</v>
      </c>
      <c r="C1876" t="s">
        <v>19126</v>
      </c>
      <c r="D1876" t="s">
        <v>19127</v>
      </c>
      <c r="E1876" t="s">
        <v>39</v>
      </c>
      <c r="F1876" t="s">
        <v>40</v>
      </c>
      <c r="H1876">
        <v>311</v>
      </c>
      <c r="I1876">
        <v>7</v>
      </c>
      <c r="J1876">
        <v>0</v>
      </c>
      <c r="K1876" t="s">
        <v>19128</v>
      </c>
      <c r="L1876" t="s">
        <v>57</v>
      </c>
      <c r="N1876">
        <v>0.98</v>
      </c>
      <c r="O1876" s="1">
        <v>1</v>
      </c>
      <c r="P1876" t="s">
        <v>19129</v>
      </c>
      <c r="Q1876" t="s">
        <v>19130</v>
      </c>
      <c r="S1876" t="s">
        <v>166</v>
      </c>
      <c r="T1876" t="s">
        <v>167</v>
      </c>
      <c r="U1876" t="s">
        <v>1191</v>
      </c>
      <c r="V1876">
        <v>1</v>
      </c>
      <c r="AE1876" t="s">
        <v>74</v>
      </c>
      <c r="AF1876" t="s">
        <v>3091</v>
      </c>
      <c r="AG1876" t="s">
        <v>19131</v>
      </c>
      <c r="AH1876" t="str">
        <f>HYPERLINK("http://compartments.jensenlab.org/Entity?figures=subcell_cell_%&amp;knowledge=10&amp;textmining=10&amp;experiments=10&amp;predictions=10&amp;type1=9606&amp;type2=-22&amp;id1=ENSP00000436424","link")</f>
        <v>link</v>
      </c>
      <c r="AK1876" t="str">
        <f>HYPERLINK("http://www.proteinatlas.org/Q8NGI6","no")</f>
        <v>no</v>
      </c>
      <c r="AM1876">
        <v>390197</v>
      </c>
    </row>
    <row r="1877" spans="1:39" x14ac:dyDescent="0.35">
      <c r="A1877" t="s">
        <v>19132</v>
      </c>
      <c r="B1877" t="str">
        <f>HYPERLINK("http://www.uniprot.org/uniprot/Q8NGI7","Q8NGI7")</f>
        <v>Q8NGI7</v>
      </c>
      <c r="C1877" t="s">
        <v>19133</v>
      </c>
      <c r="D1877" t="s">
        <v>19134</v>
      </c>
      <c r="E1877" t="s">
        <v>39</v>
      </c>
      <c r="F1877" t="s">
        <v>55</v>
      </c>
      <c r="H1877">
        <v>309</v>
      </c>
      <c r="I1877">
        <v>7</v>
      </c>
      <c r="J1877">
        <v>0</v>
      </c>
      <c r="K1877" t="s">
        <v>19135</v>
      </c>
      <c r="L1877" t="s">
        <v>57</v>
      </c>
      <c r="M1877" t="s">
        <v>39</v>
      </c>
      <c r="N1877">
        <v>0.99439999999999995</v>
      </c>
      <c r="O1877" s="1">
        <v>1</v>
      </c>
      <c r="P1877" t="s">
        <v>19136</v>
      </c>
      <c r="Q1877" t="s">
        <v>19137</v>
      </c>
      <c r="S1877" t="s">
        <v>166</v>
      </c>
      <c r="T1877" t="s">
        <v>167</v>
      </c>
      <c r="U1877" t="s">
        <v>19138</v>
      </c>
      <c r="V1877">
        <v>1</v>
      </c>
      <c r="AE1877" t="s">
        <v>74</v>
      </c>
      <c r="AF1877" t="s">
        <v>169</v>
      </c>
      <c r="AG1877" t="s">
        <v>19139</v>
      </c>
      <c r="AH1877" t="str">
        <f>HYPERLINK("http://compartments.jensenlab.org/Entity?figures=subcell_cell_%&amp;knowledge=10&amp;textmining=10&amp;experiments=10&amp;predictions=10&amp;type1=9606&amp;type2=-22&amp;id1=ENSP00000302199","link")</f>
        <v>link</v>
      </c>
      <c r="AI1877" t="s">
        <v>65</v>
      </c>
      <c r="AJ1877" t="s">
        <v>51</v>
      </c>
      <c r="AK1877" t="str">
        <f>HYPERLINK("http://www.proteinatlas.org/Q8NGI7","HPA060076")</f>
        <v>HPA060076</v>
      </c>
      <c r="AM1877">
        <v>390201</v>
      </c>
    </row>
    <row r="1878" spans="1:39" x14ac:dyDescent="0.35">
      <c r="A1878" t="s">
        <v>19140</v>
      </c>
      <c r="B1878" t="str">
        <f>HYPERLINK("http://www.uniprot.org/uniprot/Q8NGI8","Q8NGI8")</f>
        <v>Q8NGI8</v>
      </c>
      <c r="C1878" t="s">
        <v>19141</v>
      </c>
      <c r="D1878" t="s">
        <v>19142</v>
      </c>
      <c r="E1878" t="s">
        <v>39</v>
      </c>
      <c r="F1878" t="s">
        <v>55</v>
      </c>
      <c r="H1878">
        <v>311</v>
      </c>
      <c r="I1878">
        <v>7</v>
      </c>
      <c r="J1878">
        <v>0</v>
      </c>
      <c r="K1878" t="s">
        <v>19143</v>
      </c>
      <c r="L1878" t="s">
        <v>57</v>
      </c>
      <c r="M1878" t="s">
        <v>39</v>
      </c>
      <c r="N1878">
        <v>0.92900000000000005</v>
      </c>
      <c r="O1878" s="1">
        <v>1</v>
      </c>
      <c r="P1878" t="s">
        <v>19144</v>
      </c>
      <c r="Q1878" t="s">
        <v>19145</v>
      </c>
      <c r="S1878" t="s">
        <v>166</v>
      </c>
      <c r="T1878" t="s">
        <v>167</v>
      </c>
      <c r="U1878" t="s">
        <v>19146</v>
      </c>
      <c r="V1878">
        <v>1</v>
      </c>
      <c r="AE1878" t="s">
        <v>74</v>
      </c>
      <c r="AF1878" t="s">
        <v>169</v>
      </c>
      <c r="AG1878" t="s">
        <v>19147</v>
      </c>
      <c r="AH1878" t="str">
        <f>HYPERLINK("http://compartments.jensenlab.org/Entity?figures=subcell_cell_%&amp;knowledge=10&amp;textmining=10&amp;experiments=10&amp;predictions=10&amp;type1=9606&amp;type2=-22&amp;id1=ENSP00000320302","link")</f>
        <v>link</v>
      </c>
      <c r="AI1878" t="s">
        <v>65</v>
      </c>
      <c r="AJ1878" t="s">
        <v>51</v>
      </c>
      <c r="AK1878" t="str">
        <f>HYPERLINK("http://www.proteinatlas.org/Q8NGI8","no")</f>
        <v>no</v>
      </c>
      <c r="AM1878">
        <v>390195</v>
      </c>
    </row>
    <row r="1879" spans="1:39" x14ac:dyDescent="0.35">
      <c r="A1879" t="s">
        <v>19148</v>
      </c>
      <c r="B1879" t="str">
        <f>HYPERLINK("http://www.uniprot.org/uniprot/Q8NGI9","Q8NGI9")</f>
        <v>Q8NGI9</v>
      </c>
      <c r="C1879" t="s">
        <v>19149</v>
      </c>
      <c r="D1879" t="s">
        <v>19150</v>
      </c>
      <c r="E1879" t="s">
        <v>39</v>
      </c>
      <c r="F1879" t="s">
        <v>55</v>
      </c>
      <c r="H1879">
        <v>324</v>
      </c>
      <c r="I1879">
        <v>7</v>
      </c>
      <c r="J1879">
        <v>0</v>
      </c>
      <c r="K1879" t="s">
        <v>19151</v>
      </c>
      <c r="L1879" t="s">
        <v>57</v>
      </c>
      <c r="N1879">
        <v>0.98799999999999999</v>
      </c>
      <c r="O1879" s="1">
        <v>1</v>
      </c>
      <c r="P1879" t="s">
        <v>19152</v>
      </c>
      <c r="Q1879" t="s">
        <v>19153</v>
      </c>
      <c r="S1879" t="s">
        <v>166</v>
      </c>
      <c r="T1879" t="s">
        <v>167</v>
      </c>
      <c r="U1879" t="s">
        <v>19146</v>
      </c>
      <c r="V1879">
        <v>1</v>
      </c>
      <c r="AE1879" t="s">
        <v>74</v>
      </c>
      <c r="AF1879" t="s">
        <v>169</v>
      </c>
      <c r="AG1879" t="s">
        <v>19154</v>
      </c>
      <c r="AH1879" t="str">
        <f>HYPERLINK("http://compartments.jensenlab.org/Entity?figures=subcell_cell_%&amp;knowledge=10&amp;textmining=10&amp;experiments=10&amp;predictions=10&amp;type1=9606&amp;type2=-22&amp;id1=ENSP00000303834","link")</f>
        <v>link</v>
      </c>
      <c r="AI1879" t="s">
        <v>65</v>
      </c>
      <c r="AJ1879" t="s">
        <v>51</v>
      </c>
      <c r="AK1879" t="str">
        <f>HYPERLINK("http://www.proteinatlas.org/Q8NGI9","HPA047135;HPA049575")</f>
        <v>HPA047135;HPA049575</v>
      </c>
      <c r="AM1879">
        <v>219981</v>
      </c>
    </row>
    <row r="1880" spans="1:39" x14ac:dyDescent="0.35">
      <c r="A1880" t="s">
        <v>19155</v>
      </c>
      <c r="B1880" t="str">
        <f>HYPERLINK("http://www.uniprot.org/uniprot/Q8NGJ0","Q8NGJ0")</f>
        <v>Q8NGJ0</v>
      </c>
      <c r="C1880" t="s">
        <v>19156</v>
      </c>
      <c r="D1880" t="s">
        <v>19157</v>
      </c>
      <c r="E1880" t="s">
        <v>39</v>
      </c>
      <c r="F1880" t="s">
        <v>55</v>
      </c>
      <c r="H1880">
        <v>315</v>
      </c>
      <c r="I1880">
        <v>7</v>
      </c>
      <c r="J1880">
        <v>0</v>
      </c>
      <c r="K1880" t="s">
        <v>19158</v>
      </c>
      <c r="L1880" t="s">
        <v>57</v>
      </c>
      <c r="M1880" t="s">
        <v>39</v>
      </c>
      <c r="N1880">
        <v>0.97919999999999996</v>
      </c>
      <c r="O1880" s="1">
        <v>1</v>
      </c>
      <c r="P1880" t="s">
        <v>19159</v>
      </c>
      <c r="Q1880" t="s">
        <v>19160</v>
      </c>
      <c r="S1880" t="s">
        <v>166</v>
      </c>
      <c r="T1880" t="s">
        <v>167</v>
      </c>
      <c r="U1880" t="s">
        <v>2891</v>
      </c>
      <c r="V1880">
        <v>1</v>
      </c>
      <c r="AE1880" t="s">
        <v>74</v>
      </c>
      <c r="AF1880" t="s">
        <v>169</v>
      </c>
      <c r="AG1880" t="s">
        <v>19161</v>
      </c>
      <c r="AH1880" t="str">
        <f>HYPERLINK("http://compartments.jensenlab.org/Entity?figures=subcell_cell_%&amp;knowledge=10&amp;textmining=10&amp;experiments=10&amp;predictions=10&amp;type1=9606&amp;type2=-22&amp;id1=ENSP00000303096","link")</f>
        <v>link</v>
      </c>
      <c r="AI1880" t="s">
        <v>65</v>
      </c>
      <c r="AJ1880" t="s">
        <v>51</v>
      </c>
      <c r="AK1880" t="str">
        <f>HYPERLINK("http://www.proteinatlas.org/Q8NGJ0","no")</f>
        <v>no</v>
      </c>
      <c r="AM1880">
        <v>219982</v>
      </c>
    </row>
    <row r="1881" spans="1:39" x14ac:dyDescent="0.35">
      <c r="A1881" t="s">
        <v>19162</v>
      </c>
      <c r="B1881" t="str">
        <f>HYPERLINK("http://www.uniprot.org/uniprot/Q8NGJ1","Q8NGJ1")</f>
        <v>Q8NGJ1</v>
      </c>
      <c r="C1881" t="s">
        <v>19163</v>
      </c>
      <c r="D1881" t="s">
        <v>19164</v>
      </c>
      <c r="E1881" t="s">
        <v>39</v>
      </c>
      <c r="F1881" t="s">
        <v>55</v>
      </c>
      <c r="H1881">
        <v>314</v>
      </c>
      <c r="I1881">
        <v>7</v>
      </c>
      <c r="J1881">
        <v>0</v>
      </c>
      <c r="K1881" t="s">
        <v>19165</v>
      </c>
      <c r="L1881" t="s">
        <v>57</v>
      </c>
      <c r="M1881" t="s">
        <v>39</v>
      </c>
      <c r="N1881">
        <v>0.90659999999999996</v>
      </c>
      <c r="O1881" s="1">
        <v>1</v>
      </c>
      <c r="P1881" t="s">
        <v>19166</v>
      </c>
      <c r="Q1881" t="s">
        <v>19167</v>
      </c>
      <c r="S1881" t="s">
        <v>166</v>
      </c>
      <c r="T1881" t="s">
        <v>167</v>
      </c>
      <c r="U1881" t="s">
        <v>9773</v>
      </c>
      <c r="V1881">
        <v>1</v>
      </c>
      <c r="AE1881" t="s">
        <v>74</v>
      </c>
      <c r="AF1881" t="s">
        <v>169</v>
      </c>
      <c r="AG1881" t="s">
        <v>19168</v>
      </c>
      <c r="AH1881" t="str">
        <f>HYPERLINK("http://compartments.jensenlab.org/Entity?figures=subcell_cell_%&amp;knowledge=10&amp;textmining=10&amp;experiments=10&amp;predictions=10&amp;type1=9606&amp;type2=-22&amp;id1=ENSP00000300127","link")</f>
        <v>link</v>
      </c>
      <c r="AI1881" t="s">
        <v>65</v>
      </c>
      <c r="AJ1881" t="s">
        <v>51</v>
      </c>
      <c r="AK1881" t="str">
        <f>HYPERLINK("http://www.proteinatlas.org/Q8NGJ1","no")</f>
        <v>no</v>
      </c>
      <c r="AM1881">
        <v>219983</v>
      </c>
    </row>
    <row r="1882" spans="1:39" x14ac:dyDescent="0.35">
      <c r="A1882" t="s">
        <v>19169</v>
      </c>
      <c r="B1882" t="str">
        <f>HYPERLINK("http://www.uniprot.org/uniprot/Q8NGJ2","Q8NGJ2")</f>
        <v>Q8NGJ2</v>
      </c>
      <c r="C1882" t="s">
        <v>19170</v>
      </c>
      <c r="D1882" t="s">
        <v>19171</v>
      </c>
      <c r="E1882" t="s">
        <v>39</v>
      </c>
      <c r="F1882" t="s">
        <v>55</v>
      </c>
      <c r="H1882">
        <v>320</v>
      </c>
      <c r="I1882">
        <v>7</v>
      </c>
      <c r="J1882">
        <v>0</v>
      </c>
      <c r="K1882" t="s">
        <v>19172</v>
      </c>
      <c r="L1882" t="s">
        <v>57</v>
      </c>
      <c r="M1882" t="s">
        <v>39</v>
      </c>
      <c r="N1882">
        <v>0.8125</v>
      </c>
      <c r="O1882" s="1">
        <v>1</v>
      </c>
      <c r="P1882" t="s">
        <v>19173</v>
      </c>
      <c r="Q1882" t="s">
        <v>19174</v>
      </c>
      <c r="S1882" t="s">
        <v>166</v>
      </c>
      <c r="T1882" t="s">
        <v>167</v>
      </c>
      <c r="U1882" t="s">
        <v>19175</v>
      </c>
      <c r="V1882">
        <v>2</v>
      </c>
      <c r="AE1882" t="s">
        <v>74</v>
      </c>
      <c r="AF1882" t="s">
        <v>169</v>
      </c>
      <c r="AG1882" t="s">
        <v>19176</v>
      </c>
      <c r="AH1882" t="str">
        <f>HYPERLINK("http://compartments.jensenlab.org/Entity?figures=subcell_cell_%&amp;knowledge=10&amp;textmining=10&amp;experiments=10&amp;predictions=10&amp;type1=9606&amp;type2=-22&amp;id1=ENSP00000326259","link")</f>
        <v>link</v>
      </c>
      <c r="AI1882" t="s">
        <v>65</v>
      </c>
      <c r="AJ1882" t="s">
        <v>51</v>
      </c>
      <c r="AK1882" t="str">
        <f>HYPERLINK("http://www.proteinatlas.org/Q8NGJ2","no")</f>
        <v>no</v>
      </c>
      <c r="AM1882">
        <v>390067</v>
      </c>
    </row>
    <row r="1883" spans="1:39" x14ac:dyDescent="0.35">
      <c r="A1883" t="s">
        <v>19177</v>
      </c>
      <c r="B1883" t="str">
        <f>HYPERLINK("http://www.uniprot.org/uniprot/Q8NGJ3","Q8NGJ3")</f>
        <v>Q8NGJ3</v>
      </c>
      <c r="C1883" t="s">
        <v>19178</v>
      </c>
      <c r="D1883" t="s">
        <v>19179</v>
      </c>
      <c r="E1883" t="s">
        <v>39</v>
      </c>
      <c r="F1883" t="s">
        <v>40</v>
      </c>
      <c r="H1883">
        <v>308</v>
      </c>
      <c r="I1883">
        <v>7</v>
      </c>
      <c r="J1883">
        <v>0</v>
      </c>
      <c r="K1883" t="s">
        <v>19180</v>
      </c>
      <c r="L1883" t="s">
        <v>57</v>
      </c>
      <c r="N1883">
        <v>0.90820000000000001</v>
      </c>
      <c r="O1883" s="1">
        <v>1</v>
      </c>
      <c r="S1883" t="s">
        <v>166</v>
      </c>
      <c r="T1883" t="s">
        <v>167</v>
      </c>
      <c r="U1883" t="s">
        <v>19181</v>
      </c>
      <c r="V1883">
        <v>1</v>
      </c>
      <c r="AE1883" t="s">
        <v>74</v>
      </c>
      <c r="AF1883" t="s">
        <v>549</v>
      </c>
      <c r="AG1883" t="s">
        <v>19182</v>
      </c>
      <c r="AK1883" t="str">
        <f>HYPERLINK("http://www.proteinatlas.org/Q8NGJ3","no")</f>
        <v>no</v>
      </c>
    </row>
    <row r="1884" spans="1:39" x14ac:dyDescent="0.35">
      <c r="A1884" t="s">
        <v>19183</v>
      </c>
      <c r="B1884" t="str">
        <f>HYPERLINK("http://www.uniprot.org/uniprot/Q8NGJ4","Q8NGJ4")</f>
        <v>Q8NGJ4</v>
      </c>
      <c r="C1884" t="s">
        <v>19184</v>
      </c>
      <c r="D1884" t="s">
        <v>19185</v>
      </c>
      <c r="E1884" t="s">
        <v>39</v>
      </c>
      <c r="F1884" t="s">
        <v>55</v>
      </c>
      <c r="H1884">
        <v>325</v>
      </c>
      <c r="I1884">
        <v>7</v>
      </c>
      <c r="J1884">
        <v>0</v>
      </c>
      <c r="K1884" t="s">
        <v>19186</v>
      </c>
      <c r="L1884" t="s">
        <v>57</v>
      </c>
      <c r="N1884">
        <v>0.93810000000000004</v>
      </c>
      <c r="O1884" s="1">
        <v>1</v>
      </c>
      <c r="P1884" t="s">
        <v>19187</v>
      </c>
      <c r="Q1884" t="s">
        <v>19188</v>
      </c>
      <c r="S1884" t="s">
        <v>166</v>
      </c>
      <c r="T1884" t="s">
        <v>167</v>
      </c>
      <c r="U1884" t="s">
        <v>19189</v>
      </c>
      <c r="V1884">
        <v>1</v>
      </c>
      <c r="AE1884" t="s">
        <v>74</v>
      </c>
      <c r="AF1884" t="s">
        <v>169</v>
      </c>
      <c r="AG1884" t="s">
        <v>19190</v>
      </c>
      <c r="AH1884" t="str">
        <f>HYPERLINK("http://compartments.jensenlab.org/Entity?figures=subcell_cell_%&amp;knowledge=10&amp;textmining=10&amp;experiments=10&amp;predictions=10&amp;type1=9606&amp;type2=-22&amp;id1=ENSP00000322088","link")</f>
        <v>link</v>
      </c>
      <c r="AI1884" t="s">
        <v>65</v>
      </c>
      <c r="AJ1884" t="s">
        <v>51</v>
      </c>
      <c r="AK1884" t="str">
        <f>HYPERLINK("http://www.proteinatlas.org/Q8NGJ4","HPA045748")</f>
        <v>HPA045748</v>
      </c>
      <c r="AM1884">
        <v>119678</v>
      </c>
    </row>
    <row r="1885" spans="1:39" x14ac:dyDescent="0.35">
      <c r="A1885" t="s">
        <v>19191</v>
      </c>
      <c r="B1885" t="str">
        <f>HYPERLINK("http://www.uniprot.org/uniprot/Q8NGJ5","Q8NGJ5")</f>
        <v>Q8NGJ5</v>
      </c>
      <c r="C1885" t="s">
        <v>19192</v>
      </c>
      <c r="D1885" t="s">
        <v>19193</v>
      </c>
      <c r="E1885" t="s">
        <v>39</v>
      </c>
      <c r="F1885" t="s">
        <v>55</v>
      </c>
      <c r="H1885">
        <v>315</v>
      </c>
      <c r="I1885">
        <v>7</v>
      </c>
      <c r="J1885">
        <v>0</v>
      </c>
      <c r="K1885" t="s">
        <v>19194</v>
      </c>
      <c r="L1885" t="s">
        <v>57</v>
      </c>
      <c r="N1885">
        <v>0.98199999999999998</v>
      </c>
      <c r="O1885" s="1">
        <v>1</v>
      </c>
      <c r="P1885" t="s">
        <v>19195</v>
      </c>
      <c r="Q1885" t="s">
        <v>19196</v>
      </c>
      <c r="S1885" t="s">
        <v>166</v>
      </c>
      <c r="T1885" t="s">
        <v>167</v>
      </c>
      <c r="U1885" t="s">
        <v>19197</v>
      </c>
      <c r="V1885">
        <v>1</v>
      </c>
      <c r="AE1885" t="s">
        <v>74</v>
      </c>
      <c r="AF1885" t="s">
        <v>169</v>
      </c>
      <c r="AG1885" t="s">
        <v>19198</v>
      </c>
      <c r="AH1885" t="str">
        <f>HYPERLINK("http://compartments.jensenlab.org/Entity?figures=subcell_cell_%&amp;knowledge=10&amp;textmining=10&amp;experiments=10&amp;predictions=10&amp;type1=9606&amp;type2=-22&amp;id1=ENSP00000322156","link")</f>
        <v>link</v>
      </c>
      <c r="AI1885" t="s">
        <v>65</v>
      </c>
      <c r="AJ1885" t="s">
        <v>51</v>
      </c>
      <c r="AK1885" t="str">
        <f>HYPERLINK("http://www.proteinatlas.org/Q8NGJ5","no")</f>
        <v>no</v>
      </c>
      <c r="AM1885">
        <v>119682</v>
      </c>
    </row>
    <row r="1886" spans="1:39" x14ac:dyDescent="0.35">
      <c r="A1886" t="s">
        <v>19199</v>
      </c>
      <c r="B1886" t="str">
        <f>HYPERLINK("http://www.uniprot.org/uniprot/Q8NGJ6","Q8NGJ6")</f>
        <v>Q8NGJ6</v>
      </c>
      <c r="C1886" t="s">
        <v>19200</v>
      </c>
      <c r="D1886" t="s">
        <v>19201</v>
      </c>
      <c r="E1886" t="s">
        <v>39</v>
      </c>
      <c r="F1886" t="s">
        <v>55</v>
      </c>
      <c r="H1886">
        <v>313</v>
      </c>
      <c r="I1886">
        <v>7</v>
      </c>
      <c r="J1886">
        <v>0</v>
      </c>
      <c r="K1886" t="s">
        <v>19202</v>
      </c>
      <c r="L1886" t="s">
        <v>57</v>
      </c>
      <c r="M1886" t="s">
        <v>39</v>
      </c>
      <c r="N1886">
        <v>0.99460000000000004</v>
      </c>
      <c r="O1886" s="1">
        <v>1</v>
      </c>
      <c r="P1886" t="s">
        <v>19203</v>
      </c>
      <c r="Q1886" t="s">
        <v>19204</v>
      </c>
      <c r="S1886" t="s">
        <v>166</v>
      </c>
      <c r="T1886" t="s">
        <v>167</v>
      </c>
      <c r="U1886" t="s">
        <v>19197</v>
      </c>
      <c r="V1886">
        <v>1</v>
      </c>
      <c r="AE1886" t="s">
        <v>74</v>
      </c>
      <c r="AF1886" t="s">
        <v>169</v>
      </c>
      <c r="AG1886" t="s">
        <v>19205</v>
      </c>
      <c r="AH1886" t="str">
        <f>HYPERLINK("http://compartments.jensenlab.org/Entity?figures=subcell_cell_%&amp;knowledge=10&amp;textmining=10&amp;experiments=10&amp;predictions=10&amp;type1=9606&amp;type2=-22&amp;id1=ENSP00000369731","link")</f>
        <v>link</v>
      </c>
      <c r="AI1886" t="s">
        <v>65</v>
      </c>
      <c r="AJ1886" t="s">
        <v>51</v>
      </c>
      <c r="AK1886" t="str">
        <f>HYPERLINK("http://www.proteinatlas.org/Q8NGJ6","no")</f>
        <v>no</v>
      </c>
      <c r="AM1886">
        <v>401666</v>
      </c>
    </row>
    <row r="1887" spans="1:39" x14ac:dyDescent="0.35">
      <c r="A1887" t="s">
        <v>19206</v>
      </c>
      <c r="B1887" t="str">
        <f>HYPERLINK("http://www.uniprot.org/uniprot/Q8NGJ7","Q8NGJ7")</f>
        <v>Q8NGJ7</v>
      </c>
      <c r="C1887" t="s">
        <v>19207</v>
      </c>
      <c r="D1887" t="s">
        <v>19208</v>
      </c>
      <c r="E1887" t="s">
        <v>39</v>
      </c>
      <c r="F1887" t="s">
        <v>55</v>
      </c>
      <c r="H1887">
        <v>313</v>
      </c>
      <c r="I1887">
        <v>7</v>
      </c>
      <c r="J1887">
        <v>0</v>
      </c>
      <c r="K1887" t="s">
        <v>19209</v>
      </c>
      <c r="L1887" t="s">
        <v>57</v>
      </c>
      <c r="N1887">
        <v>0.98799999999999999</v>
      </c>
      <c r="O1887" s="1">
        <v>1</v>
      </c>
      <c r="P1887" t="s">
        <v>19210</v>
      </c>
      <c r="Q1887" t="s">
        <v>19211</v>
      </c>
      <c r="S1887" t="s">
        <v>166</v>
      </c>
      <c r="T1887" t="s">
        <v>167</v>
      </c>
      <c r="U1887" t="s">
        <v>19197</v>
      </c>
      <c r="V1887">
        <v>1</v>
      </c>
      <c r="AE1887" t="s">
        <v>74</v>
      </c>
      <c r="AF1887" t="s">
        <v>169</v>
      </c>
      <c r="AG1887" t="s">
        <v>19212</v>
      </c>
      <c r="AH1887" t="str">
        <f>HYPERLINK("http://compartments.jensenlab.org/Entity?figures=subcell_cell_%&amp;knowledge=10&amp;textmining=10&amp;experiments=10&amp;predictions=10&amp;type1=9606&amp;type2=-22&amp;id1=ENSP00000369729","link")</f>
        <v>link</v>
      </c>
      <c r="AI1887" t="s">
        <v>65</v>
      </c>
      <c r="AJ1887" t="s">
        <v>51</v>
      </c>
      <c r="AK1887" t="str">
        <f>HYPERLINK("http://www.proteinatlas.org/Q8NGJ7","no")</f>
        <v>no</v>
      </c>
      <c r="AM1887">
        <v>401667</v>
      </c>
    </row>
    <row r="1888" spans="1:39" x14ac:dyDescent="0.35">
      <c r="A1888" t="s">
        <v>19213</v>
      </c>
      <c r="B1888" t="str">
        <f>HYPERLINK("http://www.uniprot.org/uniprot/Q8NGJ8","Q8NGJ8")</f>
        <v>Q8NGJ8</v>
      </c>
      <c r="C1888" t="s">
        <v>19214</v>
      </c>
      <c r="D1888" t="s">
        <v>19215</v>
      </c>
      <c r="E1888" t="s">
        <v>39</v>
      </c>
      <c r="F1888" t="s">
        <v>55</v>
      </c>
      <c r="H1888">
        <v>323</v>
      </c>
      <c r="I1888">
        <v>7</v>
      </c>
      <c r="J1888">
        <v>0</v>
      </c>
      <c r="K1888" t="s">
        <v>19216</v>
      </c>
      <c r="L1888" t="s">
        <v>57</v>
      </c>
      <c r="M1888" t="s">
        <v>39</v>
      </c>
      <c r="N1888">
        <v>0.90800000000000003</v>
      </c>
      <c r="O1888" s="1">
        <v>1</v>
      </c>
      <c r="P1888" t="s">
        <v>19217</v>
      </c>
      <c r="Q1888" t="s">
        <v>19218</v>
      </c>
      <c r="S1888" t="s">
        <v>166</v>
      </c>
      <c r="T1888" t="s">
        <v>167</v>
      </c>
      <c r="U1888" t="s">
        <v>19219</v>
      </c>
      <c r="V1888">
        <v>1</v>
      </c>
      <c r="AE1888" t="s">
        <v>74</v>
      </c>
      <c r="AF1888" t="s">
        <v>169</v>
      </c>
      <c r="AG1888" t="s">
        <v>19220</v>
      </c>
      <c r="AH1888" t="str">
        <f>HYPERLINK("http://compartments.jensenlab.org/Entity?figures=subcell_cell_%&amp;knowledge=10&amp;textmining=10&amp;experiments=10&amp;predictions=10&amp;type1=9606&amp;type2=-22&amp;id1=ENSP00000322754","link")</f>
        <v>link</v>
      </c>
      <c r="AI1888" t="s">
        <v>65</v>
      </c>
      <c r="AJ1888" t="s">
        <v>51</v>
      </c>
      <c r="AK1888" t="str">
        <f>HYPERLINK("http://www.proteinatlas.org/Q8NGJ8","no")</f>
        <v>no</v>
      </c>
      <c r="AM1888">
        <v>119692</v>
      </c>
    </row>
    <row r="1889" spans="1:39" x14ac:dyDescent="0.35">
      <c r="A1889" t="s">
        <v>19221</v>
      </c>
      <c r="B1889" t="str">
        <f>HYPERLINK("http://www.uniprot.org/uniprot/Q8NGJ9","Q8NGJ9")</f>
        <v>Q8NGJ9</v>
      </c>
      <c r="C1889" t="s">
        <v>19222</v>
      </c>
      <c r="D1889" t="s">
        <v>19223</v>
      </c>
      <c r="E1889" t="s">
        <v>39</v>
      </c>
      <c r="F1889" t="s">
        <v>55</v>
      </c>
      <c r="H1889">
        <v>327</v>
      </c>
      <c r="I1889">
        <v>7</v>
      </c>
      <c r="J1889">
        <v>0</v>
      </c>
      <c r="K1889" t="s">
        <v>19224</v>
      </c>
      <c r="L1889" t="s">
        <v>57</v>
      </c>
      <c r="M1889" t="s">
        <v>39</v>
      </c>
      <c r="N1889">
        <v>0.98340000000000005</v>
      </c>
      <c r="O1889" s="1">
        <v>1</v>
      </c>
      <c r="P1889" t="s">
        <v>19225</v>
      </c>
      <c r="Q1889" t="s">
        <v>19226</v>
      </c>
      <c r="S1889" t="s">
        <v>166</v>
      </c>
      <c r="T1889" t="s">
        <v>167</v>
      </c>
      <c r="U1889" t="s">
        <v>19227</v>
      </c>
      <c r="V1889">
        <v>2</v>
      </c>
      <c r="AE1889" t="s">
        <v>74</v>
      </c>
      <c r="AF1889" t="s">
        <v>3091</v>
      </c>
      <c r="AG1889" t="s">
        <v>19228</v>
      </c>
      <c r="AH1889" t="str">
        <f>HYPERLINK("http://compartments.jensenlab.org/Entity?figures=subcell_cell_%&amp;knowledge=10&amp;textmining=10&amp;experiments=10&amp;predictions=10&amp;type1=9606&amp;type2=-22&amp;id1=ENSP00000322679","link")</f>
        <v>link</v>
      </c>
      <c r="AI1889" t="s">
        <v>65</v>
      </c>
      <c r="AJ1889" t="s">
        <v>51</v>
      </c>
      <c r="AK1889" t="str">
        <f>HYPERLINK("http://www.proteinatlas.org/Q8NGJ9","HPA046877")</f>
        <v>HPA046877</v>
      </c>
      <c r="AM1889">
        <v>401665</v>
      </c>
    </row>
    <row r="1890" spans="1:39" x14ac:dyDescent="0.35">
      <c r="A1890" t="s">
        <v>19229</v>
      </c>
      <c r="B1890" t="str">
        <f>HYPERLINK("http://www.uniprot.org/uniprot/Q8NGK0","Q8NGK0")</f>
        <v>Q8NGK0</v>
      </c>
      <c r="C1890" t="s">
        <v>19230</v>
      </c>
      <c r="D1890" t="s">
        <v>19231</v>
      </c>
      <c r="E1890" t="s">
        <v>39</v>
      </c>
      <c r="F1890" t="s">
        <v>55</v>
      </c>
      <c r="H1890">
        <v>314</v>
      </c>
      <c r="I1890">
        <v>7</v>
      </c>
      <c r="J1890">
        <v>0</v>
      </c>
      <c r="K1890" t="s">
        <v>19232</v>
      </c>
      <c r="L1890" t="s">
        <v>57</v>
      </c>
      <c r="M1890" t="s">
        <v>39</v>
      </c>
      <c r="N1890">
        <v>0.96909999999999996</v>
      </c>
      <c r="O1890" s="1">
        <v>1</v>
      </c>
      <c r="P1890" t="s">
        <v>19233</v>
      </c>
      <c r="Q1890" t="s">
        <v>19234</v>
      </c>
      <c r="S1890" t="s">
        <v>166</v>
      </c>
      <c r="T1890" t="s">
        <v>167</v>
      </c>
      <c r="U1890" t="s">
        <v>19235</v>
      </c>
      <c r="V1890">
        <v>1</v>
      </c>
      <c r="AE1890" t="s">
        <v>74</v>
      </c>
      <c r="AF1890" t="s">
        <v>169</v>
      </c>
      <c r="AG1890" t="s">
        <v>19236</v>
      </c>
      <c r="AH1890" t="str">
        <f>HYPERLINK("http://compartments.jensenlab.org/Entity?figures=subcell_cell_%&amp;knowledge=10&amp;textmining=10&amp;experiments=10&amp;predictions=10&amp;type1=9606&amp;type2=-22&amp;id1=ENSP00000322593","link")</f>
        <v>link</v>
      </c>
      <c r="AI1890" t="s">
        <v>65</v>
      </c>
      <c r="AJ1890" t="s">
        <v>51</v>
      </c>
      <c r="AK1890" t="str">
        <f>HYPERLINK("http://www.proteinatlas.org/Q8NGK0","no")</f>
        <v>no</v>
      </c>
      <c r="AM1890">
        <v>81282</v>
      </c>
    </row>
    <row r="1891" spans="1:39" x14ac:dyDescent="0.35">
      <c r="A1891" t="s">
        <v>19237</v>
      </c>
      <c r="B1891" t="str">
        <f>HYPERLINK("http://www.uniprot.org/uniprot/Q8NGK1","Q8NGK1")</f>
        <v>Q8NGK1</v>
      </c>
      <c r="C1891" t="s">
        <v>19238</v>
      </c>
      <c r="D1891" t="s">
        <v>19239</v>
      </c>
      <c r="E1891" t="s">
        <v>39</v>
      </c>
      <c r="F1891" t="s">
        <v>55</v>
      </c>
      <c r="H1891">
        <v>321</v>
      </c>
      <c r="I1891">
        <v>7</v>
      </c>
      <c r="J1891">
        <v>0</v>
      </c>
      <c r="K1891" t="s">
        <v>19240</v>
      </c>
      <c r="L1891" t="s">
        <v>57</v>
      </c>
      <c r="M1891" t="s">
        <v>39</v>
      </c>
      <c r="N1891">
        <v>0.96789999999999998</v>
      </c>
      <c r="O1891" s="1">
        <v>1</v>
      </c>
      <c r="P1891" t="s">
        <v>19241</v>
      </c>
      <c r="Q1891" t="s">
        <v>19242</v>
      </c>
      <c r="S1891" t="s">
        <v>166</v>
      </c>
      <c r="T1891" t="s">
        <v>167</v>
      </c>
      <c r="U1891" t="s">
        <v>19243</v>
      </c>
      <c r="V1891">
        <v>1</v>
      </c>
      <c r="AE1891" t="s">
        <v>74</v>
      </c>
      <c r="AF1891" t="s">
        <v>169</v>
      </c>
      <c r="AG1891" t="s">
        <v>19244</v>
      </c>
      <c r="AH1891" t="str">
        <f>HYPERLINK("http://compartments.jensenlab.org/Entity?figures=subcell_cell_%&amp;knowledge=10&amp;textmining=10&amp;experiments=10&amp;predictions=10&amp;type1=9606&amp;type2=-22&amp;id1=ENSP00000322546","link")</f>
        <v>link</v>
      </c>
      <c r="AI1891" t="s">
        <v>65</v>
      </c>
      <c r="AJ1891" t="s">
        <v>51</v>
      </c>
      <c r="AK1891" t="str">
        <f>HYPERLINK("http://www.proteinatlas.org/Q8NGK1","HPA050482")</f>
        <v>HPA050482</v>
      </c>
      <c r="AM1891">
        <v>79324</v>
      </c>
    </row>
    <row r="1892" spans="1:39" x14ac:dyDescent="0.35">
      <c r="A1892" t="s">
        <v>19245</v>
      </c>
      <c r="B1892" t="str">
        <f>HYPERLINK("http://www.uniprot.org/uniprot/Q8NGK2","Q8NGK2")</f>
        <v>Q8NGK2</v>
      </c>
      <c r="C1892" t="s">
        <v>19246</v>
      </c>
      <c r="D1892" t="s">
        <v>19247</v>
      </c>
      <c r="E1892" t="s">
        <v>39</v>
      </c>
      <c r="F1892" t="s">
        <v>55</v>
      </c>
      <c r="H1892">
        <v>314</v>
      </c>
      <c r="I1892">
        <v>7</v>
      </c>
      <c r="J1892">
        <v>0</v>
      </c>
      <c r="K1892" t="s">
        <v>19248</v>
      </c>
      <c r="L1892" t="s">
        <v>57</v>
      </c>
      <c r="M1892" t="s">
        <v>39</v>
      </c>
      <c r="N1892">
        <v>0.91</v>
      </c>
      <c r="O1892" s="1">
        <v>1</v>
      </c>
      <c r="P1892" t="s">
        <v>19249</v>
      </c>
      <c r="Q1892" t="s">
        <v>19250</v>
      </c>
      <c r="S1892" t="s">
        <v>166</v>
      </c>
      <c r="T1892" t="s">
        <v>167</v>
      </c>
      <c r="U1892">
        <v>5</v>
      </c>
      <c r="V1892">
        <v>1</v>
      </c>
      <c r="AE1892" t="s">
        <v>74</v>
      </c>
      <c r="AF1892" t="s">
        <v>169</v>
      </c>
      <c r="AG1892" t="s">
        <v>19251</v>
      </c>
      <c r="AH1892" t="str">
        <f>HYPERLINK("http://compartments.jensenlab.org/Entity?figures=subcell_cell_%&amp;knowledge=10&amp;textmining=10&amp;experiments=10&amp;predictions=10&amp;type1=9606&amp;type2=-22&amp;id1=ENSP00000386160","link")</f>
        <v>link</v>
      </c>
      <c r="AI1892" t="s">
        <v>65</v>
      </c>
      <c r="AJ1892" t="s">
        <v>51</v>
      </c>
      <c r="AK1892" t="str">
        <f>HYPERLINK("http://www.proteinatlas.org/Q8NGK2","no")</f>
        <v>no</v>
      </c>
      <c r="AM1892">
        <v>143496</v>
      </c>
    </row>
    <row r="1893" spans="1:39" x14ac:dyDescent="0.35">
      <c r="A1893" t="s">
        <v>19252</v>
      </c>
      <c r="B1893" t="str">
        <f>HYPERLINK("http://www.uniprot.org/uniprot/Q8NGK3","Q8NGK3")</f>
        <v>Q8NGK3</v>
      </c>
      <c r="C1893" t="s">
        <v>19253</v>
      </c>
      <c r="D1893" t="s">
        <v>19254</v>
      </c>
      <c r="E1893" t="s">
        <v>39</v>
      </c>
      <c r="F1893" t="s">
        <v>55</v>
      </c>
      <c r="H1893">
        <v>314</v>
      </c>
      <c r="I1893">
        <v>7</v>
      </c>
      <c r="J1893">
        <v>0</v>
      </c>
      <c r="K1893" t="s">
        <v>19255</v>
      </c>
      <c r="L1893" t="s">
        <v>57</v>
      </c>
      <c r="M1893" t="s">
        <v>39</v>
      </c>
      <c r="N1893">
        <v>0.98870000000000002</v>
      </c>
      <c r="O1893" s="1">
        <v>1</v>
      </c>
      <c r="P1893" t="s">
        <v>19256</v>
      </c>
      <c r="Q1893" t="s">
        <v>19257</v>
      </c>
      <c r="S1893" t="s">
        <v>166</v>
      </c>
      <c r="T1893" t="s">
        <v>167</v>
      </c>
      <c r="U1893" t="s">
        <v>19197</v>
      </c>
      <c r="V1893">
        <v>1</v>
      </c>
      <c r="AE1893" t="s">
        <v>74</v>
      </c>
      <c r="AF1893" t="s">
        <v>169</v>
      </c>
      <c r="AG1893" t="s">
        <v>19258</v>
      </c>
      <c r="AH1893" t="str">
        <f>HYPERLINK("http://compartments.jensenlab.org/Entity?figures=subcell_cell_%&amp;knowledge=10&amp;textmining=10&amp;experiments=10&amp;predictions=10&amp;type1=9606&amp;type2=-22&amp;id1=ENSP00000318956","link")</f>
        <v>link</v>
      </c>
      <c r="AI1893" t="s">
        <v>65</v>
      </c>
      <c r="AJ1893" t="s">
        <v>51</v>
      </c>
      <c r="AK1893" t="str">
        <f>HYPERLINK("http://www.proteinatlas.org/Q8NGK3","no")</f>
        <v>no</v>
      </c>
      <c r="AM1893">
        <v>119774</v>
      </c>
    </row>
    <row r="1894" spans="1:39" x14ac:dyDescent="0.35">
      <c r="A1894" t="s">
        <v>19259</v>
      </c>
      <c r="B1894" t="str">
        <f>HYPERLINK("http://www.uniprot.org/uniprot/Q8NGK4","Q8NGK4")</f>
        <v>Q8NGK4</v>
      </c>
      <c r="C1894" t="s">
        <v>19260</v>
      </c>
      <c r="D1894" t="s">
        <v>19261</v>
      </c>
      <c r="E1894" t="s">
        <v>39</v>
      </c>
      <c r="F1894" t="s">
        <v>55</v>
      </c>
      <c r="H1894">
        <v>314</v>
      </c>
      <c r="I1894">
        <v>7</v>
      </c>
      <c r="J1894">
        <v>0</v>
      </c>
      <c r="K1894" t="s">
        <v>19262</v>
      </c>
      <c r="L1894" t="s">
        <v>57</v>
      </c>
      <c r="M1894" t="s">
        <v>39</v>
      </c>
      <c r="N1894">
        <v>0.9637</v>
      </c>
      <c r="O1894" s="1">
        <v>1</v>
      </c>
      <c r="P1894" t="s">
        <v>19263</v>
      </c>
      <c r="Q1894" t="s">
        <v>19264</v>
      </c>
      <c r="S1894" t="s">
        <v>166</v>
      </c>
      <c r="T1894" t="s">
        <v>167</v>
      </c>
      <c r="U1894" t="s">
        <v>19197</v>
      </c>
      <c r="V1894">
        <v>1</v>
      </c>
      <c r="AE1894" t="s">
        <v>74</v>
      </c>
      <c r="AF1894" t="s">
        <v>169</v>
      </c>
      <c r="AG1894" t="s">
        <v>19265</v>
      </c>
      <c r="AH1894" t="str">
        <f>HYPERLINK("http://compartments.jensenlab.org/Entity?figures=subcell_cell_%&amp;knowledge=10&amp;textmining=10&amp;experiments=10&amp;predictions=10&amp;type1=9606&amp;type2=-22&amp;id1=ENSP00000302422","link")</f>
        <v>link</v>
      </c>
      <c r="AI1894" t="s">
        <v>65</v>
      </c>
      <c r="AJ1894" t="s">
        <v>51</v>
      </c>
      <c r="AK1894" t="str">
        <f>HYPERLINK("http://www.proteinatlas.org/Q8NGK4","no")</f>
        <v>no</v>
      </c>
      <c r="AM1894">
        <v>390036</v>
      </c>
    </row>
    <row r="1895" spans="1:39" x14ac:dyDescent="0.35">
      <c r="A1895" t="s">
        <v>19266</v>
      </c>
      <c r="B1895" t="str">
        <f>HYPERLINK("http://www.uniprot.org/uniprot/Q8NGK5","Q8NGK5")</f>
        <v>Q8NGK5</v>
      </c>
      <c r="C1895" t="s">
        <v>19267</v>
      </c>
      <c r="D1895" t="s">
        <v>19268</v>
      </c>
      <c r="E1895" t="s">
        <v>39</v>
      </c>
      <c r="F1895" t="s">
        <v>55</v>
      </c>
      <c r="H1895">
        <v>317</v>
      </c>
      <c r="I1895">
        <v>7</v>
      </c>
      <c r="J1895">
        <v>0</v>
      </c>
      <c r="K1895" t="s">
        <v>19269</v>
      </c>
      <c r="L1895" t="s">
        <v>57</v>
      </c>
      <c r="N1895">
        <v>0.81040000000000001</v>
      </c>
      <c r="O1895" s="1">
        <v>1</v>
      </c>
      <c r="P1895" t="s">
        <v>19270</v>
      </c>
      <c r="Q1895" t="s">
        <v>19271</v>
      </c>
      <c r="S1895" t="s">
        <v>166</v>
      </c>
      <c r="T1895" t="s">
        <v>167</v>
      </c>
      <c r="U1895">
        <v>44</v>
      </c>
      <c r="V1895">
        <v>0</v>
      </c>
      <c r="AE1895" t="s">
        <v>74</v>
      </c>
      <c r="AF1895" t="s">
        <v>368</v>
      </c>
      <c r="AG1895" t="s">
        <v>19272</v>
      </c>
      <c r="AH1895" t="str">
        <f>HYPERLINK("http://compartments.jensenlab.org/Entity?figures=subcell_cell_%&amp;knowledge=10&amp;textmining=10&amp;experiments=10&amp;predictions=10&amp;type1=9606&amp;type2=-22&amp;id1=ENSP00000353343","link")</f>
        <v>link</v>
      </c>
      <c r="AI1895" t="s">
        <v>65</v>
      </c>
      <c r="AJ1895" t="s">
        <v>51</v>
      </c>
      <c r="AK1895" t="str">
        <f>HYPERLINK("http://www.proteinatlas.org/Q8NGK5","no")</f>
        <v>no</v>
      </c>
      <c r="AM1895">
        <v>119772</v>
      </c>
    </row>
    <row r="1896" spans="1:39" x14ac:dyDescent="0.35">
      <c r="A1896" t="s">
        <v>19273</v>
      </c>
      <c r="B1896" t="str">
        <f>HYPERLINK("http://www.uniprot.org/uniprot/Q8NGK6","Q8NGK6")</f>
        <v>Q8NGK6</v>
      </c>
      <c r="C1896" t="s">
        <v>19274</v>
      </c>
      <c r="D1896" t="s">
        <v>19275</v>
      </c>
      <c r="E1896" t="s">
        <v>39</v>
      </c>
      <c r="F1896" t="s">
        <v>40</v>
      </c>
      <c r="H1896">
        <v>324</v>
      </c>
      <c r="I1896">
        <v>7</v>
      </c>
      <c r="J1896">
        <v>0</v>
      </c>
      <c r="K1896" t="s">
        <v>19276</v>
      </c>
      <c r="L1896" t="s">
        <v>57</v>
      </c>
      <c r="N1896">
        <v>0.93610000000000004</v>
      </c>
      <c r="O1896" s="1">
        <v>1</v>
      </c>
      <c r="P1896" t="s">
        <v>19277</v>
      </c>
      <c r="Q1896" t="s">
        <v>19278</v>
      </c>
      <c r="S1896" t="s">
        <v>166</v>
      </c>
      <c r="T1896" t="s">
        <v>167</v>
      </c>
      <c r="U1896">
        <v>7</v>
      </c>
      <c r="V1896">
        <v>1</v>
      </c>
      <c r="AE1896" t="s">
        <v>74</v>
      </c>
      <c r="AF1896" t="s">
        <v>169</v>
      </c>
      <c r="AG1896" t="s">
        <v>19279</v>
      </c>
      <c r="AH1896" t="str">
        <f>HYPERLINK("http://compartments.jensenlab.org/Entity?figures=subcell_cell_%&amp;knowledge=10&amp;textmining=10&amp;experiments=10&amp;predictions=10&amp;type1=9606&amp;type2=-22&amp;id1=ENSP00000436453","link")</f>
        <v>link</v>
      </c>
      <c r="AK1896" t="str">
        <f>HYPERLINK("http://www.proteinatlas.org/Q8NGK6","no")</f>
        <v>no</v>
      </c>
      <c r="AM1896">
        <v>390037</v>
      </c>
    </row>
    <row r="1897" spans="1:39" x14ac:dyDescent="0.35">
      <c r="A1897" t="s">
        <v>19280</v>
      </c>
      <c r="B1897" t="str">
        <f>HYPERLINK("http://www.uniprot.org/uniprot/Q8NGK9","Q8NGK9")</f>
        <v>Q8NGK9</v>
      </c>
      <c r="C1897" t="s">
        <v>19281</v>
      </c>
      <c r="D1897" t="s">
        <v>19282</v>
      </c>
      <c r="E1897" t="s">
        <v>39</v>
      </c>
      <c r="F1897" t="s">
        <v>55</v>
      </c>
      <c r="H1897">
        <v>328</v>
      </c>
      <c r="I1897">
        <v>7</v>
      </c>
      <c r="J1897">
        <v>0</v>
      </c>
      <c r="K1897" t="s">
        <v>19283</v>
      </c>
      <c r="L1897" t="s">
        <v>57</v>
      </c>
      <c r="N1897">
        <v>0.94610000000000005</v>
      </c>
      <c r="O1897" s="1">
        <v>1</v>
      </c>
      <c r="P1897" t="s">
        <v>19284</v>
      </c>
      <c r="Q1897" t="s">
        <v>19285</v>
      </c>
      <c r="S1897" t="s">
        <v>166</v>
      </c>
      <c r="T1897" t="s">
        <v>167</v>
      </c>
      <c r="U1897">
        <v>7</v>
      </c>
      <c r="V1897">
        <v>1</v>
      </c>
      <c r="AE1897" t="s">
        <v>74</v>
      </c>
      <c r="AF1897" t="s">
        <v>455</v>
      </c>
      <c r="AG1897" t="s">
        <v>19286</v>
      </c>
      <c r="AH1897" t="str">
        <f>HYPERLINK("http://compartments.jensenlab.org/Entity?figures=subcell_cell_%&amp;knowledge=10&amp;textmining=10&amp;experiments=10&amp;predictions=10&amp;type1=9606&amp;type2=-22&amp;id1=ENSP00000367649","link")</f>
        <v>link</v>
      </c>
      <c r="AI1897" t="s">
        <v>65</v>
      </c>
      <c r="AJ1897" t="s">
        <v>51</v>
      </c>
      <c r="AK1897" t="str">
        <f>HYPERLINK("http://www.proteinatlas.org/Q8NGK9","HPA046711")</f>
        <v>HPA046711</v>
      </c>
      <c r="AM1897">
        <v>390144</v>
      </c>
    </row>
    <row r="1898" spans="1:39" x14ac:dyDescent="0.35">
      <c r="A1898" t="s">
        <v>19287</v>
      </c>
      <c r="B1898" t="str">
        <f>HYPERLINK("http://www.uniprot.org/uniprot/Q8NGL0","Q8NGL0")</f>
        <v>Q8NGL0</v>
      </c>
      <c r="C1898" t="s">
        <v>19288</v>
      </c>
      <c r="D1898" t="s">
        <v>19289</v>
      </c>
      <c r="E1898" t="s">
        <v>39</v>
      </c>
      <c r="F1898" t="s">
        <v>55</v>
      </c>
      <c r="H1898">
        <v>311</v>
      </c>
      <c r="I1898">
        <v>7</v>
      </c>
      <c r="J1898">
        <v>0</v>
      </c>
      <c r="K1898" t="s">
        <v>19290</v>
      </c>
      <c r="L1898" t="s">
        <v>57</v>
      </c>
      <c r="N1898">
        <v>0.98199999999999998</v>
      </c>
      <c r="O1898" s="1">
        <v>1</v>
      </c>
      <c r="P1898" t="s">
        <v>19291</v>
      </c>
      <c r="Q1898" t="s">
        <v>19292</v>
      </c>
      <c r="S1898" t="s">
        <v>166</v>
      </c>
      <c r="T1898" t="s">
        <v>167</v>
      </c>
      <c r="U1898" t="s">
        <v>19293</v>
      </c>
      <c r="V1898">
        <v>2</v>
      </c>
      <c r="AE1898" t="s">
        <v>74</v>
      </c>
      <c r="AF1898" t="s">
        <v>169</v>
      </c>
      <c r="AG1898" t="s">
        <v>19294</v>
      </c>
      <c r="AH1898" t="str">
        <f>HYPERLINK("http://compartments.jensenlab.org/Entity?figures=subcell_cell_%&amp;knowledge=10&amp;textmining=10&amp;experiments=10&amp;predictions=10&amp;type1=9606&amp;type2=-22&amp;id1=ENSP00000367650","link")</f>
        <v>link</v>
      </c>
      <c r="AI1898" t="s">
        <v>65</v>
      </c>
      <c r="AJ1898" t="s">
        <v>51</v>
      </c>
      <c r="AK1898" t="str">
        <f>HYPERLINK("http://www.proteinatlas.org/Q8NGL0","HPA047524")</f>
        <v>HPA047524</v>
      </c>
      <c r="AM1898">
        <v>26338</v>
      </c>
    </row>
    <row r="1899" spans="1:39" x14ac:dyDescent="0.35">
      <c r="A1899" t="s">
        <v>19295</v>
      </c>
      <c r="B1899" t="str">
        <f>HYPERLINK("http://www.uniprot.org/uniprot/Q8NGL1","Q8NGL1")</f>
        <v>Q8NGL1</v>
      </c>
      <c r="C1899" t="s">
        <v>19296</v>
      </c>
      <c r="D1899" t="s">
        <v>19297</v>
      </c>
      <c r="E1899" t="s">
        <v>39</v>
      </c>
      <c r="F1899" t="s">
        <v>55</v>
      </c>
      <c r="H1899">
        <v>313</v>
      </c>
      <c r="I1899">
        <v>7</v>
      </c>
      <c r="J1899">
        <v>0</v>
      </c>
      <c r="K1899" t="s">
        <v>19298</v>
      </c>
      <c r="L1899" t="s">
        <v>57</v>
      </c>
      <c r="M1899" t="s">
        <v>39</v>
      </c>
      <c r="N1899">
        <v>0.99439999999999995</v>
      </c>
      <c r="O1899" s="1">
        <v>1</v>
      </c>
      <c r="P1899" t="s">
        <v>19299</v>
      </c>
      <c r="Q1899" t="s">
        <v>19300</v>
      </c>
      <c r="S1899" t="s">
        <v>166</v>
      </c>
      <c r="T1899" t="s">
        <v>167</v>
      </c>
      <c r="U1899" t="s">
        <v>19301</v>
      </c>
      <c r="V1899">
        <v>1</v>
      </c>
      <c r="AE1899" t="s">
        <v>74</v>
      </c>
      <c r="AF1899" t="s">
        <v>169</v>
      </c>
      <c r="AG1899" t="s">
        <v>19302</v>
      </c>
      <c r="AH1899" t="str">
        <f>HYPERLINK("http://compartments.jensenlab.org/Entity?figures=subcell_cell_%&amp;knowledge=10&amp;textmining=10&amp;experiments=10&amp;predictions=10&amp;type1=9606&amp;type2=-22&amp;id1=ENSP00000335025","link")</f>
        <v>link</v>
      </c>
      <c r="AI1899" t="s">
        <v>65</v>
      </c>
      <c r="AJ1899" t="s">
        <v>51</v>
      </c>
      <c r="AK1899" t="str">
        <f>HYPERLINK("http://www.proteinatlas.org/Q8NGL1","no")</f>
        <v>no</v>
      </c>
      <c r="AM1899">
        <v>219438</v>
      </c>
    </row>
    <row r="1900" spans="1:39" x14ac:dyDescent="0.35">
      <c r="A1900" t="s">
        <v>19303</v>
      </c>
      <c r="B1900" t="str">
        <f>HYPERLINK("http://www.uniprot.org/uniprot/Q8NGL2","Q8NGL2")</f>
        <v>Q8NGL2</v>
      </c>
      <c r="C1900" t="s">
        <v>19304</v>
      </c>
      <c r="D1900" t="s">
        <v>19305</v>
      </c>
      <c r="E1900" t="s">
        <v>39</v>
      </c>
      <c r="F1900" t="s">
        <v>55</v>
      </c>
      <c r="H1900">
        <v>311</v>
      </c>
      <c r="I1900">
        <v>7</v>
      </c>
      <c r="J1900">
        <v>0</v>
      </c>
      <c r="K1900" t="s">
        <v>19306</v>
      </c>
      <c r="L1900" t="s">
        <v>57</v>
      </c>
      <c r="N1900">
        <v>0.98599999999999999</v>
      </c>
      <c r="O1900" s="1">
        <v>1</v>
      </c>
      <c r="P1900" t="s">
        <v>19307</v>
      </c>
      <c r="Q1900" t="s">
        <v>19308</v>
      </c>
      <c r="S1900" t="s">
        <v>166</v>
      </c>
      <c r="T1900" t="s">
        <v>167</v>
      </c>
      <c r="U1900" t="s">
        <v>19293</v>
      </c>
      <c r="V1900">
        <v>2</v>
      </c>
      <c r="AE1900" t="s">
        <v>74</v>
      </c>
      <c r="AF1900" t="s">
        <v>169</v>
      </c>
      <c r="AG1900" t="s">
        <v>19309</v>
      </c>
      <c r="AH1900" t="str">
        <f>HYPERLINK("http://compartments.jensenlab.org/Entity?figures=subcell_cell_%&amp;knowledge=10&amp;textmining=10&amp;experiments=10&amp;predictions=10&amp;type1=9606&amp;type2=-22&amp;id1=ENSP00000335529","link")</f>
        <v>link</v>
      </c>
      <c r="AI1900" t="s">
        <v>65</v>
      </c>
      <c r="AJ1900" t="s">
        <v>51</v>
      </c>
      <c r="AK1900" t="str">
        <f>HYPERLINK("http://www.proteinatlas.org/Q8NGL2","HPA047524")</f>
        <v>HPA047524</v>
      </c>
      <c r="AM1900">
        <v>219437</v>
      </c>
    </row>
    <row r="1901" spans="1:39" x14ac:dyDescent="0.35">
      <c r="A1901" t="s">
        <v>19310</v>
      </c>
      <c r="B1901" t="str">
        <f>HYPERLINK("http://www.uniprot.org/uniprot/Q8NGL3","Q8NGL3")</f>
        <v>Q8NGL3</v>
      </c>
      <c r="C1901" t="s">
        <v>19311</v>
      </c>
      <c r="D1901" t="s">
        <v>19312</v>
      </c>
      <c r="E1901" t="s">
        <v>39</v>
      </c>
      <c r="F1901" t="s">
        <v>55</v>
      </c>
      <c r="H1901">
        <v>314</v>
      </c>
      <c r="I1901">
        <v>7</v>
      </c>
      <c r="J1901">
        <v>0</v>
      </c>
      <c r="K1901" t="s">
        <v>19313</v>
      </c>
      <c r="L1901" t="s">
        <v>57</v>
      </c>
      <c r="N1901">
        <v>0.93610000000000004</v>
      </c>
      <c r="O1901" s="1">
        <v>1</v>
      </c>
      <c r="P1901" t="s">
        <v>19314</v>
      </c>
      <c r="Q1901" t="s">
        <v>19315</v>
      </c>
      <c r="S1901" t="s">
        <v>166</v>
      </c>
      <c r="T1901" t="s">
        <v>167</v>
      </c>
      <c r="U1901" t="s">
        <v>19316</v>
      </c>
      <c r="V1901">
        <v>2</v>
      </c>
      <c r="AE1901" t="s">
        <v>74</v>
      </c>
      <c r="AF1901" t="s">
        <v>455</v>
      </c>
      <c r="AG1901" t="s">
        <v>19317</v>
      </c>
      <c r="AH1901" t="str">
        <f>HYPERLINK("http://compartments.jensenlab.org/Entity?figures=subcell_cell_%&amp;knowledge=10&amp;textmining=10&amp;experiments=10&amp;predictions=10&amp;type1=9606&amp;type2=-22&amp;id1=ENSP00000334456","link")</f>
        <v>link</v>
      </c>
      <c r="AI1901" t="s">
        <v>65</v>
      </c>
      <c r="AJ1901" t="s">
        <v>51</v>
      </c>
      <c r="AK1901" t="str">
        <f>HYPERLINK("http://www.proteinatlas.org/Q8NGL3","no")</f>
        <v>no</v>
      </c>
      <c r="AM1901">
        <v>219436</v>
      </c>
    </row>
    <row r="1902" spans="1:39" x14ac:dyDescent="0.35">
      <c r="A1902" t="s">
        <v>19318</v>
      </c>
      <c r="B1902" t="str">
        <f>HYPERLINK("http://www.uniprot.org/uniprot/Q8NGL4","Q8NGL4")</f>
        <v>Q8NGL4</v>
      </c>
      <c r="C1902" t="s">
        <v>19319</v>
      </c>
      <c r="D1902" t="s">
        <v>19320</v>
      </c>
      <c r="E1902" t="s">
        <v>39</v>
      </c>
      <c r="F1902" t="s">
        <v>55</v>
      </c>
      <c r="H1902">
        <v>314</v>
      </c>
      <c r="I1902">
        <v>7</v>
      </c>
      <c r="J1902">
        <v>0</v>
      </c>
      <c r="K1902" t="s">
        <v>19321</v>
      </c>
      <c r="L1902" t="s">
        <v>57</v>
      </c>
      <c r="N1902">
        <v>0.996</v>
      </c>
      <c r="O1902" s="1">
        <v>1</v>
      </c>
      <c r="P1902" t="s">
        <v>19322</v>
      </c>
      <c r="Q1902" t="s">
        <v>19323</v>
      </c>
      <c r="S1902" t="s">
        <v>166</v>
      </c>
      <c r="T1902" t="s">
        <v>167</v>
      </c>
      <c r="U1902">
        <v>7</v>
      </c>
      <c r="V1902">
        <v>1</v>
      </c>
      <c r="AE1902" t="s">
        <v>74</v>
      </c>
      <c r="AF1902" t="s">
        <v>455</v>
      </c>
      <c r="AG1902" t="s">
        <v>19324</v>
      </c>
      <c r="AH1902" t="str">
        <f>HYPERLINK("http://compartments.jensenlab.org/Entity?figures=subcell_cell_%&amp;knowledge=10&amp;textmining=10&amp;experiments=10&amp;predictions=10&amp;type1=9606&amp;type2=-22&amp;id1=ENSP00000354800","link")</f>
        <v>link</v>
      </c>
      <c r="AI1902" t="s">
        <v>65</v>
      </c>
      <c r="AJ1902" t="s">
        <v>51</v>
      </c>
      <c r="AK1902" t="str">
        <f>HYPERLINK("http://www.proteinatlas.org/Q8NGL4","no")</f>
        <v>no</v>
      </c>
      <c r="AM1902">
        <v>390142</v>
      </c>
    </row>
    <row r="1903" spans="1:39" x14ac:dyDescent="0.35">
      <c r="A1903" t="s">
        <v>19325</v>
      </c>
      <c r="B1903" t="str">
        <f>HYPERLINK("http://www.uniprot.org/uniprot/Q8NGL6","Q8NGL6")</f>
        <v>Q8NGL6</v>
      </c>
      <c r="C1903" t="s">
        <v>19326</v>
      </c>
      <c r="D1903" t="s">
        <v>19327</v>
      </c>
      <c r="E1903" t="s">
        <v>39</v>
      </c>
      <c r="F1903" t="s">
        <v>55</v>
      </c>
      <c r="H1903">
        <v>344</v>
      </c>
      <c r="I1903">
        <v>7</v>
      </c>
      <c r="J1903">
        <v>0</v>
      </c>
      <c r="K1903" t="s">
        <v>19328</v>
      </c>
      <c r="L1903" t="s">
        <v>57</v>
      </c>
      <c r="M1903" t="s">
        <v>39</v>
      </c>
      <c r="N1903">
        <v>0.95599999999999996</v>
      </c>
      <c r="O1903" s="1">
        <v>1</v>
      </c>
      <c r="P1903" t="s">
        <v>19329</v>
      </c>
      <c r="Q1903" t="s">
        <v>19330</v>
      </c>
      <c r="S1903" t="s">
        <v>166</v>
      </c>
      <c r="T1903" t="s">
        <v>167</v>
      </c>
      <c r="U1903" t="s">
        <v>19331</v>
      </c>
      <c r="V1903">
        <v>2</v>
      </c>
      <c r="AE1903" t="s">
        <v>74</v>
      </c>
      <c r="AF1903" t="s">
        <v>169</v>
      </c>
      <c r="AG1903" t="s">
        <v>19332</v>
      </c>
      <c r="AH1903" t="str">
        <f>HYPERLINK("http://compartments.jensenlab.org/Entity?figures=subcell_cell_%&amp;knowledge=10&amp;textmining=10&amp;experiments=10&amp;predictions=10&amp;type1=9606&amp;type2=-22&amp;id1=ENSP00000325065","link")</f>
        <v>link</v>
      </c>
      <c r="AI1903" t="s">
        <v>65</v>
      </c>
      <c r="AJ1903" t="s">
        <v>51</v>
      </c>
      <c r="AK1903" t="str">
        <f>HYPERLINK("http://www.proteinatlas.org/Q8NGL6","no")</f>
        <v>no</v>
      </c>
      <c r="AM1903">
        <v>81328</v>
      </c>
    </row>
    <row r="1904" spans="1:39" x14ac:dyDescent="0.35">
      <c r="A1904" t="s">
        <v>19333</v>
      </c>
      <c r="B1904" t="str">
        <f>HYPERLINK("http://www.uniprot.org/uniprot/Q8NGL7","Q8NGL7")</f>
        <v>Q8NGL7</v>
      </c>
      <c r="C1904" t="s">
        <v>19334</v>
      </c>
      <c r="D1904" t="s">
        <v>19335</v>
      </c>
      <c r="E1904" t="s">
        <v>39</v>
      </c>
      <c r="F1904" t="s">
        <v>55</v>
      </c>
      <c r="H1904">
        <v>312</v>
      </c>
      <c r="I1904">
        <v>7</v>
      </c>
      <c r="J1904">
        <v>0</v>
      </c>
      <c r="K1904" t="s">
        <v>19336</v>
      </c>
      <c r="L1904" t="s">
        <v>57</v>
      </c>
      <c r="N1904">
        <v>0.98799999999999999</v>
      </c>
      <c r="O1904" s="1">
        <v>1</v>
      </c>
      <c r="P1904" t="s">
        <v>19337</v>
      </c>
      <c r="Q1904" t="s">
        <v>19338</v>
      </c>
      <c r="S1904" t="s">
        <v>166</v>
      </c>
      <c r="T1904" t="s">
        <v>167</v>
      </c>
      <c r="U1904" t="s">
        <v>13597</v>
      </c>
      <c r="V1904">
        <v>2</v>
      </c>
      <c r="AE1904" t="s">
        <v>74</v>
      </c>
      <c r="AF1904" t="s">
        <v>549</v>
      </c>
      <c r="AG1904" t="s">
        <v>19339</v>
      </c>
      <c r="AH1904" t="str">
        <f>HYPERLINK("http://compartments.jensenlab.org/Entity?figures=subcell_cell_%&amp;knowledge=10&amp;textmining=10&amp;experiments=10&amp;predictions=10&amp;type1=9606&amp;type2=-22&amp;id1=ENSP00000324831","link")</f>
        <v>link</v>
      </c>
      <c r="AI1904" t="s">
        <v>65</v>
      </c>
      <c r="AJ1904" t="s">
        <v>51</v>
      </c>
      <c r="AK1904" t="str">
        <f>HYPERLINK("http://www.proteinatlas.org/Q8NGL7","HPA059458")</f>
        <v>HPA059458</v>
      </c>
      <c r="AM1904">
        <v>81300</v>
      </c>
    </row>
    <row r="1905" spans="1:39" x14ac:dyDescent="0.35">
      <c r="A1905" t="s">
        <v>19340</v>
      </c>
      <c r="B1905" t="str">
        <f>HYPERLINK("http://www.uniprot.org/uniprot/Q8NGL9","Q8NGL9")</f>
        <v>Q8NGL9</v>
      </c>
      <c r="C1905" t="s">
        <v>19341</v>
      </c>
      <c r="D1905" t="s">
        <v>19342</v>
      </c>
      <c r="E1905" t="s">
        <v>39</v>
      </c>
      <c r="F1905" t="s">
        <v>55</v>
      </c>
      <c r="H1905">
        <v>310</v>
      </c>
      <c r="I1905">
        <v>7</v>
      </c>
      <c r="J1905">
        <v>0</v>
      </c>
      <c r="K1905" t="s">
        <v>19343</v>
      </c>
      <c r="L1905" t="s">
        <v>57</v>
      </c>
      <c r="M1905" t="s">
        <v>39</v>
      </c>
      <c r="N1905">
        <v>0.95740000000000003</v>
      </c>
      <c r="O1905" s="1">
        <v>1</v>
      </c>
      <c r="P1905" t="s">
        <v>19344</v>
      </c>
      <c r="Q1905" t="s">
        <v>19345</v>
      </c>
      <c r="S1905" t="s">
        <v>166</v>
      </c>
      <c r="T1905" t="s">
        <v>167</v>
      </c>
      <c r="U1905" t="s">
        <v>18970</v>
      </c>
      <c r="V1905">
        <v>1</v>
      </c>
      <c r="AE1905" t="s">
        <v>74</v>
      </c>
      <c r="AF1905" t="s">
        <v>169</v>
      </c>
      <c r="AG1905" t="s">
        <v>19346</v>
      </c>
      <c r="AH1905" t="str">
        <f>HYPERLINK("http://compartments.jensenlab.org/Entity?figures=subcell_cell_%&amp;knowledge=10&amp;textmining=10&amp;experiments=10&amp;predictions=10&amp;type1=9606&amp;type2=-22&amp;id1=ENSP00000324913","link")</f>
        <v>link</v>
      </c>
      <c r="AI1905" t="s">
        <v>65</v>
      </c>
      <c r="AJ1905" t="s">
        <v>51</v>
      </c>
      <c r="AK1905" t="str">
        <f>HYPERLINK("http://www.proteinatlas.org/Q8NGL9","HPA059128")</f>
        <v>HPA059128</v>
      </c>
      <c r="AM1905">
        <v>219428</v>
      </c>
    </row>
    <row r="1906" spans="1:39" x14ac:dyDescent="0.35">
      <c r="A1906" t="s">
        <v>19347</v>
      </c>
      <c r="B1906" t="str">
        <f>HYPERLINK("http://www.uniprot.org/uniprot/Q8NGM1","Q8NGM1")</f>
        <v>Q8NGM1</v>
      </c>
      <c r="C1906" t="s">
        <v>19348</v>
      </c>
      <c r="D1906" t="s">
        <v>19349</v>
      </c>
      <c r="E1906" t="s">
        <v>39</v>
      </c>
      <c r="F1906" t="s">
        <v>55</v>
      </c>
      <c r="H1906">
        <v>316</v>
      </c>
      <c r="I1906">
        <v>7</v>
      </c>
      <c r="J1906">
        <v>0</v>
      </c>
      <c r="K1906" t="s">
        <v>19350</v>
      </c>
      <c r="L1906" t="s">
        <v>57</v>
      </c>
      <c r="M1906" t="s">
        <v>39</v>
      </c>
      <c r="N1906">
        <v>0.97699999999999998</v>
      </c>
      <c r="O1906" s="1">
        <v>1</v>
      </c>
      <c r="P1906" t="s">
        <v>19351</v>
      </c>
      <c r="Q1906" t="s">
        <v>19352</v>
      </c>
      <c r="S1906" t="s">
        <v>166</v>
      </c>
      <c r="T1906" t="s">
        <v>167</v>
      </c>
      <c r="U1906" t="s">
        <v>19353</v>
      </c>
      <c r="V1906">
        <v>1</v>
      </c>
      <c r="AE1906" t="s">
        <v>74</v>
      </c>
      <c r="AF1906" t="s">
        <v>549</v>
      </c>
      <c r="AG1906" t="s">
        <v>19354</v>
      </c>
      <c r="AH1906" t="str">
        <f>HYPERLINK("http://compartments.jensenlab.org/Entity?figures=subcell_cell_%&amp;knowledge=10&amp;textmining=10&amp;experiments=10&amp;predictions=10&amp;type1=9606&amp;type2=-22&amp;id1=ENSP00000324958","link")</f>
        <v>link</v>
      </c>
      <c r="AI1906" t="s">
        <v>65</v>
      </c>
      <c r="AJ1906" t="s">
        <v>51</v>
      </c>
      <c r="AK1906" t="str">
        <f>HYPERLINK("http://www.proteinatlas.org/Q8NGM1","HPA061939")</f>
        <v>HPA061939</v>
      </c>
      <c r="AM1906">
        <v>81309</v>
      </c>
    </row>
    <row r="1907" spans="1:39" x14ac:dyDescent="0.35">
      <c r="A1907" t="s">
        <v>19355</v>
      </c>
      <c r="B1907" t="str">
        <f>HYPERLINK("http://www.uniprot.org/uniprot/Q8NGM8","Q8NGM8")</f>
        <v>Q8NGM8</v>
      </c>
      <c r="C1907" t="s">
        <v>19356</v>
      </c>
      <c r="D1907" t="s">
        <v>19357</v>
      </c>
      <c r="E1907" t="s">
        <v>39</v>
      </c>
      <c r="F1907" t="s">
        <v>55</v>
      </c>
      <c r="H1907">
        <v>313</v>
      </c>
      <c r="I1907">
        <v>7</v>
      </c>
      <c r="J1907">
        <v>0</v>
      </c>
      <c r="K1907" t="s">
        <v>19358</v>
      </c>
      <c r="L1907" t="s">
        <v>57</v>
      </c>
      <c r="N1907">
        <v>0.97409999999999997</v>
      </c>
      <c r="O1907" s="1">
        <v>1</v>
      </c>
      <c r="P1907" t="s">
        <v>19359</v>
      </c>
      <c r="Q1907" t="s">
        <v>19360</v>
      </c>
      <c r="S1907" t="s">
        <v>166</v>
      </c>
      <c r="T1907" t="s">
        <v>167</v>
      </c>
      <c r="U1907" t="s">
        <v>19361</v>
      </c>
      <c r="V1907">
        <v>2</v>
      </c>
      <c r="AE1907" t="s">
        <v>74</v>
      </c>
      <c r="AF1907" t="s">
        <v>169</v>
      </c>
      <c r="AG1907" t="s">
        <v>19362</v>
      </c>
      <c r="AH1907" t="str">
        <f>HYPERLINK("http://compartments.jensenlab.org/Entity?figures=subcell_cell_%&amp;knowledge=10&amp;textmining=10&amp;experiments=10&amp;predictions=10&amp;type1=9606&amp;type2=-22&amp;id1=ENSP00000311038","link")</f>
        <v>link</v>
      </c>
      <c r="AI1907" t="s">
        <v>65</v>
      </c>
      <c r="AJ1907" t="s">
        <v>51</v>
      </c>
      <c r="AK1907" t="str">
        <f>HYPERLINK("http://www.proteinatlas.org/Q8NGM8","HPA048674")</f>
        <v>HPA048674</v>
      </c>
      <c r="AM1907">
        <v>390261</v>
      </c>
    </row>
    <row r="1908" spans="1:39" x14ac:dyDescent="0.35">
      <c r="A1908" t="s">
        <v>19363</v>
      </c>
      <c r="B1908" t="str">
        <f>HYPERLINK("http://www.uniprot.org/uniprot/Q8NGM9","Q8NGM9")</f>
        <v>Q8NGM9</v>
      </c>
      <c r="C1908" t="s">
        <v>19364</v>
      </c>
      <c r="D1908" t="s">
        <v>19365</v>
      </c>
      <c r="E1908" t="s">
        <v>39</v>
      </c>
      <c r="F1908" t="s">
        <v>55</v>
      </c>
      <c r="H1908">
        <v>314</v>
      </c>
      <c r="I1908">
        <v>7</v>
      </c>
      <c r="J1908">
        <v>0</v>
      </c>
      <c r="K1908" t="s">
        <v>19366</v>
      </c>
      <c r="L1908" t="s">
        <v>57</v>
      </c>
      <c r="N1908">
        <v>0.98199999999999998</v>
      </c>
      <c r="O1908" s="1">
        <v>1</v>
      </c>
      <c r="P1908" t="s">
        <v>19367</v>
      </c>
      <c r="Q1908" t="s">
        <v>19368</v>
      </c>
      <c r="S1908" t="s">
        <v>166</v>
      </c>
      <c r="T1908" t="s">
        <v>167</v>
      </c>
      <c r="U1908" t="s">
        <v>16503</v>
      </c>
      <c r="V1908">
        <v>1</v>
      </c>
      <c r="AE1908" t="s">
        <v>74</v>
      </c>
      <c r="AF1908" t="s">
        <v>169</v>
      </c>
      <c r="AG1908" t="s">
        <v>19369</v>
      </c>
      <c r="AH1908" t="str">
        <f>HYPERLINK("http://compartments.jensenlab.org/Entity?figures=subcell_cell_%&amp;knowledge=10&amp;textmining=10&amp;experiments=10&amp;predictions=10&amp;type1=9606&amp;type2=-22&amp;id1=ENSP00000325381","link")</f>
        <v>link</v>
      </c>
      <c r="AI1908" t="s">
        <v>65</v>
      </c>
      <c r="AJ1908" t="s">
        <v>51</v>
      </c>
      <c r="AK1908" t="str">
        <f>HYPERLINK("http://www.proteinatlas.org/Q8NGM9","no")</f>
        <v>no</v>
      </c>
      <c r="AM1908">
        <v>338662</v>
      </c>
    </row>
    <row r="1909" spans="1:39" x14ac:dyDescent="0.35">
      <c r="A1909" t="s">
        <v>19370</v>
      </c>
      <c r="B1909" t="str">
        <f>HYPERLINK("http://www.uniprot.org/uniprot/Q8NGN0","Q8NGN0")</f>
        <v>Q8NGN0</v>
      </c>
      <c r="C1909" t="s">
        <v>19371</v>
      </c>
      <c r="D1909" t="s">
        <v>19372</v>
      </c>
      <c r="E1909" t="s">
        <v>39</v>
      </c>
      <c r="F1909" t="s">
        <v>55</v>
      </c>
      <c r="H1909">
        <v>318</v>
      </c>
      <c r="I1909">
        <v>7</v>
      </c>
      <c r="J1909">
        <v>0</v>
      </c>
      <c r="K1909" t="s">
        <v>19373</v>
      </c>
      <c r="L1909" t="s">
        <v>57</v>
      </c>
      <c r="N1909">
        <v>0.96609999999999996</v>
      </c>
      <c r="O1909" s="1">
        <v>1</v>
      </c>
      <c r="P1909" t="s">
        <v>19374</v>
      </c>
      <c r="Q1909" t="s">
        <v>19375</v>
      </c>
      <c r="S1909" t="s">
        <v>166</v>
      </c>
      <c r="T1909" t="s">
        <v>167</v>
      </c>
      <c r="U1909" t="s">
        <v>19376</v>
      </c>
      <c r="V1909">
        <v>1</v>
      </c>
      <c r="AE1909" t="s">
        <v>74</v>
      </c>
      <c r="AF1909" t="s">
        <v>549</v>
      </c>
      <c r="AG1909" t="s">
        <v>19377</v>
      </c>
      <c r="AH1909" t="str">
        <f>HYPERLINK("http://compartments.jensenlab.org/Entity?figures=subcell_cell_%&amp;knowledge=10&amp;textmining=10&amp;experiments=10&amp;predictions=10&amp;type1=9606&amp;type2=-22&amp;id1=ENSP00000305970","link")</f>
        <v>link</v>
      </c>
      <c r="AI1909" t="s">
        <v>65</v>
      </c>
      <c r="AJ1909" t="s">
        <v>51</v>
      </c>
      <c r="AK1909" t="str">
        <f>HYPERLINK("http://www.proteinatlas.org/Q8NGN0","HPA045005")</f>
        <v>HPA045005</v>
      </c>
      <c r="AM1909">
        <v>219875</v>
      </c>
    </row>
    <row r="1910" spans="1:39" x14ac:dyDescent="0.35">
      <c r="A1910" t="s">
        <v>19378</v>
      </c>
      <c r="B1910" t="str">
        <f>HYPERLINK("http://www.uniprot.org/uniprot/Q8NGN1","Q8NGN1")</f>
        <v>Q8NGN1</v>
      </c>
      <c r="C1910" t="s">
        <v>19379</v>
      </c>
      <c r="D1910" t="s">
        <v>19380</v>
      </c>
      <c r="E1910" t="s">
        <v>39</v>
      </c>
      <c r="F1910" t="s">
        <v>55</v>
      </c>
      <c r="H1910">
        <v>323</v>
      </c>
      <c r="I1910">
        <v>7</v>
      </c>
      <c r="J1910">
        <v>0</v>
      </c>
      <c r="K1910" t="s">
        <v>19381</v>
      </c>
      <c r="L1910" t="s">
        <v>57</v>
      </c>
      <c r="M1910" t="s">
        <v>39</v>
      </c>
      <c r="N1910">
        <v>1</v>
      </c>
      <c r="O1910" s="1">
        <v>1</v>
      </c>
      <c r="P1910" t="s">
        <v>19382</v>
      </c>
      <c r="Q1910" t="s">
        <v>19383</v>
      </c>
      <c r="S1910" t="s">
        <v>166</v>
      </c>
      <c r="T1910" t="s">
        <v>167</v>
      </c>
      <c r="U1910" t="s">
        <v>1191</v>
      </c>
      <c r="V1910">
        <v>1</v>
      </c>
      <c r="AE1910" t="s">
        <v>74</v>
      </c>
      <c r="AF1910" t="s">
        <v>169</v>
      </c>
      <c r="AG1910" t="s">
        <v>19384</v>
      </c>
      <c r="AH1910" t="str">
        <f>HYPERLINK("http://compartments.jensenlab.org/Entity?figures=subcell_cell_%&amp;knowledge=10&amp;textmining=10&amp;experiments=10&amp;predictions=10&amp;type1=9606&amp;type2=-22&amp;id1=ENSP00000325203","link")</f>
        <v>link</v>
      </c>
      <c r="AI1910" t="s">
        <v>65</v>
      </c>
      <c r="AJ1910" t="s">
        <v>51</v>
      </c>
      <c r="AK1910" t="str">
        <f>HYPERLINK("http://www.proteinatlas.org/Q8NGN1","HPA060893")</f>
        <v>HPA060893</v>
      </c>
      <c r="AM1910">
        <v>219874</v>
      </c>
    </row>
    <row r="1911" spans="1:39" x14ac:dyDescent="0.35">
      <c r="A1911" t="s">
        <v>19385</v>
      </c>
      <c r="B1911" t="str">
        <f>HYPERLINK("http://www.uniprot.org/uniprot/Q8NGN2","Q8NGN2")</f>
        <v>Q8NGN2</v>
      </c>
      <c r="C1911" t="s">
        <v>19386</v>
      </c>
      <c r="D1911" t="s">
        <v>19387</v>
      </c>
      <c r="E1911" t="s">
        <v>39</v>
      </c>
      <c r="F1911" t="s">
        <v>40</v>
      </c>
      <c r="H1911">
        <v>331</v>
      </c>
      <c r="I1911">
        <v>7</v>
      </c>
      <c r="J1911">
        <v>0</v>
      </c>
      <c r="K1911" t="s">
        <v>19388</v>
      </c>
      <c r="L1911" t="s">
        <v>57</v>
      </c>
      <c r="N1911">
        <v>0.85829999999999995</v>
      </c>
      <c r="O1911" s="1">
        <v>1</v>
      </c>
      <c r="P1911" t="s">
        <v>19389</v>
      </c>
      <c r="Q1911" t="s">
        <v>19390</v>
      </c>
      <c r="S1911" t="s">
        <v>166</v>
      </c>
      <c r="T1911" t="s">
        <v>167</v>
      </c>
      <c r="U1911">
        <v>18</v>
      </c>
      <c r="V1911">
        <v>1</v>
      </c>
      <c r="AE1911" t="s">
        <v>74</v>
      </c>
      <c r="AF1911" t="s">
        <v>169</v>
      </c>
      <c r="AG1911" t="s">
        <v>19391</v>
      </c>
      <c r="AH1911" t="str">
        <f>HYPERLINK("http://compartments.jensenlab.org/Entity?figures=subcell_cell_%&amp;knowledge=10&amp;textmining=10&amp;experiments=10&amp;predictions=10&amp;type1=9606&amp;type2=-22&amp;id1=ENSP00000431914","link")</f>
        <v>link</v>
      </c>
      <c r="AK1911" t="str">
        <f>HYPERLINK("http://www.proteinatlas.org/Q8NGN2","HPA019038")</f>
        <v>HPA019038</v>
      </c>
      <c r="AM1911">
        <v>219873</v>
      </c>
    </row>
    <row r="1912" spans="1:39" x14ac:dyDescent="0.35">
      <c r="A1912" t="s">
        <v>19392</v>
      </c>
      <c r="B1912" t="str">
        <f>HYPERLINK("http://www.uniprot.org/uniprot/Q8NGN3","Q8NGN3")</f>
        <v>Q8NGN3</v>
      </c>
      <c r="C1912" t="s">
        <v>19393</v>
      </c>
      <c r="D1912" t="s">
        <v>19394</v>
      </c>
      <c r="E1912" t="s">
        <v>39</v>
      </c>
      <c r="F1912" t="s">
        <v>55</v>
      </c>
      <c r="H1912">
        <v>311</v>
      </c>
      <c r="I1912">
        <v>7</v>
      </c>
      <c r="J1912">
        <v>0</v>
      </c>
      <c r="K1912" t="s">
        <v>19395</v>
      </c>
      <c r="L1912" t="s">
        <v>57</v>
      </c>
      <c r="M1912" t="s">
        <v>39</v>
      </c>
      <c r="N1912">
        <v>0.97019999999999995</v>
      </c>
      <c r="O1912" s="1">
        <v>1</v>
      </c>
      <c r="P1912" t="s">
        <v>19396</v>
      </c>
      <c r="Q1912" t="s">
        <v>19397</v>
      </c>
      <c r="S1912" t="s">
        <v>166</v>
      </c>
      <c r="T1912" t="s">
        <v>167</v>
      </c>
      <c r="U1912" t="s">
        <v>252</v>
      </c>
      <c r="V1912">
        <v>1</v>
      </c>
      <c r="AE1912" t="s">
        <v>74</v>
      </c>
      <c r="AF1912" t="s">
        <v>169</v>
      </c>
      <c r="AG1912" t="s">
        <v>19398</v>
      </c>
      <c r="AH1912" t="str">
        <f>HYPERLINK("http://compartments.jensenlab.org/Entity?figures=subcell_cell_%&amp;knowledge=10&amp;textmining=10&amp;experiments=10&amp;predictions=10&amp;type1=9606&amp;type2=-22&amp;id1=ENSP00000325076","link")</f>
        <v>link</v>
      </c>
      <c r="AI1912" t="s">
        <v>65</v>
      </c>
      <c r="AJ1912" t="s">
        <v>51</v>
      </c>
      <c r="AK1912" t="str">
        <f>HYPERLINK("http://www.proteinatlas.org/Q8NGN3","no")</f>
        <v>no</v>
      </c>
      <c r="AM1912">
        <v>390264</v>
      </c>
    </row>
    <row r="1913" spans="1:39" x14ac:dyDescent="0.35">
      <c r="A1913" t="s">
        <v>19399</v>
      </c>
      <c r="B1913" t="str">
        <f>HYPERLINK("http://www.uniprot.org/uniprot/Q8NGN4","Q8NGN4")</f>
        <v>Q8NGN4</v>
      </c>
      <c r="C1913" t="s">
        <v>19400</v>
      </c>
      <c r="D1913" t="s">
        <v>19401</v>
      </c>
      <c r="E1913" t="s">
        <v>39</v>
      </c>
      <c r="F1913" t="s">
        <v>55</v>
      </c>
      <c r="H1913">
        <v>311</v>
      </c>
      <c r="I1913">
        <v>7</v>
      </c>
      <c r="J1913">
        <v>0</v>
      </c>
      <c r="K1913" t="s">
        <v>19402</v>
      </c>
      <c r="L1913" t="s">
        <v>57</v>
      </c>
      <c r="N1913">
        <v>0.82830000000000004</v>
      </c>
      <c r="O1913" s="1">
        <v>1</v>
      </c>
      <c r="P1913" t="s">
        <v>19403</v>
      </c>
      <c r="Q1913" t="s">
        <v>19404</v>
      </c>
      <c r="S1913" t="s">
        <v>166</v>
      </c>
      <c r="T1913" t="s">
        <v>167</v>
      </c>
      <c r="U1913">
        <v>63</v>
      </c>
      <c r="V1913">
        <v>0</v>
      </c>
      <c r="AE1913" t="s">
        <v>74</v>
      </c>
      <c r="AF1913" t="s">
        <v>368</v>
      </c>
      <c r="AG1913" t="s">
        <v>19405</v>
      </c>
      <c r="AH1913" t="str">
        <f>HYPERLINK("http://compartments.jensenlab.org/Entity?figures=subcell_cell_%&amp;knowledge=10&amp;textmining=10&amp;experiments=10&amp;predictions=10&amp;type1=9606&amp;type2=-22&amp;id1=ENSP00000364164","link")</f>
        <v>link</v>
      </c>
      <c r="AI1913" t="s">
        <v>65</v>
      </c>
      <c r="AJ1913" t="s">
        <v>51</v>
      </c>
      <c r="AK1913" t="str">
        <f>HYPERLINK("http://www.proteinatlas.org/Q8NGN4","no")</f>
        <v>no</v>
      </c>
      <c r="AM1913">
        <v>219870</v>
      </c>
    </row>
    <row r="1914" spans="1:39" x14ac:dyDescent="0.35">
      <c r="A1914" t="s">
        <v>19406</v>
      </c>
      <c r="B1914" t="str">
        <f>HYPERLINK("http://www.uniprot.org/uniprot/Q8NGN5","Q8NGN5")</f>
        <v>Q8NGN5</v>
      </c>
      <c r="C1914" t="s">
        <v>19407</v>
      </c>
      <c r="D1914" t="s">
        <v>19408</v>
      </c>
      <c r="E1914" t="s">
        <v>39</v>
      </c>
      <c r="F1914" t="s">
        <v>40</v>
      </c>
      <c r="H1914">
        <v>311</v>
      </c>
      <c r="I1914">
        <v>7</v>
      </c>
      <c r="J1914">
        <v>0</v>
      </c>
      <c r="K1914" t="s">
        <v>19409</v>
      </c>
      <c r="L1914" t="s">
        <v>57</v>
      </c>
      <c r="N1914">
        <v>0.99399999999999999</v>
      </c>
      <c r="O1914" s="1">
        <v>1</v>
      </c>
      <c r="P1914" t="s">
        <v>19410</v>
      </c>
      <c r="Q1914" t="s">
        <v>19411</v>
      </c>
      <c r="S1914" t="s">
        <v>166</v>
      </c>
      <c r="T1914" t="s">
        <v>167</v>
      </c>
      <c r="U1914" t="s">
        <v>252</v>
      </c>
      <c r="V1914">
        <v>1</v>
      </c>
      <c r="AE1914" t="s">
        <v>74</v>
      </c>
      <c r="AF1914" t="s">
        <v>549</v>
      </c>
      <c r="AG1914" t="s">
        <v>19412</v>
      </c>
      <c r="AH1914" t="str">
        <f>HYPERLINK("http://compartments.jensenlab.org/Entity?figures=subcell_cell_%&amp;knowledge=10&amp;textmining=10&amp;experiments=10&amp;predictions=10&amp;type1=9606&amp;type2=-22&amp;id1=ENSP00000389072","link")</f>
        <v>link</v>
      </c>
      <c r="AK1914" t="str">
        <f>HYPERLINK("http://www.proteinatlas.org/Q8NGN5","no")</f>
        <v>no</v>
      </c>
      <c r="AM1914">
        <v>219869</v>
      </c>
    </row>
    <row r="1915" spans="1:39" x14ac:dyDescent="0.35">
      <c r="A1915" t="s">
        <v>19413</v>
      </c>
      <c r="B1915" t="str">
        <f>HYPERLINK("http://www.uniprot.org/uniprot/Q8NGN6","Q8NGN6")</f>
        <v>Q8NGN6</v>
      </c>
      <c r="C1915" t="s">
        <v>19414</v>
      </c>
      <c r="D1915" t="s">
        <v>19415</v>
      </c>
      <c r="E1915" t="s">
        <v>39</v>
      </c>
      <c r="F1915" t="s">
        <v>55</v>
      </c>
      <c r="H1915">
        <v>311</v>
      </c>
      <c r="I1915">
        <v>7</v>
      </c>
      <c r="J1915">
        <v>0</v>
      </c>
      <c r="K1915" t="s">
        <v>19416</v>
      </c>
      <c r="L1915" t="s">
        <v>57</v>
      </c>
      <c r="N1915">
        <v>0.996</v>
      </c>
      <c r="O1915" s="1">
        <v>1</v>
      </c>
      <c r="P1915" t="s">
        <v>19417</v>
      </c>
      <c r="Q1915" t="s">
        <v>19418</v>
      </c>
      <c r="S1915" t="s">
        <v>166</v>
      </c>
      <c r="T1915" t="s">
        <v>167</v>
      </c>
      <c r="U1915" t="s">
        <v>19419</v>
      </c>
      <c r="V1915">
        <v>1</v>
      </c>
      <c r="AE1915" t="s">
        <v>74</v>
      </c>
      <c r="AF1915" t="s">
        <v>169</v>
      </c>
      <c r="AG1915" t="s">
        <v>19420</v>
      </c>
      <c r="AH1915" t="str">
        <f>HYPERLINK("http://compartments.jensenlab.org/Entity?figures=subcell_cell_%&amp;knowledge=10&amp;textmining=10&amp;experiments=10&amp;predictions=10&amp;type1=9606&amp;type2=-22&amp;id1=ENSP00000329689","link")</f>
        <v>link</v>
      </c>
      <c r="AI1915" t="s">
        <v>65</v>
      </c>
      <c r="AJ1915" t="s">
        <v>51</v>
      </c>
      <c r="AK1915" t="str">
        <f>HYPERLINK("http://www.proteinatlas.org/Q8NGN6","no")</f>
        <v>no</v>
      </c>
      <c r="AM1915">
        <v>390265</v>
      </c>
    </row>
    <row r="1916" spans="1:39" x14ac:dyDescent="0.35">
      <c r="A1916" t="s">
        <v>19421</v>
      </c>
      <c r="B1916" t="str">
        <f>HYPERLINK("http://www.uniprot.org/uniprot/Q8NGN7","Q8NGN7")</f>
        <v>Q8NGN7</v>
      </c>
      <c r="C1916" t="s">
        <v>19422</v>
      </c>
      <c r="D1916" t="s">
        <v>19423</v>
      </c>
      <c r="E1916" t="s">
        <v>39</v>
      </c>
      <c r="F1916" t="s">
        <v>40</v>
      </c>
      <c r="H1916">
        <v>298</v>
      </c>
      <c r="I1916">
        <v>7</v>
      </c>
      <c r="J1916">
        <v>0</v>
      </c>
      <c r="K1916" t="s">
        <v>19424</v>
      </c>
      <c r="L1916" t="s">
        <v>57</v>
      </c>
      <c r="N1916">
        <v>0.96609999999999996</v>
      </c>
      <c r="O1916" s="1">
        <v>1</v>
      </c>
      <c r="S1916" t="s">
        <v>166</v>
      </c>
      <c r="T1916" t="s">
        <v>2880</v>
      </c>
      <c r="U1916" t="s">
        <v>252</v>
      </c>
      <c r="V1916">
        <v>1</v>
      </c>
      <c r="AE1916" t="s">
        <v>74</v>
      </c>
      <c r="AF1916" t="s">
        <v>549</v>
      </c>
      <c r="AG1916" t="s">
        <v>19425</v>
      </c>
      <c r="AK1916" t="str">
        <f>HYPERLINK("http://www.proteinatlas.org/Q8NGN7","no")</f>
        <v>no</v>
      </c>
    </row>
    <row r="1917" spans="1:39" x14ac:dyDescent="0.35">
      <c r="A1917" t="s">
        <v>19426</v>
      </c>
      <c r="B1917" t="str">
        <f>HYPERLINK("http://www.uniprot.org/uniprot/Q8NGN8","Q8NGN8")</f>
        <v>Q8NGN8</v>
      </c>
      <c r="C1917" t="s">
        <v>19427</v>
      </c>
      <c r="D1917" t="s">
        <v>19428</v>
      </c>
      <c r="E1917" t="s">
        <v>39</v>
      </c>
      <c r="F1917" t="s">
        <v>40</v>
      </c>
      <c r="H1917">
        <v>299</v>
      </c>
      <c r="I1917">
        <v>7</v>
      </c>
      <c r="J1917">
        <v>0</v>
      </c>
      <c r="K1917" t="s">
        <v>19429</v>
      </c>
      <c r="L1917" t="s">
        <v>57</v>
      </c>
      <c r="N1917">
        <v>0.98399999999999999</v>
      </c>
      <c r="O1917" s="1">
        <v>1</v>
      </c>
      <c r="S1917" t="s">
        <v>166</v>
      </c>
      <c r="T1917" t="s">
        <v>2880</v>
      </c>
      <c r="U1917" t="s">
        <v>19430</v>
      </c>
      <c r="V1917">
        <v>2</v>
      </c>
      <c r="AE1917" t="s">
        <v>74</v>
      </c>
      <c r="AF1917" t="s">
        <v>3091</v>
      </c>
      <c r="AG1917" t="s">
        <v>19431</v>
      </c>
      <c r="AK1917" t="str">
        <f>HYPERLINK("http://www.proteinatlas.org/Q8NGN8","no")</f>
        <v>no</v>
      </c>
    </row>
    <row r="1918" spans="1:39" x14ac:dyDescent="0.35">
      <c r="A1918" t="s">
        <v>19432</v>
      </c>
      <c r="B1918" t="str">
        <f>HYPERLINK("http://www.uniprot.org/uniprot/Q8NGP0","Q8NGP0")</f>
        <v>Q8NGP0</v>
      </c>
      <c r="C1918" t="s">
        <v>19433</v>
      </c>
      <c r="D1918" t="s">
        <v>19434</v>
      </c>
      <c r="E1918" t="s">
        <v>39</v>
      </c>
      <c r="F1918" t="s">
        <v>40</v>
      </c>
      <c r="H1918">
        <v>309</v>
      </c>
      <c r="I1918">
        <v>7</v>
      </c>
      <c r="J1918">
        <v>0</v>
      </c>
      <c r="K1918" t="s">
        <v>19435</v>
      </c>
      <c r="L1918" t="s">
        <v>57</v>
      </c>
      <c r="N1918">
        <v>0.93210000000000004</v>
      </c>
      <c r="O1918" s="1">
        <v>1</v>
      </c>
      <c r="P1918" t="s">
        <v>19436</v>
      </c>
      <c r="Q1918" t="s">
        <v>19437</v>
      </c>
      <c r="S1918" t="s">
        <v>166</v>
      </c>
      <c r="T1918" t="s">
        <v>167</v>
      </c>
      <c r="U1918" t="s">
        <v>19430</v>
      </c>
      <c r="V1918">
        <v>2</v>
      </c>
      <c r="AE1918" t="s">
        <v>74</v>
      </c>
      <c r="AF1918" t="s">
        <v>169</v>
      </c>
      <c r="AG1918" t="s">
        <v>19438</v>
      </c>
      <c r="AH1918" t="str">
        <f>HYPERLINK("http://compartments.jensenlab.org/Entity?figures=subcell_cell_%&amp;knowledge=10&amp;textmining=10&amp;experiments=10&amp;predictions=10&amp;type1=9606&amp;type2=-22&amp;id1=ENSP00000452277","link")</f>
        <v>link</v>
      </c>
      <c r="AK1918" t="str">
        <f>HYPERLINK("http://www.proteinatlas.org/Q8NGP0","no")</f>
        <v>no</v>
      </c>
      <c r="AM1918">
        <v>283092</v>
      </c>
    </row>
    <row r="1919" spans="1:39" x14ac:dyDescent="0.35">
      <c r="A1919" t="s">
        <v>19439</v>
      </c>
      <c r="B1919" t="str">
        <f>HYPERLINK("http://www.uniprot.org/uniprot/Q8NGP2","Q8NGP2")</f>
        <v>Q8NGP2</v>
      </c>
      <c r="C1919" t="s">
        <v>19440</v>
      </c>
      <c r="D1919" t="s">
        <v>19441</v>
      </c>
      <c r="E1919" t="s">
        <v>39</v>
      </c>
      <c r="F1919" t="s">
        <v>55</v>
      </c>
      <c r="H1919">
        <v>316</v>
      </c>
      <c r="I1919">
        <v>7</v>
      </c>
      <c r="J1919">
        <v>0</v>
      </c>
      <c r="K1919" t="s">
        <v>19442</v>
      </c>
      <c r="L1919" t="s">
        <v>57</v>
      </c>
      <c r="N1919">
        <v>0.98399999999999999</v>
      </c>
      <c r="O1919" s="1">
        <v>1</v>
      </c>
      <c r="P1919" t="s">
        <v>19443</v>
      </c>
      <c r="Q1919" t="s">
        <v>19444</v>
      </c>
      <c r="S1919" t="s">
        <v>166</v>
      </c>
      <c r="T1919" t="s">
        <v>167</v>
      </c>
      <c r="U1919" t="s">
        <v>18985</v>
      </c>
      <c r="V1919">
        <v>2</v>
      </c>
      <c r="AE1919" t="s">
        <v>74</v>
      </c>
      <c r="AF1919" t="s">
        <v>169</v>
      </c>
      <c r="AG1919" t="s">
        <v>19445</v>
      </c>
      <c r="AH1919" t="str">
        <f>HYPERLINK("http://compartments.jensenlab.org/Entity?figures=subcell_cell_%&amp;knowledge=10&amp;textmining=10&amp;experiments=10&amp;predictions=10&amp;type1=9606&amp;type2=-22&amp;id1=ENSP00000304060","link")</f>
        <v>link</v>
      </c>
      <c r="AI1919" t="s">
        <v>65</v>
      </c>
      <c r="AJ1919" t="s">
        <v>51</v>
      </c>
      <c r="AK1919" t="str">
        <f>HYPERLINK("http://www.proteinatlas.org/Q8NGP2","no")</f>
        <v>no</v>
      </c>
      <c r="AM1919">
        <v>219477</v>
      </c>
    </row>
    <row r="1920" spans="1:39" x14ac:dyDescent="0.35">
      <c r="A1920" t="s">
        <v>19446</v>
      </c>
      <c r="B1920" t="str">
        <f>HYPERLINK("http://www.uniprot.org/uniprot/Q8NGP3","Q8NGP3")</f>
        <v>Q8NGP3</v>
      </c>
      <c r="C1920" t="s">
        <v>19447</v>
      </c>
      <c r="D1920" t="s">
        <v>19448</v>
      </c>
      <c r="E1920" t="s">
        <v>39</v>
      </c>
      <c r="F1920" t="s">
        <v>55</v>
      </c>
      <c r="H1920">
        <v>310</v>
      </c>
      <c r="I1920">
        <v>7</v>
      </c>
      <c r="J1920">
        <v>0</v>
      </c>
      <c r="K1920" t="s">
        <v>19449</v>
      </c>
      <c r="L1920" t="s">
        <v>57</v>
      </c>
      <c r="M1920" t="s">
        <v>39</v>
      </c>
      <c r="N1920">
        <v>0.96699999999999997</v>
      </c>
      <c r="O1920" s="1">
        <v>1</v>
      </c>
      <c r="P1920" t="s">
        <v>19450</v>
      </c>
      <c r="Q1920" t="s">
        <v>19451</v>
      </c>
      <c r="S1920" t="s">
        <v>166</v>
      </c>
      <c r="T1920" t="s">
        <v>167</v>
      </c>
      <c r="U1920" t="s">
        <v>19452</v>
      </c>
      <c r="V1920">
        <v>1</v>
      </c>
      <c r="AE1920" t="s">
        <v>74</v>
      </c>
      <c r="AF1920" t="s">
        <v>169</v>
      </c>
      <c r="AG1920" t="s">
        <v>19453</v>
      </c>
      <c r="AH1920" t="str">
        <f>HYPERLINK("http://compartments.jensenlab.org/Entity?figures=subcell_cell_%&amp;knowledge=10&amp;textmining=10&amp;experiments=10&amp;predictions=10&amp;type1=9606&amp;type2=-22&amp;id1=ENSP00000279791","link")</f>
        <v>link</v>
      </c>
      <c r="AI1920" t="s">
        <v>65</v>
      </c>
      <c r="AJ1920" t="s">
        <v>51</v>
      </c>
      <c r="AK1920" t="str">
        <f>HYPERLINK("http://www.proteinatlas.org/Q8NGP3","no")</f>
        <v>no</v>
      </c>
      <c r="AM1920">
        <v>390162</v>
      </c>
    </row>
    <row r="1921" spans="1:39" x14ac:dyDescent="0.35">
      <c r="A1921" t="s">
        <v>19454</v>
      </c>
      <c r="B1921" t="str">
        <f>HYPERLINK("http://www.uniprot.org/uniprot/Q8NGP4","Q8NGP4")</f>
        <v>Q8NGP4</v>
      </c>
      <c r="C1921" t="s">
        <v>19455</v>
      </c>
      <c r="D1921" t="s">
        <v>19456</v>
      </c>
      <c r="E1921" t="s">
        <v>39</v>
      </c>
      <c r="F1921" t="s">
        <v>55</v>
      </c>
      <c r="H1921">
        <v>307</v>
      </c>
      <c r="I1921">
        <v>7</v>
      </c>
      <c r="J1921">
        <v>0</v>
      </c>
      <c r="K1921" t="s">
        <v>19457</v>
      </c>
      <c r="L1921" t="s">
        <v>57</v>
      </c>
      <c r="M1921" t="s">
        <v>39</v>
      </c>
      <c r="N1921">
        <v>0.96789999999999998</v>
      </c>
      <c r="O1921" s="1">
        <v>1</v>
      </c>
      <c r="P1921" t="s">
        <v>19458</v>
      </c>
      <c r="Q1921" t="s">
        <v>19459</v>
      </c>
      <c r="S1921" t="s">
        <v>166</v>
      </c>
      <c r="T1921" t="s">
        <v>167</v>
      </c>
      <c r="U1921" t="s">
        <v>19452</v>
      </c>
      <c r="V1921">
        <v>1</v>
      </c>
      <c r="AE1921" t="s">
        <v>74</v>
      </c>
      <c r="AF1921" t="s">
        <v>169</v>
      </c>
      <c r="AG1921" t="s">
        <v>19460</v>
      </c>
      <c r="AH1921" t="str">
        <f>HYPERLINK("http://compartments.jensenlab.org/Entity?figures=subcell_cell_%&amp;knowledge=10&amp;textmining=10&amp;experiments=10&amp;predictions=10&amp;type1=9606&amp;type2=-22&amp;id1=ENSP00000312208","link")</f>
        <v>link</v>
      </c>
      <c r="AI1921" t="s">
        <v>65</v>
      </c>
      <c r="AJ1921" t="s">
        <v>51</v>
      </c>
      <c r="AK1921" t="str">
        <f>HYPERLINK("http://www.proteinatlas.org/Q8NGP4","no")</f>
        <v>no</v>
      </c>
      <c r="AM1921">
        <v>219482</v>
      </c>
    </row>
    <row r="1922" spans="1:39" x14ac:dyDescent="0.35">
      <c r="A1922" t="s">
        <v>19461</v>
      </c>
      <c r="B1922" t="str">
        <f>HYPERLINK("http://www.uniprot.org/uniprot/Q8NGP6","Q8NGP6")</f>
        <v>Q8NGP6</v>
      </c>
      <c r="C1922" t="s">
        <v>19462</v>
      </c>
      <c r="D1922" t="s">
        <v>19463</v>
      </c>
      <c r="E1922" t="s">
        <v>39</v>
      </c>
      <c r="F1922" t="s">
        <v>55</v>
      </c>
      <c r="H1922">
        <v>311</v>
      </c>
      <c r="I1922">
        <v>7</v>
      </c>
      <c r="J1922">
        <v>0</v>
      </c>
      <c r="K1922" t="s">
        <v>19464</v>
      </c>
      <c r="L1922" t="s">
        <v>57</v>
      </c>
      <c r="N1922">
        <v>0.78239999999999998</v>
      </c>
      <c r="O1922" s="1">
        <v>1</v>
      </c>
      <c r="P1922" t="s">
        <v>19465</v>
      </c>
      <c r="Q1922" t="s">
        <v>19466</v>
      </c>
      <c r="S1922" t="s">
        <v>166</v>
      </c>
      <c r="T1922" t="s">
        <v>167</v>
      </c>
      <c r="U1922" t="s">
        <v>19467</v>
      </c>
      <c r="V1922">
        <v>1</v>
      </c>
      <c r="AE1922" t="s">
        <v>74</v>
      </c>
      <c r="AF1922" t="s">
        <v>549</v>
      </c>
      <c r="AG1922" t="s">
        <v>19468</v>
      </c>
      <c r="AH1922" t="str">
        <f>HYPERLINK("http://compartments.jensenlab.org/Entity?figures=subcell_cell_%&amp;knowledge=10&amp;textmining=10&amp;experiments=10&amp;predictions=10&amp;type1=9606&amp;type2=-22&amp;id1=ENSP00000323354","link")</f>
        <v>link</v>
      </c>
      <c r="AI1922" t="s">
        <v>65</v>
      </c>
      <c r="AJ1922" t="s">
        <v>51</v>
      </c>
      <c r="AK1922" t="str">
        <f>HYPERLINK("http://www.proteinatlas.org/Q8NGP6","no")</f>
        <v>no</v>
      </c>
      <c r="AM1922">
        <v>219484</v>
      </c>
    </row>
    <row r="1923" spans="1:39" x14ac:dyDescent="0.35">
      <c r="A1923" t="s">
        <v>19469</v>
      </c>
      <c r="B1923" t="str">
        <f>HYPERLINK("http://www.uniprot.org/uniprot/Q8NGP8","Q8NGP8")</f>
        <v>Q8NGP8</v>
      </c>
      <c r="C1923" t="s">
        <v>19470</v>
      </c>
      <c r="D1923" t="s">
        <v>19471</v>
      </c>
      <c r="E1923" t="s">
        <v>39</v>
      </c>
      <c r="F1923" t="s">
        <v>40</v>
      </c>
      <c r="H1923">
        <v>315</v>
      </c>
      <c r="I1923">
        <v>7</v>
      </c>
      <c r="J1923">
        <v>0</v>
      </c>
      <c r="K1923" t="s">
        <v>15183</v>
      </c>
      <c r="L1923" t="s">
        <v>57</v>
      </c>
      <c r="N1923">
        <v>0.89419999999999999</v>
      </c>
      <c r="O1923" s="1">
        <v>1</v>
      </c>
      <c r="P1923" t="s">
        <v>19472</v>
      </c>
      <c r="Q1923" t="s">
        <v>19473</v>
      </c>
      <c r="S1923" t="s">
        <v>166</v>
      </c>
      <c r="T1923" t="s">
        <v>167</v>
      </c>
      <c r="U1923" t="s">
        <v>19474</v>
      </c>
      <c r="V1923">
        <v>1</v>
      </c>
      <c r="AE1923" t="s">
        <v>74</v>
      </c>
      <c r="AF1923" t="s">
        <v>169</v>
      </c>
      <c r="AG1923" t="s">
        <v>19475</v>
      </c>
      <c r="AH1923" t="str">
        <f>HYPERLINK("http://compartments.jensenlab.org/Entity?figures=subcell_cell_%&amp;knowledge=10&amp;textmining=10&amp;experiments=10&amp;predictions=10&amp;type1=9606&amp;type2=-22&amp;id1=ENSP00000435416","link")</f>
        <v>link</v>
      </c>
      <c r="AK1923" t="str">
        <f>HYPERLINK("http://www.proteinatlas.org/Q8NGP8","no")</f>
        <v>no</v>
      </c>
      <c r="AM1923">
        <v>390168</v>
      </c>
    </row>
    <row r="1924" spans="1:39" x14ac:dyDescent="0.35">
      <c r="A1924" t="s">
        <v>19476</v>
      </c>
      <c r="B1924" t="str">
        <f>HYPERLINK("http://www.uniprot.org/uniprot/Q8NGP9","Q8NGP9")</f>
        <v>Q8NGP9</v>
      </c>
      <c r="C1924" t="s">
        <v>19477</v>
      </c>
      <c r="D1924" t="s">
        <v>19478</v>
      </c>
      <c r="E1924" t="s">
        <v>39</v>
      </c>
      <c r="F1924" t="s">
        <v>55</v>
      </c>
      <c r="H1924">
        <v>310</v>
      </c>
      <c r="I1924">
        <v>7</v>
      </c>
      <c r="J1924">
        <v>0</v>
      </c>
      <c r="K1924" t="s">
        <v>19479</v>
      </c>
      <c r="L1924" t="s">
        <v>57</v>
      </c>
      <c r="M1924" t="s">
        <v>39</v>
      </c>
      <c r="N1924">
        <v>0.99470000000000003</v>
      </c>
      <c r="O1924" s="1">
        <v>1</v>
      </c>
      <c r="P1924" t="s">
        <v>19480</v>
      </c>
      <c r="Q1924" t="s">
        <v>19481</v>
      </c>
      <c r="S1924" t="s">
        <v>166</v>
      </c>
      <c r="T1924" t="s">
        <v>167</v>
      </c>
      <c r="U1924" t="s">
        <v>1191</v>
      </c>
      <c r="V1924">
        <v>1</v>
      </c>
      <c r="AE1924" t="s">
        <v>74</v>
      </c>
      <c r="AF1924" t="s">
        <v>169</v>
      </c>
      <c r="AG1924" t="s">
        <v>19482</v>
      </c>
      <c r="AH1924" t="str">
        <f>HYPERLINK("http://compartments.jensenlab.org/Entity?figures=subcell_cell_%&amp;knowledge=10&amp;textmining=10&amp;experiments=10&amp;predictions=10&amp;type1=9606&amp;type2=-22&amp;id1=ENSP00000302639","link")</f>
        <v>link</v>
      </c>
      <c r="AI1924" t="s">
        <v>65</v>
      </c>
      <c r="AJ1924" t="s">
        <v>51</v>
      </c>
      <c r="AK1924" t="str">
        <f>HYPERLINK("http://www.proteinatlas.org/Q8NGP9","no")</f>
        <v>no</v>
      </c>
      <c r="AM1924">
        <v>219493</v>
      </c>
    </row>
    <row r="1925" spans="1:39" x14ac:dyDescent="0.35">
      <c r="A1925" t="s">
        <v>19483</v>
      </c>
      <c r="B1925" t="str">
        <f>HYPERLINK("http://www.uniprot.org/uniprot/Q8NGQ1","Q8NGQ1")</f>
        <v>Q8NGQ1</v>
      </c>
      <c r="C1925" t="s">
        <v>19484</v>
      </c>
      <c r="D1925" t="s">
        <v>19485</v>
      </c>
      <c r="E1925" t="s">
        <v>39</v>
      </c>
      <c r="F1925" t="s">
        <v>55</v>
      </c>
      <c r="H1925">
        <v>327</v>
      </c>
      <c r="I1925">
        <v>7</v>
      </c>
      <c r="J1925">
        <v>0</v>
      </c>
      <c r="K1925" t="s">
        <v>19486</v>
      </c>
      <c r="L1925" t="s">
        <v>57</v>
      </c>
      <c r="M1925" t="s">
        <v>39</v>
      </c>
      <c r="N1925">
        <v>0.94499999999999995</v>
      </c>
      <c r="O1925" s="1">
        <v>1</v>
      </c>
      <c r="P1925" t="s">
        <v>19487</v>
      </c>
      <c r="Q1925" t="s">
        <v>19488</v>
      </c>
      <c r="S1925" t="s">
        <v>166</v>
      </c>
      <c r="T1925" t="s">
        <v>167</v>
      </c>
      <c r="U1925" t="s">
        <v>19489</v>
      </c>
      <c r="V1925">
        <v>1</v>
      </c>
      <c r="AE1925" t="s">
        <v>74</v>
      </c>
      <c r="AF1925" t="s">
        <v>169</v>
      </c>
      <c r="AG1925" t="s">
        <v>19490</v>
      </c>
      <c r="AH1925" t="str">
        <f>HYPERLINK("http://compartments.jensenlab.org/Entity?figures=subcell_cell_%&amp;knowledge=10&amp;textmining=10&amp;experiments=10&amp;predictions=10&amp;type1=9606&amp;type2=-22&amp;id1=ENSP00000307515","link")</f>
        <v>link</v>
      </c>
      <c r="AI1925" t="s">
        <v>65</v>
      </c>
      <c r="AJ1925" t="s">
        <v>51</v>
      </c>
      <c r="AK1925" t="str">
        <f>HYPERLINK("http://www.proteinatlas.org/Q8NGQ1","no")</f>
        <v>no</v>
      </c>
      <c r="AM1925">
        <v>283189</v>
      </c>
    </row>
    <row r="1926" spans="1:39" x14ac:dyDescent="0.35">
      <c r="A1926" t="s">
        <v>19491</v>
      </c>
      <c r="B1926" t="str">
        <f>HYPERLINK("http://www.uniprot.org/uniprot/Q8NGQ2","Q8NGQ2")</f>
        <v>Q8NGQ2</v>
      </c>
      <c r="C1926" t="s">
        <v>19492</v>
      </c>
      <c r="D1926" t="s">
        <v>19493</v>
      </c>
      <c r="E1926" t="s">
        <v>39</v>
      </c>
      <c r="F1926" t="s">
        <v>55</v>
      </c>
      <c r="H1926">
        <v>317</v>
      </c>
      <c r="I1926">
        <v>7</v>
      </c>
      <c r="J1926">
        <v>0</v>
      </c>
      <c r="K1926" t="s">
        <v>19494</v>
      </c>
      <c r="L1926" t="s">
        <v>57</v>
      </c>
      <c r="M1926" t="s">
        <v>39</v>
      </c>
      <c r="N1926">
        <v>0.93089999999999995</v>
      </c>
      <c r="O1926" s="1">
        <v>1</v>
      </c>
      <c r="P1926" t="s">
        <v>19495</v>
      </c>
      <c r="Q1926" t="s">
        <v>19496</v>
      </c>
      <c r="S1926" t="s">
        <v>166</v>
      </c>
      <c r="T1926" t="s">
        <v>167</v>
      </c>
      <c r="U1926" t="s">
        <v>19497</v>
      </c>
      <c r="V1926">
        <v>2</v>
      </c>
      <c r="AE1926" t="s">
        <v>74</v>
      </c>
      <c r="AF1926" t="s">
        <v>169</v>
      </c>
      <c r="AG1926" t="s">
        <v>19498</v>
      </c>
      <c r="AH1926" t="str">
        <f>HYPERLINK("http://compartments.jensenlab.org/Entity?figures=subcell_cell_%&amp;knowledge=10&amp;textmining=10&amp;experiments=10&amp;predictions=10&amp;type1=9606&amp;type2=-22&amp;id1=ENSP00000307734","link")</f>
        <v>link</v>
      </c>
      <c r="AI1926" t="s">
        <v>65</v>
      </c>
      <c r="AJ1926" t="s">
        <v>51</v>
      </c>
      <c r="AK1926" t="str">
        <f>HYPERLINK("http://www.proteinatlas.org/Q8NGQ2","no")</f>
        <v>no</v>
      </c>
      <c r="AM1926">
        <v>219952</v>
      </c>
    </row>
    <row r="1927" spans="1:39" x14ac:dyDescent="0.35">
      <c r="A1927" t="s">
        <v>19499</v>
      </c>
      <c r="B1927" t="str">
        <f>HYPERLINK("http://www.uniprot.org/uniprot/Q8NGQ3","Q8NGQ3")</f>
        <v>Q8NGQ3</v>
      </c>
      <c r="C1927" t="s">
        <v>19500</v>
      </c>
      <c r="D1927" t="s">
        <v>19501</v>
      </c>
      <c r="E1927" t="s">
        <v>39</v>
      </c>
      <c r="F1927" t="s">
        <v>55</v>
      </c>
      <c r="H1927">
        <v>325</v>
      </c>
      <c r="I1927">
        <v>7</v>
      </c>
      <c r="J1927">
        <v>0</v>
      </c>
      <c r="K1927" t="s">
        <v>19502</v>
      </c>
      <c r="L1927" t="s">
        <v>57</v>
      </c>
      <c r="N1927">
        <v>0.99</v>
      </c>
      <c r="O1927" s="1">
        <v>1</v>
      </c>
      <c r="P1927" t="s">
        <v>19503</v>
      </c>
      <c r="Q1927" t="s">
        <v>19504</v>
      </c>
      <c r="S1927" t="s">
        <v>166</v>
      </c>
      <c r="T1927" t="s">
        <v>167</v>
      </c>
      <c r="U1927" t="s">
        <v>19505</v>
      </c>
      <c r="V1927">
        <v>1</v>
      </c>
      <c r="AE1927" t="s">
        <v>74</v>
      </c>
      <c r="AF1927" t="s">
        <v>169</v>
      </c>
      <c r="AG1927" t="s">
        <v>19506</v>
      </c>
      <c r="AH1927" t="str">
        <f>HYPERLINK("http://compartments.jensenlab.org/Entity?figures=subcell_cell_%&amp;knowledge=10&amp;textmining=10&amp;experiments=10&amp;predictions=10&amp;type1=9606&amp;type2=-22&amp;id1=ENSP00000305469","link")</f>
        <v>link</v>
      </c>
      <c r="AI1927" t="s">
        <v>65</v>
      </c>
      <c r="AJ1927" t="s">
        <v>51</v>
      </c>
      <c r="AK1927" t="str">
        <f>HYPERLINK("http://www.proteinatlas.org/Q8NGQ3","HPA049304")</f>
        <v>HPA049304</v>
      </c>
      <c r="AM1927">
        <v>219958</v>
      </c>
    </row>
    <row r="1928" spans="1:39" x14ac:dyDescent="0.35">
      <c r="A1928" t="s">
        <v>19507</v>
      </c>
      <c r="B1928" t="str">
        <f>HYPERLINK("http://www.uniprot.org/uniprot/Q8NGQ4","Q8NGQ4")</f>
        <v>Q8NGQ4</v>
      </c>
      <c r="C1928" t="s">
        <v>19508</v>
      </c>
      <c r="D1928" t="s">
        <v>19509</v>
      </c>
      <c r="E1928" t="s">
        <v>39</v>
      </c>
      <c r="F1928" t="s">
        <v>55</v>
      </c>
      <c r="H1928">
        <v>319</v>
      </c>
      <c r="I1928">
        <v>7</v>
      </c>
      <c r="J1928">
        <v>0</v>
      </c>
      <c r="K1928" t="s">
        <v>19510</v>
      </c>
      <c r="L1928" t="s">
        <v>57</v>
      </c>
      <c r="M1928" t="s">
        <v>39</v>
      </c>
      <c r="N1928">
        <v>0.97330000000000005</v>
      </c>
      <c r="O1928" s="1">
        <v>1</v>
      </c>
      <c r="P1928" t="s">
        <v>19511</v>
      </c>
      <c r="Q1928" t="s">
        <v>19512</v>
      </c>
      <c r="S1928" t="s">
        <v>166</v>
      </c>
      <c r="T1928" t="s">
        <v>167</v>
      </c>
      <c r="U1928" t="s">
        <v>19513</v>
      </c>
      <c r="V1928">
        <v>1</v>
      </c>
      <c r="AE1928" t="s">
        <v>74</v>
      </c>
      <c r="AF1928" t="s">
        <v>169</v>
      </c>
      <c r="AG1928" t="s">
        <v>19514</v>
      </c>
      <c r="AH1928" t="str">
        <f>HYPERLINK("http://compartments.jensenlab.org/Entity?figures=subcell_cell_%&amp;knowledge=10&amp;textmining=10&amp;experiments=10&amp;predictions=10&amp;type1=9606&amp;type2=-22&amp;id1=ENSP00000314324","link")</f>
        <v>link</v>
      </c>
      <c r="AI1928" t="s">
        <v>65</v>
      </c>
      <c r="AJ1928" t="s">
        <v>51</v>
      </c>
      <c r="AK1928" t="str">
        <f>HYPERLINK("http://www.proteinatlas.org/Q8NGQ4","HPA046968")</f>
        <v>HPA046968</v>
      </c>
      <c r="AM1928">
        <v>219960</v>
      </c>
    </row>
    <row r="1929" spans="1:39" x14ac:dyDescent="0.35">
      <c r="A1929" t="s">
        <v>19515</v>
      </c>
      <c r="B1929" t="str">
        <f>HYPERLINK("http://www.uniprot.org/uniprot/Q8NGQ5","Q8NGQ5")</f>
        <v>Q8NGQ5</v>
      </c>
      <c r="C1929" t="s">
        <v>19516</v>
      </c>
      <c r="D1929" t="s">
        <v>19517</v>
      </c>
      <c r="E1929" t="s">
        <v>39</v>
      </c>
      <c r="F1929" t="s">
        <v>55</v>
      </c>
      <c r="H1929">
        <v>310</v>
      </c>
      <c r="I1929">
        <v>7</v>
      </c>
      <c r="J1929">
        <v>0</v>
      </c>
      <c r="K1929" t="s">
        <v>19518</v>
      </c>
      <c r="L1929" t="s">
        <v>57</v>
      </c>
      <c r="M1929" t="s">
        <v>39</v>
      </c>
      <c r="N1929">
        <v>0.93869999999999998</v>
      </c>
      <c r="O1929" s="1">
        <v>1</v>
      </c>
      <c r="P1929" t="s">
        <v>19519</v>
      </c>
      <c r="Q1929" t="s">
        <v>19520</v>
      </c>
      <c r="S1929" t="s">
        <v>166</v>
      </c>
      <c r="T1929" t="s">
        <v>167</v>
      </c>
      <c r="U1929">
        <v>5</v>
      </c>
      <c r="V1929">
        <v>1</v>
      </c>
      <c r="AE1929" t="s">
        <v>74</v>
      </c>
      <c r="AF1929" t="s">
        <v>169</v>
      </c>
      <c r="AG1929" t="s">
        <v>19521</v>
      </c>
      <c r="AH1929" t="str">
        <f>HYPERLINK("http://compartments.jensenlab.org/Entity?figures=subcell_cell_%&amp;knowledge=10&amp;textmining=10&amp;experiments=10&amp;predictions=10&amp;type1=9606&amp;type2=-22&amp;id1=ENSP00000334934","link")</f>
        <v>link</v>
      </c>
      <c r="AI1929" t="s">
        <v>65</v>
      </c>
      <c r="AJ1929" t="s">
        <v>51</v>
      </c>
      <c r="AK1929" t="str">
        <f>HYPERLINK("http://www.proteinatlas.org/Q8NGQ5","no")</f>
        <v>no</v>
      </c>
      <c r="AM1929">
        <v>219956</v>
      </c>
    </row>
    <row r="1930" spans="1:39" x14ac:dyDescent="0.35">
      <c r="A1930" t="s">
        <v>19522</v>
      </c>
      <c r="B1930" t="str">
        <f>HYPERLINK("http://www.uniprot.org/uniprot/Q8NGQ6","Q8NGQ6")</f>
        <v>Q8NGQ6</v>
      </c>
      <c r="C1930" t="s">
        <v>19523</v>
      </c>
      <c r="D1930" t="s">
        <v>19524</v>
      </c>
      <c r="E1930" t="s">
        <v>39</v>
      </c>
      <c r="F1930" t="s">
        <v>55</v>
      </c>
      <c r="H1930">
        <v>314</v>
      </c>
      <c r="I1930">
        <v>7</v>
      </c>
      <c r="J1930">
        <v>0</v>
      </c>
      <c r="K1930" t="s">
        <v>19525</v>
      </c>
      <c r="L1930" t="s">
        <v>57</v>
      </c>
      <c r="N1930">
        <v>0.97009999999999996</v>
      </c>
      <c r="O1930" s="1">
        <v>1</v>
      </c>
      <c r="P1930" t="s">
        <v>19526</v>
      </c>
      <c r="Q1930" t="s">
        <v>19527</v>
      </c>
      <c r="S1930" t="s">
        <v>166</v>
      </c>
      <c r="T1930" t="s">
        <v>167</v>
      </c>
      <c r="U1930" t="s">
        <v>19528</v>
      </c>
      <c r="V1930">
        <v>1</v>
      </c>
      <c r="AE1930" t="s">
        <v>74</v>
      </c>
      <c r="AF1930" t="s">
        <v>549</v>
      </c>
      <c r="AG1930" t="s">
        <v>19529</v>
      </c>
      <c r="AH1930" t="str">
        <f>HYPERLINK("http://compartments.jensenlab.org/Entity?figures=subcell_cell_%&amp;knowledge=10&amp;textmining=10&amp;experiments=10&amp;predictions=10&amp;type1=9606&amp;type2=-22&amp;id1=ENSP00000302606","link")</f>
        <v>link</v>
      </c>
      <c r="AI1930" t="s">
        <v>65</v>
      </c>
      <c r="AJ1930" t="s">
        <v>51</v>
      </c>
      <c r="AK1930" t="str">
        <f>HYPERLINK("http://www.proteinatlas.org/Q8NGQ6","no")</f>
        <v>no</v>
      </c>
      <c r="AM1930">
        <v>219954</v>
      </c>
    </row>
    <row r="1931" spans="1:39" x14ac:dyDescent="0.35">
      <c r="A1931" t="s">
        <v>19530</v>
      </c>
      <c r="B1931" t="str">
        <f>HYPERLINK("http://www.uniprot.org/uniprot/Q8NGR1","Q8NGR1")</f>
        <v>Q8NGR1</v>
      </c>
      <c r="C1931" t="s">
        <v>19531</v>
      </c>
      <c r="D1931" t="s">
        <v>19532</v>
      </c>
      <c r="E1931" t="s">
        <v>39</v>
      </c>
      <c r="F1931" t="s">
        <v>40</v>
      </c>
      <c r="H1931">
        <v>328</v>
      </c>
      <c r="I1931">
        <v>7</v>
      </c>
      <c r="J1931">
        <v>0</v>
      </c>
      <c r="K1931" t="s">
        <v>19533</v>
      </c>
      <c r="L1931" t="s">
        <v>57</v>
      </c>
      <c r="N1931">
        <v>0.94010000000000005</v>
      </c>
      <c r="O1931" s="1">
        <v>1</v>
      </c>
      <c r="P1931" t="s">
        <v>19534</v>
      </c>
      <c r="Q1931" t="s">
        <v>19535</v>
      </c>
      <c r="S1931" t="s">
        <v>166</v>
      </c>
      <c r="T1931" t="s">
        <v>167</v>
      </c>
      <c r="U1931">
        <v>23</v>
      </c>
      <c r="V1931">
        <v>1</v>
      </c>
      <c r="AE1931" t="s">
        <v>74</v>
      </c>
      <c r="AF1931" t="s">
        <v>549</v>
      </c>
      <c r="AG1931" t="s">
        <v>19536</v>
      </c>
      <c r="AH1931" t="str">
        <f>HYPERLINK("http://compartments.jensenlab.org/Entity?figures=subcell_cell_%&amp;knowledge=10&amp;textmining=10&amp;experiments=10&amp;predictions=10&amp;type1=9606&amp;type2=-22&amp;id1=ENSP00000363522","link")</f>
        <v>link</v>
      </c>
      <c r="AK1931" t="str">
        <f>HYPERLINK("http://www.proteinatlas.org/Q8NGR1","HPA057237")</f>
        <v>HPA057237</v>
      </c>
      <c r="AM1931">
        <v>79290</v>
      </c>
    </row>
    <row r="1932" spans="1:39" x14ac:dyDescent="0.35">
      <c r="A1932" t="s">
        <v>19537</v>
      </c>
      <c r="B1932" t="str">
        <f>HYPERLINK("http://www.uniprot.org/uniprot/Q8NGR2","Q8NGR2")</f>
        <v>Q8NGR2</v>
      </c>
      <c r="C1932" t="s">
        <v>19538</v>
      </c>
      <c r="D1932" t="s">
        <v>19539</v>
      </c>
      <c r="E1932" t="s">
        <v>39</v>
      </c>
      <c r="F1932" t="s">
        <v>55</v>
      </c>
      <c r="H1932">
        <v>347</v>
      </c>
      <c r="I1932">
        <v>7</v>
      </c>
      <c r="J1932">
        <v>0</v>
      </c>
      <c r="K1932" t="s">
        <v>19540</v>
      </c>
      <c r="L1932" t="s">
        <v>57</v>
      </c>
      <c r="M1932" t="s">
        <v>39</v>
      </c>
      <c r="N1932">
        <v>0.79890000000000005</v>
      </c>
      <c r="O1932" s="1">
        <v>1</v>
      </c>
      <c r="P1932" t="s">
        <v>19541</v>
      </c>
      <c r="Q1932" t="s">
        <v>19542</v>
      </c>
      <c r="S1932" t="s">
        <v>166</v>
      </c>
      <c r="T1932" t="s">
        <v>167</v>
      </c>
      <c r="U1932" t="s">
        <v>19543</v>
      </c>
      <c r="V1932">
        <v>1</v>
      </c>
      <c r="AE1932" t="s">
        <v>74</v>
      </c>
      <c r="AF1932" t="s">
        <v>169</v>
      </c>
      <c r="AG1932" t="s">
        <v>19544</v>
      </c>
      <c r="AH1932" t="str">
        <f>HYPERLINK("http://compartments.jensenlab.org/Entity?figures=subcell_cell_%&amp;knowledge=10&amp;textmining=10&amp;experiments=10&amp;predictions=10&amp;type1=9606&amp;type2=-22&amp;id1=ENSP00000304235","link")</f>
        <v>link</v>
      </c>
      <c r="AI1932" t="s">
        <v>65</v>
      </c>
      <c r="AJ1932" t="s">
        <v>51</v>
      </c>
      <c r="AK1932" t="str">
        <f>HYPERLINK("http://www.proteinatlas.org/Q8NGR2","no")</f>
        <v>no</v>
      </c>
      <c r="AM1932">
        <v>392390</v>
      </c>
    </row>
    <row r="1933" spans="1:39" x14ac:dyDescent="0.35">
      <c r="A1933" t="s">
        <v>19545</v>
      </c>
      <c r="B1933" t="str">
        <f>HYPERLINK("http://www.uniprot.org/uniprot/Q8NGR3","Q8NGR3")</f>
        <v>Q8NGR3</v>
      </c>
      <c r="C1933" t="s">
        <v>19546</v>
      </c>
      <c r="D1933" t="s">
        <v>19547</v>
      </c>
      <c r="E1933" t="s">
        <v>39</v>
      </c>
      <c r="F1933" t="s">
        <v>55</v>
      </c>
      <c r="H1933">
        <v>316</v>
      </c>
      <c r="I1933">
        <v>7</v>
      </c>
      <c r="J1933">
        <v>0</v>
      </c>
      <c r="K1933" t="s">
        <v>19548</v>
      </c>
      <c r="L1933" t="s">
        <v>57</v>
      </c>
      <c r="N1933">
        <v>0.95609999999999995</v>
      </c>
      <c r="O1933" s="1">
        <v>1</v>
      </c>
      <c r="P1933" t="s">
        <v>19549</v>
      </c>
      <c r="Q1933" t="s">
        <v>19550</v>
      </c>
      <c r="S1933" t="s">
        <v>166</v>
      </c>
      <c r="T1933" t="s">
        <v>167</v>
      </c>
      <c r="U1933">
        <v>5</v>
      </c>
      <c r="V1933">
        <v>1</v>
      </c>
      <c r="AE1933" t="s">
        <v>74</v>
      </c>
      <c r="AF1933" t="s">
        <v>169</v>
      </c>
      <c r="AG1933" t="s">
        <v>19551</v>
      </c>
      <c r="AH1933" t="str">
        <f>HYPERLINK("http://compartments.jensenlab.org/Entity?figures=subcell_cell_%&amp;knowledge=10&amp;textmining=10&amp;experiments=10&amp;predictions=10&amp;type1=9606&amp;type2=-22&amp;id1=ENSP00000277309","link")</f>
        <v>link</v>
      </c>
      <c r="AI1933" t="s">
        <v>65</v>
      </c>
      <c r="AJ1933" t="s">
        <v>51</v>
      </c>
      <c r="AK1933" t="str">
        <f>HYPERLINK("http://www.proteinatlas.org/Q8NGR3","no")</f>
        <v>no</v>
      </c>
      <c r="AM1933">
        <v>392392</v>
      </c>
    </row>
    <row r="1934" spans="1:39" x14ac:dyDescent="0.35">
      <c r="A1934" t="s">
        <v>19552</v>
      </c>
      <c r="B1934" t="str">
        <f>HYPERLINK("http://www.uniprot.org/uniprot/Q8NGR4","Q8NGR4")</f>
        <v>Q8NGR4</v>
      </c>
      <c r="C1934" t="s">
        <v>19553</v>
      </c>
      <c r="D1934" t="s">
        <v>19554</v>
      </c>
      <c r="E1934" t="s">
        <v>39</v>
      </c>
      <c r="F1934" t="s">
        <v>55</v>
      </c>
      <c r="H1934">
        <v>320</v>
      </c>
      <c r="I1934">
        <v>7</v>
      </c>
      <c r="J1934">
        <v>0</v>
      </c>
      <c r="K1934" t="s">
        <v>19555</v>
      </c>
      <c r="L1934" t="s">
        <v>57</v>
      </c>
      <c r="N1934">
        <v>0.96809999999999996</v>
      </c>
      <c r="O1934" s="1">
        <v>1</v>
      </c>
      <c r="P1934" t="s">
        <v>19556</v>
      </c>
      <c r="Q1934" t="s">
        <v>19557</v>
      </c>
      <c r="S1934" t="s">
        <v>166</v>
      </c>
      <c r="T1934" t="s">
        <v>167</v>
      </c>
      <c r="U1934" t="s">
        <v>19558</v>
      </c>
      <c r="V1934">
        <v>1</v>
      </c>
      <c r="AE1934" t="s">
        <v>74</v>
      </c>
      <c r="AF1934" t="s">
        <v>549</v>
      </c>
      <c r="AG1934" t="s">
        <v>19559</v>
      </c>
      <c r="AH1934" t="str">
        <f>HYPERLINK("http://compartments.jensenlab.org/Entity?figures=subcell_cell_%&amp;knowledge=10&amp;textmining=10&amp;experiments=10&amp;predictions=10&amp;type1=9606&amp;type2=-22&amp;id1=ENSP00000362784","link")</f>
        <v>link</v>
      </c>
      <c r="AI1934" t="s">
        <v>65</v>
      </c>
      <c r="AJ1934" t="s">
        <v>51</v>
      </c>
      <c r="AK1934" t="str">
        <f>HYPERLINK("http://www.proteinatlas.org/Q8NGR4","no")</f>
        <v>no</v>
      </c>
      <c r="AM1934">
        <v>392391</v>
      </c>
    </row>
    <row r="1935" spans="1:39" x14ac:dyDescent="0.35">
      <c r="A1935" t="s">
        <v>19560</v>
      </c>
      <c r="B1935" t="str">
        <f>HYPERLINK("http://www.uniprot.org/uniprot/Q8NGR5","Q8NGR5")</f>
        <v>Q8NGR5</v>
      </c>
      <c r="C1935" t="s">
        <v>19561</v>
      </c>
      <c r="D1935" t="s">
        <v>19562</v>
      </c>
      <c r="E1935" t="s">
        <v>39</v>
      </c>
      <c r="F1935" t="s">
        <v>55</v>
      </c>
      <c r="H1935">
        <v>311</v>
      </c>
      <c r="I1935">
        <v>7</v>
      </c>
      <c r="J1935">
        <v>0</v>
      </c>
      <c r="K1935" t="s">
        <v>19563</v>
      </c>
      <c r="L1935" t="s">
        <v>57</v>
      </c>
      <c r="N1935">
        <v>0.95809999999999995</v>
      </c>
      <c r="O1935" s="1">
        <v>1</v>
      </c>
      <c r="P1935" t="s">
        <v>19564</v>
      </c>
      <c r="Q1935" t="s">
        <v>19565</v>
      </c>
      <c r="S1935" t="s">
        <v>166</v>
      </c>
      <c r="T1935" t="s">
        <v>167</v>
      </c>
      <c r="U1935" t="s">
        <v>19566</v>
      </c>
      <c r="V1935">
        <v>1</v>
      </c>
      <c r="AE1935" t="s">
        <v>74</v>
      </c>
      <c r="AF1935" t="s">
        <v>169</v>
      </c>
      <c r="AG1935" t="s">
        <v>19567</v>
      </c>
      <c r="AH1935" t="str">
        <f>HYPERLINK("http://compartments.jensenlab.org/Entity?figures=subcell_cell_%&amp;knowledge=10&amp;textmining=10&amp;experiments=10&amp;predictions=10&amp;type1=9606&amp;type2=-22&amp;id1=ENSP00000259466","link")</f>
        <v>link</v>
      </c>
      <c r="AI1935" t="s">
        <v>65</v>
      </c>
      <c r="AJ1935" t="s">
        <v>51</v>
      </c>
      <c r="AK1935" t="str">
        <f>HYPERLINK("http://www.proteinatlas.org/Q8NGR5","no")</f>
        <v>no</v>
      </c>
      <c r="AM1935">
        <v>254973</v>
      </c>
    </row>
    <row r="1936" spans="1:39" x14ac:dyDescent="0.35">
      <c r="A1936" t="s">
        <v>19568</v>
      </c>
      <c r="B1936" t="str">
        <f>HYPERLINK("http://www.uniprot.org/uniprot/Q8NGR6","Q8NGR6")</f>
        <v>Q8NGR6</v>
      </c>
      <c r="C1936" t="s">
        <v>19569</v>
      </c>
      <c r="D1936" t="s">
        <v>19570</v>
      </c>
      <c r="E1936" t="s">
        <v>39</v>
      </c>
      <c r="F1936" t="s">
        <v>55</v>
      </c>
      <c r="H1936">
        <v>318</v>
      </c>
      <c r="I1936">
        <v>7</v>
      </c>
      <c r="J1936">
        <v>0</v>
      </c>
      <c r="K1936" t="s">
        <v>19571</v>
      </c>
      <c r="L1936" t="s">
        <v>57</v>
      </c>
      <c r="M1936" t="s">
        <v>39</v>
      </c>
      <c r="N1936">
        <v>0.95579999999999998</v>
      </c>
      <c r="O1936" s="1">
        <v>1</v>
      </c>
      <c r="P1936" t="s">
        <v>19572</v>
      </c>
      <c r="Q1936" t="s">
        <v>19573</v>
      </c>
      <c r="S1936" t="s">
        <v>166</v>
      </c>
      <c r="T1936" t="s">
        <v>167</v>
      </c>
      <c r="U1936" t="s">
        <v>19574</v>
      </c>
      <c r="V1936">
        <v>2</v>
      </c>
      <c r="AE1936" t="s">
        <v>74</v>
      </c>
      <c r="AF1936" t="s">
        <v>169</v>
      </c>
      <c r="AG1936" t="s">
        <v>19575</v>
      </c>
      <c r="AH1936" t="str">
        <f>HYPERLINK("http://compartments.jensenlab.org/Entity?figures=subcell_cell_%&amp;knowledge=10&amp;textmining=10&amp;experiments=10&amp;predictions=10&amp;type1=9606&amp;type2=-22&amp;id1=ENSP00000303151","link")</f>
        <v>link</v>
      </c>
      <c r="AI1936" t="s">
        <v>65</v>
      </c>
      <c r="AJ1936" t="s">
        <v>51</v>
      </c>
      <c r="AK1936" t="str">
        <f>HYPERLINK("http://www.proteinatlas.org/Q8NGR6","HPA058654")</f>
        <v>HPA058654</v>
      </c>
      <c r="AM1936">
        <v>347169</v>
      </c>
    </row>
    <row r="1937" spans="1:39" x14ac:dyDescent="0.35">
      <c r="A1937" t="s">
        <v>19576</v>
      </c>
      <c r="B1937" t="str">
        <f>HYPERLINK("http://www.uniprot.org/uniprot/Q8NGR8","Q8NGR8")</f>
        <v>Q8NGR8</v>
      </c>
      <c r="C1937" t="s">
        <v>19577</v>
      </c>
      <c r="D1937" t="s">
        <v>19578</v>
      </c>
      <c r="E1937" t="s">
        <v>39</v>
      </c>
      <c r="F1937" t="s">
        <v>55</v>
      </c>
      <c r="H1937">
        <v>309</v>
      </c>
      <c r="I1937">
        <v>7</v>
      </c>
      <c r="J1937">
        <v>0</v>
      </c>
      <c r="K1937" t="s">
        <v>19579</v>
      </c>
      <c r="L1937" t="s">
        <v>57</v>
      </c>
      <c r="N1937">
        <v>0.86629999999999996</v>
      </c>
      <c r="O1937" s="1">
        <v>1</v>
      </c>
      <c r="P1937" t="s">
        <v>19580</v>
      </c>
      <c r="Q1937" t="s">
        <v>19581</v>
      </c>
      <c r="S1937" t="s">
        <v>166</v>
      </c>
      <c r="T1937" t="s">
        <v>167</v>
      </c>
      <c r="U1937">
        <v>5</v>
      </c>
      <c r="V1937">
        <v>1</v>
      </c>
      <c r="AE1937" t="s">
        <v>74</v>
      </c>
      <c r="AF1937" t="s">
        <v>169</v>
      </c>
      <c r="AG1937" t="s">
        <v>19582</v>
      </c>
      <c r="AH1937" t="str">
        <f>HYPERLINK("http://compartments.jensenlab.org/Entity?figures=subcell_cell_%&amp;knowledge=10&amp;textmining=10&amp;experiments=10&amp;predictions=10&amp;type1=9606&amp;type2=-22&amp;id1=ENSP00000306607","link")</f>
        <v>link</v>
      </c>
      <c r="AI1937" t="s">
        <v>65</v>
      </c>
      <c r="AJ1937" t="s">
        <v>51</v>
      </c>
      <c r="AK1937" t="str">
        <f>HYPERLINK("http://www.proteinatlas.org/Q8NGR8","no")</f>
        <v>no</v>
      </c>
      <c r="AM1937">
        <v>138881</v>
      </c>
    </row>
    <row r="1938" spans="1:39" x14ac:dyDescent="0.35">
      <c r="A1938" t="s">
        <v>19583</v>
      </c>
      <c r="B1938" t="str">
        <f>HYPERLINK("http://www.uniprot.org/uniprot/Q8NGR9","Q8NGR9")</f>
        <v>Q8NGR9</v>
      </c>
      <c r="C1938" t="s">
        <v>19584</v>
      </c>
      <c r="D1938" t="s">
        <v>19585</v>
      </c>
      <c r="E1938" t="s">
        <v>39</v>
      </c>
      <c r="F1938" t="s">
        <v>55</v>
      </c>
      <c r="H1938">
        <v>330</v>
      </c>
      <c r="I1938">
        <v>7</v>
      </c>
      <c r="J1938">
        <v>0</v>
      </c>
      <c r="K1938" t="s">
        <v>19586</v>
      </c>
      <c r="L1938" t="s">
        <v>57</v>
      </c>
      <c r="M1938" t="s">
        <v>39</v>
      </c>
      <c r="N1938">
        <v>0.97460000000000002</v>
      </c>
      <c r="O1938" s="1">
        <v>1</v>
      </c>
      <c r="P1938" t="s">
        <v>19587</v>
      </c>
      <c r="Q1938" t="s">
        <v>19588</v>
      </c>
      <c r="S1938" t="s">
        <v>166</v>
      </c>
      <c r="T1938" t="s">
        <v>167</v>
      </c>
      <c r="U1938" t="s">
        <v>19038</v>
      </c>
      <c r="V1938">
        <v>1</v>
      </c>
      <c r="AE1938" t="s">
        <v>74</v>
      </c>
      <c r="AF1938" t="s">
        <v>169</v>
      </c>
      <c r="AG1938" t="s">
        <v>19589</v>
      </c>
      <c r="AH1938" t="str">
        <f>HYPERLINK("http://compartments.jensenlab.org/Entity?figures=subcell_cell_%&amp;knowledge=10&amp;textmining=10&amp;experiments=10&amp;predictions=10&amp;type1=9606&amp;type2=-22&amp;id1=ENSP00000362792","link")</f>
        <v>link</v>
      </c>
      <c r="AI1938" t="s">
        <v>65</v>
      </c>
      <c r="AJ1938" t="s">
        <v>51</v>
      </c>
      <c r="AK1938" t="str">
        <f>HYPERLINK("http://www.proteinatlas.org/Q8NGR9","no")</f>
        <v>no</v>
      </c>
      <c r="AM1938">
        <v>138882</v>
      </c>
    </row>
    <row r="1939" spans="1:39" x14ac:dyDescent="0.35">
      <c r="A1939" t="s">
        <v>19590</v>
      </c>
      <c r="B1939" t="str">
        <f>HYPERLINK("http://www.uniprot.org/uniprot/Q8NGS0","Q8NGS0")</f>
        <v>Q8NGS0</v>
      </c>
      <c r="C1939" t="s">
        <v>19591</v>
      </c>
      <c r="D1939" t="s">
        <v>19592</v>
      </c>
      <c r="E1939" t="s">
        <v>39</v>
      </c>
      <c r="F1939" t="s">
        <v>55</v>
      </c>
      <c r="H1939">
        <v>311</v>
      </c>
      <c r="I1939">
        <v>7</v>
      </c>
      <c r="J1939">
        <v>0</v>
      </c>
      <c r="K1939" t="s">
        <v>19593</v>
      </c>
      <c r="L1939" t="s">
        <v>57</v>
      </c>
      <c r="M1939" t="s">
        <v>39</v>
      </c>
      <c r="N1939">
        <v>0.99419999999999997</v>
      </c>
      <c r="O1939" s="1">
        <v>1</v>
      </c>
      <c r="P1939" t="s">
        <v>19594</v>
      </c>
      <c r="Q1939" t="s">
        <v>19595</v>
      </c>
      <c r="S1939" t="s">
        <v>166</v>
      </c>
      <c r="T1939" t="s">
        <v>167</v>
      </c>
      <c r="U1939" t="s">
        <v>252</v>
      </c>
      <c r="V1939">
        <v>1</v>
      </c>
      <c r="AE1939" t="s">
        <v>74</v>
      </c>
      <c r="AF1939" t="s">
        <v>169</v>
      </c>
      <c r="AG1939" t="s">
        <v>19596</v>
      </c>
      <c r="AH1939" t="str">
        <f>HYPERLINK("http://compartments.jensenlab.org/Entity?figures=subcell_cell_%&amp;knowledge=10&amp;textmining=10&amp;experiments=10&amp;predictions=10&amp;type1=9606&amp;type2=-22&amp;id1=ENSP00000306974","link")</f>
        <v>link</v>
      </c>
      <c r="AI1939" t="s">
        <v>65</v>
      </c>
      <c r="AJ1939" t="s">
        <v>51</v>
      </c>
      <c r="AK1939" t="str">
        <f>HYPERLINK("http://www.proteinatlas.org/Q8NGS0","no")</f>
        <v>no</v>
      </c>
      <c r="AM1939">
        <v>138883</v>
      </c>
    </row>
    <row r="1940" spans="1:39" x14ac:dyDescent="0.35">
      <c r="A1940" t="s">
        <v>19597</v>
      </c>
      <c r="B1940" t="str">
        <f>HYPERLINK("http://www.uniprot.org/uniprot/Q8NGS1","Q8NGS1")</f>
        <v>Q8NGS1</v>
      </c>
      <c r="C1940" t="s">
        <v>19598</v>
      </c>
      <c r="D1940" t="s">
        <v>19599</v>
      </c>
      <c r="E1940" t="s">
        <v>39</v>
      </c>
      <c r="F1940" t="s">
        <v>55</v>
      </c>
      <c r="H1940">
        <v>313</v>
      </c>
      <c r="I1940">
        <v>7</v>
      </c>
      <c r="J1940">
        <v>0</v>
      </c>
      <c r="K1940" t="s">
        <v>19600</v>
      </c>
      <c r="L1940" t="s">
        <v>57</v>
      </c>
      <c r="N1940">
        <v>0.98399999999999999</v>
      </c>
      <c r="O1940" s="1">
        <v>1</v>
      </c>
      <c r="P1940" t="s">
        <v>19601</v>
      </c>
      <c r="Q1940" t="s">
        <v>19602</v>
      </c>
      <c r="S1940" t="s">
        <v>166</v>
      </c>
      <c r="T1940" t="s">
        <v>167</v>
      </c>
      <c r="U1940">
        <v>5</v>
      </c>
      <c r="V1940">
        <v>1</v>
      </c>
      <c r="AE1940" t="s">
        <v>74</v>
      </c>
      <c r="AF1940" t="s">
        <v>549</v>
      </c>
      <c r="AG1940" t="s">
        <v>19603</v>
      </c>
      <c r="AH1940" t="str">
        <f>HYPERLINK("http://compartments.jensenlab.org/Entity?figures=subcell_cell_%&amp;knowledge=10&amp;textmining=10&amp;experiments=10&amp;predictions=10&amp;type1=9606&amp;type2=-22&amp;id1=ENSP00000343521","link")</f>
        <v>link</v>
      </c>
      <c r="AI1940" t="s">
        <v>65</v>
      </c>
      <c r="AJ1940" t="s">
        <v>51</v>
      </c>
      <c r="AK1940" t="str">
        <f>HYPERLINK("http://www.proteinatlas.org/Q8NGS1","no")</f>
        <v>no</v>
      </c>
      <c r="AM1940">
        <v>26219</v>
      </c>
    </row>
    <row r="1941" spans="1:39" x14ac:dyDescent="0.35">
      <c r="A1941" t="s">
        <v>19604</v>
      </c>
      <c r="B1941" t="str">
        <f>HYPERLINK("http://www.uniprot.org/uniprot/Q8NGS2","Q8NGS2")</f>
        <v>Q8NGS2</v>
      </c>
      <c r="C1941" t="s">
        <v>19605</v>
      </c>
      <c r="D1941" t="s">
        <v>19606</v>
      </c>
      <c r="E1941" t="s">
        <v>39</v>
      </c>
      <c r="F1941" t="s">
        <v>55</v>
      </c>
      <c r="H1941">
        <v>313</v>
      </c>
      <c r="I1941">
        <v>7</v>
      </c>
      <c r="J1941">
        <v>0</v>
      </c>
      <c r="K1941" t="s">
        <v>19607</v>
      </c>
      <c r="L1941" t="s">
        <v>57</v>
      </c>
      <c r="M1941" t="s">
        <v>39</v>
      </c>
      <c r="N1941">
        <v>0.97860000000000003</v>
      </c>
      <c r="O1941" s="1">
        <v>1</v>
      </c>
      <c r="P1941" t="s">
        <v>19608</v>
      </c>
      <c r="Q1941" t="s">
        <v>19609</v>
      </c>
      <c r="S1941" t="s">
        <v>166</v>
      </c>
      <c r="T1941" t="s">
        <v>167</v>
      </c>
      <c r="U1941">
        <v>5</v>
      </c>
      <c r="V1941">
        <v>1</v>
      </c>
      <c r="AE1941" t="s">
        <v>74</v>
      </c>
      <c r="AF1941" t="s">
        <v>169</v>
      </c>
      <c r="AG1941" t="s">
        <v>19610</v>
      </c>
      <c r="AH1941" t="str">
        <f>HYPERLINK("http://compartments.jensenlab.org/Entity?figures=subcell_cell_%&amp;knowledge=10&amp;textmining=10&amp;experiments=10&amp;predictions=10&amp;type1=9606&amp;type2=-22&amp;id1=ENSP00000335575","link")</f>
        <v>link</v>
      </c>
      <c r="AI1941" t="s">
        <v>65</v>
      </c>
      <c r="AJ1941" t="s">
        <v>51</v>
      </c>
      <c r="AK1941" t="str">
        <f>HYPERLINK("http://www.proteinatlas.org/Q8NGS2","no")</f>
        <v>no</v>
      </c>
      <c r="AM1941">
        <v>26740</v>
      </c>
    </row>
    <row r="1942" spans="1:39" x14ac:dyDescent="0.35">
      <c r="A1942" t="s">
        <v>19611</v>
      </c>
      <c r="B1942" t="str">
        <f>HYPERLINK("http://www.uniprot.org/uniprot/Q8NGS3","Q8NGS3")</f>
        <v>Q8NGS3</v>
      </c>
      <c r="C1942" t="s">
        <v>19612</v>
      </c>
      <c r="D1942" t="s">
        <v>19613</v>
      </c>
      <c r="E1942" t="s">
        <v>39</v>
      </c>
      <c r="F1942" t="s">
        <v>55</v>
      </c>
      <c r="H1942">
        <v>322</v>
      </c>
      <c r="I1942">
        <v>7</v>
      </c>
      <c r="J1942">
        <v>0</v>
      </c>
      <c r="K1942" t="s">
        <v>19614</v>
      </c>
      <c r="L1942" t="s">
        <v>57</v>
      </c>
      <c r="M1942" t="s">
        <v>39</v>
      </c>
      <c r="N1942">
        <v>0.99490000000000001</v>
      </c>
      <c r="O1942" s="1">
        <v>1</v>
      </c>
      <c r="P1942" t="s">
        <v>19615</v>
      </c>
      <c r="Q1942" t="s">
        <v>19616</v>
      </c>
      <c r="S1942" t="s">
        <v>166</v>
      </c>
      <c r="T1942" t="s">
        <v>167</v>
      </c>
      <c r="U1942">
        <v>5</v>
      </c>
      <c r="V1942">
        <v>1</v>
      </c>
      <c r="AE1942" t="s">
        <v>74</v>
      </c>
      <c r="AF1942" t="s">
        <v>169</v>
      </c>
      <c r="AG1942" t="s">
        <v>19617</v>
      </c>
      <c r="AH1942" t="str">
        <f>HYPERLINK("http://compartments.jensenlab.org/Entity?figures=subcell_cell_%&amp;knowledge=10&amp;textmining=10&amp;experiments=10&amp;predictions=10&amp;type1=9606&amp;type2=-22&amp;id1=ENSP00000259357","link")</f>
        <v>link</v>
      </c>
      <c r="AI1942" t="s">
        <v>65</v>
      </c>
      <c r="AJ1942" t="s">
        <v>51</v>
      </c>
      <c r="AK1942" t="str">
        <f>HYPERLINK("http://www.proteinatlas.org/Q8NGS3","no")</f>
        <v>no</v>
      </c>
      <c r="AM1942">
        <v>347168</v>
      </c>
    </row>
    <row r="1943" spans="1:39" x14ac:dyDescent="0.35">
      <c r="A1943" t="s">
        <v>19618</v>
      </c>
      <c r="B1943" t="str">
        <f>HYPERLINK("http://www.uniprot.org/uniprot/Q8NGS4","Q8NGS4")</f>
        <v>Q8NGS4</v>
      </c>
      <c r="C1943" t="s">
        <v>19619</v>
      </c>
      <c r="D1943" t="s">
        <v>19620</v>
      </c>
      <c r="E1943" t="s">
        <v>39</v>
      </c>
      <c r="F1943" t="s">
        <v>55</v>
      </c>
      <c r="H1943">
        <v>319</v>
      </c>
      <c r="I1943">
        <v>7</v>
      </c>
      <c r="J1943">
        <v>0</v>
      </c>
      <c r="K1943" t="s">
        <v>19621</v>
      </c>
      <c r="L1943" t="s">
        <v>57</v>
      </c>
      <c r="M1943" t="s">
        <v>39</v>
      </c>
      <c r="N1943">
        <v>0.97750000000000004</v>
      </c>
      <c r="O1943" s="1">
        <v>1</v>
      </c>
      <c r="P1943" t="s">
        <v>19622</v>
      </c>
      <c r="Q1943" t="s">
        <v>19623</v>
      </c>
      <c r="S1943" t="s">
        <v>166</v>
      </c>
      <c r="T1943" t="s">
        <v>167</v>
      </c>
      <c r="U1943" t="s">
        <v>1191</v>
      </c>
      <c r="V1943">
        <v>1</v>
      </c>
      <c r="AE1943" t="s">
        <v>74</v>
      </c>
      <c r="AF1943" t="s">
        <v>169</v>
      </c>
      <c r="AG1943" t="s">
        <v>19624</v>
      </c>
      <c r="AH1943" t="str">
        <f>HYPERLINK("http://compartments.jensenlab.org/Entity?figures=subcell_cell_%&amp;knowledge=10&amp;textmining=10&amp;experiments=10&amp;predictions=10&amp;type1=9606&amp;type2=-22&amp;id1=ENSP00000334452","link")</f>
        <v>link</v>
      </c>
      <c r="AI1943" t="s">
        <v>65</v>
      </c>
      <c r="AJ1943" t="s">
        <v>51</v>
      </c>
      <c r="AK1943" t="str">
        <f>HYPERLINK("http://www.proteinatlas.org/Q8NGS4","no")</f>
        <v>no</v>
      </c>
      <c r="AM1943">
        <v>138805</v>
      </c>
    </row>
    <row r="1944" spans="1:39" x14ac:dyDescent="0.35">
      <c r="A1944" t="s">
        <v>19625</v>
      </c>
      <c r="B1944" t="str">
        <f>HYPERLINK("http://www.uniprot.org/uniprot/Q8NGS5","Q8NGS5")</f>
        <v>Q8NGS5</v>
      </c>
      <c r="C1944" t="s">
        <v>19626</v>
      </c>
      <c r="D1944" t="s">
        <v>19627</v>
      </c>
      <c r="E1944" t="s">
        <v>39</v>
      </c>
      <c r="F1944" t="s">
        <v>55</v>
      </c>
      <c r="H1944">
        <v>318</v>
      </c>
      <c r="I1944">
        <v>7</v>
      </c>
      <c r="J1944">
        <v>0</v>
      </c>
      <c r="K1944" t="s">
        <v>19628</v>
      </c>
      <c r="L1944" t="s">
        <v>57</v>
      </c>
      <c r="N1944">
        <v>0.99</v>
      </c>
      <c r="O1944" s="1">
        <v>1</v>
      </c>
      <c r="P1944" t="s">
        <v>19629</v>
      </c>
      <c r="Q1944" t="s">
        <v>19630</v>
      </c>
      <c r="S1944" t="s">
        <v>166</v>
      </c>
      <c r="T1944" t="s">
        <v>167</v>
      </c>
      <c r="U1944" t="s">
        <v>19631</v>
      </c>
      <c r="V1944">
        <v>2</v>
      </c>
      <c r="AE1944" t="s">
        <v>74</v>
      </c>
      <c r="AF1944" t="s">
        <v>549</v>
      </c>
      <c r="AG1944" t="s">
        <v>19632</v>
      </c>
      <c r="AH1944" t="str">
        <f>HYPERLINK("http://compartments.jensenlab.org/Entity?figures=subcell_cell_%&amp;knowledge=10&amp;textmining=10&amp;experiments=10&amp;predictions=10&amp;type1=9606&amp;type2=-22&amp;id1=ENSP00000277216","link")</f>
        <v>link</v>
      </c>
      <c r="AI1944" t="s">
        <v>65</v>
      </c>
      <c r="AJ1944" t="s">
        <v>51</v>
      </c>
      <c r="AK1944" t="str">
        <f>HYPERLINK("http://www.proteinatlas.org/Q8NGS5","no")</f>
        <v>no</v>
      </c>
      <c r="AM1944">
        <v>138804</v>
      </c>
    </row>
    <row r="1945" spans="1:39" x14ac:dyDescent="0.35">
      <c r="A1945" t="s">
        <v>19633</v>
      </c>
      <c r="B1945" t="str">
        <f>HYPERLINK("http://www.uniprot.org/uniprot/Q8NGS6","Q8NGS6")</f>
        <v>Q8NGS6</v>
      </c>
      <c r="C1945" t="s">
        <v>19634</v>
      </c>
      <c r="D1945" t="s">
        <v>19635</v>
      </c>
      <c r="E1945" t="s">
        <v>39</v>
      </c>
      <c r="F1945" t="s">
        <v>55</v>
      </c>
      <c r="H1945">
        <v>347</v>
      </c>
      <c r="I1945">
        <v>7</v>
      </c>
      <c r="J1945">
        <v>0</v>
      </c>
      <c r="K1945" t="s">
        <v>19636</v>
      </c>
      <c r="L1945" t="s">
        <v>57</v>
      </c>
      <c r="M1945" t="s">
        <v>39</v>
      </c>
      <c r="N1945">
        <v>0.98909999999999998</v>
      </c>
      <c r="O1945" s="1">
        <v>1</v>
      </c>
      <c r="P1945" t="s">
        <v>19637</v>
      </c>
      <c r="Q1945" t="s">
        <v>19638</v>
      </c>
      <c r="S1945" t="s">
        <v>166</v>
      </c>
      <c r="T1945" t="s">
        <v>167</v>
      </c>
      <c r="U1945" t="s">
        <v>19639</v>
      </c>
      <c r="V1945">
        <v>2</v>
      </c>
      <c r="AE1945" t="s">
        <v>74</v>
      </c>
      <c r="AF1945" t="s">
        <v>169</v>
      </c>
      <c r="AG1945" t="s">
        <v>19640</v>
      </c>
      <c r="AH1945" t="str">
        <f>HYPERLINK("http://compartments.jensenlab.org/Entity?figures=subcell_cell_%&amp;knowledge=10&amp;textmining=10&amp;experiments=10&amp;predictions=10&amp;type1=9606&amp;type2=-22&amp;id1=ENSP00000363913","link")</f>
        <v>link</v>
      </c>
      <c r="AI1945" t="s">
        <v>65</v>
      </c>
      <c r="AJ1945" t="s">
        <v>51</v>
      </c>
      <c r="AK1945" t="str">
        <f>HYPERLINK("http://www.proteinatlas.org/Q8NGS6","HPA053978")</f>
        <v>HPA053978</v>
      </c>
      <c r="AM1945">
        <v>138803</v>
      </c>
    </row>
    <row r="1946" spans="1:39" x14ac:dyDescent="0.35">
      <c r="A1946" t="s">
        <v>19641</v>
      </c>
      <c r="B1946" t="str">
        <f>HYPERLINK("http://www.uniprot.org/uniprot/Q8NGS7","Q8NGS7")</f>
        <v>Q8NGS7</v>
      </c>
      <c r="C1946" t="s">
        <v>19642</v>
      </c>
      <c r="D1946" t="s">
        <v>19643</v>
      </c>
      <c r="E1946" t="s">
        <v>39</v>
      </c>
      <c r="F1946" t="s">
        <v>55</v>
      </c>
      <c r="H1946">
        <v>320</v>
      </c>
      <c r="I1946">
        <v>7</v>
      </c>
      <c r="J1946">
        <v>0</v>
      </c>
      <c r="K1946" t="s">
        <v>19644</v>
      </c>
      <c r="L1946" t="s">
        <v>57</v>
      </c>
      <c r="N1946">
        <v>0.99199999999999999</v>
      </c>
      <c r="O1946" s="1">
        <v>1</v>
      </c>
      <c r="P1946" t="s">
        <v>19645</v>
      </c>
      <c r="Q1946" t="s">
        <v>19646</v>
      </c>
      <c r="S1946" t="s">
        <v>166</v>
      </c>
      <c r="T1946" t="s">
        <v>167</v>
      </c>
      <c r="U1946" t="s">
        <v>19647</v>
      </c>
      <c r="V1946">
        <v>1</v>
      </c>
      <c r="AE1946" t="s">
        <v>74</v>
      </c>
      <c r="AF1946" t="s">
        <v>169</v>
      </c>
      <c r="AG1946" t="s">
        <v>19648</v>
      </c>
      <c r="AH1946" t="str">
        <f>HYPERLINK("http://compartments.jensenlab.org/Entity?figures=subcell_cell_%&amp;knowledge=10&amp;textmining=10&amp;experiments=10&amp;predictions=10&amp;type1=9606&amp;type2=-22&amp;id1=ENSP00000334068","link")</f>
        <v>link</v>
      </c>
      <c r="AI1946" t="s">
        <v>65</v>
      </c>
      <c r="AJ1946" t="s">
        <v>51</v>
      </c>
      <c r="AK1946" t="str">
        <f>HYPERLINK("http://www.proteinatlas.org/Q8NGS7","no")</f>
        <v>no</v>
      </c>
      <c r="AM1946">
        <v>138802</v>
      </c>
    </row>
    <row r="1947" spans="1:39" x14ac:dyDescent="0.35">
      <c r="A1947" t="s">
        <v>19649</v>
      </c>
      <c r="B1947" t="str">
        <f>HYPERLINK("http://www.uniprot.org/uniprot/Q8NGS8","Q8NGS8")</f>
        <v>Q8NGS8</v>
      </c>
      <c r="C1947" t="s">
        <v>19650</v>
      </c>
      <c r="D1947" t="s">
        <v>19651</v>
      </c>
      <c r="E1947" t="s">
        <v>39</v>
      </c>
      <c r="F1947" t="s">
        <v>55</v>
      </c>
      <c r="H1947">
        <v>318</v>
      </c>
      <c r="I1947">
        <v>7</v>
      </c>
      <c r="J1947">
        <v>0</v>
      </c>
      <c r="K1947" t="s">
        <v>19652</v>
      </c>
      <c r="L1947" t="s">
        <v>57</v>
      </c>
      <c r="M1947" t="s">
        <v>39</v>
      </c>
      <c r="N1947">
        <v>0.96809999999999996</v>
      </c>
      <c r="O1947" s="1">
        <v>1</v>
      </c>
      <c r="P1947" t="s">
        <v>19653</v>
      </c>
      <c r="Q1947" t="s">
        <v>19654</v>
      </c>
      <c r="S1947" t="s">
        <v>166</v>
      </c>
      <c r="T1947" t="s">
        <v>167</v>
      </c>
      <c r="U1947" t="s">
        <v>2881</v>
      </c>
      <c r="V1947">
        <v>1</v>
      </c>
      <c r="AE1947" t="s">
        <v>74</v>
      </c>
      <c r="AF1947" t="s">
        <v>169</v>
      </c>
      <c r="AG1947" t="s">
        <v>19655</v>
      </c>
      <c r="AH1947" t="str">
        <f>HYPERLINK("http://compartments.jensenlab.org/Entity?figures=subcell_cell_%&amp;knowledge=10&amp;textmining=10&amp;experiments=10&amp;predictions=10&amp;type1=9606&amp;type2=-22&amp;id1=ENSP00000363911","link")</f>
        <v>link</v>
      </c>
      <c r="AI1947" t="s">
        <v>65</v>
      </c>
      <c r="AJ1947" t="s">
        <v>51</v>
      </c>
      <c r="AK1947" t="str">
        <f>HYPERLINK("http://www.proteinatlas.org/Q8NGS8","no")</f>
        <v>no</v>
      </c>
      <c r="AM1947">
        <v>138799</v>
      </c>
    </row>
    <row r="1948" spans="1:39" x14ac:dyDescent="0.35">
      <c r="A1948" t="s">
        <v>19656</v>
      </c>
      <c r="B1948" t="str">
        <f>HYPERLINK("http://www.uniprot.org/uniprot/Q8NGS9","Q8NGS9")</f>
        <v>Q8NGS9</v>
      </c>
      <c r="C1948" t="s">
        <v>19657</v>
      </c>
      <c r="D1948" t="s">
        <v>19658</v>
      </c>
      <c r="E1948" t="s">
        <v>39</v>
      </c>
      <c r="F1948" t="s">
        <v>40</v>
      </c>
      <c r="H1948">
        <v>318</v>
      </c>
      <c r="I1948">
        <v>7</v>
      </c>
      <c r="J1948">
        <v>0</v>
      </c>
      <c r="K1948" t="s">
        <v>19659</v>
      </c>
      <c r="L1948" t="s">
        <v>57</v>
      </c>
      <c r="N1948">
        <v>1</v>
      </c>
      <c r="O1948" s="1">
        <v>1</v>
      </c>
      <c r="P1948" t="s">
        <v>19660</v>
      </c>
      <c r="Q1948" t="s">
        <v>19661</v>
      </c>
      <c r="S1948" t="s">
        <v>166</v>
      </c>
      <c r="T1948" t="s">
        <v>167</v>
      </c>
      <c r="U1948" t="s">
        <v>2881</v>
      </c>
      <c r="V1948">
        <v>1</v>
      </c>
      <c r="AE1948" t="s">
        <v>74</v>
      </c>
      <c r="AF1948" t="s">
        <v>169</v>
      </c>
      <c r="AG1948" t="s">
        <v>19662</v>
      </c>
      <c r="AH1948" t="str">
        <f>HYPERLINK("http://compartments.jensenlab.org/Entity?figures=subcell_cell_%&amp;knowledge=10&amp;textmining=10&amp;experiments=10&amp;predictions=10&amp;type1=9606&amp;type2=-22&amp;id1=ENSP00000438815","link")</f>
        <v>link</v>
      </c>
      <c r="AK1948" t="str">
        <f>HYPERLINK("http://www.proteinatlas.org/Q8NGS9","no")</f>
        <v>no</v>
      </c>
      <c r="AM1948">
        <v>392376</v>
      </c>
    </row>
    <row r="1949" spans="1:39" x14ac:dyDescent="0.35">
      <c r="A1949" t="s">
        <v>19663</v>
      </c>
      <c r="B1949" t="str">
        <f>HYPERLINK("http://www.uniprot.org/uniprot/Q8NGT0","Q8NGT0")</f>
        <v>Q8NGT0</v>
      </c>
      <c r="C1949" t="s">
        <v>19664</v>
      </c>
      <c r="D1949" t="s">
        <v>19665</v>
      </c>
      <c r="E1949" t="s">
        <v>39</v>
      </c>
      <c r="F1949" t="s">
        <v>55</v>
      </c>
      <c r="H1949">
        <v>318</v>
      </c>
      <c r="I1949">
        <v>7</v>
      </c>
      <c r="J1949">
        <v>0</v>
      </c>
      <c r="K1949" t="s">
        <v>19666</v>
      </c>
      <c r="L1949" t="s">
        <v>57</v>
      </c>
      <c r="N1949">
        <v>0.99199999999999999</v>
      </c>
      <c r="O1949" s="1">
        <v>1</v>
      </c>
      <c r="P1949" t="s">
        <v>19667</v>
      </c>
      <c r="Q1949" t="s">
        <v>19668</v>
      </c>
      <c r="S1949" t="s">
        <v>166</v>
      </c>
      <c r="T1949" t="s">
        <v>167</v>
      </c>
      <c r="U1949" t="s">
        <v>2881</v>
      </c>
      <c r="V1949">
        <v>1</v>
      </c>
      <c r="AE1949" t="s">
        <v>74</v>
      </c>
      <c r="AF1949" t="s">
        <v>169</v>
      </c>
      <c r="AG1949" t="s">
        <v>19669</v>
      </c>
      <c r="AH1949" t="str">
        <f>HYPERLINK("http://compartments.jensenlab.org/Entity?figures=subcell_cell_%&amp;knowledge=10&amp;textmining=10&amp;experiments=10&amp;predictions=10&amp;type1=9606&amp;type2=-22&amp;id1=ENSP00000259362","link")</f>
        <v>link</v>
      </c>
      <c r="AI1949" t="s">
        <v>65</v>
      </c>
      <c r="AJ1949" t="s">
        <v>51</v>
      </c>
      <c r="AK1949" t="str">
        <f>HYPERLINK("http://www.proteinatlas.org/Q8NGT0","no")</f>
        <v>no</v>
      </c>
      <c r="AM1949">
        <v>286362</v>
      </c>
    </row>
    <row r="1950" spans="1:39" x14ac:dyDescent="0.35">
      <c r="A1950" t="s">
        <v>19670</v>
      </c>
      <c r="B1950" t="str">
        <f>HYPERLINK("http://www.uniprot.org/uniprot/Q8NGT1","Q8NGT1")</f>
        <v>Q8NGT1</v>
      </c>
      <c r="C1950" t="s">
        <v>19671</v>
      </c>
      <c r="D1950" t="s">
        <v>19672</v>
      </c>
      <c r="E1950" t="s">
        <v>39</v>
      </c>
      <c r="F1950" t="s">
        <v>55</v>
      </c>
      <c r="H1950">
        <v>345</v>
      </c>
      <c r="I1950">
        <v>7</v>
      </c>
      <c r="J1950">
        <v>0</v>
      </c>
      <c r="K1950" t="s">
        <v>19673</v>
      </c>
      <c r="L1950" t="s">
        <v>57</v>
      </c>
      <c r="M1950" t="s">
        <v>39</v>
      </c>
      <c r="N1950">
        <v>0.99450000000000005</v>
      </c>
      <c r="O1950" s="1">
        <v>1</v>
      </c>
      <c r="P1950" t="s">
        <v>19674</v>
      </c>
      <c r="Q1950" t="s">
        <v>19675</v>
      </c>
      <c r="S1950" t="s">
        <v>166</v>
      </c>
      <c r="T1950" t="s">
        <v>167</v>
      </c>
      <c r="U1950" t="s">
        <v>19676</v>
      </c>
      <c r="V1950">
        <v>3</v>
      </c>
      <c r="AE1950" t="s">
        <v>74</v>
      </c>
      <c r="AF1950" t="s">
        <v>549</v>
      </c>
      <c r="AG1950" t="s">
        <v>19677</v>
      </c>
      <c r="AH1950" t="str">
        <f>HYPERLINK("http://compartments.jensenlab.org/Entity?figures=subcell_cell_%&amp;knowledge=10&amp;textmining=10&amp;experiments=10&amp;predictions=10&amp;type1=9606&amp;type2=-22&amp;id1=ENSP00000305055","link")</f>
        <v>link</v>
      </c>
      <c r="AI1950" t="s">
        <v>65</v>
      </c>
      <c r="AJ1950" t="s">
        <v>51</v>
      </c>
      <c r="AK1950" t="str">
        <f>HYPERLINK("http://www.proteinatlas.org/Q8NGT1","HPA024261")</f>
        <v>HPA024261</v>
      </c>
      <c r="AM1950">
        <v>26248</v>
      </c>
    </row>
    <row r="1951" spans="1:39" x14ac:dyDescent="0.35">
      <c r="A1951" t="s">
        <v>19678</v>
      </c>
      <c r="B1951" t="str">
        <f>HYPERLINK("http://www.uniprot.org/uniprot/Q8NGT2","Q8NGT2")</f>
        <v>Q8NGT2</v>
      </c>
      <c r="C1951" t="s">
        <v>19679</v>
      </c>
      <c r="D1951" t="s">
        <v>19680</v>
      </c>
      <c r="E1951" t="s">
        <v>39</v>
      </c>
      <c r="F1951" t="s">
        <v>55</v>
      </c>
      <c r="H1951">
        <v>312</v>
      </c>
      <c r="I1951">
        <v>7</v>
      </c>
      <c r="J1951">
        <v>0</v>
      </c>
      <c r="K1951" t="s">
        <v>19681</v>
      </c>
      <c r="L1951" t="s">
        <v>57</v>
      </c>
      <c r="N1951">
        <v>0.87229999999999996</v>
      </c>
      <c r="O1951" s="1">
        <v>1</v>
      </c>
      <c r="P1951" t="s">
        <v>19682</v>
      </c>
      <c r="Q1951" t="s">
        <v>19683</v>
      </c>
      <c r="S1951" t="s">
        <v>166</v>
      </c>
      <c r="T1951" t="s">
        <v>167</v>
      </c>
      <c r="U1951" t="s">
        <v>19684</v>
      </c>
      <c r="V1951">
        <v>2</v>
      </c>
      <c r="AE1951" t="s">
        <v>74</v>
      </c>
      <c r="AF1951" t="s">
        <v>169</v>
      </c>
      <c r="AG1951" t="s">
        <v>19685</v>
      </c>
      <c r="AH1951" t="str">
        <f>HYPERLINK("http://compartments.jensenlab.org/Entity?figures=subcell_cell_%&amp;knowledge=10&amp;textmining=10&amp;experiments=10&amp;predictions=10&amp;type1=9606&amp;type2=-22&amp;id1=ENSP00000367219","link")</f>
        <v>link</v>
      </c>
      <c r="AI1951" t="s">
        <v>65</v>
      </c>
      <c r="AJ1951" t="s">
        <v>51</v>
      </c>
      <c r="AK1951" t="str">
        <f>HYPERLINK("http://www.proteinatlas.org/Q8NGT2","no")</f>
        <v>no</v>
      </c>
      <c r="AM1951">
        <v>392309</v>
      </c>
    </row>
    <row r="1952" spans="1:39" x14ac:dyDescent="0.35">
      <c r="A1952" t="s">
        <v>19686</v>
      </c>
      <c r="B1952" t="str">
        <f>HYPERLINK("http://www.uniprot.org/uniprot/Q8NGT5","Q8NGT5")</f>
        <v>Q8NGT5</v>
      </c>
      <c r="C1952" t="s">
        <v>19687</v>
      </c>
      <c r="D1952" t="s">
        <v>19688</v>
      </c>
      <c r="E1952" t="s">
        <v>39</v>
      </c>
      <c r="F1952" t="s">
        <v>55</v>
      </c>
      <c r="H1952">
        <v>310</v>
      </c>
      <c r="I1952">
        <v>7</v>
      </c>
      <c r="J1952">
        <v>0</v>
      </c>
      <c r="K1952" t="s">
        <v>19689</v>
      </c>
      <c r="L1952" t="s">
        <v>18901</v>
      </c>
      <c r="M1952" t="s">
        <v>39</v>
      </c>
      <c r="N1952">
        <v>0.9355</v>
      </c>
      <c r="O1952" s="1">
        <v>1</v>
      </c>
      <c r="P1952" t="s">
        <v>19690</v>
      </c>
      <c r="Q1952" t="s">
        <v>19691</v>
      </c>
      <c r="S1952" t="s">
        <v>166</v>
      </c>
      <c r="T1952" t="s">
        <v>167</v>
      </c>
      <c r="U1952" t="s">
        <v>19692</v>
      </c>
      <c r="V1952">
        <v>1</v>
      </c>
      <c r="AE1952" t="s">
        <v>74</v>
      </c>
      <c r="AF1952" t="s">
        <v>455</v>
      </c>
      <c r="AG1952" t="s">
        <v>19693</v>
      </c>
      <c r="AH1952" t="str">
        <f>HYPERLINK("http://compartments.jensenlab.org/Entity?figures=subcell_cell_%&amp;knowledge=10&amp;textmining=10&amp;experiments=10&amp;predictions=10&amp;type1=9606&amp;type2=-22&amp;id1=ENSP00000316518","link")</f>
        <v>link</v>
      </c>
      <c r="AI1952" t="s">
        <v>65</v>
      </c>
      <c r="AJ1952" t="s">
        <v>51</v>
      </c>
      <c r="AK1952" t="str">
        <f>HYPERLINK("http://www.proteinatlas.org/Q8NGT5","no")</f>
        <v>no</v>
      </c>
      <c r="AM1952">
        <v>135924</v>
      </c>
    </row>
    <row r="1953" spans="1:39" x14ac:dyDescent="0.35">
      <c r="A1953" t="s">
        <v>19694</v>
      </c>
      <c r="B1953" t="str">
        <f>HYPERLINK("http://www.uniprot.org/uniprot/Q8NGT7","Q8NGT7")</f>
        <v>Q8NGT7</v>
      </c>
      <c r="C1953" t="s">
        <v>19695</v>
      </c>
      <c r="D1953" t="s">
        <v>19696</v>
      </c>
      <c r="E1953" t="s">
        <v>39</v>
      </c>
      <c r="F1953" t="s">
        <v>55</v>
      </c>
      <c r="H1953">
        <v>310</v>
      </c>
      <c r="I1953">
        <v>7</v>
      </c>
      <c r="J1953">
        <v>0</v>
      </c>
      <c r="K1953" t="s">
        <v>19697</v>
      </c>
      <c r="L1953" t="s">
        <v>57</v>
      </c>
      <c r="N1953">
        <v>0.91620000000000001</v>
      </c>
      <c r="O1953" s="1">
        <v>1</v>
      </c>
      <c r="P1953" t="s">
        <v>19698</v>
      </c>
      <c r="Q1953" t="s">
        <v>19699</v>
      </c>
      <c r="S1953" t="s">
        <v>166</v>
      </c>
      <c r="T1953" t="s">
        <v>167</v>
      </c>
      <c r="U1953">
        <v>4</v>
      </c>
      <c r="V1953">
        <v>1</v>
      </c>
      <c r="AE1953" t="s">
        <v>74</v>
      </c>
      <c r="AF1953" t="s">
        <v>169</v>
      </c>
      <c r="AG1953" t="s">
        <v>19700</v>
      </c>
      <c r="AH1953" t="str">
        <f>HYPERLINK("http://compartments.jensenlab.org/Entity?figures=subcell_cell_%&amp;knowledge=10&amp;textmining=10&amp;experiments=10&amp;predictions=10&amp;type1=9606&amp;type2=-22&amp;id1=ENSP00000386174","link")</f>
        <v>link</v>
      </c>
      <c r="AI1953" t="s">
        <v>65</v>
      </c>
      <c r="AJ1953" t="s">
        <v>51</v>
      </c>
      <c r="AK1953" t="str">
        <f>HYPERLINK("http://www.proteinatlas.org/Q8NGT7","no")</f>
        <v>no</v>
      </c>
      <c r="AM1953">
        <v>346525</v>
      </c>
    </row>
    <row r="1954" spans="1:39" x14ac:dyDescent="0.35">
      <c r="A1954" t="s">
        <v>19701</v>
      </c>
      <c r="B1954" t="str">
        <f>HYPERLINK("http://www.uniprot.org/uniprot/Q8NGT9","Q8NGT9")</f>
        <v>Q8NGT9</v>
      </c>
      <c r="C1954" t="s">
        <v>19702</v>
      </c>
      <c r="D1954" t="s">
        <v>19703</v>
      </c>
      <c r="E1954" t="s">
        <v>39</v>
      </c>
      <c r="F1954" t="s">
        <v>55</v>
      </c>
      <c r="H1954">
        <v>310</v>
      </c>
      <c r="I1954">
        <v>7</v>
      </c>
      <c r="J1954">
        <v>0</v>
      </c>
      <c r="K1954" t="s">
        <v>19704</v>
      </c>
      <c r="L1954" t="s">
        <v>57</v>
      </c>
      <c r="N1954">
        <v>0.91220000000000001</v>
      </c>
      <c r="O1954" s="1">
        <v>1</v>
      </c>
      <c r="P1954" t="s">
        <v>19705</v>
      </c>
      <c r="Q1954" t="s">
        <v>19706</v>
      </c>
      <c r="S1954" t="s">
        <v>166</v>
      </c>
      <c r="T1954" t="s">
        <v>167</v>
      </c>
      <c r="U1954">
        <v>4</v>
      </c>
      <c r="V1954">
        <v>1</v>
      </c>
      <c r="AE1954" t="s">
        <v>74</v>
      </c>
      <c r="AF1954" t="s">
        <v>549</v>
      </c>
      <c r="AG1954" t="s">
        <v>19707</v>
      </c>
      <c r="AH1954" t="str">
        <f>HYPERLINK("http://compartments.jensenlab.org/Entity?figures=subcell_cell_%&amp;knowledge=10&amp;textmining=10&amp;experiments=10&amp;predictions=10&amp;type1=9606&amp;type2=-22&amp;id1=ENSP00000375334","link")</f>
        <v>link</v>
      </c>
      <c r="AI1954" t="s">
        <v>1364</v>
      </c>
      <c r="AJ1954" t="s">
        <v>1365</v>
      </c>
      <c r="AK1954" t="str">
        <f>HYPERLINK("http://www.proteinatlas.org/Q8NGT9","HPA058272;HPA058272")</f>
        <v>HPA058272;HPA058272</v>
      </c>
      <c r="AM1954" t="s">
        <v>19708</v>
      </c>
    </row>
    <row r="1955" spans="1:39" x14ac:dyDescent="0.35">
      <c r="A1955" t="s">
        <v>19709</v>
      </c>
      <c r="B1955" t="str">
        <f>HYPERLINK("http://www.uniprot.org/uniprot/Q8NGU1","Q8NGU1")</f>
        <v>Q8NGU1</v>
      </c>
      <c r="C1955" t="s">
        <v>19710</v>
      </c>
      <c r="D1955" t="s">
        <v>19711</v>
      </c>
      <c r="E1955" t="s">
        <v>39</v>
      </c>
      <c r="F1955" t="s">
        <v>40</v>
      </c>
      <c r="H1955">
        <v>263</v>
      </c>
      <c r="I1955">
        <v>6</v>
      </c>
      <c r="J1955">
        <v>0</v>
      </c>
      <c r="K1955" t="s">
        <v>19712</v>
      </c>
      <c r="L1955" t="s">
        <v>57</v>
      </c>
      <c r="N1955">
        <v>0.74450000000000005</v>
      </c>
      <c r="O1955" s="1">
        <v>2</v>
      </c>
      <c r="S1955" t="s">
        <v>166</v>
      </c>
      <c r="T1955" t="s">
        <v>2880</v>
      </c>
      <c r="U1955" t="s">
        <v>19713</v>
      </c>
      <c r="V1955">
        <v>1</v>
      </c>
      <c r="AE1955" t="s">
        <v>74</v>
      </c>
      <c r="AF1955" t="s">
        <v>277</v>
      </c>
      <c r="AG1955" t="s">
        <v>19714</v>
      </c>
      <c r="AK1955" t="str">
        <f>HYPERLINK("http://www.proteinatlas.org/Q8NGU1","no")</f>
        <v>no</v>
      </c>
    </row>
    <row r="1956" spans="1:39" x14ac:dyDescent="0.35">
      <c r="A1956" t="s">
        <v>19715</v>
      </c>
      <c r="B1956" t="str">
        <f>HYPERLINK("http://www.uniprot.org/uniprot/Q8NGU2","Q8NGU2")</f>
        <v>Q8NGU2</v>
      </c>
      <c r="C1956" t="s">
        <v>19716</v>
      </c>
      <c r="D1956" t="s">
        <v>19717</v>
      </c>
      <c r="E1956" t="s">
        <v>39</v>
      </c>
      <c r="F1956" t="s">
        <v>40</v>
      </c>
      <c r="H1956">
        <v>314</v>
      </c>
      <c r="I1956">
        <v>7</v>
      </c>
      <c r="J1956">
        <v>0</v>
      </c>
      <c r="K1956" t="s">
        <v>19718</v>
      </c>
      <c r="L1956" t="s">
        <v>57</v>
      </c>
      <c r="N1956">
        <v>0.98799999999999999</v>
      </c>
      <c r="O1956" s="1">
        <v>1</v>
      </c>
      <c r="P1956" t="s">
        <v>19719</v>
      </c>
      <c r="Q1956" t="s">
        <v>19720</v>
      </c>
      <c r="S1956" t="s">
        <v>166</v>
      </c>
      <c r="T1956" t="s">
        <v>167</v>
      </c>
      <c r="U1956" t="s">
        <v>19721</v>
      </c>
      <c r="V1956">
        <v>2</v>
      </c>
      <c r="AE1956" t="s">
        <v>74</v>
      </c>
      <c r="AF1956" t="s">
        <v>549</v>
      </c>
      <c r="AG1956" t="s">
        <v>19722</v>
      </c>
      <c r="AH1956" t="str">
        <f>HYPERLINK("http://compartments.jensenlab.org/Entity?figures=subcell_cell_%&amp;knowledge=10&amp;textmining=10&amp;experiments=10&amp;predictions=10&amp;type1=9606&amp;type2=-22&amp;id1=ENSP00000448789","link")</f>
        <v>link</v>
      </c>
      <c r="AK1956" t="str">
        <f>HYPERLINK("http://www.proteinatlas.org/Q8NGU2","no")</f>
        <v>no</v>
      </c>
      <c r="AM1956">
        <v>130075</v>
      </c>
    </row>
    <row r="1957" spans="1:39" x14ac:dyDescent="0.35">
      <c r="A1957" t="s">
        <v>19723</v>
      </c>
      <c r="B1957" t="str">
        <f>HYPERLINK("http://www.uniprot.org/uniprot/Q8NGU4","Q8NGU4")</f>
        <v>Q8NGU4</v>
      </c>
      <c r="C1957" t="s">
        <v>19724</v>
      </c>
      <c r="D1957" t="s">
        <v>19725</v>
      </c>
      <c r="E1957" t="s">
        <v>39</v>
      </c>
      <c r="F1957" t="s">
        <v>40</v>
      </c>
      <c r="H1957">
        <v>316</v>
      </c>
      <c r="I1957">
        <v>7</v>
      </c>
      <c r="J1957">
        <v>0</v>
      </c>
      <c r="K1957" t="s">
        <v>19726</v>
      </c>
      <c r="L1957" t="s">
        <v>57</v>
      </c>
      <c r="N1957">
        <v>0.72060000000000002</v>
      </c>
      <c r="O1957" s="1">
        <v>2</v>
      </c>
      <c r="S1957" t="s">
        <v>166</v>
      </c>
      <c r="T1957" t="s">
        <v>2880</v>
      </c>
      <c r="V1957">
        <v>0</v>
      </c>
      <c r="AE1957" t="s">
        <v>74</v>
      </c>
      <c r="AF1957" t="s">
        <v>277</v>
      </c>
      <c r="AG1957" t="s">
        <v>19727</v>
      </c>
      <c r="AK1957" t="str">
        <f>HYPERLINK("http://www.proteinatlas.org/Q8NGU4","no")</f>
        <v>no</v>
      </c>
    </row>
    <row r="1958" spans="1:39" x14ac:dyDescent="0.35">
      <c r="A1958" t="s">
        <v>19728</v>
      </c>
      <c r="B1958" t="str">
        <f>HYPERLINK("http://www.uniprot.org/uniprot/Q8NGU9","Q8NGU9")</f>
        <v>Q8NGU9</v>
      </c>
      <c r="C1958" t="s">
        <v>19729</v>
      </c>
      <c r="D1958" t="s">
        <v>19730</v>
      </c>
      <c r="E1958" t="s">
        <v>39</v>
      </c>
      <c r="F1958" t="s">
        <v>55</v>
      </c>
      <c r="H1958">
        <v>434</v>
      </c>
      <c r="I1958">
        <v>7</v>
      </c>
      <c r="J1958">
        <v>0</v>
      </c>
      <c r="K1958" t="s">
        <v>19731</v>
      </c>
      <c r="L1958" t="s">
        <v>57</v>
      </c>
      <c r="M1958" t="s">
        <v>39</v>
      </c>
      <c r="N1958">
        <v>0.60360000000000003</v>
      </c>
      <c r="O1958" s="1">
        <v>2</v>
      </c>
      <c r="P1958" t="s">
        <v>19732</v>
      </c>
      <c r="Q1958" t="s">
        <v>19733</v>
      </c>
      <c r="S1958" t="s">
        <v>166</v>
      </c>
      <c r="T1958" t="s">
        <v>838</v>
      </c>
      <c r="U1958" t="s">
        <v>19734</v>
      </c>
      <c r="V1958">
        <v>0</v>
      </c>
      <c r="AE1958" t="s">
        <v>74</v>
      </c>
      <c r="AF1958" t="s">
        <v>839</v>
      </c>
      <c r="AG1958" t="s">
        <v>19735</v>
      </c>
      <c r="AH1958" t="str">
        <f>HYPERLINK("http://compartments.jensenlab.org/Entity?figures=subcell_cell_%&amp;knowledge=10&amp;textmining=10&amp;experiments=10&amp;predictions=10&amp;type1=9606&amp;type2=-22&amp;id1=ENSP00000369344","link")</f>
        <v>link</v>
      </c>
      <c r="AI1958" t="s">
        <v>65</v>
      </c>
      <c r="AJ1958" t="s">
        <v>51</v>
      </c>
      <c r="AK1958" t="str">
        <f>HYPERLINK("http://www.proteinatlas.org/Q8NGU9","HPA026635")</f>
        <v>HPA026635</v>
      </c>
      <c r="AM1958">
        <v>285601</v>
      </c>
    </row>
    <row r="1959" spans="1:39" x14ac:dyDescent="0.35">
      <c r="A1959" t="s">
        <v>19736</v>
      </c>
      <c r="B1959" t="str">
        <f>HYPERLINK("http://www.uniprot.org/uniprot/Q8NGV0","Q8NGV0")</f>
        <v>Q8NGV0</v>
      </c>
      <c r="C1959" t="s">
        <v>19737</v>
      </c>
      <c r="D1959" t="s">
        <v>19738</v>
      </c>
      <c r="E1959" t="s">
        <v>39</v>
      </c>
      <c r="F1959" t="s">
        <v>55</v>
      </c>
      <c r="H1959">
        <v>311</v>
      </c>
      <c r="I1959">
        <v>7</v>
      </c>
      <c r="J1959">
        <v>0</v>
      </c>
      <c r="K1959" t="s">
        <v>19739</v>
      </c>
      <c r="L1959" t="s">
        <v>57</v>
      </c>
      <c r="M1959" t="s">
        <v>39</v>
      </c>
      <c r="N1959">
        <v>0.91920000000000002</v>
      </c>
      <c r="O1959" s="1">
        <v>1</v>
      </c>
      <c r="P1959" t="s">
        <v>19740</v>
      </c>
      <c r="Q1959" t="s">
        <v>19741</v>
      </c>
      <c r="S1959" t="s">
        <v>166</v>
      </c>
      <c r="T1959" t="s">
        <v>167</v>
      </c>
      <c r="U1959" t="s">
        <v>19742</v>
      </c>
      <c r="V1959">
        <v>2</v>
      </c>
      <c r="AE1959" t="s">
        <v>74</v>
      </c>
      <c r="AF1959" t="s">
        <v>169</v>
      </c>
      <c r="AG1959" t="s">
        <v>19743</v>
      </c>
      <c r="AH1959" t="str">
        <f>HYPERLINK("http://compartments.jensenlab.org/Entity?figures=subcell_cell_%&amp;knowledge=10&amp;textmining=10&amp;experiments=10&amp;predictions=10&amp;type1=9606&amp;type2=-22&amp;id1=ENSP00000312403","link")</f>
        <v>link</v>
      </c>
      <c r="AI1959" t="s">
        <v>65</v>
      </c>
      <c r="AJ1959" t="s">
        <v>51</v>
      </c>
      <c r="AK1959" t="str">
        <f>HYPERLINK("http://www.proteinatlas.org/Q8NGV0","no")</f>
        <v>no</v>
      </c>
      <c r="AM1959">
        <v>134083</v>
      </c>
    </row>
    <row r="1960" spans="1:39" x14ac:dyDescent="0.35">
      <c r="A1960" t="s">
        <v>19744</v>
      </c>
      <c r="B1960" t="str">
        <f>HYPERLINK("http://www.uniprot.org/uniprot/Q8NGV5","Q8NGV5")</f>
        <v>Q8NGV5</v>
      </c>
      <c r="C1960" t="s">
        <v>19745</v>
      </c>
      <c r="D1960" t="s">
        <v>19746</v>
      </c>
      <c r="E1960" t="s">
        <v>39</v>
      </c>
      <c r="F1960" t="s">
        <v>55</v>
      </c>
      <c r="H1960">
        <v>346</v>
      </c>
      <c r="I1960">
        <v>7</v>
      </c>
      <c r="J1960">
        <v>0</v>
      </c>
      <c r="K1960" t="s">
        <v>19747</v>
      </c>
      <c r="L1960" t="s">
        <v>57</v>
      </c>
      <c r="M1960" t="s">
        <v>39</v>
      </c>
      <c r="N1960">
        <v>0.99399999999999999</v>
      </c>
      <c r="O1960" s="1">
        <v>1</v>
      </c>
      <c r="P1960" t="s">
        <v>19748</v>
      </c>
      <c r="Q1960" t="s">
        <v>19749</v>
      </c>
      <c r="S1960" t="s">
        <v>166</v>
      </c>
      <c r="T1960" t="s">
        <v>167</v>
      </c>
      <c r="U1960" t="s">
        <v>19750</v>
      </c>
      <c r="V1960">
        <v>3</v>
      </c>
      <c r="AE1960" t="s">
        <v>74</v>
      </c>
      <c r="AF1960" t="s">
        <v>169</v>
      </c>
      <c r="AG1960" t="s">
        <v>19751</v>
      </c>
      <c r="AH1960" t="str">
        <f>HYPERLINK("http://compartments.jensenlab.org/Entity?figures=subcell_cell_%&amp;knowledge=10&amp;textmining=10&amp;experiments=10&amp;predictions=10&amp;type1=9606&amp;type2=-22&amp;id1=ENSP00000317357","link")</f>
        <v>link</v>
      </c>
      <c r="AI1960" t="s">
        <v>65</v>
      </c>
      <c r="AJ1960" t="s">
        <v>51</v>
      </c>
      <c r="AK1960" t="str">
        <f>HYPERLINK("http://www.proteinatlas.org/Q8NGV5","HPA055921")</f>
        <v>HPA055921</v>
      </c>
      <c r="AM1960">
        <v>286365</v>
      </c>
    </row>
    <row r="1961" spans="1:39" x14ac:dyDescent="0.35">
      <c r="A1961" t="s">
        <v>19752</v>
      </c>
      <c r="B1961" t="str">
        <f>HYPERLINK("http://www.uniprot.org/uniprot/Q8NGV6","Q8NGV6")</f>
        <v>Q8NGV6</v>
      </c>
      <c r="C1961" t="s">
        <v>19753</v>
      </c>
      <c r="D1961" t="s">
        <v>19754</v>
      </c>
      <c r="E1961" t="s">
        <v>39</v>
      </c>
      <c r="F1961" t="s">
        <v>55</v>
      </c>
      <c r="H1961">
        <v>325</v>
      </c>
      <c r="I1961">
        <v>7</v>
      </c>
      <c r="J1961">
        <v>0</v>
      </c>
      <c r="K1961" t="s">
        <v>19755</v>
      </c>
      <c r="L1961" t="s">
        <v>57</v>
      </c>
      <c r="M1961" t="s">
        <v>39</v>
      </c>
      <c r="N1961">
        <v>0.94220000000000004</v>
      </c>
      <c r="O1961" s="1">
        <v>1</v>
      </c>
      <c r="P1961" t="s">
        <v>19756</v>
      </c>
      <c r="Q1961" t="s">
        <v>19757</v>
      </c>
      <c r="S1961" t="s">
        <v>166</v>
      </c>
      <c r="T1961" t="s">
        <v>167</v>
      </c>
      <c r="U1961">
        <v>21</v>
      </c>
      <c r="V1961">
        <v>1</v>
      </c>
      <c r="AE1961" t="s">
        <v>74</v>
      </c>
      <c r="AF1961" t="s">
        <v>169</v>
      </c>
      <c r="AG1961" t="s">
        <v>19758</v>
      </c>
      <c r="AH1961" t="str">
        <f>HYPERLINK("http://compartments.jensenlab.org/Entity?figures=subcell_cell_%&amp;knowledge=10&amp;textmining=10&amp;experiments=10&amp;predictions=10&amp;type1=9606&amp;type2=-22&amp;id1=ENSP00000373196","link")</f>
        <v>link</v>
      </c>
      <c r="AI1961" t="s">
        <v>65</v>
      </c>
      <c r="AJ1961" t="s">
        <v>51</v>
      </c>
      <c r="AK1961" t="str">
        <f>HYPERLINK("http://www.proteinatlas.org/Q8NGV6","no")</f>
        <v>no</v>
      </c>
      <c r="AM1961">
        <v>79295</v>
      </c>
    </row>
    <row r="1962" spans="1:39" x14ac:dyDescent="0.35">
      <c r="A1962" t="s">
        <v>19759</v>
      </c>
      <c r="B1962" t="str">
        <f>HYPERLINK("http://www.uniprot.org/uniprot/Q8NGV7","Q8NGV7")</f>
        <v>Q8NGV7</v>
      </c>
      <c r="C1962" t="s">
        <v>19760</v>
      </c>
      <c r="D1962" t="s">
        <v>19761</v>
      </c>
      <c r="E1962" t="s">
        <v>39</v>
      </c>
      <c r="F1962" t="s">
        <v>55</v>
      </c>
      <c r="H1962">
        <v>314</v>
      </c>
      <c r="I1962">
        <v>7</v>
      </c>
      <c r="J1962">
        <v>0</v>
      </c>
      <c r="K1962" t="s">
        <v>19762</v>
      </c>
      <c r="L1962" t="s">
        <v>57</v>
      </c>
      <c r="N1962">
        <v>0.98799999999999999</v>
      </c>
      <c r="O1962" s="1">
        <v>1</v>
      </c>
      <c r="P1962" t="s">
        <v>19763</v>
      </c>
      <c r="Q1962" t="s">
        <v>19764</v>
      </c>
      <c r="S1962" t="s">
        <v>166</v>
      </c>
      <c r="T1962" t="s">
        <v>167</v>
      </c>
      <c r="U1962" t="s">
        <v>19765</v>
      </c>
      <c r="V1962">
        <v>1</v>
      </c>
      <c r="AE1962" t="s">
        <v>74</v>
      </c>
      <c r="AF1962" t="s">
        <v>169</v>
      </c>
      <c r="AG1962" t="s">
        <v>19766</v>
      </c>
      <c r="AH1962" t="str">
        <f>HYPERLINK("http://compartments.jensenlab.org/Entity?figures=subcell_cell_%&amp;knowledge=10&amp;textmining=10&amp;experiments=10&amp;predictions=10&amp;type1=9606&amp;type2=-22&amp;id1=ENSP00000347418","link")</f>
        <v>link</v>
      </c>
      <c r="AI1962" t="s">
        <v>65</v>
      </c>
      <c r="AJ1962" t="s">
        <v>51</v>
      </c>
      <c r="AK1962" t="str">
        <f>HYPERLINK("http://www.proteinatlas.org/Q8NGV7","no")</f>
        <v>no</v>
      </c>
      <c r="AM1962">
        <v>79310</v>
      </c>
    </row>
    <row r="1963" spans="1:39" x14ac:dyDescent="0.35">
      <c r="A1963" t="s">
        <v>19767</v>
      </c>
      <c r="B1963" t="str">
        <f>HYPERLINK("http://www.uniprot.org/uniprot/Q8NGW1","Q8NGW1")</f>
        <v>Q8NGW1</v>
      </c>
      <c r="C1963" t="s">
        <v>19768</v>
      </c>
      <c r="D1963" t="s">
        <v>19769</v>
      </c>
      <c r="E1963" t="s">
        <v>39</v>
      </c>
      <c r="F1963" t="s">
        <v>55</v>
      </c>
      <c r="H1963">
        <v>331</v>
      </c>
      <c r="I1963">
        <v>7</v>
      </c>
      <c r="J1963">
        <v>0</v>
      </c>
      <c r="K1963" t="s">
        <v>19770</v>
      </c>
      <c r="L1963" t="s">
        <v>57</v>
      </c>
      <c r="M1963" t="s">
        <v>39</v>
      </c>
      <c r="N1963">
        <v>0.90559999999999996</v>
      </c>
      <c r="O1963" s="1">
        <v>1</v>
      </c>
      <c r="P1963" t="s">
        <v>19771</v>
      </c>
      <c r="Q1963" t="s">
        <v>19772</v>
      </c>
      <c r="S1963" t="s">
        <v>166</v>
      </c>
      <c r="T1963" t="s">
        <v>167</v>
      </c>
      <c r="U1963">
        <v>5</v>
      </c>
      <c r="V1963">
        <v>1</v>
      </c>
      <c r="AE1963" t="s">
        <v>74</v>
      </c>
      <c r="AF1963" t="s">
        <v>169</v>
      </c>
      <c r="AG1963" t="s">
        <v>19773</v>
      </c>
      <c r="AH1963" t="str">
        <f>HYPERLINK("http://compartments.jensenlab.org/Entity?figures=subcell_cell_%&amp;knowledge=10&amp;textmining=10&amp;experiments=10&amp;predictions=10&amp;type1=9606&amp;type2=-22&amp;id1=ENSP00000322435","link")</f>
        <v>link</v>
      </c>
      <c r="AI1963" t="s">
        <v>65</v>
      </c>
      <c r="AJ1963" t="s">
        <v>51</v>
      </c>
      <c r="AK1963" t="str">
        <f>HYPERLINK("http://www.proteinatlas.org/Q8NGW1","HPA047529")</f>
        <v>HPA047529</v>
      </c>
      <c r="AM1963">
        <v>150681</v>
      </c>
    </row>
    <row r="1964" spans="1:39" x14ac:dyDescent="0.35">
      <c r="A1964" t="s">
        <v>19774</v>
      </c>
      <c r="B1964" t="str">
        <f>HYPERLINK("http://www.uniprot.org/uniprot/Q8NGW6","Q8NGW6")</f>
        <v>Q8NGW6</v>
      </c>
      <c r="C1964" t="s">
        <v>19775</v>
      </c>
      <c r="D1964" t="s">
        <v>19776</v>
      </c>
      <c r="E1964" t="s">
        <v>39</v>
      </c>
      <c r="F1964" t="s">
        <v>55</v>
      </c>
      <c r="H1964">
        <v>343</v>
      </c>
      <c r="I1964">
        <v>7</v>
      </c>
      <c r="J1964">
        <v>0</v>
      </c>
      <c r="K1964" t="s">
        <v>19777</v>
      </c>
      <c r="L1964" t="s">
        <v>57</v>
      </c>
      <c r="M1964" t="s">
        <v>39</v>
      </c>
      <c r="N1964">
        <v>0.90759999999999996</v>
      </c>
      <c r="O1964" s="1">
        <v>1</v>
      </c>
      <c r="P1964" t="s">
        <v>19778</v>
      </c>
      <c r="Q1964" t="s">
        <v>19779</v>
      </c>
      <c r="S1964" t="s">
        <v>166</v>
      </c>
      <c r="T1964" t="s">
        <v>167</v>
      </c>
      <c r="U1964">
        <v>33</v>
      </c>
      <c r="V1964">
        <v>1</v>
      </c>
      <c r="AE1964" t="s">
        <v>74</v>
      </c>
      <c r="AF1964" t="s">
        <v>169</v>
      </c>
      <c r="AG1964" t="s">
        <v>19780</v>
      </c>
      <c r="AH1964" t="str">
        <f>HYPERLINK("http://compartments.jensenlab.org/Entity?figures=subcell_cell_%&amp;knowledge=10&amp;textmining=10&amp;experiments=10&amp;predictions=10&amp;type1=9606&amp;type2=-22&amp;id1=ENSP00000357126","link")</f>
        <v>link</v>
      </c>
      <c r="AI1964" t="s">
        <v>65</v>
      </c>
      <c r="AJ1964" t="s">
        <v>51</v>
      </c>
      <c r="AK1964" t="str">
        <f>HYPERLINK("http://www.proteinatlas.org/Q8NGW6","no")</f>
        <v>no</v>
      </c>
      <c r="AM1964">
        <v>128371</v>
      </c>
    </row>
    <row r="1965" spans="1:39" x14ac:dyDescent="0.35">
      <c r="A1965" t="s">
        <v>19781</v>
      </c>
      <c r="B1965" t="str">
        <f>HYPERLINK("http://www.uniprot.org/uniprot/Q8NGX0","Q8NGX0")</f>
        <v>Q8NGX0</v>
      </c>
      <c r="C1965" t="s">
        <v>19782</v>
      </c>
      <c r="D1965" t="s">
        <v>19783</v>
      </c>
      <c r="E1965" t="s">
        <v>39</v>
      </c>
      <c r="F1965" t="s">
        <v>55</v>
      </c>
      <c r="H1965">
        <v>322</v>
      </c>
      <c r="I1965">
        <v>7</v>
      </c>
      <c r="J1965">
        <v>0</v>
      </c>
      <c r="K1965" t="s">
        <v>19784</v>
      </c>
      <c r="L1965" t="s">
        <v>57</v>
      </c>
      <c r="M1965" t="s">
        <v>39</v>
      </c>
      <c r="N1965">
        <v>0.9778</v>
      </c>
      <c r="O1965" s="1">
        <v>1</v>
      </c>
      <c r="P1965" t="s">
        <v>19785</v>
      </c>
      <c r="Q1965" t="s">
        <v>19786</v>
      </c>
      <c r="S1965" t="s">
        <v>166</v>
      </c>
      <c r="T1965" t="s">
        <v>167</v>
      </c>
      <c r="U1965">
        <v>5</v>
      </c>
      <c r="V1965">
        <v>1</v>
      </c>
      <c r="AE1965" t="s">
        <v>74</v>
      </c>
      <c r="AF1965" t="s">
        <v>169</v>
      </c>
      <c r="AG1965" t="s">
        <v>19787</v>
      </c>
      <c r="AH1965" t="str">
        <f>HYPERLINK("http://compartments.jensenlab.org/Entity?figures=subcell_cell_%&amp;knowledge=10&amp;textmining=10&amp;experiments=10&amp;predictions=10&amp;type1=9606&amp;type2=-22&amp;id1=ENSP00000348033","link")</f>
        <v>link</v>
      </c>
      <c r="AI1965" t="s">
        <v>65</v>
      </c>
      <c r="AJ1965" t="s">
        <v>51</v>
      </c>
      <c r="AK1965" t="str">
        <f>HYPERLINK("http://www.proteinatlas.org/Q8NGX0","no")</f>
        <v>no</v>
      </c>
      <c r="AM1965">
        <v>391189</v>
      </c>
    </row>
    <row r="1966" spans="1:39" x14ac:dyDescent="0.35">
      <c r="A1966" t="s">
        <v>19788</v>
      </c>
      <c r="B1966" t="str">
        <f>HYPERLINK("http://www.uniprot.org/uniprot/Q8NGX1","Q8NGX1")</f>
        <v>Q8NGX1</v>
      </c>
      <c r="C1966" t="s">
        <v>19789</v>
      </c>
      <c r="D1966" t="s">
        <v>19790</v>
      </c>
      <c r="E1966" t="s">
        <v>39</v>
      </c>
      <c r="F1966" t="s">
        <v>55</v>
      </c>
      <c r="H1966">
        <v>318</v>
      </c>
      <c r="I1966">
        <v>7</v>
      </c>
      <c r="J1966">
        <v>0</v>
      </c>
      <c r="K1966" t="s">
        <v>19791</v>
      </c>
      <c r="L1966" t="s">
        <v>57</v>
      </c>
      <c r="M1966" t="s">
        <v>39</v>
      </c>
      <c r="N1966">
        <v>0.97060000000000002</v>
      </c>
      <c r="O1966" s="1">
        <v>1</v>
      </c>
      <c r="P1966" t="s">
        <v>19792</v>
      </c>
      <c r="Q1966" t="s">
        <v>19793</v>
      </c>
      <c r="S1966" t="s">
        <v>166</v>
      </c>
      <c r="T1966" t="s">
        <v>167</v>
      </c>
      <c r="U1966" t="s">
        <v>8052</v>
      </c>
      <c r="V1966">
        <v>2</v>
      </c>
      <c r="AE1966" t="s">
        <v>74</v>
      </c>
      <c r="AF1966" t="s">
        <v>169</v>
      </c>
      <c r="AG1966" t="s">
        <v>19794</v>
      </c>
      <c r="AH1966" t="str">
        <f>HYPERLINK("http://compartments.jensenlab.org/Entity?figures=subcell_cell_%&amp;knowledge=10&amp;textmining=10&amp;experiments=10&amp;predictions=10&amp;type1=9606&amp;type2=-22&amp;id1=ENSP00000330904","link")</f>
        <v>link</v>
      </c>
      <c r="AI1966" t="s">
        <v>65</v>
      </c>
      <c r="AJ1966" t="s">
        <v>51</v>
      </c>
      <c r="AK1966" t="str">
        <f>HYPERLINK("http://www.proteinatlas.org/Q8NGX1","no")</f>
        <v>no</v>
      </c>
      <c r="AM1966">
        <v>127068</v>
      </c>
    </row>
    <row r="1967" spans="1:39" x14ac:dyDescent="0.35">
      <c r="A1967" t="s">
        <v>19795</v>
      </c>
      <c r="B1967" t="str">
        <f>HYPERLINK("http://www.uniprot.org/uniprot/Q8NGX2","Q8NGX2")</f>
        <v>Q8NGX2</v>
      </c>
      <c r="C1967" t="s">
        <v>19796</v>
      </c>
      <c r="D1967" t="s">
        <v>19797</v>
      </c>
      <c r="E1967" t="s">
        <v>39</v>
      </c>
      <c r="F1967" t="s">
        <v>55</v>
      </c>
      <c r="H1967">
        <v>323</v>
      </c>
      <c r="I1967">
        <v>7</v>
      </c>
      <c r="J1967">
        <v>0</v>
      </c>
      <c r="K1967" t="s">
        <v>19798</v>
      </c>
      <c r="L1967" t="s">
        <v>57</v>
      </c>
      <c r="N1967">
        <v>1</v>
      </c>
      <c r="O1967" s="1">
        <v>1</v>
      </c>
      <c r="P1967" t="s">
        <v>19799</v>
      </c>
      <c r="Q1967" t="s">
        <v>19800</v>
      </c>
      <c r="S1967" t="s">
        <v>166</v>
      </c>
      <c r="T1967" t="s">
        <v>167</v>
      </c>
      <c r="U1967">
        <v>9</v>
      </c>
      <c r="V1967">
        <v>1</v>
      </c>
      <c r="AE1967" t="s">
        <v>74</v>
      </c>
      <c r="AF1967" t="s">
        <v>549</v>
      </c>
      <c r="AG1967" t="s">
        <v>19801</v>
      </c>
      <c r="AH1967" t="str">
        <f>HYPERLINK("http://compartments.jensenlab.org/Entity?figures=subcell_cell_%&amp;knowledge=10&amp;textmining=10&amp;experiments=10&amp;predictions=10&amp;type1=9606&amp;type2=-22&amp;id1=ENSP00000324369","link")</f>
        <v>link</v>
      </c>
      <c r="AI1967" t="s">
        <v>65</v>
      </c>
      <c r="AJ1967" t="s">
        <v>51</v>
      </c>
      <c r="AK1967" t="str">
        <f>HYPERLINK("http://www.proteinatlas.org/Q8NGX2","no")</f>
        <v>no</v>
      </c>
      <c r="AM1967">
        <v>403244</v>
      </c>
    </row>
    <row r="1968" spans="1:39" x14ac:dyDescent="0.35">
      <c r="A1968" t="s">
        <v>19802</v>
      </c>
      <c r="B1968" t="str">
        <f>HYPERLINK("http://www.uniprot.org/uniprot/Q8NGX3","Q8NGX3")</f>
        <v>Q8NGX3</v>
      </c>
      <c r="C1968" t="s">
        <v>19803</v>
      </c>
      <c r="D1968" t="s">
        <v>19804</v>
      </c>
      <c r="E1968" t="s">
        <v>39</v>
      </c>
      <c r="F1968" t="s">
        <v>55</v>
      </c>
      <c r="H1968">
        <v>314</v>
      </c>
      <c r="I1968">
        <v>7</v>
      </c>
      <c r="J1968">
        <v>0</v>
      </c>
      <c r="K1968" t="s">
        <v>19805</v>
      </c>
      <c r="L1968" t="s">
        <v>57</v>
      </c>
      <c r="M1968" t="s">
        <v>39</v>
      </c>
      <c r="N1968">
        <v>0.99490000000000001</v>
      </c>
      <c r="O1968" s="1">
        <v>1</v>
      </c>
      <c r="P1968" t="s">
        <v>19806</v>
      </c>
      <c r="Q1968" t="s">
        <v>19807</v>
      </c>
      <c r="S1968" t="s">
        <v>166</v>
      </c>
      <c r="T1968" t="s">
        <v>167</v>
      </c>
      <c r="U1968" t="s">
        <v>19808</v>
      </c>
      <c r="V1968">
        <v>1</v>
      </c>
      <c r="AE1968" t="s">
        <v>74</v>
      </c>
      <c r="AF1968" t="s">
        <v>169</v>
      </c>
      <c r="AG1968" t="s">
        <v>19809</v>
      </c>
      <c r="AH1968" t="str">
        <f>HYPERLINK("http://compartments.jensenlab.org/Entity?figures=subcell_cell_%&amp;knowledge=10&amp;textmining=10&amp;experiments=10&amp;predictions=10&amp;type1=9606&amp;type2=-22&amp;id1=ENSP00000334115","link")</f>
        <v>link</v>
      </c>
      <c r="AI1968" t="s">
        <v>65</v>
      </c>
      <c r="AJ1968" t="s">
        <v>51</v>
      </c>
      <c r="AK1968" t="str">
        <f>HYPERLINK("http://www.proteinatlas.org/Q8NGX3","no")</f>
        <v>no</v>
      </c>
      <c r="AM1968">
        <v>128360</v>
      </c>
    </row>
    <row r="1969" spans="1:39" x14ac:dyDescent="0.35">
      <c r="A1969" t="s">
        <v>19810</v>
      </c>
      <c r="B1969" t="str">
        <f>HYPERLINK("http://www.uniprot.org/uniprot/Q8NGX5","Q8NGX5")</f>
        <v>Q8NGX5</v>
      </c>
      <c r="C1969" t="s">
        <v>19811</v>
      </c>
      <c r="D1969" t="s">
        <v>19812</v>
      </c>
      <c r="E1969" t="s">
        <v>39</v>
      </c>
      <c r="F1969" t="s">
        <v>55</v>
      </c>
      <c r="H1969">
        <v>313</v>
      </c>
      <c r="I1969">
        <v>7</v>
      </c>
      <c r="J1969">
        <v>0</v>
      </c>
      <c r="K1969" t="s">
        <v>19813</v>
      </c>
      <c r="L1969" t="s">
        <v>57</v>
      </c>
      <c r="N1969">
        <v>0.92420000000000002</v>
      </c>
      <c r="O1969" s="1">
        <v>1</v>
      </c>
      <c r="P1969" t="s">
        <v>19814</v>
      </c>
      <c r="Q1969" t="s">
        <v>19815</v>
      </c>
      <c r="S1969" t="s">
        <v>166</v>
      </c>
      <c r="T1969" t="s">
        <v>167</v>
      </c>
      <c r="U1969" t="s">
        <v>15246</v>
      </c>
      <c r="V1969">
        <v>2</v>
      </c>
      <c r="AE1969" t="s">
        <v>74</v>
      </c>
      <c r="AF1969" t="s">
        <v>3091</v>
      </c>
      <c r="AG1969" t="s">
        <v>19816</v>
      </c>
      <c r="AH1969" t="str">
        <f>HYPERLINK("http://compartments.jensenlab.org/Entity?figures=subcell_cell_%&amp;knowledge=10&amp;textmining=10&amp;experiments=10&amp;predictions=10&amp;type1=9606&amp;type2=-22&amp;id1=ENSP00000289451","link")</f>
        <v>link</v>
      </c>
      <c r="AI1969" t="s">
        <v>65</v>
      </c>
      <c r="AJ1969" t="s">
        <v>51</v>
      </c>
      <c r="AK1969" t="str">
        <f>HYPERLINK("http://www.proteinatlas.org/Q8NGX5","HPA059125")</f>
        <v>HPA059125</v>
      </c>
      <c r="AM1969">
        <v>391109</v>
      </c>
    </row>
    <row r="1970" spans="1:39" x14ac:dyDescent="0.35">
      <c r="A1970" t="s">
        <v>19817</v>
      </c>
      <c r="B1970" t="str">
        <f>HYPERLINK("http://www.uniprot.org/uniprot/Q8NGX6","Q8NGX6")</f>
        <v>Q8NGX6</v>
      </c>
      <c r="C1970" t="s">
        <v>19818</v>
      </c>
      <c r="D1970" t="s">
        <v>19819</v>
      </c>
      <c r="E1970" t="s">
        <v>39</v>
      </c>
      <c r="F1970" t="s">
        <v>55</v>
      </c>
      <c r="H1970">
        <v>335</v>
      </c>
      <c r="I1970">
        <v>7</v>
      </c>
      <c r="J1970">
        <v>0</v>
      </c>
      <c r="K1970" t="s">
        <v>19820</v>
      </c>
      <c r="L1970" t="s">
        <v>57</v>
      </c>
      <c r="N1970">
        <v>0.99399999999999999</v>
      </c>
      <c r="O1970" s="1">
        <v>1</v>
      </c>
      <c r="P1970" t="s">
        <v>19821</v>
      </c>
      <c r="Q1970" t="s">
        <v>19822</v>
      </c>
      <c r="S1970" t="s">
        <v>166</v>
      </c>
      <c r="T1970" t="s">
        <v>167</v>
      </c>
      <c r="U1970" t="s">
        <v>19823</v>
      </c>
      <c r="V1970">
        <v>1</v>
      </c>
      <c r="AE1970" t="s">
        <v>74</v>
      </c>
      <c r="AF1970" t="s">
        <v>169</v>
      </c>
      <c r="AG1970" t="s">
        <v>19824</v>
      </c>
      <c r="AH1970" t="str">
        <f>HYPERLINK("http://compartments.jensenlab.org/Entity?figures=subcell_cell_%&amp;knowledge=10&amp;textmining=10&amp;experiments=10&amp;predictions=10&amp;type1=9606&amp;type2=-22&amp;id1=ENSP00000357134","link")</f>
        <v>link</v>
      </c>
      <c r="AI1970" t="s">
        <v>65</v>
      </c>
      <c r="AJ1970" t="s">
        <v>51</v>
      </c>
      <c r="AK1970" t="str">
        <f>HYPERLINK("http://www.proteinatlas.org/Q8NGX6","HPA059775;HPA060399")</f>
        <v>HPA059775;HPA060399</v>
      </c>
      <c r="AM1970">
        <v>343406</v>
      </c>
    </row>
    <row r="1971" spans="1:39" x14ac:dyDescent="0.35">
      <c r="A1971" t="s">
        <v>19825</v>
      </c>
      <c r="B1971" t="str">
        <f>HYPERLINK("http://www.uniprot.org/uniprot/Q8NGX8","Q8NGX8")</f>
        <v>Q8NGX8</v>
      </c>
      <c r="C1971" t="s">
        <v>19826</v>
      </c>
      <c r="D1971" t="s">
        <v>19827</v>
      </c>
      <c r="E1971" t="s">
        <v>39</v>
      </c>
      <c r="F1971" t="s">
        <v>55</v>
      </c>
      <c r="H1971">
        <v>325</v>
      </c>
      <c r="I1971">
        <v>7</v>
      </c>
      <c r="J1971">
        <v>0</v>
      </c>
      <c r="K1971" t="s">
        <v>19828</v>
      </c>
      <c r="L1971" t="s">
        <v>57</v>
      </c>
      <c r="M1971" t="s">
        <v>39</v>
      </c>
      <c r="N1971">
        <v>0.99460000000000004</v>
      </c>
      <c r="O1971" s="1">
        <v>1</v>
      </c>
      <c r="P1971" t="s">
        <v>19829</v>
      </c>
      <c r="Q1971" t="s">
        <v>19830</v>
      </c>
      <c r="S1971" t="s">
        <v>166</v>
      </c>
      <c r="T1971" t="s">
        <v>167</v>
      </c>
      <c r="U1971" t="s">
        <v>19831</v>
      </c>
      <c r="V1971">
        <v>2</v>
      </c>
      <c r="AE1971" t="s">
        <v>74</v>
      </c>
      <c r="AF1971" t="s">
        <v>169</v>
      </c>
      <c r="AG1971" t="s">
        <v>19832</v>
      </c>
      <c r="AH1971" t="str">
        <f>HYPERLINK("http://compartments.jensenlab.org/Entity?figures=subcell_cell_%&amp;knowledge=10&amp;textmining=10&amp;experiments=10&amp;predictions=10&amp;type1=9606&amp;type2=-22&amp;id1=ENSP00000304807","link")</f>
        <v>link</v>
      </c>
      <c r="AI1971" t="s">
        <v>65</v>
      </c>
      <c r="AJ1971" t="s">
        <v>51</v>
      </c>
      <c r="AK1971" t="str">
        <f>HYPERLINK("http://www.proteinatlas.org/Q8NGX8","no")</f>
        <v>no</v>
      </c>
      <c r="AM1971">
        <v>391112</v>
      </c>
    </row>
    <row r="1972" spans="1:39" x14ac:dyDescent="0.35">
      <c r="A1972" t="s">
        <v>19833</v>
      </c>
      <c r="B1972" t="str">
        <f>HYPERLINK("http://www.uniprot.org/uniprot/Q8NGX9","Q8NGX9")</f>
        <v>Q8NGX9</v>
      </c>
      <c r="C1972" t="s">
        <v>19834</v>
      </c>
      <c r="D1972" t="s">
        <v>19835</v>
      </c>
      <c r="E1972" t="s">
        <v>39</v>
      </c>
      <c r="F1972" t="s">
        <v>55</v>
      </c>
      <c r="H1972">
        <v>317</v>
      </c>
      <c r="I1972">
        <v>7</v>
      </c>
      <c r="J1972">
        <v>0</v>
      </c>
      <c r="K1972" t="s">
        <v>19836</v>
      </c>
      <c r="L1972" t="s">
        <v>57</v>
      </c>
      <c r="N1972">
        <v>0.98399999999999999</v>
      </c>
      <c r="O1972" s="1">
        <v>1</v>
      </c>
      <c r="P1972" t="s">
        <v>19837</v>
      </c>
      <c r="Q1972" t="s">
        <v>19838</v>
      </c>
      <c r="S1972" t="s">
        <v>166</v>
      </c>
      <c r="T1972" t="s">
        <v>167</v>
      </c>
      <c r="U1972" t="s">
        <v>19839</v>
      </c>
      <c r="V1972">
        <v>2</v>
      </c>
      <c r="AE1972" t="s">
        <v>74</v>
      </c>
      <c r="AF1972" t="s">
        <v>549</v>
      </c>
      <c r="AG1972" t="s">
        <v>19840</v>
      </c>
      <c r="AH1972" t="str">
        <f>HYPERLINK("http://compartments.jensenlab.org/Entity?figures=subcell_cell_%&amp;knowledge=10&amp;textmining=10&amp;experiments=10&amp;predictions=10&amp;type1=9606&amp;type2=-22&amp;id1=ENSP00000334721","link")</f>
        <v>link</v>
      </c>
      <c r="AI1972" t="s">
        <v>65</v>
      </c>
      <c r="AJ1972" t="s">
        <v>51</v>
      </c>
      <c r="AK1972" t="str">
        <f>HYPERLINK("http://www.proteinatlas.org/Q8NGX9","HPA047466")</f>
        <v>HPA047466</v>
      </c>
      <c r="AM1972">
        <v>128366</v>
      </c>
    </row>
    <row r="1973" spans="1:39" x14ac:dyDescent="0.35">
      <c r="A1973" t="s">
        <v>19841</v>
      </c>
      <c r="B1973" t="str">
        <f>HYPERLINK("http://www.uniprot.org/uniprot/Q8NGY0","Q8NGY0")</f>
        <v>Q8NGY0</v>
      </c>
      <c r="C1973" t="s">
        <v>19842</v>
      </c>
      <c r="D1973" t="s">
        <v>19843</v>
      </c>
      <c r="E1973" t="s">
        <v>39</v>
      </c>
      <c r="F1973" t="s">
        <v>55</v>
      </c>
      <c r="H1973">
        <v>326</v>
      </c>
      <c r="I1973">
        <v>7</v>
      </c>
      <c r="J1973">
        <v>0</v>
      </c>
      <c r="K1973" t="s">
        <v>19844</v>
      </c>
      <c r="L1973" t="s">
        <v>57</v>
      </c>
      <c r="M1973" t="s">
        <v>39</v>
      </c>
      <c r="N1973">
        <v>0.99460000000000004</v>
      </c>
      <c r="O1973" s="1">
        <v>1</v>
      </c>
      <c r="P1973" t="s">
        <v>19845</v>
      </c>
      <c r="Q1973" t="s">
        <v>19846</v>
      </c>
      <c r="S1973" t="s">
        <v>166</v>
      </c>
      <c r="T1973" t="s">
        <v>167</v>
      </c>
      <c r="U1973" t="s">
        <v>19847</v>
      </c>
      <c r="V1973">
        <v>2</v>
      </c>
      <c r="AE1973" t="s">
        <v>74</v>
      </c>
      <c r="AF1973" t="s">
        <v>169</v>
      </c>
      <c r="AG1973" t="s">
        <v>19848</v>
      </c>
      <c r="AH1973" t="str">
        <f>HYPERLINK("http://compartments.jensenlab.org/Entity?figures=subcell_cell_%&amp;knowledge=10&amp;textmining=10&amp;experiments=10&amp;predictions=10&amp;type1=9606&amp;type2=-22&amp;id1=ENSP00000357132","link")</f>
        <v>link</v>
      </c>
      <c r="AI1973" t="s">
        <v>65</v>
      </c>
      <c r="AJ1973" t="s">
        <v>51</v>
      </c>
      <c r="AK1973" t="str">
        <f>HYPERLINK("http://www.proteinatlas.org/Q8NGY0","HPA060990")</f>
        <v>HPA060990</v>
      </c>
      <c r="AM1973">
        <v>128367</v>
      </c>
    </row>
    <row r="1974" spans="1:39" x14ac:dyDescent="0.35">
      <c r="A1974" t="s">
        <v>19849</v>
      </c>
      <c r="B1974" t="str">
        <f>HYPERLINK("http://www.uniprot.org/uniprot/Q8NGY1","Q8NGY1")</f>
        <v>Q8NGY1</v>
      </c>
      <c r="C1974" t="s">
        <v>19850</v>
      </c>
      <c r="D1974" t="s">
        <v>19851</v>
      </c>
      <c r="E1974" t="s">
        <v>39</v>
      </c>
      <c r="F1974" t="s">
        <v>55</v>
      </c>
      <c r="H1974">
        <v>313</v>
      </c>
      <c r="I1974">
        <v>7</v>
      </c>
      <c r="J1974">
        <v>0</v>
      </c>
      <c r="K1974" t="s">
        <v>19852</v>
      </c>
      <c r="L1974" t="s">
        <v>57</v>
      </c>
      <c r="M1974" t="s">
        <v>39</v>
      </c>
      <c r="N1974">
        <v>0.8962</v>
      </c>
      <c r="O1974" s="1">
        <v>1</v>
      </c>
      <c r="P1974" t="s">
        <v>19853</v>
      </c>
      <c r="Q1974" t="s">
        <v>19854</v>
      </c>
      <c r="S1974" t="s">
        <v>166</v>
      </c>
      <c r="T1974" t="s">
        <v>167</v>
      </c>
      <c r="U1974">
        <v>5</v>
      </c>
      <c r="V1974">
        <v>1</v>
      </c>
      <c r="AE1974" t="s">
        <v>74</v>
      </c>
      <c r="AF1974" t="s">
        <v>169</v>
      </c>
      <c r="AG1974" t="s">
        <v>19855</v>
      </c>
      <c r="AH1974" t="str">
        <f>HYPERLINK("http://compartments.jensenlab.org/Entity?figures=subcell_cell_%&amp;knowledge=10&amp;textmining=10&amp;experiments=10&amp;predictions=10&amp;type1=9606&amp;type2=-22&amp;id1=ENSP00000354707","link")</f>
        <v>link</v>
      </c>
      <c r="AI1974" t="s">
        <v>65</v>
      </c>
      <c r="AJ1974" t="s">
        <v>51</v>
      </c>
      <c r="AK1974" t="str">
        <f>HYPERLINK("http://www.proteinatlas.org/Q8NGY1","HPA058072")</f>
        <v>HPA058072</v>
      </c>
      <c r="AM1974">
        <v>128368</v>
      </c>
    </row>
    <row r="1975" spans="1:39" x14ac:dyDescent="0.35">
      <c r="A1975" t="s">
        <v>19856</v>
      </c>
      <c r="B1975" t="str">
        <f>HYPERLINK("http://www.uniprot.org/uniprot/Q8NGY2","Q8NGY2")</f>
        <v>Q8NGY2</v>
      </c>
      <c r="C1975" t="s">
        <v>19857</v>
      </c>
      <c r="D1975" t="s">
        <v>19858</v>
      </c>
      <c r="E1975" t="s">
        <v>39</v>
      </c>
      <c r="F1975" t="s">
        <v>55</v>
      </c>
      <c r="H1975">
        <v>324</v>
      </c>
      <c r="I1975">
        <v>7</v>
      </c>
      <c r="J1975">
        <v>0</v>
      </c>
      <c r="K1975" t="s">
        <v>19859</v>
      </c>
      <c r="L1975" t="s">
        <v>57</v>
      </c>
      <c r="M1975" t="s">
        <v>39</v>
      </c>
      <c r="N1975">
        <v>0.93479999999999996</v>
      </c>
      <c r="O1975" s="1">
        <v>1</v>
      </c>
      <c r="P1975" t="s">
        <v>19860</v>
      </c>
      <c r="Q1975" t="s">
        <v>19861</v>
      </c>
      <c r="S1975" t="s">
        <v>166</v>
      </c>
      <c r="T1975" t="s">
        <v>167</v>
      </c>
      <c r="U1975">
        <v>5</v>
      </c>
      <c r="V1975">
        <v>1</v>
      </c>
      <c r="AE1975" t="s">
        <v>74</v>
      </c>
      <c r="AF1975" t="s">
        <v>169</v>
      </c>
      <c r="AG1975" t="s">
        <v>19862</v>
      </c>
      <c r="AH1975" t="str">
        <f>HYPERLINK("http://compartments.jensenlab.org/Entity?figures=subcell_cell_%&amp;knowledge=10&amp;textmining=10&amp;experiments=10&amp;predictions=10&amp;type1=9606&amp;type2=-22&amp;id1=ENSP00000352626","link")</f>
        <v>link</v>
      </c>
      <c r="AI1975" t="s">
        <v>65</v>
      </c>
      <c r="AJ1975" t="s">
        <v>51</v>
      </c>
      <c r="AK1975" t="str">
        <f>HYPERLINK("http://www.proteinatlas.org/Q8NGY2","no")</f>
        <v>no</v>
      </c>
      <c r="AM1975">
        <v>81448</v>
      </c>
    </row>
    <row r="1976" spans="1:39" x14ac:dyDescent="0.35">
      <c r="A1976" t="s">
        <v>19863</v>
      </c>
      <c r="B1976" t="str">
        <f>HYPERLINK("http://www.uniprot.org/uniprot/Q8NGY3","Q8NGY3")</f>
        <v>Q8NGY3</v>
      </c>
      <c r="C1976" t="s">
        <v>19864</v>
      </c>
      <c r="D1976" t="s">
        <v>19865</v>
      </c>
      <c r="E1976" t="s">
        <v>39</v>
      </c>
      <c r="F1976" t="s">
        <v>55</v>
      </c>
      <c r="H1976">
        <v>331</v>
      </c>
      <c r="I1976">
        <v>7</v>
      </c>
      <c r="J1976">
        <v>0</v>
      </c>
      <c r="K1976" t="s">
        <v>19866</v>
      </c>
      <c r="L1976" t="s">
        <v>57</v>
      </c>
      <c r="N1976">
        <v>0.88619999999999999</v>
      </c>
      <c r="O1976" s="1">
        <v>1</v>
      </c>
      <c r="P1976" t="s">
        <v>19867</v>
      </c>
      <c r="Q1976" t="s">
        <v>19868</v>
      </c>
      <c r="S1976" t="s">
        <v>166</v>
      </c>
      <c r="T1976" t="s">
        <v>167</v>
      </c>
      <c r="U1976">
        <v>21</v>
      </c>
      <c r="V1976">
        <v>1</v>
      </c>
      <c r="AE1976" t="s">
        <v>74</v>
      </c>
      <c r="AF1976" t="s">
        <v>169</v>
      </c>
      <c r="AG1976" t="s">
        <v>19869</v>
      </c>
      <c r="AH1976" t="str">
        <f>HYPERLINK("http://compartments.jensenlab.org/Entity?figures=subcell_cell_%&amp;knowledge=10&amp;textmining=10&amp;experiments=10&amp;predictions=10&amp;type1=9606&amp;type2=-22&amp;id1=ENSP00000357127","link")</f>
        <v>link</v>
      </c>
      <c r="AI1976" t="s">
        <v>65</v>
      </c>
      <c r="AJ1976" t="s">
        <v>51</v>
      </c>
      <c r="AK1976" t="str">
        <f>HYPERLINK("http://www.proteinatlas.org/Q8NGY3","HPA055949")</f>
        <v>HPA055949</v>
      </c>
      <c r="AM1976">
        <v>391114</v>
      </c>
    </row>
    <row r="1977" spans="1:39" x14ac:dyDescent="0.35">
      <c r="A1977" t="s">
        <v>19870</v>
      </c>
      <c r="B1977" t="str">
        <f>HYPERLINK("http://www.uniprot.org/uniprot/Q8NGY5","Q8NGY5")</f>
        <v>Q8NGY5</v>
      </c>
      <c r="C1977" t="s">
        <v>19871</v>
      </c>
      <c r="D1977" t="s">
        <v>19872</v>
      </c>
      <c r="E1977" t="s">
        <v>39</v>
      </c>
      <c r="F1977" t="s">
        <v>55</v>
      </c>
      <c r="H1977">
        <v>312</v>
      </c>
      <c r="I1977">
        <v>7</v>
      </c>
      <c r="J1977">
        <v>0</v>
      </c>
      <c r="K1977" t="s">
        <v>19873</v>
      </c>
      <c r="L1977" t="s">
        <v>57</v>
      </c>
      <c r="N1977">
        <v>0.87429999999999997</v>
      </c>
      <c r="O1977" s="1">
        <v>1</v>
      </c>
      <c r="P1977" t="s">
        <v>19874</v>
      </c>
      <c r="Q1977" t="s">
        <v>19875</v>
      </c>
      <c r="S1977" t="s">
        <v>166</v>
      </c>
      <c r="T1977" t="s">
        <v>167</v>
      </c>
      <c r="U1977">
        <v>5</v>
      </c>
      <c r="V1977">
        <v>1</v>
      </c>
      <c r="AE1977" t="s">
        <v>74</v>
      </c>
      <c r="AF1977" t="s">
        <v>169</v>
      </c>
      <c r="AG1977" t="s">
        <v>19876</v>
      </c>
      <c r="AH1977" t="str">
        <f>HYPERLINK("http://compartments.jensenlab.org/Entity?figures=subcell_cell_%&amp;knowledge=10&amp;textmining=10&amp;experiments=10&amp;predictions=10&amp;type1=9606&amp;type2=-22&amp;id1=ENSP00000335535","link")</f>
        <v>link</v>
      </c>
      <c r="AI1977" t="s">
        <v>65</v>
      </c>
      <c r="AJ1977" t="s">
        <v>51</v>
      </c>
      <c r="AK1977" t="str">
        <f>HYPERLINK("http://www.proteinatlas.org/Q8NGY5","no")</f>
        <v>no</v>
      </c>
      <c r="AM1977">
        <v>128372</v>
      </c>
    </row>
    <row r="1978" spans="1:39" x14ac:dyDescent="0.35">
      <c r="A1978" t="s">
        <v>19877</v>
      </c>
      <c r="B1978" t="str">
        <f>HYPERLINK("http://www.uniprot.org/uniprot/Q8NGY6","Q8NGY6")</f>
        <v>Q8NGY6</v>
      </c>
      <c r="C1978" t="s">
        <v>19878</v>
      </c>
      <c r="D1978" t="s">
        <v>19879</v>
      </c>
      <c r="E1978" t="s">
        <v>39</v>
      </c>
      <c r="F1978" t="s">
        <v>55</v>
      </c>
      <c r="H1978">
        <v>317</v>
      </c>
      <c r="I1978">
        <v>7</v>
      </c>
      <c r="J1978">
        <v>0</v>
      </c>
      <c r="K1978" t="s">
        <v>19880</v>
      </c>
      <c r="L1978" t="s">
        <v>57</v>
      </c>
      <c r="M1978" t="s">
        <v>39</v>
      </c>
      <c r="N1978">
        <v>0.91359999999999997</v>
      </c>
      <c r="O1978" s="1">
        <v>1</v>
      </c>
      <c r="P1978" t="s">
        <v>19881</v>
      </c>
      <c r="Q1978" t="s">
        <v>19882</v>
      </c>
      <c r="S1978" t="s">
        <v>166</v>
      </c>
      <c r="T1978" t="s">
        <v>167</v>
      </c>
      <c r="U1978">
        <v>5</v>
      </c>
      <c r="V1978">
        <v>1</v>
      </c>
      <c r="AE1978" t="s">
        <v>74</v>
      </c>
      <c r="AF1978" t="s">
        <v>169</v>
      </c>
      <c r="AG1978" t="s">
        <v>19883</v>
      </c>
      <c r="AH1978" t="str">
        <f>HYPERLINK("http://compartments.jensenlab.org/Entity?figures=subcell_cell_%&amp;knowledge=10&amp;textmining=10&amp;experiments=10&amp;predictions=10&amp;type1=9606&amp;type2=-22&amp;id1=ENSP00000344101","link")</f>
        <v>link</v>
      </c>
      <c r="AI1978" t="s">
        <v>65</v>
      </c>
      <c r="AJ1978" t="s">
        <v>51</v>
      </c>
      <c r="AK1978" t="str">
        <f>HYPERLINK("http://www.proteinatlas.org/Q8NGY6","HPA056637")</f>
        <v>HPA056637</v>
      </c>
      <c r="AM1978">
        <v>81442</v>
      </c>
    </row>
    <row r="1979" spans="1:39" x14ac:dyDescent="0.35">
      <c r="A1979" t="s">
        <v>19884</v>
      </c>
      <c r="B1979" t="str">
        <f>HYPERLINK("http://www.uniprot.org/uniprot/Q8NGY7","Q8NGY7")</f>
        <v>Q8NGY7</v>
      </c>
      <c r="C1979" t="s">
        <v>19885</v>
      </c>
      <c r="D1979" t="s">
        <v>19886</v>
      </c>
      <c r="E1979" t="s">
        <v>39</v>
      </c>
      <c r="F1979" t="s">
        <v>40</v>
      </c>
      <c r="H1979">
        <v>276</v>
      </c>
      <c r="I1979">
        <v>6</v>
      </c>
      <c r="J1979">
        <v>0</v>
      </c>
      <c r="K1979" t="s">
        <v>19887</v>
      </c>
      <c r="L1979" t="s">
        <v>19888</v>
      </c>
      <c r="N1979">
        <v>0.58679999999999999</v>
      </c>
      <c r="O1979" s="1">
        <v>2</v>
      </c>
      <c r="S1979" t="s">
        <v>166</v>
      </c>
      <c r="T1979" t="s">
        <v>2880</v>
      </c>
      <c r="U1979" t="s">
        <v>19889</v>
      </c>
      <c r="V1979">
        <v>2</v>
      </c>
      <c r="AE1979" t="s">
        <v>74</v>
      </c>
      <c r="AF1979" t="s">
        <v>549</v>
      </c>
      <c r="AG1979" t="s">
        <v>19890</v>
      </c>
      <c r="AK1979" t="str">
        <f>HYPERLINK("http://www.proteinatlas.org/Q8NGY7","no")</f>
        <v>no</v>
      </c>
    </row>
    <row r="1980" spans="1:39" x14ac:dyDescent="0.35">
      <c r="A1980" t="s">
        <v>19891</v>
      </c>
      <c r="B1980" t="str">
        <f>HYPERLINK("http://www.uniprot.org/uniprot/Q8NGY9","Q8NGY9")</f>
        <v>Q8NGY9</v>
      </c>
      <c r="C1980" t="s">
        <v>19892</v>
      </c>
      <c r="D1980" t="s">
        <v>19893</v>
      </c>
      <c r="E1980" t="s">
        <v>39</v>
      </c>
      <c r="F1980" t="s">
        <v>55</v>
      </c>
      <c r="H1980">
        <v>312</v>
      </c>
      <c r="I1980">
        <v>7</v>
      </c>
      <c r="J1980">
        <v>0</v>
      </c>
      <c r="K1980" t="s">
        <v>19894</v>
      </c>
      <c r="L1980" t="s">
        <v>57</v>
      </c>
      <c r="N1980">
        <v>1</v>
      </c>
      <c r="O1980" s="1">
        <v>1</v>
      </c>
      <c r="P1980" t="s">
        <v>19895</v>
      </c>
      <c r="Q1980" t="s">
        <v>19896</v>
      </c>
      <c r="S1980" t="s">
        <v>166</v>
      </c>
      <c r="T1980" t="s">
        <v>167</v>
      </c>
      <c r="U1980" t="s">
        <v>18587</v>
      </c>
      <c r="V1980">
        <v>2</v>
      </c>
      <c r="AE1980" t="s">
        <v>74</v>
      </c>
      <c r="AF1980" t="s">
        <v>169</v>
      </c>
      <c r="AG1980" t="s">
        <v>19897</v>
      </c>
      <c r="AH1980" t="str">
        <f>HYPERLINK("http://compartments.jensenlab.org/Entity?figures=subcell_cell_%&amp;knowledge=10&amp;textmining=10&amp;experiments=10&amp;predictions=10&amp;type1=9606&amp;type2=-22&amp;id1=ENSP00000349719","link")</f>
        <v>link</v>
      </c>
      <c r="AI1980" t="s">
        <v>65</v>
      </c>
      <c r="AJ1980" t="s">
        <v>51</v>
      </c>
      <c r="AK1980" t="str">
        <f>HYPERLINK("http://www.proteinatlas.org/Q8NGY9","no")</f>
        <v>no</v>
      </c>
      <c r="AM1980">
        <v>391190</v>
      </c>
    </row>
    <row r="1981" spans="1:39" x14ac:dyDescent="0.35">
      <c r="A1981" t="s">
        <v>19898</v>
      </c>
      <c r="B1981" t="str">
        <f>HYPERLINK("http://www.uniprot.org/uniprot/Q8NGZ0","Q8NGZ0")</f>
        <v>Q8NGZ0</v>
      </c>
      <c r="C1981" t="s">
        <v>19899</v>
      </c>
      <c r="D1981" t="s">
        <v>19900</v>
      </c>
      <c r="E1981" t="s">
        <v>39</v>
      </c>
      <c r="F1981" t="s">
        <v>55</v>
      </c>
      <c r="H1981">
        <v>328</v>
      </c>
      <c r="I1981">
        <v>7</v>
      </c>
      <c r="J1981">
        <v>0</v>
      </c>
      <c r="K1981" t="s">
        <v>19901</v>
      </c>
      <c r="L1981" t="s">
        <v>57</v>
      </c>
      <c r="M1981" t="s">
        <v>39</v>
      </c>
      <c r="N1981">
        <v>0.9718</v>
      </c>
      <c r="O1981" s="1">
        <v>1</v>
      </c>
      <c r="P1981" t="s">
        <v>19902</v>
      </c>
      <c r="Q1981" t="s">
        <v>19903</v>
      </c>
      <c r="S1981" t="s">
        <v>166</v>
      </c>
      <c r="T1981" t="s">
        <v>167</v>
      </c>
      <c r="U1981" t="s">
        <v>18645</v>
      </c>
      <c r="V1981">
        <v>1</v>
      </c>
      <c r="AE1981" t="s">
        <v>74</v>
      </c>
      <c r="AF1981" t="s">
        <v>549</v>
      </c>
      <c r="AG1981" t="s">
        <v>19904</v>
      </c>
      <c r="AH1981" t="str">
        <f>HYPERLINK("http://compartments.jensenlab.org/Entity?figures=subcell_cell_%&amp;knowledge=10&amp;textmining=10&amp;experiments=10&amp;predictions=10&amp;type1=9606&amp;type2=-22&amp;id1=ENSP00000325078","link")</f>
        <v>link</v>
      </c>
      <c r="AI1981" t="s">
        <v>65</v>
      </c>
      <c r="AJ1981" t="s">
        <v>51</v>
      </c>
      <c r="AK1981" t="str">
        <f>HYPERLINK("http://www.proteinatlas.org/Q8NGZ0","no")</f>
        <v>no</v>
      </c>
    </row>
    <row r="1982" spans="1:39" x14ac:dyDescent="0.35">
      <c r="A1982" t="s">
        <v>19905</v>
      </c>
      <c r="B1982" t="str">
        <f>HYPERLINK("http://www.uniprot.org/uniprot/Q8NGZ2","Q8NGZ2")</f>
        <v>Q8NGZ2</v>
      </c>
      <c r="C1982" t="s">
        <v>19906</v>
      </c>
      <c r="D1982" t="s">
        <v>19907</v>
      </c>
      <c r="E1982" t="s">
        <v>39</v>
      </c>
      <c r="F1982" t="s">
        <v>55</v>
      </c>
      <c r="H1982">
        <v>314</v>
      </c>
      <c r="I1982">
        <v>7</v>
      </c>
      <c r="J1982">
        <v>0</v>
      </c>
      <c r="K1982" t="s">
        <v>19908</v>
      </c>
      <c r="L1982" t="s">
        <v>57</v>
      </c>
      <c r="M1982" t="s">
        <v>39</v>
      </c>
      <c r="N1982">
        <v>0.96220000000000006</v>
      </c>
      <c r="O1982" s="1">
        <v>1</v>
      </c>
      <c r="P1982" t="s">
        <v>19909</v>
      </c>
      <c r="Q1982" t="s">
        <v>19910</v>
      </c>
      <c r="S1982" t="s">
        <v>166</v>
      </c>
      <c r="T1982" t="s">
        <v>167</v>
      </c>
      <c r="U1982">
        <v>3</v>
      </c>
      <c r="V1982">
        <v>1</v>
      </c>
      <c r="AE1982" t="s">
        <v>74</v>
      </c>
      <c r="AF1982" t="s">
        <v>549</v>
      </c>
      <c r="AG1982" t="s">
        <v>19911</v>
      </c>
      <c r="AH1982" t="str">
        <f>HYPERLINK("http://compartments.jensenlab.org/Entity?figures=subcell_cell_%&amp;knowledge=10&amp;textmining=10&amp;experiments=10&amp;predictions=10&amp;type1=9606&amp;type2=-22&amp;id1=ENSP00000283225","link")</f>
        <v>link</v>
      </c>
      <c r="AI1982" t="s">
        <v>65</v>
      </c>
      <c r="AJ1982" t="s">
        <v>51</v>
      </c>
      <c r="AK1982" t="str">
        <f>HYPERLINK("http://www.proteinatlas.org/Q8NGZ2","HPA016643")</f>
        <v>HPA016643</v>
      </c>
    </row>
    <row r="1983" spans="1:39" x14ac:dyDescent="0.35">
      <c r="A1983" t="s">
        <v>19912</v>
      </c>
      <c r="B1983" t="str">
        <f>HYPERLINK("http://www.uniprot.org/uniprot/Q8NGZ3","Q8NGZ3")</f>
        <v>Q8NGZ3</v>
      </c>
      <c r="C1983" t="s">
        <v>19913</v>
      </c>
      <c r="D1983" t="s">
        <v>19914</v>
      </c>
      <c r="E1983" t="s">
        <v>39</v>
      </c>
      <c r="F1983" t="s">
        <v>55</v>
      </c>
      <c r="H1983">
        <v>307</v>
      </c>
      <c r="I1983">
        <v>7</v>
      </c>
      <c r="J1983">
        <v>0</v>
      </c>
      <c r="K1983" t="s">
        <v>19915</v>
      </c>
      <c r="L1983" t="s">
        <v>57</v>
      </c>
      <c r="M1983" t="s">
        <v>39</v>
      </c>
      <c r="N1983">
        <v>0.96940000000000004</v>
      </c>
      <c r="O1983" s="1">
        <v>1</v>
      </c>
      <c r="P1983" t="s">
        <v>19916</v>
      </c>
      <c r="Q1983" t="s">
        <v>19917</v>
      </c>
      <c r="S1983" t="s">
        <v>166</v>
      </c>
      <c r="T1983" t="s">
        <v>167</v>
      </c>
      <c r="U1983" t="s">
        <v>19918</v>
      </c>
      <c r="V1983">
        <v>1</v>
      </c>
      <c r="AE1983" t="s">
        <v>74</v>
      </c>
      <c r="AF1983" t="s">
        <v>169</v>
      </c>
      <c r="AG1983" t="s">
        <v>19919</v>
      </c>
      <c r="AH1983" t="str">
        <f>HYPERLINK("http://compartments.jensenlab.org/Entity?figures=subcell_cell_%&amp;knowledge=10&amp;textmining=10&amp;experiments=10&amp;predictions=10&amp;type1=9606&amp;type2=-22&amp;id1=ENSP00000352717","link")</f>
        <v>link</v>
      </c>
      <c r="AI1983" t="s">
        <v>65</v>
      </c>
      <c r="AJ1983" t="s">
        <v>51</v>
      </c>
      <c r="AK1983" t="str">
        <f>HYPERLINK("http://www.proteinatlas.org/Q8NGZ3","no")</f>
        <v>no</v>
      </c>
      <c r="AM1983">
        <v>441933</v>
      </c>
    </row>
    <row r="1984" spans="1:39" x14ac:dyDescent="0.35">
      <c r="A1984" t="s">
        <v>19920</v>
      </c>
      <c r="B1984" t="str">
        <f>HYPERLINK("http://www.uniprot.org/uniprot/Q8NGZ4","Q8NGZ4")</f>
        <v>Q8NGZ4</v>
      </c>
      <c r="C1984" t="s">
        <v>19921</v>
      </c>
      <c r="D1984" t="s">
        <v>19922</v>
      </c>
      <c r="E1984" t="s">
        <v>39</v>
      </c>
      <c r="F1984" t="s">
        <v>55</v>
      </c>
      <c r="H1984">
        <v>309</v>
      </c>
      <c r="I1984">
        <v>7</v>
      </c>
      <c r="J1984">
        <v>0</v>
      </c>
      <c r="K1984" t="s">
        <v>19923</v>
      </c>
      <c r="L1984" t="s">
        <v>57</v>
      </c>
      <c r="M1984" t="s">
        <v>39</v>
      </c>
      <c r="N1984">
        <v>0.98329999999999995</v>
      </c>
      <c r="O1984" s="1">
        <v>1</v>
      </c>
      <c r="P1984" t="s">
        <v>19924</v>
      </c>
      <c r="Q1984" t="s">
        <v>19925</v>
      </c>
      <c r="S1984" t="s">
        <v>166</v>
      </c>
      <c r="T1984" t="s">
        <v>167</v>
      </c>
      <c r="U1984" t="s">
        <v>2881</v>
      </c>
      <c r="V1984">
        <v>1</v>
      </c>
      <c r="AE1984" t="s">
        <v>74</v>
      </c>
      <c r="AF1984" t="s">
        <v>169</v>
      </c>
      <c r="AG1984" t="s">
        <v>19926</v>
      </c>
      <c r="AH1984" t="str">
        <f>HYPERLINK("http://compartments.jensenlab.org/Entity?figures=subcell_cell_%&amp;knowledge=10&amp;textmining=10&amp;experiments=10&amp;predictions=10&amp;type1=9606&amp;type2=-22&amp;id1=ENSP00000326301","link")</f>
        <v>link</v>
      </c>
      <c r="AI1984" t="s">
        <v>65</v>
      </c>
      <c r="AJ1984" t="s">
        <v>51</v>
      </c>
      <c r="AK1984" t="str">
        <f>HYPERLINK("http://www.proteinatlas.org/Q8NGZ4","no")</f>
        <v>no</v>
      </c>
      <c r="AM1984">
        <v>81469</v>
      </c>
    </row>
    <row r="1985" spans="1:39" x14ac:dyDescent="0.35">
      <c r="A1985" t="s">
        <v>19927</v>
      </c>
      <c r="B1985" t="str">
        <f>HYPERLINK("http://www.uniprot.org/uniprot/Q8NGZ5","Q8NGZ5")</f>
        <v>Q8NGZ5</v>
      </c>
      <c r="C1985" t="s">
        <v>19928</v>
      </c>
      <c r="D1985" t="s">
        <v>19929</v>
      </c>
      <c r="E1985" t="s">
        <v>39</v>
      </c>
      <c r="F1985" t="s">
        <v>55</v>
      </c>
      <c r="H1985">
        <v>317</v>
      </c>
      <c r="I1985">
        <v>7</v>
      </c>
      <c r="J1985">
        <v>0</v>
      </c>
      <c r="K1985" t="s">
        <v>19930</v>
      </c>
      <c r="L1985" t="s">
        <v>57</v>
      </c>
      <c r="M1985" t="s">
        <v>39</v>
      </c>
      <c r="N1985">
        <v>0.78769999999999996</v>
      </c>
      <c r="O1985" s="1">
        <v>1</v>
      </c>
      <c r="P1985" t="s">
        <v>19931</v>
      </c>
      <c r="Q1985" t="s">
        <v>19932</v>
      </c>
      <c r="S1985" t="s">
        <v>166</v>
      </c>
      <c r="T1985" t="s">
        <v>167</v>
      </c>
      <c r="U1985" t="s">
        <v>19933</v>
      </c>
      <c r="V1985">
        <v>1</v>
      </c>
      <c r="AE1985" t="s">
        <v>74</v>
      </c>
      <c r="AF1985" t="s">
        <v>169</v>
      </c>
      <c r="AG1985" t="s">
        <v>19934</v>
      </c>
      <c r="AH1985" t="str">
        <f>HYPERLINK("http://compartments.jensenlab.org/Entity?figures=subcell_cell_%&amp;knowledge=10&amp;textmining=10&amp;experiments=10&amp;predictions=10&amp;type1=9606&amp;type2=-22&amp;id1=ENSP00000326349","link")</f>
        <v>link</v>
      </c>
      <c r="AI1985" t="s">
        <v>65</v>
      </c>
      <c r="AJ1985" t="s">
        <v>51</v>
      </c>
      <c r="AK1985" t="str">
        <f>HYPERLINK("http://www.proteinatlas.org/Q8NGZ5","no")</f>
        <v>no</v>
      </c>
      <c r="AM1985">
        <v>81470</v>
      </c>
    </row>
    <row r="1986" spans="1:39" x14ac:dyDescent="0.35">
      <c r="A1986" t="s">
        <v>19935</v>
      </c>
      <c r="B1986" t="str">
        <f>HYPERLINK("http://www.uniprot.org/uniprot/Q8NGZ6","Q8NGZ6")</f>
        <v>Q8NGZ6</v>
      </c>
      <c r="C1986" t="s">
        <v>19936</v>
      </c>
      <c r="D1986" t="s">
        <v>19937</v>
      </c>
      <c r="E1986" t="s">
        <v>39</v>
      </c>
      <c r="F1986" t="s">
        <v>55</v>
      </c>
      <c r="H1986">
        <v>308</v>
      </c>
      <c r="I1986">
        <v>7</v>
      </c>
      <c r="J1986">
        <v>0</v>
      </c>
      <c r="K1986" t="s">
        <v>19938</v>
      </c>
      <c r="L1986" t="s">
        <v>57</v>
      </c>
      <c r="M1986" t="s">
        <v>39</v>
      </c>
      <c r="N1986">
        <v>1</v>
      </c>
      <c r="O1986" s="1">
        <v>1</v>
      </c>
      <c r="P1986" t="s">
        <v>19939</v>
      </c>
      <c r="Q1986" t="s">
        <v>19940</v>
      </c>
      <c r="S1986" t="s">
        <v>166</v>
      </c>
      <c r="T1986" t="s">
        <v>167</v>
      </c>
      <c r="U1986" t="s">
        <v>1191</v>
      </c>
      <c r="V1986">
        <v>1</v>
      </c>
      <c r="AE1986" t="s">
        <v>74</v>
      </c>
      <c r="AF1986" t="s">
        <v>169</v>
      </c>
      <c r="AG1986" t="s">
        <v>19941</v>
      </c>
      <c r="AH1986" t="str">
        <f>HYPERLINK("http://compartments.jensenlab.org/Entity?figures=subcell_cell_%&amp;knowledge=10&amp;textmining=10&amp;experiments=10&amp;predictions=10&amp;type1=9606&amp;type2=-22&amp;id1=ENSP00000305640","link")</f>
        <v>link</v>
      </c>
      <c r="AI1986" t="s">
        <v>65</v>
      </c>
      <c r="AJ1986" t="s">
        <v>51</v>
      </c>
      <c r="AK1986" t="str">
        <f>HYPERLINK("http://www.proteinatlas.org/Q8NGZ6","no")</f>
        <v>no</v>
      </c>
      <c r="AM1986">
        <v>343169</v>
      </c>
    </row>
    <row r="1987" spans="1:39" x14ac:dyDescent="0.35">
      <c r="A1987" t="s">
        <v>19942</v>
      </c>
      <c r="B1987" t="str">
        <f>HYPERLINK("http://www.uniprot.org/uniprot/Q8NGZ9","Q8NGZ9")</f>
        <v>Q8NGZ9</v>
      </c>
      <c r="C1987" t="s">
        <v>19943</v>
      </c>
      <c r="D1987" t="s">
        <v>19944</v>
      </c>
      <c r="E1987" t="s">
        <v>39</v>
      </c>
      <c r="F1987" t="s">
        <v>55</v>
      </c>
      <c r="H1987">
        <v>312</v>
      </c>
      <c r="I1987">
        <v>7</v>
      </c>
      <c r="J1987">
        <v>0</v>
      </c>
      <c r="K1987" t="s">
        <v>19945</v>
      </c>
      <c r="L1987" t="s">
        <v>57</v>
      </c>
      <c r="M1987" t="s">
        <v>39</v>
      </c>
      <c r="N1987">
        <v>0.97470000000000001</v>
      </c>
      <c r="O1987" s="1">
        <v>1</v>
      </c>
      <c r="P1987" t="s">
        <v>19946</v>
      </c>
      <c r="Q1987" t="s">
        <v>19947</v>
      </c>
      <c r="S1987" t="s">
        <v>166</v>
      </c>
      <c r="T1987" t="s">
        <v>167</v>
      </c>
      <c r="U1987" t="s">
        <v>16503</v>
      </c>
      <c r="V1987">
        <v>1</v>
      </c>
      <c r="AE1987" t="s">
        <v>74</v>
      </c>
      <c r="AF1987" t="s">
        <v>549</v>
      </c>
      <c r="AG1987" t="s">
        <v>19948</v>
      </c>
      <c r="AH1987" t="str">
        <f>HYPERLINK("http://compartments.jensenlab.org/Entity?figures=subcell_cell_%&amp;knowledge=10&amp;textmining=10&amp;experiments=10&amp;predictions=10&amp;type1=9606&amp;type2=-22&amp;id1=ENSP00000329210","link")</f>
        <v>link</v>
      </c>
      <c r="AI1987" t="s">
        <v>65</v>
      </c>
      <c r="AJ1987" t="s">
        <v>51</v>
      </c>
      <c r="AK1987" t="str">
        <f>HYPERLINK("http://www.proteinatlas.org/Q8NGZ9","HPA052019")</f>
        <v>HPA052019</v>
      </c>
      <c r="AM1987">
        <v>127069</v>
      </c>
    </row>
    <row r="1988" spans="1:39" x14ac:dyDescent="0.35">
      <c r="A1988" t="s">
        <v>19949</v>
      </c>
      <c r="B1988" t="str">
        <f>HYPERLINK("http://www.uniprot.org/uniprot/Q8NH00","Q8NH00")</f>
        <v>Q8NH00</v>
      </c>
      <c r="C1988" t="s">
        <v>19950</v>
      </c>
      <c r="D1988" t="s">
        <v>19951</v>
      </c>
      <c r="E1988" t="s">
        <v>39</v>
      </c>
      <c r="F1988" t="s">
        <v>55</v>
      </c>
      <c r="H1988">
        <v>348</v>
      </c>
      <c r="I1988">
        <v>7</v>
      </c>
      <c r="J1988">
        <v>0</v>
      </c>
      <c r="K1988" t="s">
        <v>19952</v>
      </c>
      <c r="L1988" t="s">
        <v>57</v>
      </c>
      <c r="M1988" t="s">
        <v>39</v>
      </c>
      <c r="N1988">
        <v>0.95950000000000002</v>
      </c>
      <c r="O1988" s="1">
        <v>1</v>
      </c>
      <c r="P1988" t="s">
        <v>19953</v>
      </c>
      <c r="Q1988" t="s">
        <v>19954</v>
      </c>
      <c r="S1988" t="s">
        <v>166</v>
      </c>
      <c r="T1988" t="s">
        <v>167</v>
      </c>
      <c r="U1988" t="s">
        <v>19955</v>
      </c>
      <c r="V1988">
        <v>4</v>
      </c>
      <c r="AE1988" t="s">
        <v>74</v>
      </c>
      <c r="AF1988" t="s">
        <v>169</v>
      </c>
      <c r="AG1988" t="s">
        <v>19956</v>
      </c>
      <c r="AH1988" t="str">
        <f>HYPERLINK("http://compartments.jensenlab.org/Entity?figures=subcell_cell_%&amp;knowledge=10&amp;textmining=10&amp;experiments=10&amp;predictions=10&amp;type1=9606&amp;type2=-22&amp;id1=ENSP00000355431","link")</f>
        <v>link</v>
      </c>
      <c r="AI1988" t="s">
        <v>65</v>
      </c>
      <c r="AJ1988" t="s">
        <v>51</v>
      </c>
      <c r="AK1988" t="str">
        <f>HYPERLINK("http://www.proteinatlas.org/Q8NH00","no")</f>
        <v>no</v>
      </c>
      <c r="AM1988">
        <v>127074</v>
      </c>
    </row>
    <row r="1989" spans="1:39" x14ac:dyDescent="0.35">
      <c r="A1989" t="s">
        <v>19957</v>
      </c>
      <c r="B1989" t="str">
        <f>HYPERLINK("http://www.uniprot.org/uniprot/Q8NH01","Q8NH01")</f>
        <v>Q8NH01</v>
      </c>
      <c r="C1989" t="s">
        <v>19958</v>
      </c>
      <c r="D1989" t="s">
        <v>19959</v>
      </c>
      <c r="E1989" t="s">
        <v>39</v>
      </c>
      <c r="F1989" t="s">
        <v>55</v>
      </c>
      <c r="H1989">
        <v>316</v>
      </c>
      <c r="I1989">
        <v>7</v>
      </c>
      <c r="J1989">
        <v>0</v>
      </c>
      <c r="K1989" t="s">
        <v>19960</v>
      </c>
      <c r="L1989" t="s">
        <v>57</v>
      </c>
      <c r="M1989" t="s">
        <v>39</v>
      </c>
      <c r="N1989">
        <v>1</v>
      </c>
      <c r="O1989" s="1">
        <v>1</v>
      </c>
      <c r="P1989" t="s">
        <v>19961</v>
      </c>
      <c r="Q1989" t="s">
        <v>19962</v>
      </c>
      <c r="S1989" t="s">
        <v>166</v>
      </c>
      <c r="T1989" t="s">
        <v>167</v>
      </c>
      <c r="U1989">
        <v>3</v>
      </c>
      <c r="V1989">
        <v>1</v>
      </c>
      <c r="AE1989" t="s">
        <v>74</v>
      </c>
      <c r="AF1989" t="s">
        <v>169</v>
      </c>
      <c r="AG1989" t="s">
        <v>19963</v>
      </c>
      <c r="AH1989" t="str">
        <f>HYPERLINK("http://compartments.jensenlab.org/Entity?figures=subcell_cell_%&amp;knowledge=10&amp;textmining=10&amp;experiments=10&amp;predictions=10&amp;type1=9606&amp;type2=-22&amp;id1=ENSP00000328934","link")</f>
        <v>link</v>
      </c>
      <c r="AI1989" t="s">
        <v>65</v>
      </c>
      <c r="AJ1989" t="s">
        <v>51</v>
      </c>
      <c r="AK1989" t="str">
        <f>HYPERLINK("http://www.proteinatlas.org/Q8NH01","HPA047416")</f>
        <v>HPA047416</v>
      </c>
      <c r="AM1989">
        <v>127077</v>
      </c>
    </row>
    <row r="1990" spans="1:39" x14ac:dyDescent="0.35">
      <c r="A1990" t="s">
        <v>19964</v>
      </c>
      <c r="B1990" t="str">
        <f>HYPERLINK("http://www.uniprot.org/uniprot/Q8NH02","Q8NH02")</f>
        <v>Q8NH02</v>
      </c>
      <c r="C1990" t="s">
        <v>19965</v>
      </c>
      <c r="D1990" t="s">
        <v>19966</v>
      </c>
      <c r="E1990" t="s">
        <v>39</v>
      </c>
      <c r="F1990" t="s">
        <v>55</v>
      </c>
      <c r="H1990">
        <v>315</v>
      </c>
      <c r="I1990">
        <v>7</v>
      </c>
      <c r="J1990">
        <v>0</v>
      </c>
      <c r="K1990" t="s">
        <v>15206</v>
      </c>
      <c r="L1990" t="s">
        <v>57</v>
      </c>
      <c r="N1990">
        <v>0.996</v>
      </c>
      <c r="O1990" s="1">
        <v>1</v>
      </c>
      <c r="P1990" t="s">
        <v>19967</v>
      </c>
      <c r="Q1990" t="s">
        <v>19968</v>
      </c>
      <c r="S1990" t="s">
        <v>166</v>
      </c>
      <c r="T1990" t="s">
        <v>167</v>
      </c>
      <c r="U1990" t="s">
        <v>15209</v>
      </c>
      <c r="V1990">
        <v>2</v>
      </c>
      <c r="AE1990" t="s">
        <v>74</v>
      </c>
      <c r="AF1990" t="s">
        <v>549</v>
      </c>
      <c r="AG1990" t="s">
        <v>19969</v>
      </c>
      <c r="AH1990" t="str">
        <f>HYPERLINK("http://compartments.jensenlab.org/Entity?figures=subcell_cell_%&amp;knowledge=10&amp;textmining=10&amp;experiments=10&amp;predictions=10&amp;type1=9606&amp;type2=-22&amp;id1=ENSP00000331774","link")</f>
        <v>link</v>
      </c>
      <c r="AI1990" t="s">
        <v>65</v>
      </c>
      <c r="AJ1990" t="s">
        <v>51</v>
      </c>
      <c r="AK1990" t="str">
        <f>HYPERLINK("http://www.proteinatlas.org/Q8NH02","no")</f>
        <v>no</v>
      </c>
      <c r="AM1990">
        <v>343563</v>
      </c>
    </row>
    <row r="1991" spans="1:39" x14ac:dyDescent="0.35">
      <c r="A1991" t="s">
        <v>19970</v>
      </c>
      <c r="B1991" t="str">
        <f>HYPERLINK("http://www.uniprot.org/uniprot/Q8NH03","Q8NH03")</f>
        <v>Q8NH03</v>
      </c>
      <c r="C1991" t="s">
        <v>19971</v>
      </c>
      <c r="D1991" t="s">
        <v>19972</v>
      </c>
      <c r="E1991" t="s">
        <v>39</v>
      </c>
      <c r="F1991" t="s">
        <v>55</v>
      </c>
      <c r="H1991">
        <v>318</v>
      </c>
      <c r="I1991">
        <v>7</v>
      </c>
      <c r="J1991">
        <v>0</v>
      </c>
      <c r="K1991" t="s">
        <v>19973</v>
      </c>
      <c r="L1991" t="s">
        <v>57</v>
      </c>
      <c r="N1991">
        <v>0.98799999999999999</v>
      </c>
      <c r="O1991" s="1">
        <v>1</v>
      </c>
      <c r="P1991" t="s">
        <v>19974</v>
      </c>
      <c r="Q1991" t="s">
        <v>19975</v>
      </c>
      <c r="S1991" t="s">
        <v>166</v>
      </c>
      <c r="T1991" t="s">
        <v>167</v>
      </c>
      <c r="U1991" t="s">
        <v>8052</v>
      </c>
      <c r="V1991">
        <v>2</v>
      </c>
      <c r="AE1991" t="s">
        <v>74</v>
      </c>
      <c r="AF1991" t="s">
        <v>169</v>
      </c>
      <c r="AG1991" t="s">
        <v>19976</v>
      </c>
      <c r="AH1991" t="str">
        <f>HYPERLINK("http://compartments.jensenlab.org/Entity?figures=subcell_cell_%&amp;knowledge=10&amp;textmining=10&amp;experiments=10&amp;predictions=10&amp;type1=9606&amp;type2=-22&amp;id1=ENSP00000352604","link")</f>
        <v>link</v>
      </c>
      <c r="AI1991" t="s">
        <v>65</v>
      </c>
      <c r="AJ1991" t="s">
        <v>51</v>
      </c>
      <c r="AK1991" t="str">
        <f>HYPERLINK("http://www.proteinatlas.org/Q8NH03","no")</f>
        <v>no</v>
      </c>
      <c r="AM1991">
        <v>343173</v>
      </c>
    </row>
    <row r="1992" spans="1:39" x14ac:dyDescent="0.35">
      <c r="A1992" t="s">
        <v>19977</v>
      </c>
      <c r="B1992" t="str">
        <f>HYPERLINK("http://www.uniprot.org/uniprot/Q8NH04","Q8NH04")</f>
        <v>Q8NH04</v>
      </c>
      <c r="C1992" t="s">
        <v>19978</v>
      </c>
      <c r="D1992" t="s">
        <v>19979</v>
      </c>
      <c r="E1992" t="s">
        <v>39</v>
      </c>
      <c r="F1992" t="s">
        <v>55</v>
      </c>
      <c r="H1992">
        <v>317</v>
      </c>
      <c r="I1992">
        <v>7</v>
      </c>
      <c r="J1992">
        <v>0</v>
      </c>
      <c r="K1992" t="s">
        <v>19980</v>
      </c>
      <c r="L1992" t="s">
        <v>57</v>
      </c>
      <c r="M1992" t="s">
        <v>39</v>
      </c>
      <c r="N1992">
        <v>0.99450000000000005</v>
      </c>
      <c r="O1992" s="1">
        <v>1</v>
      </c>
      <c r="P1992" t="s">
        <v>19981</v>
      </c>
      <c r="Q1992" t="s">
        <v>19982</v>
      </c>
      <c r="S1992" t="s">
        <v>166</v>
      </c>
      <c r="T1992" t="s">
        <v>167</v>
      </c>
      <c r="U1992">
        <v>5</v>
      </c>
      <c r="V1992">
        <v>1</v>
      </c>
      <c r="AE1992" t="s">
        <v>74</v>
      </c>
      <c r="AF1992" t="s">
        <v>169</v>
      </c>
      <c r="AG1992" t="s">
        <v>19983</v>
      </c>
      <c r="AH1992" t="str">
        <f>HYPERLINK("http://compartments.jensenlab.org/Entity?figures=subcell_cell_%&amp;knowledge=10&amp;textmining=10&amp;experiments=10&amp;predictions=10&amp;type1=9606&amp;type2=-22&amp;id1=ENSP00000342008","link")</f>
        <v>link</v>
      </c>
      <c r="AI1992" t="s">
        <v>65</v>
      </c>
      <c r="AJ1992" t="s">
        <v>51</v>
      </c>
      <c r="AK1992" t="str">
        <f>HYPERLINK("http://www.proteinatlas.org/Q8NH04","no")</f>
        <v>no</v>
      </c>
      <c r="AM1992">
        <v>403239</v>
      </c>
    </row>
    <row r="1993" spans="1:39" x14ac:dyDescent="0.35">
      <c r="A1993" t="s">
        <v>19984</v>
      </c>
      <c r="B1993" t="str">
        <f>HYPERLINK("http://www.uniprot.org/uniprot/Q8NH05","Q8NH05")</f>
        <v>Q8NH05</v>
      </c>
      <c r="C1993" t="s">
        <v>19985</v>
      </c>
      <c r="D1993" t="s">
        <v>19986</v>
      </c>
      <c r="E1993" t="s">
        <v>39</v>
      </c>
      <c r="F1993" t="s">
        <v>55</v>
      </c>
      <c r="H1993">
        <v>313</v>
      </c>
      <c r="I1993">
        <v>7</v>
      </c>
      <c r="J1993">
        <v>0</v>
      </c>
      <c r="K1993" t="s">
        <v>19987</v>
      </c>
      <c r="L1993" t="s">
        <v>57</v>
      </c>
      <c r="N1993">
        <v>0.96409999999999996</v>
      </c>
      <c r="O1993" s="1">
        <v>1</v>
      </c>
      <c r="P1993" t="s">
        <v>19988</v>
      </c>
      <c r="Q1993" t="s">
        <v>19989</v>
      </c>
      <c r="S1993" t="s">
        <v>166</v>
      </c>
      <c r="T1993" t="s">
        <v>167</v>
      </c>
      <c r="U1993">
        <v>8</v>
      </c>
      <c r="V1993">
        <v>1</v>
      </c>
      <c r="AE1993" t="s">
        <v>74</v>
      </c>
      <c r="AF1993" t="s">
        <v>169</v>
      </c>
      <c r="AG1993" t="s">
        <v>19990</v>
      </c>
      <c r="AH1993" t="str">
        <f>HYPERLINK("http://compartments.jensenlab.org/Entity?figures=subcell_cell_%&amp;knowledge=10&amp;textmining=10&amp;experiments=10&amp;predictions=10&amp;type1=9606&amp;type2=-22&amp;id1=ENSP00000330049","link")</f>
        <v>link</v>
      </c>
      <c r="AI1993" t="s">
        <v>65</v>
      </c>
      <c r="AJ1993" t="s">
        <v>51</v>
      </c>
      <c r="AK1993" t="str">
        <f>HYPERLINK("http://www.proteinatlas.org/Q8NH05","HPA049924")</f>
        <v>HPA049924</v>
      </c>
      <c r="AM1993">
        <v>441669</v>
      </c>
    </row>
    <row r="1994" spans="1:39" x14ac:dyDescent="0.35">
      <c r="A1994" t="s">
        <v>19991</v>
      </c>
      <c r="B1994" t="str">
        <f>HYPERLINK("http://www.uniprot.org/uniprot/Q8NH06","Q8NH06")</f>
        <v>Q8NH06</v>
      </c>
      <c r="C1994" t="s">
        <v>19992</v>
      </c>
      <c r="D1994" t="s">
        <v>19993</v>
      </c>
      <c r="E1994" t="s">
        <v>39</v>
      </c>
      <c r="F1994" t="s">
        <v>40</v>
      </c>
      <c r="H1994">
        <v>330</v>
      </c>
      <c r="I1994">
        <v>7</v>
      </c>
      <c r="J1994">
        <v>0</v>
      </c>
      <c r="K1994" t="s">
        <v>19994</v>
      </c>
      <c r="L1994" t="s">
        <v>57</v>
      </c>
      <c r="N1994">
        <v>0.9002</v>
      </c>
      <c r="O1994" s="1">
        <v>1</v>
      </c>
      <c r="S1994" t="s">
        <v>166</v>
      </c>
      <c r="T1994" t="s">
        <v>167</v>
      </c>
      <c r="U1994">
        <v>19</v>
      </c>
      <c r="V1994">
        <v>1</v>
      </c>
      <c r="AE1994" t="s">
        <v>74</v>
      </c>
      <c r="AF1994" t="s">
        <v>549</v>
      </c>
      <c r="AG1994" t="s">
        <v>19995</v>
      </c>
      <c r="AK1994" t="str">
        <f>HYPERLINK("http://www.proteinatlas.org/Q8NH06","no")</f>
        <v>no</v>
      </c>
    </row>
    <row r="1995" spans="1:39" x14ac:dyDescent="0.35">
      <c r="A1995" t="s">
        <v>19996</v>
      </c>
      <c r="B1995" t="str">
        <f>HYPERLINK("http://www.uniprot.org/uniprot/Q8NH07","Q8NH07")</f>
        <v>Q8NH07</v>
      </c>
      <c r="C1995" t="s">
        <v>19997</v>
      </c>
      <c r="D1995" t="s">
        <v>19998</v>
      </c>
      <c r="E1995" t="s">
        <v>39</v>
      </c>
      <c r="F1995" t="s">
        <v>40</v>
      </c>
      <c r="H1995">
        <v>326</v>
      </c>
      <c r="I1995">
        <v>7</v>
      </c>
      <c r="J1995">
        <v>0</v>
      </c>
      <c r="K1995" t="s">
        <v>19999</v>
      </c>
      <c r="L1995" t="s">
        <v>57</v>
      </c>
      <c r="N1995">
        <v>0.98799999999999999</v>
      </c>
      <c r="O1995" s="1">
        <v>1</v>
      </c>
      <c r="P1995" t="s">
        <v>20000</v>
      </c>
      <c r="Q1995" t="s">
        <v>20001</v>
      </c>
      <c r="S1995" t="s">
        <v>166</v>
      </c>
      <c r="T1995" t="s">
        <v>167</v>
      </c>
      <c r="U1995" t="s">
        <v>702</v>
      </c>
      <c r="V1995">
        <v>3</v>
      </c>
      <c r="AE1995" t="s">
        <v>74</v>
      </c>
      <c r="AF1995" t="s">
        <v>549</v>
      </c>
      <c r="AG1995" t="s">
        <v>20002</v>
      </c>
      <c r="AH1995" t="str">
        <f>HYPERLINK("http://compartments.jensenlab.org/Entity?figures=subcell_cell_%&amp;knowledge=10&amp;textmining=10&amp;experiments=10&amp;predictions=10&amp;type1=9606&amp;type2=-22&amp;id1=ENSP00000485150","link")</f>
        <v>link</v>
      </c>
      <c r="AK1995" t="str">
        <f>HYPERLINK("http://www.proteinatlas.org/Q8NH07","no")</f>
        <v>no</v>
      </c>
      <c r="AM1995">
        <v>79334</v>
      </c>
    </row>
    <row r="1996" spans="1:39" x14ac:dyDescent="0.35">
      <c r="A1996" t="s">
        <v>20003</v>
      </c>
      <c r="B1996" t="str">
        <f>HYPERLINK("http://www.uniprot.org/uniprot/Q8NH08","Q8NH08")</f>
        <v>Q8NH08</v>
      </c>
      <c r="C1996" t="s">
        <v>20004</v>
      </c>
      <c r="D1996" t="s">
        <v>20005</v>
      </c>
      <c r="E1996" t="s">
        <v>39</v>
      </c>
      <c r="F1996" t="s">
        <v>40</v>
      </c>
      <c r="H1996">
        <v>325</v>
      </c>
      <c r="I1996">
        <v>7</v>
      </c>
      <c r="J1996">
        <v>0</v>
      </c>
      <c r="K1996" t="s">
        <v>20006</v>
      </c>
      <c r="L1996" t="s">
        <v>57</v>
      </c>
      <c r="N1996">
        <v>0.81240000000000001</v>
      </c>
      <c r="O1996" s="1">
        <v>1</v>
      </c>
      <c r="U1996" t="s">
        <v>20007</v>
      </c>
      <c r="V1996">
        <v>1</v>
      </c>
      <c r="AE1996" t="s">
        <v>74</v>
      </c>
      <c r="AF1996" t="s">
        <v>3091</v>
      </c>
      <c r="AG1996" t="s">
        <v>20008</v>
      </c>
      <c r="AK1996" t="str">
        <f>HYPERLINK("http://www.proteinatlas.org/Q8NH08","no")</f>
        <v>no</v>
      </c>
    </row>
    <row r="1997" spans="1:39" x14ac:dyDescent="0.35">
      <c r="A1997" t="s">
        <v>20009</v>
      </c>
      <c r="B1997" t="str">
        <f>HYPERLINK("http://www.uniprot.org/uniprot/Q8NH09","Q8NH09")</f>
        <v>Q8NH09</v>
      </c>
      <c r="C1997" t="s">
        <v>20010</v>
      </c>
      <c r="D1997" t="s">
        <v>20011</v>
      </c>
      <c r="E1997" t="s">
        <v>39</v>
      </c>
      <c r="F1997" t="s">
        <v>55</v>
      </c>
      <c r="H1997">
        <v>359</v>
      </c>
      <c r="I1997">
        <v>7</v>
      </c>
      <c r="J1997">
        <v>0</v>
      </c>
      <c r="K1997" t="s">
        <v>20012</v>
      </c>
      <c r="L1997" t="s">
        <v>57</v>
      </c>
      <c r="M1997" t="s">
        <v>39</v>
      </c>
      <c r="N1997">
        <v>0.872</v>
      </c>
      <c r="O1997" s="1">
        <v>1</v>
      </c>
      <c r="P1997" t="s">
        <v>20013</v>
      </c>
      <c r="Q1997" t="s">
        <v>20014</v>
      </c>
      <c r="S1997" t="s">
        <v>166</v>
      </c>
      <c r="T1997" t="s">
        <v>167</v>
      </c>
      <c r="U1997">
        <v>5</v>
      </c>
      <c r="V1997">
        <v>1</v>
      </c>
      <c r="Y1997">
        <v>146</v>
      </c>
      <c r="AE1997" t="s">
        <v>74</v>
      </c>
      <c r="AF1997" t="s">
        <v>169</v>
      </c>
      <c r="AG1997" t="s">
        <v>20015</v>
      </c>
      <c r="AH1997" t="str">
        <f>HYPERLINK("http://compartments.jensenlab.org/Entity?figures=subcell_cell_%&amp;knowledge=10&amp;textmining=10&amp;experiments=10&amp;predictions=10&amp;type1=9606&amp;type2=-22&amp;id1=ENSP00000310632","link")</f>
        <v>link</v>
      </c>
      <c r="AI1997" t="s">
        <v>65</v>
      </c>
      <c r="AJ1997" t="s">
        <v>51</v>
      </c>
      <c r="AK1997" t="str">
        <f>HYPERLINK("http://www.proteinatlas.org/Q8NH09","HPA045595")</f>
        <v>HPA045595</v>
      </c>
      <c r="AM1997">
        <v>341568</v>
      </c>
    </row>
    <row r="1998" spans="1:39" x14ac:dyDescent="0.35">
      <c r="A1998" t="s">
        <v>20016</v>
      </c>
      <c r="B1998" t="str">
        <f>HYPERLINK("http://www.uniprot.org/uniprot/Q8NH10","Q8NH10")</f>
        <v>Q8NH10</v>
      </c>
      <c r="C1998" t="s">
        <v>20017</v>
      </c>
      <c r="D1998" t="s">
        <v>20018</v>
      </c>
      <c r="E1998" t="s">
        <v>39</v>
      </c>
      <c r="F1998" t="s">
        <v>55</v>
      </c>
      <c r="H1998">
        <v>309</v>
      </c>
      <c r="I1998">
        <v>7</v>
      </c>
      <c r="J1998">
        <v>0</v>
      </c>
      <c r="K1998" t="s">
        <v>20019</v>
      </c>
      <c r="L1998" t="s">
        <v>57</v>
      </c>
      <c r="N1998">
        <v>0.99399999999999999</v>
      </c>
      <c r="O1998" s="1">
        <v>1</v>
      </c>
      <c r="P1998" t="s">
        <v>20020</v>
      </c>
      <c r="Q1998" t="s">
        <v>20021</v>
      </c>
      <c r="S1998" t="s">
        <v>166</v>
      </c>
      <c r="T1998" t="s">
        <v>167</v>
      </c>
      <c r="U1998">
        <v>5</v>
      </c>
      <c r="V1998">
        <v>1</v>
      </c>
      <c r="AE1998" t="s">
        <v>74</v>
      </c>
      <c r="AF1998" t="s">
        <v>169</v>
      </c>
      <c r="AG1998" t="s">
        <v>20022</v>
      </c>
      <c r="AH1998" t="str">
        <f>HYPERLINK("http://compartments.jensenlab.org/Entity?figures=subcell_cell_%&amp;knowledge=10&amp;textmining=10&amp;experiments=10&amp;predictions=10&amp;type1=9606&amp;type2=-22&amp;id1=ENSP00000304188","link")</f>
        <v>link</v>
      </c>
      <c r="AI1998" t="s">
        <v>65</v>
      </c>
      <c r="AJ1998" t="s">
        <v>51</v>
      </c>
      <c r="AK1998" t="str">
        <f>HYPERLINK("http://www.proteinatlas.org/Q8NH10","no")</f>
        <v>no</v>
      </c>
      <c r="AM1998">
        <v>219417</v>
      </c>
    </row>
    <row r="1999" spans="1:39" x14ac:dyDescent="0.35">
      <c r="A1999" t="s">
        <v>20023</v>
      </c>
      <c r="B1999" t="str">
        <f>HYPERLINK("http://www.uniprot.org/uniprot/Q8NH16","Q8NH16")</f>
        <v>Q8NH16</v>
      </c>
      <c r="C1999" t="s">
        <v>20024</v>
      </c>
      <c r="D1999" t="s">
        <v>20025</v>
      </c>
      <c r="E1999" t="s">
        <v>39</v>
      </c>
      <c r="F1999" t="s">
        <v>55</v>
      </c>
      <c r="H1999">
        <v>312</v>
      </c>
      <c r="I1999">
        <v>7</v>
      </c>
      <c r="J1999">
        <v>0</v>
      </c>
      <c r="K1999" t="s">
        <v>20026</v>
      </c>
      <c r="L1999" t="s">
        <v>57</v>
      </c>
      <c r="M1999" t="s">
        <v>39</v>
      </c>
      <c r="N1999">
        <v>1</v>
      </c>
      <c r="O1999" s="1">
        <v>1</v>
      </c>
      <c r="P1999" t="s">
        <v>20027</v>
      </c>
      <c r="Q1999" t="s">
        <v>20028</v>
      </c>
      <c r="S1999" t="s">
        <v>166</v>
      </c>
      <c r="T1999" t="s">
        <v>167</v>
      </c>
      <c r="U1999" t="s">
        <v>18587</v>
      </c>
      <c r="V1999">
        <v>2</v>
      </c>
      <c r="AE1999" t="s">
        <v>74</v>
      </c>
      <c r="AF1999" t="s">
        <v>169</v>
      </c>
      <c r="AG1999" t="s">
        <v>20029</v>
      </c>
      <c r="AH1999" t="str">
        <f>HYPERLINK("http://compartments.jensenlab.org/Entity?figures=subcell_cell_%&amp;knowledge=10&amp;textmining=10&amp;experiments=10&amp;predictions=10&amp;type1=9606&amp;type2=-22&amp;id1=ENSP00000355435","link")</f>
        <v>link</v>
      </c>
      <c r="AI1999" t="s">
        <v>65</v>
      </c>
      <c r="AJ1999" t="s">
        <v>51</v>
      </c>
      <c r="AK1999" t="str">
        <f>HYPERLINK("http://www.proteinatlas.org/Q8NH16","no")</f>
        <v>no</v>
      </c>
      <c r="AM1999">
        <v>26246</v>
      </c>
    </row>
    <row r="2000" spans="1:39" x14ac:dyDescent="0.35">
      <c r="A2000" t="s">
        <v>20030</v>
      </c>
      <c r="B2000" t="str">
        <f>HYPERLINK("http://www.uniprot.org/uniprot/Q8NH18","Q8NH18")</f>
        <v>Q8NH18</v>
      </c>
      <c r="C2000" t="s">
        <v>20031</v>
      </c>
      <c r="D2000" t="s">
        <v>20032</v>
      </c>
      <c r="E2000" t="s">
        <v>39</v>
      </c>
      <c r="F2000" t="s">
        <v>55</v>
      </c>
      <c r="H2000">
        <v>312</v>
      </c>
      <c r="I2000">
        <v>7</v>
      </c>
      <c r="J2000">
        <v>0</v>
      </c>
      <c r="K2000" t="s">
        <v>20033</v>
      </c>
      <c r="L2000" t="s">
        <v>57</v>
      </c>
      <c r="N2000">
        <v>0.97799999999999998</v>
      </c>
      <c r="O2000" s="1">
        <v>1</v>
      </c>
      <c r="P2000" t="s">
        <v>20034</v>
      </c>
      <c r="Q2000" t="s">
        <v>20035</v>
      </c>
      <c r="S2000" t="s">
        <v>166</v>
      </c>
      <c r="T2000" t="s">
        <v>167</v>
      </c>
      <c r="U2000">
        <v>5</v>
      </c>
      <c r="V2000">
        <v>1</v>
      </c>
      <c r="AE2000" t="s">
        <v>74</v>
      </c>
      <c r="AF2000" t="s">
        <v>169</v>
      </c>
      <c r="AG2000" t="s">
        <v>20036</v>
      </c>
      <c r="AH2000" t="str">
        <f>HYPERLINK("http://compartments.jensenlab.org/Entity?figures=subcell_cell_%&amp;knowledge=10&amp;textmining=10&amp;experiments=10&amp;predictions=10&amp;type1=9606&amp;type2=-22&amp;id1=ENSP00000310788","link")</f>
        <v>link</v>
      </c>
      <c r="AI2000" t="s">
        <v>65</v>
      </c>
      <c r="AJ2000" t="s">
        <v>51</v>
      </c>
      <c r="AK2000" t="str">
        <f>HYPERLINK("http://www.proteinatlas.org/Q8NH18","HPA059466")</f>
        <v>HPA059466</v>
      </c>
      <c r="AM2000">
        <v>282775</v>
      </c>
    </row>
    <row r="2001" spans="1:39" x14ac:dyDescent="0.35">
      <c r="A2001" t="s">
        <v>20037</v>
      </c>
      <c r="B2001" t="str">
        <f>HYPERLINK("http://www.uniprot.org/uniprot/Q8NH19","Q8NH19")</f>
        <v>Q8NH19</v>
      </c>
      <c r="C2001" t="s">
        <v>20038</v>
      </c>
      <c r="D2001" t="s">
        <v>20039</v>
      </c>
      <c r="E2001" t="s">
        <v>39</v>
      </c>
      <c r="F2001" t="s">
        <v>55</v>
      </c>
      <c r="H2001">
        <v>301</v>
      </c>
      <c r="I2001">
        <v>7</v>
      </c>
      <c r="J2001">
        <v>0</v>
      </c>
      <c r="K2001" t="s">
        <v>20040</v>
      </c>
      <c r="L2001" t="s">
        <v>57</v>
      </c>
      <c r="M2001" t="s">
        <v>39</v>
      </c>
      <c r="N2001">
        <v>0.87570000000000003</v>
      </c>
      <c r="O2001" s="1">
        <v>1</v>
      </c>
      <c r="P2001" t="s">
        <v>20041</v>
      </c>
      <c r="Q2001" t="s">
        <v>20042</v>
      </c>
      <c r="S2001" t="s">
        <v>166</v>
      </c>
      <c r="T2001" t="s">
        <v>167</v>
      </c>
      <c r="U2001" t="s">
        <v>20043</v>
      </c>
      <c r="V2001">
        <v>1</v>
      </c>
      <c r="AE2001" t="s">
        <v>74</v>
      </c>
      <c r="AF2001" t="s">
        <v>549</v>
      </c>
      <c r="AG2001" t="s">
        <v>20044</v>
      </c>
      <c r="AH2001" t="str">
        <f>HYPERLINK("http://compartments.jensenlab.org/Entity?figures=subcell_cell_%&amp;knowledge=10&amp;textmining=10&amp;experiments=10&amp;predictions=10&amp;type1=9606&amp;type2=-22&amp;id1=ENSP00000311477","link")</f>
        <v>link</v>
      </c>
      <c r="AI2001" t="s">
        <v>65</v>
      </c>
      <c r="AJ2001" t="s">
        <v>51</v>
      </c>
      <c r="AK2001" t="str">
        <f>HYPERLINK("http://www.proteinatlas.org/Q8NH19","no")</f>
        <v>no</v>
      </c>
      <c r="AM2001">
        <v>282770</v>
      </c>
    </row>
    <row r="2002" spans="1:39" x14ac:dyDescent="0.35">
      <c r="A2002" t="s">
        <v>20045</v>
      </c>
      <c r="B2002" t="str">
        <f>HYPERLINK("http://www.uniprot.org/uniprot/Q8NH21","Q8NH21")</f>
        <v>Q8NH21</v>
      </c>
      <c r="C2002" t="s">
        <v>20046</v>
      </c>
      <c r="D2002" t="s">
        <v>20047</v>
      </c>
      <c r="E2002" t="s">
        <v>39</v>
      </c>
      <c r="F2002" t="s">
        <v>55</v>
      </c>
      <c r="H2002">
        <v>305</v>
      </c>
      <c r="I2002">
        <v>7</v>
      </c>
      <c r="J2002">
        <v>0</v>
      </c>
      <c r="K2002" t="s">
        <v>18705</v>
      </c>
      <c r="L2002" t="s">
        <v>57</v>
      </c>
      <c r="N2002">
        <v>0.78439999999999999</v>
      </c>
      <c r="O2002" s="1">
        <v>1</v>
      </c>
      <c r="P2002" t="s">
        <v>20048</v>
      </c>
      <c r="Q2002" t="s">
        <v>20049</v>
      </c>
      <c r="S2002" t="s">
        <v>166</v>
      </c>
      <c r="T2002" t="s">
        <v>167</v>
      </c>
      <c r="U2002">
        <v>58</v>
      </c>
      <c r="V2002">
        <v>0</v>
      </c>
      <c r="AE2002" t="s">
        <v>74</v>
      </c>
      <c r="AF2002" t="s">
        <v>277</v>
      </c>
      <c r="AG2002" t="s">
        <v>20050</v>
      </c>
      <c r="AH2002" t="str">
        <f>HYPERLINK("http://compartments.jensenlab.org/Entity?figures=subcell_cell_%&amp;knowledge=10&amp;textmining=10&amp;experiments=10&amp;predictions=10&amp;type1=9606&amp;type2=-22&amp;id1=ENSP00000334393","link")</f>
        <v>link</v>
      </c>
      <c r="AI2002" t="s">
        <v>65</v>
      </c>
      <c r="AJ2002" t="s">
        <v>51</v>
      </c>
      <c r="AK2002" t="str">
        <f>HYPERLINK("http://www.proteinatlas.org/Q8NH21","no")</f>
        <v>no</v>
      </c>
      <c r="AM2002">
        <v>79501</v>
      </c>
    </row>
    <row r="2003" spans="1:39" x14ac:dyDescent="0.35">
      <c r="A2003" t="s">
        <v>20051</v>
      </c>
      <c r="B2003" t="str">
        <f>HYPERLINK("http://www.uniprot.org/uniprot/Q8NH37","Q8NH37")</f>
        <v>Q8NH37</v>
      </c>
      <c r="C2003" t="s">
        <v>20052</v>
      </c>
      <c r="D2003" t="s">
        <v>20053</v>
      </c>
      <c r="E2003" t="s">
        <v>39</v>
      </c>
      <c r="F2003" t="s">
        <v>55</v>
      </c>
      <c r="H2003">
        <v>302</v>
      </c>
      <c r="I2003">
        <v>7</v>
      </c>
      <c r="J2003">
        <v>0</v>
      </c>
      <c r="K2003" t="s">
        <v>20054</v>
      </c>
      <c r="L2003" t="s">
        <v>57</v>
      </c>
      <c r="M2003" t="s">
        <v>39</v>
      </c>
      <c r="N2003">
        <v>0.95569999999999999</v>
      </c>
      <c r="O2003" s="1">
        <v>1</v>
      </c>
      <c r="P2003" t="s">
        <v>20055</v>
      </c>
      <c r="Q2003" t="s">
        <v>20056</v>
      </c>
      <c r="S2003" t="s">
        <v>166</v>
      </c>
      <c r="T2003" t="s">
        <v>167</v>
      </c>
      <c r="U2003" t="s">
        <v>20057</v>
      </c>
      <c r="V2003">
        <v>1</v>
      </c>
      <c r="AE2003" t="s">
        <v>74</v>
      </c>
      <c r="AF2003" t="s">
        <v>549</v>
      </c>
      <c r="AG2003" t="s">
        <v>20058</v>
      </c>
      <c r="AH2003" t="str">
        <f>HYPERLINK("http://compartments.jensenlab.org/Entity?figures=subcell_cell_%&amp;knowledge=10&amp;textmining=10&amp;experiments=10&amp;predictions=10&amp;type1=9606&amp;type2=-22&amp;id1=ENSP00000321419","link")</f>
        <v>link</v>
      </c>
      <c r="AI2003" t="s">
        <v>65</v>
      </c>
      <c r="AJ2003" t="s">
        <v>51</v>
      </c>
      <c r="AK2003" t="str">
        <f>HYPERLINK("http://www.proteinatlas.org/Q8NH37","HPA049116")</f>
        <v>HPA049116</v>
      </c>
      <c r="AM2003">
        <v>256144</v>
      </c>
    </row>
    <row r="2004" spans="1:39" x14ac:dyDescent="0.35">
      <c r="A2004" t="s">
        <v>20059</v>
      </c>
      <c r="B2004" t="str">
        <f>HYPERLINK("http://www.uniprot.org/uniprot/Q8NH40","Q8NH40")</f>
        <v>Q8NH40</v>
      </c>
      <c r="C2004" t="s">
        <v>20060</v>
      </c>
      <c r="D2004" t="s">
        <v>20061</v>
      </c>
      <c r="E2004" t="s">
        <v>39</v>
      </c>
      <c r="F2004" t="s">
        <v>55</v>
      </c>
      <c r="H2004">
        <v>331</v>
      </c>
      <c r="I2004">
        <v>7</v>
      </c>
      <c r="J2004">
        <v>0</v>
      </c>
      <c r="K2004" t="s">
        <v>20062</v>
      </c>
      <c r="L2004" t="s">
        <v>57</v>
      </c>
      <c r="M2004" t="s">
        <v>39</v>
      </c>
      <c r="N2004">
        <v>0.97130000000000005</v>
      </c>
      <c r="O2004" s="1">
        <v>1</v>
      </c>
      <c r="P2004" t="s">
        <v>20063</v>
      </c>
      <c r="Q2004" t="s">
        <v>20064</v>
      </c>
      <c r="S2004" t="s">
        <v>166</v>
      </c>
      <c r="T2004" t="s">
        <v>167</v>
      </c>
      <c r="U2004" t="s">
        <v>20065</v>
      </c>
      <c r="V2004">
        <v>1</v>
      </c>
      <c r="AE2004" t="s">
        <v>74</v>
      </c>
      <c r="AF2004" t="s">
        <v>169</v>
      </c>
      <c r="AG2004" t="s">
        <v>20066</v>
      </c>
      <c r="AH2004" t="str">
        <f>HYPERLINK("http://compartments.jensenlab.org/Entity?figures=subcell_cell_%&amp;knowledge=10&amp;textmining=10&amp;experiments=10&amp;predictions=10&amp;type1=9606&amp;type2=-22&amp;id1=ENSP00000313110","link")</f>
        <v>link</v>
      </c>
      <c r="AI2004" t="s">
        <v>65</v>
      </c>
      <c r="AJ2004" t="s">
        <v>51</v>
      </c>
      <c r="AK2004" t="str">
        <f>HYPERLINK("http://www.proteinatlas.org/Q8NH40","no")</f>
        <v>no</v>
      </c>
      <c r="AM2004">
        <v>341799</v>
      </c>
    </row>
    <row r="2005" spans="1:39" x14ac:dyDescent="0.35">
      <c r="A2005" t="s">
        <v>20067</v>
      </c>
      <c r="B2005" t="str">
        <f>HYPERLINK("http://www.uniprot.org/uniprot/Q8NH41","Q8NH41")</f>
        <v>Q8NH41</v>
      </c>
      <c r="C2005" t="s">
        <v>20068</v>
      </c>
      <c r="D2005" t="s">
        <v>20069</v>
      </c>
      <c r="E2005" t="s">
        <v>39</v>
      </c>
      <c r="F2005" t="s">
        <v>55</v>
      </c>
      <c r="H2005">
        <v>348</v>
      </c>
      <c r="I2005">
        <v>7</v>
      </c>
      <c r="J2005">
        <v>0</v>
      </c>
      <c r="K2005" t="s">
        <v>20070</v>
      </c>
      <c r="L2005" t="s">
        <v>57</v>
      </c>
      <c r="M2005" t="s">
        <v>39</v>
      </c>
      <c r="N2005">
        <v>0.95879999999999999</v>
      </c>
      <c r="O2005" s="1">
        <v>1</v>
      </c>
      <c r="P2005" t="s">
        <v>20071</v>
      </c>
      <c r="Q2005" t="s">
        <v>20072</v>
      </c>
      <c r="S2005" t="s">
        <v>166</v>
      </c>
      <c r="T2005" t="s">
        <v>167</v>
      </c>
      <c r="U2005" t="s">
        <v>20073</v>
      </c>
      <c r="V2005">
        <v>2</v>
      </c>
      <c r="AE2005" t="s">
        <v>74</v>
      </c>
      <c r="AF2005" t="s">
        <v>169</v>
      </c>
      <c r="AG2005" t="s">
        <v>20074</v>
      </c>
      <c r="AH2005" t="str">
        <f>HYPERLINK("http://compartments.jensenlab.org/Entity?figures=subcell_cell_%&amp;knowledge=10&amp;textmining=10&amp;experiments=10&amp;predictions=10&amp;type1=9606&amp;type2=-22&amp;id1=ENSP00000304077","link")</f>
        <v>link</v>
      </c>
      <c r="AI2005" t="s">
        <v>65</v>
      </c>
      <c r="AJ2005" t="s">
        <v>51</v>
      </c>
      <c r="AK2005" t="str">
        <f>HYPERLINK("http://www.proteinatlas.org/Q8NH41","HPA055732")</f>
        <v>HPA055732</v>
      </c>
      <c r="AM2005">
        <v>81127</v>
      </c>
    </row>
    <row r="2006" spans="1:39" x14ac:dyDescent="0.35">
      <c r="A2006" t="s">
        <v>20075</v>
      </c>
      <c r="B2006" t="str">
        <f>HYPERLINK("http://www.uniprot.org/uniprot/Q8NH42","Q8NH42")</f>
        <v>Q8NH42</v>
      </c>
      <c r="C2006" t="s">
        <v>20076</v>
      </c>
      <c r="D2006" t="s">
        <v>20077</v>
      </c>
      <c r="E2006" t="s">
        <v>39</v>
      </c>
      <c r="F2006" t="s">
        <v>55</v>
      </c>
      <c r="H2006">
        <v>304</v>
      </c>
      <c r="I2006">
        <v>7</v>
      </c>
      <c r="J2006">
        <v>0</v>
      </c>
      <c r="K2006" t="s">
        <v>20078</v>
      </c>
      <c r="L2006" t="s">
        <v>57</v>
      </c>
      <c r="N2006">
        <v>0.94010000000000005</v>
      </c>
      <c r="O2006" s="1">
        <v>1</v>
      </c>
      <c r="P2006" t="s">
        <v>20079</v>
      </c>
      <c r="Q2006" t="s">
        <v>20080</v>
      </c>
      <c r="S2006" t="s">
        <v>166</v>
      </c>
      <c r="T2006" t="s">
        <v>167</v>
      </c>
      <c r="U2006" t="s">
        <v>1191</v>
      </c>
      <c r="V2006">
        <v>1</v>
      </c>
      <c r="AE2006" t="s">
        <v>74</v>
      </c>
      <c r="AF2006" t="s">
        <v>169</v>
      </c>
      <c r="AG2006" t="s">
        <v>20081</v>
      </c>
      <c r="AH2006" t="str">
        <f>HYPERLINK("http://compartments.jensenlab.org/Entity?figures=subcell_cell_%&amp;knowledge=10&amp;textmining=10&amp;experiments=10&amp;predictions=10&amp;type1=9606&amp;type2=-22&amp;id1=ENSP00000319322","link")</f>
        <v>link</v>
      </c>
      <c r="AI2006" t="s">
        <v>65</v>
      </c>
      <c r="AJ2006" t="s">
        <v>51</v>
      </c>
      <c r="AK2006" t="str">
        <f>HYPERLINK("http://www.proteinatlas.org/Q8NH42","no")</f>
        <v>no</v>
      </c>
      <c r="AM2006">
        <v>390433</v>
      </c>
    </row>
    <row r="2007" spans="1:39" x14ac:dyDescent="0.35">
      <c r="A2007" t="s">
        <v>20082</v>
      </c>
      <c r="B2007" t="str">
        <f>HYPERLINK("http://www.uniprot.org/uniprot/Q8NH43","Q8NH43")</f>
        <v>Q8NH43</v>
      </c>
      <c r="C2007" t="s">
        <v>20083</v>
      </c>
      <c r="D2007" t="s">
        <v>20084</v>
      </c>
      <c r="E2007" t="s">
        <v>39</v>
      </c>
      <c r="F2007" t="s">
        <v>55</v>
      </c>
      <c r="H2007">
        <v>312</v>
      </c>
      <c r="I2007">
        <v>7</v>
      </c>
      <c r="J2007">
        <v>0</v>
      </c>
      <c r="K2007" t="s">
        <v>20085</v>
      </c>
      <c r="L2007" t="s">
        <v>57</v>
      </c>
      <c r="M2007" t="s">
        <v>39</v>
      </c>
      <c r="N2007">
        <v>1</v>
      </c>
      <c r="O2007" s="1">
        <v>1</v>
      </c>
      <c r="P2007" t="s">
        <v>20086</v>
      </c>
      <c r="Q2007" t="s">
        <v>20087</v>
      </c>
      <c r="S2007" t="s">
        <v>166</v>
      </c>
      <c r="T2007" t="s">
        <v>167</v>
      </c>
      <c r="U2007" t="s">
        <v>20088</v>
      </c>
      <c r="V2007">
        <v>2</v>
      </c>
      <c r="AE2007" t="s">
        <v>74</v>
      </c>
      <c r="AF2007" t="s">
        <v>169</v>
      </c>
      <c r="AG2007" t="s">
        <v>20089</v>
      </c>
      <c r="AH2007" t="str">
        <f>HYPERLINK("http://compartments.jensenlab.org/Entity?figures=subcell_cell_%&amp;knowledge=10&amp;textmining=10&amp;experiments=10&amp;predictions=10&amp;type1=9606&amp;type2=-22&amp;id1=ENSP00000319217","link")</f>
        <v>link</v>
      </c>
      <c r="AI2007" t="s">
        <v>65</v>
      </c>
      <c r="AJ2007" t="s">
        <v>51</v>
      </c>
      <c r="AK2007" t="str">
        <f>HYPERLINK("http://www.proteinatlas.org/Q8NH43","no")</f>
        <v>no</v>
      </c>
      <c r="AM2007">
        <v>122742</v>
      </c>
    </row>
    <row r="2008" spans="1:39" x14ac:dyDescent="0.35">
      <c r="A2008" t="s">
        <v>20090</v>
      </c>
      <c r="B2008" t="str">
        <f>HYPERLINK("http://www.uniprot.org/uniprot/Q8NH48","Q8NH48")</f>
        <v>Q8NH48</v>
      </c>
      <c r="C2008" t="s">
        <v>20091</v>
      </c>
      <c r="D2008" t="s">
        <v>20092</v>
      </c>
      <c r="E2008" t="s">
        <v>39</v>
      </c>
      <c r="F2008" t="s">
        <v>55</v>
      </c>
      <c r="H2008">
        <v>314</v>
      </c>
      <c r="I2008">
        <v>7</v>
      </c>
      <c r="J2008">
        <v>0</v>
      </c>
      <c r="K2008" t="s">
        <v>20093</v>
      </c>
      <c r="L2008" t="s">
        <v>57</v>
      </c>
      <c r="N2008">
        <v>0.93810000000000004</v>
      </c>
      <c r="O2008" s="1">
        <v>1</v>
      </c>
      <c r="P2008" t="s">
        <v>20094</v>
      </c>
      <c r="Q2008" t="s">
        <v>20095</v>
      </c>
      <c r="S2008" t="s">
        <v>166</v>
      </c>
      <c r="T2008" t="s">
        <v>167</v>
      </c>
      <c r="U2008" t="s">
        <v>20096</v>
      </c>
      <c r="V2008">
        <v>2</v>
      </c>
      <c r="AE2008" t="s">
        <v>74</v>
      </c>
      <c r="AF2008" t="s">
        <v>169</v>
      </c>
      <c r="AG2008" t="s">
        <v>20097</v>
      </c>
      <c r="AH2008" t="str">
        <f>HYPERLINK("http://compartments.jensenlab.org/Entity?figures=subcell_cell_%&amp;knowledge=10&amp;textmining=10&amp;experiments=10&amp;predictions=10&amp;type1=9606&amp;type2=-22&amp;id1=ENSP00000308270","link")</f>
        <v>link</v>
      </c>
      <c r="AI2008" t="s">
        <v>65</v>
      </c>
      <c r="AJ2008" t="s">
        <v>51</v>
      </c>
      <c r="AK2008" t="str">
        <f>HYPERLINK("http://www.proteinatlas.org/Q8NH48","no")</f>
        <v>no</v>
      </c>
      <c r="AM2008">
        <v>441608</v>
      </c>
    </row>
    <row r="2009" spans="1:39" x14ac:dyDescent="0.35">
      <c r="A2009" t="s">
        <v>20098</v>
      </c>
      <c r="B2009" t="str">
        <f>HYPERLINK("http://www.uniprot.org/uniprot/Q8NH49","Q8NH49")</f>
        <v>Q8NH49</v>
      </c>
      <c r="C2009" t="s">
        <v>20099</v>
      </c>
      <c r="D2009" t="s">
        <v>20100</v>
      </c>
      <c r="E2009" t="s">
        <v>39</v>
      </c>
      <c r="F2009" t="s">
        <v>55</v>
      </c>
      <c r="H2009">
        <v>305</v>
      </c>
      <c r="I2009">
        <v>7</v>
      </c>
      <c r="J2009">
        <v>0</v>
      </c>
      <c r="K2009" t="s">
        <v>20101</v>
      </c>
      <c r="L2009" t="s">
        <v>57</v>
      </c>
      <c r="N2009">
        <v>0.95009999999999994</v>
      </c>
      <c r="O2009" s="1">
        <v>1</v>
      </c>
      <c r="P2009" t="s">
        <v>20102</v>
      </c>
      <c r="Q2009" t="s">
        <v>20103</v>
      </c>
      <c r="S2009" t="s">
        <v>166</v>
      </c>
      <c r="T2009" t="s">
        <v>167</v>
      </c>
      <c r="U2009" t="s">
        <v>20104</v>
      </c>
      <c r="V2009">
        <v>2</v>
      </c>
      <c r="AE2009" t="s">
        <v>74</v>
      </c>
      <c r="AF2009" t="s">
        <v>169</v>
      </c>
      <c r="AG2009" t="s">
        <v>20105</v>
      </c>
      <c r="AH2009" t="str">
        <f>HYPERLINK("http://compartments.jensenlab.org/Entity?figures=subcell_cell_%&amp;knowledge=10&amp;textmining=10&amp;experiments=10&amp;predictions=10&amp;type1=9606&amp;type2=-22&amp;id1=ENSP00000321506","link")</f>
        <v>link</v>
      </c>
      <c r="AI2009" t="s">
        <v>65</v>
      </c>
      <c r="AJ2009" t="s">
        <v>51</v>
      </c>
      <c r="AK2009" t="str">
        <f>HYPERLINK("http://www.proteinatlas.org/Q8NH49","no")</f>
        <v>no</v>
      </c>
      <c r="AM2009">
        <v>390113</v>
      </c>
    </row>
    <row r="2010" spans="1:39" x14ac:dyDescent="0.35">
      <c r="A2010" t="s">
        <v>20106</v>
      </c>
      <c r="B2010" t="str">
        <f>HYPERLINK("http://www.uniprot.org/uniprot/Q8NH50","Q8NH50")</f>
        <v>Q8NH50</v>
      </c>
      <c r="C2010" t="s">
        <v>20107</v>
      </c>
      <c r="D2010" t="s">
        <v>20108</v>
      </c>
      <c r="E2010" t="s">
        <v>39</v>
      </c>
      <c r="F2010" t="s">
        <v>55</v>
      </c>
      <c r="H2010">
        <v>307</v>
      </c>
      <c r="I2010">
        <v>7</v>
      </c>
      <c r="J2010">
        <v>0</v>
      </c>
      <c r="K2010" t="s">
        <v>20109</v>
      </c>
      <c r="L2010" t="s">
        <v>57</v>
      </c>
      <c r="N2010">
        <v>0.95609999999999995</v>
      </c>
      <c r="O2010" s="1">
        <v>1</v>
      </c>
      <c r="P2010" t="s">
        <v>20110</v>
      </c>
      <c r="Q2010" t="s">
        <v>20111</v>
      </c>
      <c r="S2010" t="s">
        <v>166</v>
      </c>
      <c r="T2010" t="s">
        <v>167</v>
      </c>
      <c r="U2010" t="s">
        <v>20112</v>
      </c>
      <c r="V2010">
        <v>2</v>
      </c>
      <c r="AE2010" t="s">
        <v>74</v>
      </c>
      <c r="AF2010" t="s">
        <v>169</v>
      </c>
      <c r="AG2010" t="s">
        <v>20113</v>
      </c>
      <c r="AH2010" t="str">
        <f>HYPERLINK("http://compartments.jensenlab.org/Entity?figures=subcell_cell_%&amp;knowledge=10&amp;textmining=10&amp;experiments=10&amp;predictions=10&amp;type1=9606&amp;type2=-22&amp;id1=ENSP00000323853","link")</f>
        <v>link</v>
      </c>
      <c r="AI2010" t="s">
        <v>65</v>
      </c>
      <c r="AJ2010" t="s">
        <v>51</v>
      </c>
      <c r="AK2010" t="str">
        <f>HYPERLINK("http://www.proteinatlas.org/Q8NH50","no")</f>
        <v>no</v>
      </c>
      <c r="AM2010">
        <v>219453</v>
      </c>
    </row>
    <row r="2011" spans="1:39" x14ac:dyDescent="0.35">
      <c r="A2011" t="s">
        <v>20114</v>
      </c>
      <c r="B2011" t="str">
        <f>HYPERLINK("http://www.uniprot.org/uniprot/Q8NH51","Q8NH51")</f>
        <v>Q8NH51</v>
      </c>
      <c r="C2011" t="s">
        <v>20115</v>
      </c>
      <c r="D2011" t="s">
        <v>20116</v>
      </c>
      <c r="E2011" t="s">
        <v>39</v>
      </c>
      <c r="F2011" t="s">
        <v>55</v>
      </c>
      <c r="H2011">
        <v>312</v>
      </c>
      <c r="I2011">
        <v>7</v>
      </c>
      <c r="J2011">
        <v>0</v>
      </c>
      <c r="K2011" t="s">
        <v>20117</v>
      </c>
      <c r="L2011" t="s">
        <v>57</v>
      </c>
      <c r="N2011">
        <v>0.92220000000000002</v>
      </c>
      <c r="O2011" s="1">
        <v>1</v>
      </c>
      <c r="P2011" t="s">
        <v>20118</v>
      </c>
      <c r="Q2011" t="s">
        <v>20119</v>
      </c>
      <c r="S2011" t="s">
        <v>166</v>
      </c>
      <c r="T2011" t="s">
        <v>167</v>
      </c>
      <c r="U2011">
        <v>5</v>
      </c>
      <c r="V2011">
        <v>1</v>
      </c>
      <c r="AE2011" t="s">
        <v>74</v>
      </c>
      <c r="AF2011" t="s">
        <v>169</v>
      </c>
      <c r="AG2011" t="s">
        <v>20120</v>
      </c>
      <c r="AH2011" t="str">
        <f>HYPERLINK("http://compartments.jensenlab.org/Entity?figures=subcell_cell_%&amp;knowledge=10&amp;textmining=10&amp;experiments=10&amp;predictions=10&amp;type1=9606&amp;type2=-22&amp;id1=ENSP00000323555","link")</f>
        <v>link</v>
      </c>
      <c r="AI2011" t="s">
        <v>65</v>
      </c>
      <c r="AJ2011" t="s">
        <v>51</v>
      </c>
      <c r="AK2011" t="str">
        <f>HYPERLINK("http://www.proteinatlas.org/Q8NH51","no")</f>
        <v>no</v>
      </c>
      <c r="AM2011">
        <v>219473</v>
      </c>
    </row>
    <row r="2012" spans="1:39" x14ac:dyDescent="0.35">
      <c r="A2012" t="s">
        <v>20121</v>
      </c>
      <c r="B2012" t="str">
        <f>HYPERLINK("http://www.uniprot.org/uniprot/Q8NH53","Q8NH53")</f>
        <v>Q8NH53</v>
      </c>
      <c r="C2012" t="s">
        <v>20122</v>
      </c>
      <c r="D2012" t="s">
        <v>20123</v>
      </c>
      <c r="E2012" t="s">
        <v>39</v>
      </c>
      <c r="F2012" t="s">
        <v>55</v>
      </c>
      <c r="H2012">
        <v>320</v>
      </c>
      <c r="I2012">
        <v>7</v>
      </c>
      <c r="J2012">
        <v>0</v>
      </c>
      <c r="K2012" t="s">
        <v>20124</v>
      </c>
      <c r="L2012" t="s">
        <v>57</v>
      </c>
      <c r="M2012" t="s">
        <v>39</v>
      </c>
      <c r="N2012">
        <v>0.9486</v>
      </c>
      <c r="O2012" s="1">
        <v>1</v>
      </c>
      <c r="P2012" t="s">
        <v>20125</v>
      </c>
      <c r="Q2012" t="s">
        <v>20126</v>
      </c>
      <c r="S2012" t="s">
        <v>166</v>
      </c>
      <c r="T2012" t="s">
        <v>167</v>
      </c>
      <c r="U2012">
        <v>5</v>
      </c>
      <c r="V2012">
        <v>1</v>
      </c>
      <c r="AE2012" t="s">
        <v>74</v>
      </c>
      <c r="AF2012" t="s">
        <v>169</v>
      </c>
      <c r="AG2012" t="s">
        <v>20127</v>
      </c>
      <c r="AH2012" t="str">
        <f>HYPERLINK("http://compartments.jensenlab.org/Entity?figures=subcell_cell_%&amp;knowledge=10&amp;textmining=10&amp;experiments=10&amp;predictions=10&amp;type1=9606&amp;type2=-22&amp;id1=ENSP00000322823","link")</f>
        <v>link</v>
      </c>
      <c r="AI2012" t="s">
        <v>65</v>
      </c>
      <c r="AJ2012" t="s">
        <v>51</v>
      </c>
      <c r="AK2012" t="str">
        <f>HYPERLINK("http://www.proteinatlas.org/Q8NH53","HPA054028")</f>
        <v>HPA054028</v>
      </c>
      <c r="AM2012">
        <v>79473</v>
      </c>
    </row>
    <row r="2013" spans="1:39" x14ac:dyDescent="0.35">
      <c r="A2013" t="s">
        <v>20128</v>
      </c>
      <c r="B2013" t="str">
        <f>HYPERLINK("http://www.uniprot.org/uniprot/Q8NH54","Q8NH54")</f>
        <v>Q8NH54</v>
      </c>
      <c r="C2013" t="s">
        <v>20129</v>
      </c>
      <c r="D2013" t="s">
        <v>20130</v>
      </c>
      <c r="E2013" t="s">
        <v>39</v>
      </c>
      <c r="F2013" t="s">
        <v>55</v>
      </c>
      <c r="H2013">
        <v>315</v>
      </c>
      <c r="I2013">
        <v>7</v>
      </c>
      <c r="J2013">
        <v>0</v>
      </c>
      <c r="K2013" t="s">
        <v>20131</v>
      </c>
      <c r="L2013" t="s">
        <v>57</v>
      </c>
      <c r="M2013" t="s">
        <v>39</v>
      </c>
      <c r="N2013">
        <v>0.9667</v>
      </c>
      <c r="O2013" s="1">
        <v>1</v>
      </c>
      <c r="P2013" t="s">
        <v>20132</v>
      </c>
      <c r="Q2013" t="s">
        <v>20133</v>
      </c>
      <c r="S2013" t="s">
        <v>166</v>
      </c>
      <c r="T2013" t="s">
        <v>167</v>
      </c>
      <c r="U2013" t="s">
        <v>20134</v>
      </c>
      <c r="V2013">
        <v>2</v>
      </c>
      <c r="Y2013">
        <v>27</v>
      </c>
      <c r="AE2013" t="s">
        <v>74</v>
      </c>
      <c r="AF2013" t="s">
        <v>169</v>
      </c>
      <c r="AG2013" t="s">
        <v>20135</v>
      </c>
      <c r="AH2013" t="str">
        <f>HYPERLINK("http://compartments.jensenlab.org/Entity?figures=subcell_cell_%&amp;knowledge=10&amp;textmining=10&amp;experiments=10&amp;predictions=10&amp;type1=9606&amp;type2=-22&amp;id1=ENSP00000331572","link")</f>
        <v>link</v>
      </c>
      <c r="AI2013" t="s">
        <v>65</v>
      </c>
      <c r="AJ2013" t="s">
        <v>51</v>
      </c>
      <c r="AK2013" t="str">
        <f>HYPERLINK("http://www.proteinatlas.org/Q8NH54","no")</f>
        <v>no</v>
      </c>
      <c r="AM2013">
        <v>390083</v>
      </c>
    </row>
    <row r="2014" spans="1:39" x14ac:dyDescent="0.35">
      <c r="A2014" t="s">
        <v>20136</v>
      </c>
      <c r="B2014" t="str">
        <f>HYPERLINK("http://www.uniprot.org/uniprot/Q8NH55","Q8NH55")</f>
        <v>Q8NH55</v>
      </c>
      <c r="C2014" t="s">
        <v>20137</v>
      </c>
      <c r="D2014" t="s">
        <v>20138</v>
      </c>
      <c r="E2014" t="s">
        <v>39</v>
      </c>
      <c r="F2014" t="s">
        <v>40</v>
      </c>
      <c r="H2014">
        <v>327</v>
      </c>
      <c r="I2014">
        <v>7</v>
      </c>
      <c r="J2014">
        <v>0</v>
      </c>
      <c r="K2014" t="s">
        <v>20139</v>
      </c>
      <c r="L2014" t="s">
        <v>57</v>
      </c>
      <c r="N2014">
        <v>0.95209999999999995</v>
      </c>
      <c r="O2014" s="1">
        <v>1</v>
      </c>
      <c r="P2014" t="s">
        <v>20140</v>
      </c>
      <c r="Q2014" t="s">
        <v>20141</v>
      </c>
      <c r="S2014" t="s">
        <v>166</v>
      </c>
      <c r="T2014" t="s">
        <v>167</v>
      </c>
      <c r="U2014" t="s">
        <v>20142</v>
      </c>
      <c r="V2014">
        <v>1</v>
      </c>
      <c r="AE2014" t="s">
        <v>74</v>
      </c>
      <c r="AF2014" t="s">
        <v>169</v>
      </c>
      <c r="AG2014" t="s">
        <v>20143</v>
      </c>
      <c r="AH2014" t="str">
        <f>HYPERLINK("http://compartments.jensenlab.org/Entity?figures=subcell_cell_%&amp;knowledge=10&amp;textmining=10&amp;experiments=10&amp;predictions=10&amp;type1=9606&amp;type2=-22&amp;id1=ENSP00000480583","link")</f>
        <v>link</v>
      </c>
      <c r="AK2014" t="str">
        <f>HYPERLINK("http://www.proteinatlas.org/Q8NH55","no")</f>
        <v>no</v>
      </c>
    </row>
    <row r="2015" spans="1:39" x14ac:dyDescent="0.35">
      <c r="A2015" t="s">
        <v>20144</v>
      </c>
      <c r="B2015" t="str">
        <f>HYPERLINK("http://www.uniprot.org/uniprot/Q8NH56","Q8NH56")</f>
        <v>Q8NH56</v>
      </c>
      <c r="C2015" t="s">
        <v>20145</v>
      </c>
      <c r="D2015" t="s">
        <v>20146</v>
      </c>
      <c r="E2015" t="s">
        <v>39</v>
      </c>
      <c r="F2015" t="s">
        <v>55</v>
      </c>
      <c r="H2015">
        <v>324</v>
      </c>
      <c r="I2015">
        <v>7</v>
      </c>
      <c r="J2015">
        <v>0</v>
      </c>
      <c r="K2015" t="s">
        <v>20147</v>
      </c>
      <c r="L2015" t="s">
        <v>57</v>
      </c>
      <c r="N2015">
        <v>0.75649999999999995</v>
      </c>
      <c r="O2015" s="1">
        <v>1</v>
      </c>
      <c r="P2015" t="s">
        <v>20148</v>
      </c>
      <c r="Q2015" t="s">
        <v>20149</v>
      </c>
      <c r="S2015" t="s">
        <v>166</v>
      </c>
      <c r="T2015" t="s">
        <v>167</v>
      </c>
      <c r="V2015">
        <v>0</v>
      </c>
      <c r="AE2015" t="s">
        <v>74</v>
      </c>
      <c r="AF2015" t="s">
        <v>368</v>
      </c>
      <c r="AG2015" t="s">
        <v>20150</v>
      </c>
      <c r="AH2015" t="str">
        <f>HYPERLINK("http://compartments.jensenlab.org/Entity?figures=subcell_cell_%&amp;knowledge=10&amp;textmining=10&amp;experiments=10&amp;predictions=10&amp;type1=9606&amp;type2=-22&amp;id1=ENSP00000322866","link")</f>
        <v>link</v>
      </c>
      <c r="AI2015" t="s">
        <v>65</v>
      </c>
      <c r="AJ2015" t="s">
        <v>51</v>
      </c>
      <c r="AK2015" t="str">
        <f>HYPERLINK("http://www.proteinatlas.org/Q8NH56","no")</f>
        <v>no</v>
      </c>
      <c r="AM2015">
        <v>390075</v>
      </c>
    </row>
    <row r="2016" spans="1:39" x14ac:dyDescent="0.35">
      <c r="A2016" t="s">
        <v>20151</v>
      </c>
      <c r="B2016" t="str">
        <f>HYPERLINK("http://www.uniprot.org/uniprot/Q8NH57","Q8NH57")</f>
        <v>Q8NH57</v>
      </c>
      <c r="C2016" t="s">
        <v>20152</v>
      </c>
      <c r="D2016" t="s">
        <v>20153</v>
      </c>
      <c r="E2016" t="s">
        <v>39</v>
      </c>
      <c r="F2016" t="s">
        <v>40</v>
      </c>
      <c r="H2016">
        <v>321</v>
      </c>
      <c r="I2016">
        <v>7</v>
      </c>
      <c r="J2016">
        <v>0</v>
      </c>
      <c r="K2016" t="s">
        <v>20154</v>
      </c>
      <c r="L2016" t="s">
        <v>57</v>
      </c>
      <c r="N2016">
        <v>0.98199999999999998</v>
      </c>
      <c r="O2016" s="1">
        <v>1</v>
      </c>
      <c r="S2016" t="s">
        <v>166</v>
      </c>
      <c r="T2016" t="s">
        <v>2880</v>
      </c>
      <c r="U2016" t="s">
        <v>19197</v>
      </c>
      <c r="V2016">
        <v>1</v>
      </c>
      <c r="AE2016" t="s">
        <v>74</v>
      </c>
      <c r="AF2016" t="s">
        <v>549</v>
      </c>
      <c r="AG2016" t="s">
        <v>20155</v>
      </c>
      <c r="AK2016" t="str">
        <f>HYPERLINK("http://www.proteinatlas.org/Q8NH57","no")</f>
        <v>no</v>
      </c>
    </row>
    <row r="2017" spans="1:39" x14ac:dyDescent="0.35">
      <c r="A2017" t="s">
        <v>20156</v>
      </c>
      <c r="B2017" t="str">
        <f>HYPERLINK("http://www.uniprot.org/uniprot/Q8NH59","Q8NH59")</f>
        <v>Q8NH59</v>
      </c>
      <c r="C2017" t="s">
        <v>20157</v>
      </c>
      <c r="D2017" t="s">
        <v>20158</v>
      </c>
      <c r="E2017" t="s">
        <v>39</v>
      </c>
      <c r="F2017" t="s">
        <v>55</v>
      </c>
      <c r="H2017">
        <v>317</v>
      </c>
      <c r="I2017">
        <v>7</v>
      </c>
      <c r="J2017">
        <v>0</v>
      </c>
      <c r="K2017" t="s">
        <v>20159</v>
      </c>
      <c r="L2017" t="s">
        <v>57</v>
      </c>
      <c r="N2017">
        <v>0.92810000000000004</v>
      </c>
      <c r="O2017" s="1">
        <v>1</v>
      </c>
      <c r="P2017" t="s">
        <v>20160</v>
      </c>
      <c r="Q2017" t="s">
        <v>20161</v>
      </c>
      <c r="S2017" t="s">
        <v>166</v>
      </c>
      <c r="T2017" t="s">
        <v>167</v>
      </c>
      <c r="U2017" t="s">
        <v>19243</v>
      </c>
      <c r="V2017">
        <v>1</v>
      </c>
      <c r="AE2017" t="s">
        <v>74</v>
      </c>
      <c r="AF2017" t="s">
        <v>169</v>
      </c>
      <c r="AG2017" t="s">
        <v>20162</v>
      </c>
      <c r="AH2017" t="str">
        <f>HYPERLINK("http://compartments.jensenlab.org/Entity?figures=subcell_cell_%&amp;knowledge=10&amp;textmining=10&amp;experiments=10&amp;predictions=10&amp;type1=9606&amp;type2=-22&amp;id1=ENSP00000300778","link")</f>
        <v>link</v>
      </c>
      <c r="AI2017" t="s">
        <v>65</v>
      </c>
      <c r="AJ2017" t="s">
        <v>51</v>
      </c>
      <c r="AK2017" t="str">
        <f>HYPERLINK("http://www.proteinatlas.org/Q8NH59","HPA044998")</f>
        <v>HPA044998</v>
      </c>
      <c r="AM2017">
        <v>390061</v>
      </c>
    </row>
    <row r="2018" spans="1:39" x14ac:dyDescent="0.35">
      <c r="A2018" t="s">
        <v>20163</v>
      </c>
      <c r="B2018" t="str">
        <f>HYPERLINK("http://www.uniprot.org/uniprot/Q8NH60","Q8NH60")</f>
        <v>Q8NH60</v>
      </c>
      <c r="C2018" t="s">
        <v>20164</v>
      </c>
      <c r="D2018" t="s">
        <v>20165</v>
      </c>
      <c r="E2018" t="s">
        <v>39</v>
      </c>
      <c r="F2018" t="s">
        <v>55</v>
      </c>
      <c r="H2018">
        <v>311</v>
      </c>
      <c r="I2018">
        <v>7</v>
      </c>
      <c r="J2018">
        <v>0</v>
      </c>
      <c r="K2018" t="s">
        <v>20166</v>
      </c>
      <c r="L2018" t="s">
        <v>57</v>
      </c>
      <c r="M2018" t="s">
        <v>39</v>
      </c>
      <c r="N2018">
        <v>0.94899999999999995</v>
      </c>
      <c r="O2018" s="1">
        <v>1</v>
      </c>
      <c r="P2018" t="s">
        <v>20167</v>
      </c>
      <c r="Q2018" t="s">
        <v>20168</v>
      </c>
      <c r="S2018" t="s">
        <v>166</v>
      </c>
      <c r="T2018" t="s">
        <v>167</v>
      </c>
      <c r="U2018" t="s">
        <v>19197</v>
      </c>
      <c r="V2018">
        <v>1</v>
      </c>
      <c r="AE2018" t="s">
        <v>74</v>
      </c>
      <c r="AF2018" t="s">
        <v>169</v>
      </c>
      <c r="AG2018" t="s">
        <v>20169</v>
      </c>
      <c r="AH2018" t="str">
        <f>HYPERLINK("http://compartments.jensenlab.org/Entity?figures=subcell_cell_%&amp;knowledge=10&amp;textmining=10&amp;experiments=10&amp;predictions=10&amp;type1=9606&amp;type2=-22&amp;id1=ENSP00000369728","link")</f>
        <v>link</v>
      </c>
      <c r="AI2018" t="s">
        <v>65</v>
      </c>
      <c r="AJ2018" t="s">
        <v>51</v>
      </c>
      <c r="AK2018" t="str">
        <f>HYPERLINK("http://www.proteinatlas.org/Q8NH60","no")</f>
        <v>no</v>
      </c>
      <c r="AM2018">
        <v>119679</v>
      </c>
    </row>
    <row r="2019" spans="1:39" x14ac:dyDescent="0.35">
      <c r="A2019" t="s">
        <v>20170</v>
      </c>
      <c r="B2019" t="str">
        <f>HYPERLINK("http://www.uniprot.org/uniprot/Q8NH61","Q8NH61")</f>
        <v>Q8NH61</v>
      </c>
      <c r="C2019" t="s">
        <v>20171</v>
      </c>
      <c r="D2019" t="s">
        <v>20172</v>
      </c>
      <c r="E2019" t="s">
        <v>39</v>
      </c>
      <c r="F2019" t="s">
        <v>55</v>
      </c>
      <c r="H2019">
        <v>342</v>
      </c>
      <c r="I2019">
        <v>7</v>
      </c>
      <c r="J2019">
        <v>0</v>
      </c>
      <c r="K2019" t="s">
        <v>20173</v>
      </c>
      <c r="L2019" t="s">
        <v>57</v>
      </c>
      <c r="M2019" t="s">
        <v>39</v>
      </c>
      <c r="N2019">
        <v>1</v>
      </c>
      <c r="O2019" s="1">
        <v>1</v>
      </c>
      <c r="P2019" t="s">
        <v>20174</v>
      </c>
      <c r="Q2019" t="s">
        <v>20175</v>
      </c>
      <c r="S2019" t="s">
        <v>166</v>
      </c>
      <c r="T2019" t="s">
        <v>167</v>
      </c>
      <c r="U2019">
        <v>17</v>
      </c>
      <c r="V2019">
        <v>1</v>
      </c>
      <c r="AE2019" t="s">
        <v>74</v>
      </c>
      <c r="AF2019" t="s">
        <v>549</v>
      </c>
      <c r="AG2019" t="s">
        <v>20176</v>
      </c>
      <c r="AH2019" t="str">
        <f>HYPERLINK("http://compartments.jensenlab.org/Entity?figures=subcell_cell_%&amp;knowledge=10&amp;textmining=10&amp;experiments=10&amp;predictions=10&amp;type1=9606&amp;type2=-22&amp;id1=ENSP00000323952","link")</f>
        <v>link</v>
      </c>
      <c r="AI2019" t="s">
        <v>65</v>
      </c>
      <c r="AJ2019" t="s">
        <v>51</v>
      </c>
      <c r="AK2019" t="str">
        <f>HYPERLINK("http://www.proteinatlas.org/Q8NH61","no")</f>
        <v>no</v>
      </c>
      <c r="AM2019">
        <v>119694</v>
      </c>
    </row>
    <row r="2020" spans="1:39" x14ac:dyDescent="0.35">
      <c r="A2020" t="s">
        <v>20177</v>
      </c>
      <c r="B2020" t="str">
        <f>HYPERLINK("http://www.uniprot.org/uniprot/Q8NH63","Q8NH63")</f>
        <v>Q8NH63</v>
      </c>
      <c r="C2020" t="s">
        <v>20178</v>
      </c>
      <c r="D2020" t="s">
        <v>20179</v>
      </c>
      <c r="E2020" t="s">
        <v>39</v>
      </c>
      <c r="F2020" t="s">
        <v>55</v>
      </c>
      <c r="H2020">
        <v>302</v>
      </c>
      <c r="I2020">
        <v>7</v>
      </c>
      <c r="J2020">
        <v>0</v>
      </c>
      <c r="K2020" t="s">
        <v>20180</v>
      </c>
      <c r="L2020" t="s">
        <v>57</v>
      </c>
      <c r="N2020">
        <v>0.95209999999999995</v>
      </c>
      <c r="O2020" s="1">
        <v>1</v>
      </c>
      <c r="P2020" t="s">
        <v>20181</v>
      </c>
      <c r="Q2020" t="s">
        <v>20182</v>
      </c>
      <c r="S2020" t="s">
        <v>166</v>
      </c>
      <c r="T2020" t="s">
        <v>2880</v>
      </c>
      <c r="U2020" t="s">
        <v>19197</v>
      </c>
      <c r="V2020">
        <v>1</v>
      </c>
      <c r="AE2020" t="s">
        <v>74</v>
      </c>
      <c r="AF2020" t="s">
        <v>549</v>
      </c>
      <c r="AG2020" t="s">
        <v>20183</v>
      </c>
      <c r="AH2020" t="str">
        <f>HYPERLINK("http://compartments.jensenlab.org/Entity?figures=subcell_cell_%&amp;knowledge=10&amp;textmining=10&amp;experiments=10&amp;predictions=10&amp;type1=9606&amp;type2=-22&amp;id1=ENSP00000322724","link")</f>
        <v>link</v>
      </c>
      <c r="AI2020" t="s">
        <v>65</v>
      </c>
      <c r="AJ2020" t="s">
        <v>51</v>
      </c>
      <c r="AK2020" t="str">
        <f>HYPERLINK("http://www.proteinatlas.org/Q8NH63","no")</f>
        <v>no</v>
      </c>
    </row>
    <row r="2021" spans="1:39" x14ac:dyDescent="0.35">
      <c r="A2021" t="s">
        <v>20184</v>
      </c>
      <c r="B2021" t="str">
        <f>HYPERLINK("http://www.uniprot.org/uniprot/Q8NH64","Q8NH64")</f>
        <v>Q8NH64</v>
      </c>
      <c r="C2021" t="s">
        <v>20185</v>
      </c>
      <c r="D2021" t="s">
        <v>20186</v>
      </c>
      <c r="E2021" t="s">
        <v>39</v>
      </c>
      <c r="F2021" t="s">
        <v>55</v>
      </c>
      <c r="H2021">
        <v>312</v>
      </c>
      <c r="I2021">
        <v>7</v>
      </c>
      <c r="J2021">
        <v>0</v>
      </c>
      <c r="K2021" t="s">
        <v>20187</v>
      </c>
      <c r="L2021" t="s">
        <v>57</v>
      </c>
      <c r="N2021">
        <v>0.88619999999999999</v>
      </c>
      <c r="O2021" s="1">
        <v>1</v>
      </c>
      <c r="P2021" t="s">
        <v>20188</v>
      </c>
      <c r="Q2021" t="s">
        <v>20189</v>
      </c>
      <c r="S2021" t="s">
        <v>166</v>
      </c>
      <c r="T2021" t="s">
        <v>167</v>
      </c>
      <c r="U2021" t="s">
        <v>20190</v>
      </c>
      <c r="V2021">
        <v>2</v>
      </c>
      <c r="AE2021" t="s">
        <v>74</v>
      </c>
      <c r="AF2021" t="s">
        <v>169</v>
      </c>
      <c r="AG2021" t="s">
        <v>20191</v>
      </c>
      <c r="AH2021" t="str">
        <f>HYPERLINK("http://compartments.jensenlab.org/Entity?figures=subcell_cell_%&amp;knowledge=10&amp;textmining=10&amp;experiments=10&amp;predictions=10&amp;type1=9606&amp;type2=-22&amp;id1=ENSP00000352305","link")</f>
        <v>link</v>
      </c>
      <c r="AI2021" t="s">
        <v>65</v>
      </c>
      <c r="AJ2021" t="s">
        <v>51</v>
      </c>
      <c r="AK2021" t="str">
        <f>HYPERLINK("http://www.proteinatlas.org/Q8NH64","HPA061356")</f>
        <v>HPA061356</v>
      </c>
      <c r="AM2021">
        <v>119687</v>
      </c>
    </row>
    <row r="2022" spans="1:39" x14ac:dyDescent="0.35">
      <c r="A2022" t="s">
        <v>20192</v>
      </c>
      <c r="B2022" t="str">
        <f>HYPERLINK("http://www.uniprot.org/uniprot/Q8NH67","Q8NH67")</f>
        <v>Q8NH67</v>
      </c>
      <c r="C2022" t="s">
        <v>20193</v>
      </c>
      <c r="D2022" t="s">
        <v>20194</v>
      </c>
      <c r="E2022" t="s">
        <v>39</v>
      </c>
      <c r="F2022" t="s">
        <v>55</v>
      </c>
      <c r="H2022">
        <v>350</v>
      </c>
      <c r="I2022">
        <v>7</v>
      </c>
      <c r="J2022">
        <v>0</v>
      </c>
      <c r="K2022" t="s">
        <v>20195</v>
      </c>
      <c r="L2022" t="s">
        <v>57</v>
      </c>
      <c r="M2022" t="s">
        <v>39</v>
      </c>
      <c r="N2022">
        <v>0.9123</v>
      </c>
      <c r="O2022" s="1">
        <v>1</v>
      </c>
      <c r="P2022" t="s">
        <v>20196</v>
      </c>
      <c r="Q2022" t="s">
        <v>20197</v>
      </c>
      <c r="S2022" t="s">
        <v>166</v>
      </c>
      <c r="T2022" t="s">
        <v>167</v>
      </c>
      <c r="U2022">
        <v>33</v>
      </c>
      <c r="V2022">
        <v>1</v>
      </c>
      <c r="AE2022" t="s">
        <v>74</v>
      </c>
      <c r="AF2022" t="s">
        <v>169</v>
      </c>
      <c r="AG2022" t="s">
        <v>20198</v>
      </c>
      <c r="AH2022" t="str">
        <f>HYPERLINK("http://compartments.jensenlab.org/Entity?figures=subcell_cell_%&amp;knowledge=10&amp;textmining=10&amp;experiments=10&amp;predictions=10&amp;type1=9606&amp;type2=-22&amp;id1=ENSP00000308764","link")</f>
        <v>link</v>
      </c>
      <c r="AI2022" t="s">
        <v>65</v>
      </c>
      <c r="AJ2022" t="s">
        <v>51</v>
      </c>
      <c r="AK2022" t="str">
        <f>HYPERLINK("http://www.proteinatlas.org/Q8NH67","HPA049343")</f>
        <v>HPA049343</v>
      </c>
      <c r="AM2022">
        <v>143502</v>
      </c>
    </row>
    <row r="2023" spans="1:39" x14ac:dyDescent="0.35">
      <c r="A2023" t="s">
        <v>20199</v>
      </c>
      <c r="B2023" t="str">
        <f>HYPERLINK("http://www.uniprot.org/uniprot/Q8NH69","Q8NH69")</f>
        <v>Q8NH69</v>
      </c>
      <c r="C2023" t="s">
        <v>20200</v>
      </c>
      <c r="D2023" t="s">
        <v>20201</v>
      </c>
      <c r="E2023" t="s">
        <v>39</v>
      </c>
      <c r="F2023" t="s">
        <v>55</v>
      </c>
      <c r="H2023">
        <v>310</v>
      </c>
      <c r="I2023">
        <v>7</v>
      </c>
      <c r="J2023">
        <v>0</v>
      </c>
      <c r="K2023" t="s">
        <v>20202</v>
      </c>
      <c r="L2023" t="s">
        <v>57</v>
      </c>
      <c r="N2023">
        <v>0.95409999999999995</v>
      </c>
      <c r="O2023" s="1">
        <v>1</v>
      </c>
      <c r="P2023" t="s">
        <v>20203</v>
      </c>
      <c r="Q2023" t="s">
        <v>20204</v>
      </c>
      <c r="S2023" t="s">
        <v>166</v>
      </c>
      <c r="T2023" t="s">
        <v>167</v>
      </c>
      <c r="U2023" t="s">
        <v>20205</v>
      </c>
      <c r="V2023">
        <v>2</v>
      </c>
      <c r="AE2023" t="s">
        <v>74</v>
      </c>
      <c r="AF2023" t="s">
        <v>455</v>
      </c>
      <c r="AG2023" t="s">
        <v>20206</v>
      </c>
      <c r="AH2023" t="str">
        <f>HYPERLINK("http://compartments.jensenlab.org/Entity?figures=subcell_cell_%&amp;knowledge=10&amp;textmining=10&amp;experiments=10&amp;predictions=10&amp;type1=9606&amp;type2=-22&amp;id1=ENSP00000342448","link")</f>
        <v>link</v>
      </c>
      <c r="AI2023" t="s">
        <v>65</v>
      </c>
      <c r="AJ2023" t="s">
        <v>51</v>
      </c>
      <c r="AK2023" t="str">
        <f>HYPERLINK("http://www.proteinatlas.org/Q8NH69","no")</f>
        <v>no</v>
      </c>
      <c r="AM2023">
        <v>390148</v>
      </c>
    </row>
    <row r="2024" spans="1:39" x14ac:dyDescent="0.35">
      <c r="A2024" t="s">
        <v>20207</v>
      </c>
      <c r="B2024" t="str">
        <f>HYPERLINK("http://www.uniprot.org/uniprot/Q8NH70","Q8NH70")</f>
        <v>Q8NH70</v>
      </c>
      <c r="C2024" t="s">
        <v>20208</v>
      </c>
      <c r="D2024" t="s">
        <v>20209</v>
      </c>
      <c r="E2024" t="s">
        <v>39</v>
      </c>
      <c r="F2024" t="s">
        <v>55</v>
      </c>
      <c r="H2024">
        <v>328</v>
      </c>
      <c r="I2024">
        <v>7</v>
      </c>
      <c r="J2024">
        <v>0</v>
      </c>
      <c r="K2024" t="s">
        <v>20210</v>
      </c>
      <c r="L2024" t="s">
        <v>57</v>
      </c>
      <c r="M2024" t="s">
        <v>39</v>
      </c>
      <c r="N2024">
        <v>0.97799999999999998</v>
      </c>
      <c r="O2024" s="1">
        <v>1</v>
      </c>
      <c r="P2024" t="s">
        <v>20211</v>
      </c>
      <c r="Q2024" t="s">
        <v>20212</v>
      </c>
      <c r="S2024" t="s">
        <v>166</v>
      </c>
      <c r="T2024" t="s">
        <v>167</v>
      </c>
      <c r="U2024">
        <v>6</v>
      </c>
      <c r="V2024">
        <v>1</v>
      </c>
      <c r="AE2024" t="s">
        <v>74</v>
      </c>
      <c r="AF2024" t="s">
        <v>169</v>
      </c>
      <c r="AG2024" t="s">
        <v>20213</v>
      </c>
      <c r="AH2024" t="str">
        <f>HYPERLINK("http://compartments.jensenlab.org/Entity?figures=subcell_cell_%&amp;knowledge=10&amp;textmining=10&amp;experiments=10&amp;predictions=10&amp;type1=9606&amp;type2=-22&amp;id1=ENSP00000325128","link")</f>
        <v>link</v>
      </c>
      <c r="AI2024" t="s">
        <v>65</v>
      </c>
      <c r="AJ2024" t="s">
        <v>51</v>
      </c>
      <c r="AK2024" t="str">
        <f>HYPERLINK("http://www.proteinatlas.org/Q8NH70","no")</f>
        <v>no</v>
      </c>
      <c r="AM2024">
        <v>81327</v>
      </c>
    </row>
    <row r="2025" spans="1:39" x14ac:dyDescent="0.35">
      <c r="A2025" t="s">
        <v>20214</v>
      </c>
      <c r="B2025" t="str">
        <f>HYPERLINK("http://www.uniprot.org/uniprot/Q8NH72","Q8NH72")</f>
        <v>Q8NH72</v>
      </c>
      <c r="C2025" t="s">
        <v>20215</v>
      </c>
      <c r="D2025" t="s">
        <v>20216</v>
      </c>
      <c r="E2025" t="s">
        <v>39</v>
      </c>
      <c r="F2025" t="s">
        <v>55</v>
      </c>
      <c r="H2025">
        <v>309</v>
      </c>
      <c r="I2025">
        <v>7</v>
      </c>
      <c r="J2025">
        <v>0</v>
      </c>
      <c r="K2025" t="s">
        <v>20217</v>
      </c>
      <c r="L2025" t="s">
        <v>57</v>
      </c>
      <c r="N2025">
        <v>0.97599999999999998</v>
      </c>
      <c r="O2025" s="1">
        <v>1</v>
      </c>
      <c r="P2025" t="s">
        <v>20218</v>
      </c>
      <c r="Q2025" t="s">
        <v>20219</v>
      </c>
      <c r="S2025" t="s">
        <v>166</v>
      </c>
      <c r="T2025" t="s">
        <v>167</v>
      </c>
      <c r="U2025">
        <v>6</v>
      </c>
      <c r="V2025">
        <v>1</v>
      </c>
      <c r="Y2025">
        <v>300</v>
      </c>
      <c r="AE2025" t="s">
        <v>74</v>
      </c>
      <c r="AF2025" t="s">
        <v>169</v>
      </c>
      <c r="AG2025" t="s">
        <v>20220</v>
      </c>
      <c r="AH2025" t="str">
        <f>HYPERLINK("http://compartments.jensenlab.org/Entity?figures=subcell_cell_%&amp;knowledge=10&amp;textmining=10&amp;experiments=10&amp;predictions=10&amp;type1=9606&amp;type2=-22&amp;id1=ENSP00000324769","link")</f>
        <v>link</v>
      </c>
      <c r="AI2025" t="s">
        <v>65</v>
      </c>
      <c r="AJ2025" t="s">
        <v>51</v>
      </c>
      <c r="AK2025" t="str">
        <f>HYPERLINK("http://www.proteinatlas.org/Q8NH72","no")</f>
        <v>no</v>
      </c>
      <c r="AM2025">
        <v>219432</v>
      </c>
    </row>
    <row r="2026" spans="1:39" x14ac:dyDescent="0.35">
      <c r="A2026" t="s">
        <v>20221</v>
      </c>
      <c r="B2026" t="str">
        <f>HYPERLINK("http://www.uniprot.org/uniprot/Q8NH73","Q8NH73")</f>
        <v>Q8NH73</v>
      </c>
      <c r="C2026" t="s">
        <v>20222</v>
      </c>
      <c r="D2026" t="s">
        <v>20223</v>
      </c>
      <c r="E2026" t="s">
        <v>39</v>
      </c>
      <c r="F2026" t="s">
        <v>55</v>
      </c>
      <c r="H2026">
        <v>311</v>
      </c>
      <c r="I2026">
        <v>7</v>
      </c>
      <c r="J2026">
        <v>0</v>
      </c>
      <c r="K2026" t="s">
        <v>20224</v>
      </c>
      <c r="L2026" t="s">
        <v>57</v>
      </c>
      <c r="N2026">
        <v>0.96209999999999996</v>
      </c>
      <c r="O2026" s="1">
        <v>1</v>
      </c>
      <c r="P2026" t="s">
        <v>20225</v>
      </c>
      <c r="Q2026" t="s">
        <v>20226</v>
      </c>
      <c r="S2026" t="s">
        <v>166</v>
      </c>
      <c r="T2026" t="s">
        <v>167</v>
      </c>
      <c r="U2026">
        <v>6</v>
      </c>
      <c r="V2026">
        <v>1</v>
      </c>
      <c r="AE2026" t="s">
        <v>74</v>
      </c>
      <c r="AF2026" t="s">
        <v>169</v>
      </c>
      <c r="AG2026" t="s">
        <v>20227</v>
      </c>
      <c r="AH2026" t="str">
        <f>HYPERLINK("http://compartments.jensenlab.org/Entity?figures=subcell_cell_%&amp;knowledge=10&amp;textmining=10&amp;experiments=10&amp;predictions=10&amp;type1=9606&amp;type2=-22&amp;id1=ENSP00000310337","link")</f>
        <v>link</v>
      </c>
      <c r="AI2026" t="s">
        <v>65</v>
      </c>
      <c r="AJ2026" t="s">
        <v>51</v>
      </c>
      <c r="AK2026" t="str">
        <f>HYPERLINK("http://www.proteinatlas.org/Q8NH73","no")</f>
        <v>no</v>
      </c>
      <c r="AM2026">
        <v>219431</v>
      </c>
    </row>
    <row r="2027" spans="1:39" x14ac:dyDescent="0.35">
      <c r="A2027" t="s">
        <v>20228</v>
      </c>
      <c r="B2027" t="str">
        <f>HYPERLINK("http://www.uniprot.org/uniprot/Q8NH74","Q8NH74")</f>
        <v>Q8NH74</v>
      </c>
      <c r="C2027" t="s">
        <v>20229</v>
      </c>
      <c r="D2027" t="s">
        <v>20230</v>
      </c>
      <c r="E2027" t="s">
        <v>39</v>
      </c>
      <c r="F2027" t="s">
        <v>55</v>
      </c>
      <c r="H2027">
        <v>314</v>
      </c>
      <c r="I2027">
        <v>7</v>
      </c>
      <c r="J2027">
        <v>0</v>
      </c>
      <c r="K2027" t="s">
        <v>20231</v>
      </c>
      <c r="L2027" t="s">
        <v>57</v>
      </c>
      <c r="M2027" t="s">
        <v>39</v>
      </c>
      <c r="N2027">
        <v>0.98519999999999996</v>
      </c>
      <c r="O2027" s="1">
        <v>1</v>
      </c>
      <c r="P2027" t="s">
        <v>20232</v>
      </c>
      <c r="Q2027" t="s">
        <v>20233</v>
      </c>
      <c r="S2027" t="s">
        <v>166</v>
      </c>
      <c r="T2027" t="s">
        <v>167</v>
      </c>
      <c r="U2027" t="s">
        <v>1191</v>
      </c>
      <c r="V2027">
        <v>1</v>
      </c>
      <c r="AE2027" t="s">
        <v>74</v>
      </c>
      <c r="AF2027" t="s">
        <v>169</v>
      </c>
      <c r="AG2027" t="s">
        <v>20234</v>
      </c>
      <c r="AH2027" t="str">
        <f>HYPERLINK("http://compartments.jensenlab.org/Entity?figures=subcell_cell_%&amp;knowledge=10&amp;textmining=10&amp;experiments=10&amp;predictions=10&amp;type1=9606&amp;type2=-22&amp;id1=ENSP00000312470","link")</f>
        <v>link</v>
      </c>
      <c r="AI2027" t="s">
        <v>65</v>
      </c>
      <c r="AJ2027" t="s">
        <v>51</v>
      </c>
      <c r="AK2027" t="str">
        <f>HYPERLINK("http://www.proteinatlas.org/Q8NH74","no")</f>
        <v>no</v>
      </c>
      <c r="AM2027">
        <v>390093</v>
      </c>
    </row>
    <row r="2028" spans="1:39" x14ac:dyDescent="0.35">
      <c r="A2028" t="s">
        <v>20235</v>
      </c>
      <c r="B2028" t="str">
        <f>HYPERLINK("http://www.uniprot.org/uniprot/Q8NH76","Q8NH76")</f>
        <v>Q8NH76</v>
      </c>
      <c r="C2028" t="s">
        <v>20236</v>
      </c>
      <c r="D2028" t="s">
        <v>20237</v>
      </c>
      <c r="E2028" t="s">
        <v>39</v>
      </c>
      <c r="F2028" t="s">
        <v>55</v>
      </c>
      <c r="H2028">
        <v>319</v>
      </c>
      <c r="I2028">
        <v>7</v>
      </c>
      <c r="J2028">
        <v>0</v>
      </c>
      <c r="K2028" t="s">
        <v>20238</v>
      </c>
      <c r="L2028" t="s">
        <v>57</v>
      </c>
      <c r="N2028">
        <v>0.7964</v>
      </c>
      <c r="O2028" s="1">
        <v>1</v>
      </c>
      <c r="P2028" t="s">
        <v>20239</v>
      </c>
      <c r="Q2028" t="s">
        <v>20240</v>
      </c>
      <c r="S2028" t="s">
        <v>166</v>
      </c>
      <c r="T2028" t="s">
        <v>167</v>
      </c>
      <c r="V2028">
        <v>0</v>
      </c>
      <c r="Y2028">
        <v>29</v>
      </c>
      <c r="AE2028" t="s">
        <v>74</v>
      </c>
      <c r="AF2028" t="s">
        <v>368</v>
      </c>
      <c r="AG2028" t="s">
        <v>20241</v>
      </c>
      <c r="AH2028" t="str">
        <f>HYPERLINK("http://compartments.jensenlab.org/Entity?figures=subcell_cell_%&amp;knowledge=10&amp;textmining=10&amp;experiments=10&amp;predictions=10&amp;type1=9606&amp;type2=-22&amp;id1=ENSP00000321196","link")</f>
        <v>link</v>
      </c>
      <c r="AI2028" t="s">
        <v>65</v>
      </c>
      <c r="AJ2028" t="s">
        <v>51</v>
      </c>
      <c r="AK2028" t="str">
        <f>HYPERLINK("http://www.proteinatlas.org/Q8NH76","no")</f>
        <v>no</v>
      </c>
      <c r="AM2028">
        <v>196335</v>
      </c>
    </row>
    <row r="2029" spans="1:39" x14ac:dyDescent="0.35">
      <c r="A2029" t="s">
        <v>20242</v>
      </c>
      <c r="B2029" t="str">
        <f>HYPERLINK("http://www.uniprot.org/uniprot/Q8NH79","Q8NH79")</f>
        <v>Q8NH79</v>
      </c>
      <c r="C2029" t="s">
        <v>20243</v>
      </c>
      <c r="D2029" t="s">
        <v>20244</v>
      </c>
      <c r="E2029" t="s">
        <v>39</v>
      </c>
      <c r="F2029" t="s">
        <v>55</v>
      </c>
      <c r="H2029">
        <v>312</v>
      </c>
      <c r="I2029">
        <v>7</v>
      </c>
      <c r="J2029">
        <v>0</v>
      </c>
      <c r="K2029" t="s">
        <v>20245</v>
      </c>
      <c r="L2029" t="s">
        <v>57</v>
      </c>
      <c r="M2029" t="s">
        <v>39</v>
      </c>
      <c r="N2029">
        <v>0.95509999999999995</v>
      </c>
      <c r="O2029" s="1">
        <v>1</v>
      </c>
      <c r="P2029" t="s">
        <v>20246</v>
      </c>
      <c r="Q2029" t="s">
        <v>20247</v>
      </c>
      <c r="S2029" t="s">
        <v>166</v>
      </c>
      <c r="T2029" t="s">
        <v>167</v>
      </c>
      <c r="U2029" t="s">
        <v>252</v>
      </c>
      <c r="V2029">
        <v>1</v>
      </c>
      <c r="AE2029" t="s">
        <v>74</v>
      </c>
      <c r="AF2029" t="s">
        <v>169</v>
      </c>
      <c r="AG2029" t="s">
        <v>20248</v>
      </c>
      <c r="AH2029" t="str">
        <f>HYPERLINK("http://compartments.jensenlab.org/Entity?figures=subcell_cell_%&amp;knowledge=10&amp;textmining=10&amp;experiments=10&amp;predictions=10&amp;type1=9606&amp;type2=-22&amp;id1=ENSP00000333724","link")</f>
        <v>link</v>
      </c>
      <c r="AI2029" t="s">
        <v>65</v>
      </c>
      <c r="AJ2029" t="s">
        <v>51</v>
      </c>
      <c r="AK2029" t="str">
        <f>HYPERLINK("http://www.proteinatlas.org/Q8NH79","no")</f>
        <v>no</v>
      </c>
      <c r="AM2029">
        <v>390260</v>
      </c>
    </row>
    <row r="2030" spans="1:39" x14ac:dyDescent="0.35">
      <c r="A2030" t="s">
        <v>20249</v>
      </c>
      <c r="B2030" t="str">
        <f>HYPERLINK("http://www.uniprot.org/uniprot/Q8NH80","Q8NH80")</f>
        <v>Q8NH80</v>
      </c>
      <c r="C2030" t="s">
        <v>20250</v>
      </c>
      <c r="D2030" t="s">
        <v>20251</v>
      </c>
      <c r="E2030" t="s">
        <v>39</v>
      </c>
      <c r="F2030" t="s">
        <v>40</v>
      </c>
      <c r="H2030">
        <v>312</v>
      </c>
      <c r="I2030">
        <v>7</v>
      </c>
      <c r="J2030">
        <v>0</v>
      </c>
      <c r="K2030" t="s">
        <v>20252</v>
      </c>
      <c r="L2030" t="s">
        <v>57</v>
      </c>
      <c r="N2030">
        <v>0.81640000000000001</v>
      </c>
      <c r="O2030" s="1">
        <v>1</v>
      </c>
      <c r="P2030" t="s">
        <v>20253</v>
      </c>
      <c r="Q2030" t="s">
        <v>20254</v>
      </c>
      <c r="S2030" t="s">
        <v>166</v>
      </c>
      <c r="T2030" t="s">
        <v>2880</v>
      </c>
      <c r="U2030" t="s">
        <v>20255</v>
      </c>
      <c r="V2030">
        <v>0</v>
      </c>
      <c r="AE2030" t="s">
        <v>74</v>
      </c>
      <c r="AF2030" t="s">
        <v>277</v>
      </c>
      <c r="AG2030" t="s">
        <v>20256</v>
      </c>
      <c r="AH2030" t="str">
        <f>HYPERLINK("http://compartments.jensenlab.org/Entity?figures=subcell_cell_%&amp;knowledge=10&amp;textmining=10&amp;experiments=10&amp;predictions=10&amp;type1=9606&amp;type2=-22&amp;id1=ENSP00000323895","link")</f>
        <v>link</v>
      </c>
      <c r="AI2030" t="s">
        <v>65</v>
      </c>
      <c r="AJ2030" t="s">
        <v>51</v>
      </c>
      <c r="AK2030" t="str">
        <f>HYPERLINK("http://www.proteinatlas.org/Q8NH80","HPA049991")</f>
        <v>HPA049991</v>
      </c>
    </row>
    <row r="2031" spans="1:39" x14ac:dyDescent="0.35">
      <c r="A2031" t="s">
        <v>20257</v>
      </c>
      <c r="B2031" t="str">
        <f>HYPERLINK("http://www.uniprot.org/uniprot/Q8NH81","Q8NH81")</f>
        <v>Q8NH81</v>
      </c>
      <c r="C2031" t="s">
        <v>20258</v>
      </c>
      <c r="D2031" t="s">
        <v>20259</v>
      </c>
      <c r="E2031" t="s">
        <v>39</v>
      </c>
      <c r="F2031" t="s">
        <v>40</v>
      </c>
      <c r="H2031">
        <v>332</v>
      </c>
      <c r="I2031">
        <v>7</v>
      </c>
      <c r="J2031">
        <v>0</v>
      </c>
      <c r="K2031" t="s">
        <v>20260</v>
      </c>
      <c r="L2031" t="s">
        <v>57</v>
      </c>
      <c r="N2031">
        <v>0.73450000000000004</v>
      </c>
      <c r="O2031" s="1">
        <v>2</v>
      </c>
      <c r="P2031" t="s">
        <v>20261</v>
      </c>
      <c r="Q2031" t="s">
        <v>20262</v>
      </c>
      <c r="S2031" t="s">
        <v>166</v>
      </c>
      <c r="T2031" t="s">
        <v>167</v>
      </c>
      <c r="U2031">
        <v>26</v>
      </c>
      <c r="V2031">
        <v>1</v>
      </c>
      <c r="AE2031" t="s">
        <v>74</v>
      </c>
      <c r="AF2031" t="s">
        <v>549</v>
      </c>
      <c r="AG2031" t="s">
        <v>20263</v>
      </c>
      <c r="AH2031" t="str">
        <f>HYPERLINK("http://compartments.jensenlab.org/Entity?figures=subcell_cell_%&amp;knowledge=10&amp;textmining=10&amp;experiments=10&amp;predictions=10&amp;type1=9606&amp;type2=-22&amp;id1=ENSP00000477445","link")</f>
        <v>link</v>
      </c>
      <c r="AK2031" t="str">
        <f>HYPERLINK("http://www.proteinatlas.org/Q8NH81","no")</f>
        <v>no</v>
      </c>
    </row>
    <row r="2032" spans="1:39" x14ac:dyDescent="0.35">
      <c r="A2032" t="s">
        <v>20264</v>
      </c>
      <c r="B2032" t="str">
        <f>HYPERLINK("http://www.uniprot.org/uniprot/Q8NH83","Q8NH83")</f>
        <v>Q8NH83</v>
      </c>
      <c r="C2032" t="s">
        <v>20265</v>
      </c>
      <c r="D2032" t="s">
        <v>20266</v>
      </c>
      <c r="E2032" t="s">
        <v>39</v>
      </c>
      <c r="F2032" t="s">
        <v>55</v>
      </c>
      <c r="H2032">
        <v>315</v>
      </c>
      <c r="I2032">
        <v>7</v>
      </c>
      <c r="J2032">
        <v>0</v>
      </c>
      <c r="K2032" t="s">
        <v>20267</v>
      </c>
      <c r="L2032" t="s">
        <v>57</v>
      </c>
      <c r="N2032">
        <v>0.99199999999999999</v>
      </c>
      <c r="O2032" s="1">
        <v>1</v>
      </c>
      <c r="P2032" t="s">
        <v>20268</v>
      </c>
      <c r="Q2032" t="s">
        <v>20269</v>
      </c>
      <c r="S2032" t="s">
        <v>166</v>
      </c>
      <c r="T2032" t="s">
        <v>167</v>
      </c>
      <c r="U2032">
        <v>6</v>
      </c>
      <c r="V2032">
        <v>1</v>
      </c>
      <c r="AE2032" t="s">
        <v>74</v>
      </c>
      <c r="AF2032" t="s">
        <v>169</v>
      </c>
      <c r="AG2032" t="s">
        <v>20270</v>
      </c>
      <c r="AH2032" t="str">
        <f>HYPERLINK("http://compartments.jensenlab.org/Entity?figures=subcell_cell_%&amp;knowledge=10&amp;textmining=10&amp;experiments=10&amp;predictions=10&amp;type1=9606&amp;type2=-22&amp;id1=ENSP00000367664","link")</f>
        <v>link</v>
      </c>
      <c r="AI2032" t="s">
        <v>65</v>
      </c>
      <c r="AJ2032" t="s">
        <v>51</v>
      </c>
      <c r="AK2032" t="str">
        <f>HYPERLINK("http://www.proteinatlas.org/Q8NH83","no")</f>
        <v>no</v>
      </c>
      <c r="AM2032">
        <v>81318</v>
      </c>
    </row>
    <row r="2033" spans="1:39" x14ac:dyDescent="0.35">
      <c r="A2033" t="s">
        <v>20271</v>
      </c>
      <c r="B2033" t="str">
        <f>HYPERLINK("http://www.uniprot.org/uniprot/Q8NH85","Q8NH85")</f>
        <v>Q8NH85</v>
      </c>
      <c r="C2033" t="s">
        <v>20272</v>
      </c>
      <c r="D2033" t="s">
        <v>20273</v>
      </c>
      <c r="E2033" t="s">
        <v>39</v>
      </c>
      <c r="F2033" t="s">
        <v>55</v>
      </c>
      <c r="H2033">
        <v>324</v>
      </c>
      <c r="I2033">
        <v>7</v>
      </c>
      <c r="J2033">
        <v>0</v>
      </c>
      <c r="K2033" t="s">
        <v>20274</v>
      </c>
      <c r="L2033" t="s">
        <v>57</v>
      </c>
      <c r="M2033" t="s">
        <v>39</v>
      </c>
      <c r="N2033">
        <v>0.9738</v>
      </c>
      <c r="O2033" s="1">
        <v>1</v>
      </c>
      <c r="P2033" t="s">
        <v>20275</v>
      </c>
      <c r="Q2033" t="s">
        <v>20276</v>
      </c>
      <c r="S2033" t="s">
        <v>166</v>
      </c>
      <c r="T2033" t="s">
        <v>167</v>
      </c>
      <c r="U2033">
        <v>265</v>
      </c>
      <c r="V2033">
        <v>1</v>
      </c>
      <c r="AE2033" t="s">
        <v>74</v>
      </c>
      <c r="AF2033" t="s">
        <v>169</v>
      </c>
      <c r="AG2033" t="s">
        <v>20277</v>
      </c>
      <c r="AH2033" t="str">
        <f>HYPERLINK("http://compartments.jensenlab.org/Entity?figures=subcell_cell_%&amp;knowledge=10&amp;textmining=10&amp;experiments=10&amp;predictions=10&amp;type1=9606&amp;type2=-22&amp;id1=ENSP00000308595","link")</f>
        <v>link</v>
      </c>
      <c r="AI2033" t="s">
        <v>65</v>
      </c>
      <c r="AJ2033" t="s">
        <v>51</v>
      </c>
      <c r="AK2033" t="str">
        <f>HYPERLINK("http://www.proteinatlas.org/Q8NH85","HPA049992")</f>
        <v>HPA049992</v>
      </c>
      <c r="AM2033">
        <v>219479</v>
      </c>
    </row>
    <row r="2034" spans="1:39" x14ac:dyDescent="0.35">
      <c r="A2034" t="s">
        <v>20278</v>
      </c>
      <c r="B2034" t="str">
        <f>HYPERLINK("http://www.uniprot.org/uniprot/Q8NH87","Q8NH87")</f>
        <v>Q8NH87</v>
      </c>
      <c r="C2034" t="s">
        <v>20279</v>
      </c>
      <c r="D2034" t="s">
        <v>20280</v>
      </c>
      <c r="E2034" t="s">
        <v>39</v>
      </c>
      <c r="F2034" t="s">
        <v>55</v>
      </c>
      <c r="H2034">
        <v>305</v>
      </c>
      <c r="I2034">
        <v>7</v>
      </c>
      <c r="J2034">
        <v>0</v>
      </c>
      <c r="K2034" t="s">
        <v>20281</v>
      </c>
      <c r="L2034" t="s">
        <v>57</v>
      </c>
      <c r="M2034" t="s">
        <v>39</v>
      </c>
      <c r="N2034">
        <v>0.94469999999999998</v>
      </c>
      <c r="O2034" s="1">
        <v>1</v>
      </c>
      <c r="P2034" t="s">
        <v>20282</v>
      </c>
      <c r="Q2034" t="s">
        <v>20283</v>
      </c>
      <c r="S2034" t="s">
        <v>166</v>
      </c>
      <c r="T2034" t="s">
        <v>167</v>
      </c>
      <c r="U2034" t="s">
        <v>4857</v>
      </c>
      <c r="V2034">
        <v>1</v>
      </c>
      <c r="AE2034" t="s">
        <v>74</v>
      </c>
      <c r="AF2034" t="s">
        <v>169</v>
      </c>
      <c r="AG2034" t="s">
        <v>20284</v>
      </c>
      <c r="AH2034" t="str">
        <f>HYPERLINK("http://compartments.jensenlab.org/Entity?figures=subcell_cell_%&amp;knowledge=10&amp;textmining=10&amp;experiments=10&amp;predictions=10&amp;type1=9606&amp;type2=-22&amp;id1=ENSP00000309012","link")</f>
        <v>link</v>
      </c>
      <c r="AI2034" t="s">
        <v>65</v>
      </c>
      <c r="AJ2034" t="s">
        <v>51</v>
      </c>
      <c r="AK2034" t="str">
        <f>HYPERLINK("http://www.proteinatlas.org/Q8NH87","no")</f>
        <v>no</v>
      </c>
      <c r="AM2034">
        <v>390174</v>
      </c>
    </row>
    <row r="2035" spans="1:39" x14ac:dyDescent="0.35">
      <c r="A2035" t="s">
        <v>20285</v>
      </c>
      <c r="B2035" t="str">
        <f>HYPERLINK("http://www.uniprot.org/uniprot/Q8NH89","Q8NH89")</f>
        <v>Q8NH89</v>
      </c>
      <c r="C2035" t="s">
        <v>20286</v>
      </c>
      <c r="D2035" t="s">
        <v>20287</v>
      </c>
      <c r="E2035" t="s">
        <v>39</v>
      </c>
      <c r="F2035" t="s">
        <v>40</v>
      </c>
      <c r="H2035">
        <v>298</v>
      </c>
      <c r="I2035">
        <v>7</v>
      </c>
      <c r="J2035">
        <v>0</v>
      </c>
      <c r="K2035" t="s">
        <v>20288</v>
      </c>
      <c r="L2035" t="s">
        <v>57</v>
      </c>
      <c r="N2035">
        <v>0.93010000000000004</v>
      </c>
      <c r="O2035" s="1">
        <v>1</v>
      </c>
      <c r="S2035" t="s">
        <v>60</v>
      </c>
      <c r="T2035" t="s">
        <v>60</v>
      </c>
      <c r="U2035" t="s">
        <v>20289</v>
      </c>
      <c r="V2035">
        <v>2</v>
      </c>
      <c r="AE2035" t="s">
        <v>74</v>
      </c>
      <c r="AF2035" t="s">
        <v>549</v>
      </c>
      <c r="AG2035" t="s">
        <v>20290</v>
      </c>
      <c r="AK2035" t="str">
        <f>HYPERLINK("http://www.proteinatlas.org/Q8NH89","no")</f>
        <v>no</v>
      </c>
    </row>
    <row r="2036" spans="1:39" x14ac:dyDescent="0.35">
      <c r="A2036" t="s">
        <v>20291</v>
      </c>
      <c r="B2036" t="str">
        <f>HYPERLINK("http://www.uniprot.org/uniprot/Q8NH90","Q8NH90")</f>
        <v>Q8NH90</v>
      </c>
      <c r="C2036" t="s">
        <v>20292</v>
      </c>
      <c r="D2036" t="s">
        <v>20293</v>
      </c>
      <c r="E2036" t="s">
        <v>39</v>
      </c>
      <c r="F2036" t="s">
        <v>55</v>
      </c>
      <c r="H2036">
        <v>309</v>
      </c>
      <c r="I2036">
        <v>7</v>
      </c>
      <c r="J2036">
        <v>0</v>
      </c>
      <c r="K2036" t="s">
        <v>20294</v>
      </c>
      <c r="L2036" t="s">
        <v>57</v>
      </c>
      <c r="N2036">
        <v>0.96409999999999996</v>
      </c>
      <c r="O2036" s="1">
        <v>1</v>
      </c>
      <c r="P2036" t="s">
        <v>20295</v>
      </c>
      <c r="Q2036" t="s">
        <v>20296</v>
      </c>
      <c r="S2036" t="s">
        <v>166</v>
      </c>
      <c r="T2036" t="s">
        <v>167</v>
      </c>
      <c r="U2036" t="s">
        <v>20289</v>
      </c>
      <c r="V2036">
        <v>3</v>
      </c>
      <c r="AE2036" t="s">
        <v>74</v>
      </c>
      <c r="AF2036" t="s">
        <v>169</v>
      </c>
      <c r="AG2036" t="s">
        <v>20297</v>
      </c>
      <c r="AH2036" t="str">
        <f>HYPERLINK("http://compartments.jensenlab.org/Entity?figures=subcell_cell_%&amp;knowledge=10&amp;textmining=10&amp;experiments=10&amp;predictions=10&amp;type1=9606&amp;type2=-22&amp;id1=ENSP00000322784","link")</f>
        <v>link</v>
      </c>
      <c r="AI2036" t="s">
        <v>65</v>
      </c>
      <c r="AJ2036" t="s">
        <v>51</v>
      </c>
      <c r="AK2036" t="str">
        <f>HYPERLINK("http://www.proteinatlas.org/Q8NH90","no")</f>
        <v>no</v>
      </c>
      <c r="AM2036">
        <v>390181</v>
      </c>
    </row>
    <row r="2037" spans="1:39" x14ac:dyDescent="0.35">
      <c r="A2037" t="s">
        <v>20298</v>
      </c>
      <c r="B2037" t="str">
        <f>HYPERLINK("http://www.uniprot.org/uniprot/Q8NH92","Q8NH92")</f>
        <v>Q8NH92</v>
      </c>
      <c r="C2037" t="s">
        <v>20299</v>
      </c>
      <c r="D2037" t="s">
        <v>20300</v>
      </c>
      <c r="E2037" t="s">
        <v>39</v>
      </c>
      <c r="F2037" t="s">
        <v>55</v>
      </c>
      <c r="H2037">
        <v>325</v>
      </c>
      <c r="I2037">
        <v>7</v>
      </c>
      <c r="J2037">
        <v>0</v>
      </c>
      <c r="K2037" t="s">
        <v>20301</v>
      </c>
      <c r="L2037" t="s">
        <v>57</v>
      </c>
      <c r="M2037" t="s">
        <v>39</v>
      </c>
      <c r="N2037">
        <v>0.96740000000000004</v>
      </c>
      <c r="O2037" s="1">
        <v>1</v>
      </c>
      <c r="P2037" t="s">
        <v>20302</v>
      </c>
      <c r="Q2037" t="s">
        <v>20303</v>
      </c>
      <c r="S2037" t="s">
        <v>166</v>
      </c>
      <c r="T2037" t="s">
        <v>167</v>
      </c>
      <c r="U2037" t="s">
        <v>20304</v>
      </c>
      <c r="V2037">
        <v>1</v>
      </c>
      <c r="AE2037" t="s">
        <v>74</v>
      </c>
      <c r="AF2037" t="s">
        <v>169</v>
      </c>
      <c r="AG2037" t="s">
        <v>20305</v>
      </c>
      <c r="AH2037" t="str">
        <f>HYPERLINK("http://compartments.jensenlab.org/Entity?figures=subcell_cell_%&amp;knowledge=10&amp;textmining=10&amp;experiments=10&amp;predictions=10&amp;type1=9606&amp;type2=-22&amp;id1=ENSP00000311688","link")</f>
        <v>link</v>
      </c>
      <c r="AI2037" t="s">
        <v>65</v>
      </c>
      <c r="AJ2037" t="s">
        <v>51</v>
      </c>
      <c r="AK2037" t="str">
        <f>HYPERLINK("http://www.proteinatlas.org/Q8NH92","HPA049304")</f>
        <v>HPA049304</v>
      </c>
      <c r="AM2037">
        <v>219959</v>
      </c>
    </row>
    <row r="2038" spans="1:39" x14ac:dyDescent="0.35">
      <c r="A2038" t="s">
        <v>20306</v>
      </c>
      <c r="B2038" t="str">
        <f>HYPERLINK("http://www.uniprot.org/uniprot/Q8NH93","Q8NH93")</f>
        <v>Q8NH93</v>
      </c>
      <c r="C2038" t="s">
        <v>20307</v>
      </c>
      <c r="D2038" t="s">
        <v>20308</v>
      </c>
      <c r="E2038" t="s">
        <v>39</v>
      </c>
      <c r="F2038" t="s">
        <v>55</v>
      </c>
      <c r="H2038">
        <v>324</v>
      </c>
      <c r="I2038">
        <v>7</v>
      </c>
      <c r="J2038">
        <v>0</v>
      </c>
      <c r="K2038" t="s">
        <v>20309</v>
      </c>
      <c r="L2038" t="s">
        <v>57</v>
      </c>
      <c r="N2038">
        <v>0.99199999999999999</v>
      </c>
      <c r="O2038" s="1">
        <v>1</v>
      </c>
      <c r="P2038" t="s">
        <v>20310</v>
      </c>
      <c r="Q2038" t="s">
        <v>20311</v>
      </c>
      <c r="S2038" t="s">
        <v>166</v>
      </c>
      <c r="T2038" t="s">
        <v>167</v>
      </c>
      <c r="U2038" t="s">
        <v>20312</v>
      </c>
      <c r="V2038">
        <v>1</v>
      </c>
      <c r="AE2038" t="s">
        <v>74</v>
      </c>
      <c r="AF2038" t="s">
        <v>169</v>
      </c>
      <c r="AG2038" t="s">
        <v>20313</v>
      </c>
      <c r="AH2038" t="str">
        <f>HYPERLINK("http://compartments.jensenlab.org/Entity?figures=subcell_cell_%&amp;knowledge=10&amp;textmining=10&amp;experiments=10&amp;predictions=10&amp;type1=9606&amp;type2=-22&amp;id1=ENSP00000302863","link")</f>
        <v>link</v>
      </c>
      <c r="AI2038" t="s">
        <v>65</v>
      </c>
      <c r="AJ2038" t="s">
        <v>51</v>
      </c>
      <c r="AK2038" t="str">
        <f>HYPERLINK("http://www.proteinatlas.org/Q8NH93","HPA058878")</f>
        <v>HPA058878</v>
      </c>
      <c r="AM2038">
        <v>26735</v>
      </c>
    </row>
    <row r="2039" spans="1:39" x14ac:dyDescent="0.35">
      <c r="A2039" t="s">
        <v>20314</v>
      </c>
      <c r="B2039" t="str">
        <f>HYPERLINK("http://www.uniprot.org/uniprot/Q8NH94","Q8NH94")</f>
        <v>Q8NH94</v>
      </c>
      <c r="C2039" t="s">
        <v>20315</v>
      </c>
      <c r="D2039" t="s">
        <v>20316</v>
      </c>
      <c r="E2039" t="s">
        <v>39</v>
      </c>
      <c r="F2039" t="s">
        <v>55</v>
      </c>
      <c r="H2039">
        <v>360</v>
      </c>
      <c r="I2039">
        <v>7</v>
      </c>
      <c r="J2039">
        <v>0</v>
      </c>
      <c r="K2039" t="s">
        <v>20317</v>
      </c>
      <c r="L2039" t="s">
        <v>57</v>
      </c>
      <c r="M2039" t="s">
        <v>39</v>
      </c>
      <c r="N2039">
        <v>0.98309999999999997</v>
      </c>
      <c r="O2039" s="1">
        <v>1</v>
      </c>
      <c r="P2039" t="s">
        <v>20318</v>
      </c>
      <c r="Q2039" t="s">
        <v>20319</v>
      </c>
      <c r="S2039" t="s">
        <v>166</v>
      </c>
      <c r="T2039" t="s">
        <v>167</v>
      </c>
      <c r="U2039" t="s">
        <v>20320</v>
      </c>
      <c r="V2039">
        <v>2</v>
      </c>
      <c r="AE2039" t="s">
        <v>74</v>
      </c>
      <c r="AF2039" t="s">
        <v>169</v>
      </c>
      <c r="AG2039" t="s">
        <v>20321</v>
      </c>
      <c r="AH2039" t="str">
        <f>HYPERLINK("http://compartments.jensenlab.org/Entity?figures=subcell_cell_%&amp;knowledge=10&amp;textmining=10&amp;experiments=10&amp;predictions=10&amp;type1=9606&amp;type2=-22&amp;id1=ENSP00000362790","link")</f>
        <v>link</v>
      </c>
      <c r="AI2039" t="s">
        <v>65</v>
      </c>
      <c r="AJ2039" t="s">
        <v>51</v>
      </c>
      <c r="AK2039" t="str">
        <f>HYPERLINK("http://www.proteinatlas.org/Q8NH94","no")</f>
        <v>no</v>
      </c>
      <c r="AM2039">
        <v>26737</v>
      </c>
    </row>
    <row r="2040" spans="1:39" x14ac:dyDescent="0.35">
      <c r="A2040" t="s">
        <v>20322</v>
      </c>
      <c r="B2040" t="str">
        <f>HYPERLINK("http://www.uniprot.org/uniprot/Q8NH95","Q8NH95")</f>
        <v>Q8NH95</v>
      </c>
      <c r="C2040" t="s">
        <v>20323</v>
      </c>
      <c r="D2040" t="s">
        <v>20324</v>
      </c>
      <c r="E2040" t="s">
        <v>39</v>
      </c>
      <c r="F2040" t="s">
        <v>40</v>
      </c>
      <c r="H2040">
        <v>151</v>
      </c>
      <c r="I2040">
        <v>3</v>
      </c>
      <c r="J2040">
        <v>0</v>
      </c>
      <c r="K2040" t="s">
        <v>20325</v>
      </c>
      <c r="L2040" t="s">
        <v>57</v>
      </c>
      <c r="N2040">
        <v>0.67269999999999996</v>
      </c>
      <c r="O2040" s="1">
        <v>2</v>
      </c>
      <c r="S2040" t="s">
        <v>166</v>
      </c>
      <c r="T2040" t="s">
        <v>2880</v>
      </c>
      <c r="U2040" t="s">
        <v>19566</v>
      </c>
      <c r="V2040">
        <v>1</v>
      </c>
      <c r="AE2040" t="s">
        <v>74</v>
      </c>
      <c r="AF2040" t="s">
        <v>3091</v>
      </c>
      <c r="AG2040" t="s">
        <v>20326</v>
      </c>
      <c r="AK2040" t="str">
        <f>HYPERLINK("http://www.proteinatlas.org/Q8NH95","no")</f>
        <v>no</v>
      </c>
    </row>
    <row r="2041" spans="1:39" x14ac:dyDescent="0.35">
      <c r="A2041" t="s">
        <v>20327</v>
      </c>
      <c r="B2041" t="str">
        <f>HYPERLINK("http://www.uniprot.org/uniprot/Q8NHA4","Q8NHA4")</f>
        <v>Q8NHA4</v>
      </c>
      <c r="C2041" t="s">
        <v>20328</v>
      </c>
      <c r="D2041" t="s">
        <v>20329</v>
      </c>
      <c r="E2041" t="s">
        <v>39</v>
      </c>
      <c r="F2041" t="s">
        <v>55</v>
      </c>
      <c r="H2041">
        <v>323</v>
      </c>
      <c r="I2041">
        <v>7</v>
      </c>
      <c r="J2041">
        <v>0</v>
      </c>
      <c r="K2041" t="s">
        <v>20330</v>
      </c>
      <c r="L2041" t="s">
        <v>57</v>
      </c>
      <c r="M2041" t="s">
        <v>39</v>
      </c>
      <c r="N2041">
        <v>0.98809999999999998</v>
      </c>
      <c r="O2041" s="1">
        <v>1</v>
      </c>
      <c r="P2041" t="s">
        <v>20331</v>
      </c>
      <c r="Q2041" t="s">
        <v>20332</v>
      </c>
      <c r="S2041" t="s">
        <v>166</v>
      </c>
      <c r="T2041" t="s">
        <v>167</v>
      </c>
      <c r="U2041">
        <v>5</v>
      </c>
      <c r="V2041">
        <v>1</v>
      </c>
      <c r="AE2041" t="s">
        <v>74</v>
      </c>
      <c r="AF2041" t="s">
        <v>169</v>
      </c>
      <c r="AG2041" t="s">
        <v>20333</v>
      </c>
      <c r="AH2041" t="str">
        <f>HYPERLINK("http://compartments.jensenlab.org/Entity?figures=subcell_cell_%&amp;knowledge=10&amp;textmining=10&amp;experiments=10&amp;predictions=10&amp;type1=9606&amp;type2=-22&amp;id1=ENSP00000313936","link")</f>
        <v>link</v>
      </c>
      <c r="AI2041" t="s">
        <v>65</v>
      </c>
      <c r="AJ2041" t="s">
        <v>51</v>
      </c>
      <c r="AK2041" t="str">
        <f>HYPERLINK("http://www.proteinatlas.org/Q8NHA4","HPA042957")</f>
        <v>HPA042957</v>
      </c>
      <c r="AM2041">
        <v>81392</v>
      </c>
    </row>
    <row r="2042" spans="1:39" x14ac:dyDescent="0.35">
      <c r="A2042" t="s">
        <v>20334</v>
      </c>
      <c r="B2042" t="str">
        <f>HYPERLINK("http://www.uniprot.org/uniprot/Q8NHA6","Q8NHA6")</f>
        <v>Q8NHA6</v>
      </c>
      <c r="C2042" t="s">
        <v>20335</v>
      </c>
      <c r="D2042" t="s">
        <v>20336</v>
      </c>
      <c r="E2042" t="s">
        <v>39</v>
      </c>
      <c r="F2042" t="s">
        <v>40</v>
      </c>
      <c r="H2042">
        <v>318</v>
      </c>
      <c r="I2042">
        <v>7</v>
      </c>
      <c r="J2042">
        <v>0</v>
      </c>
      <c r="K2042" t="s">
        <v>20337</v>
      </c>
      <c r="L2042" t="s">
        <v>57</v>
      </c>
      <c r="N2042">
        <v>0.83830000000000005</v>
      </c>
      <c r="O2042" s="1">
        <v>1</v>
      </c>
      <c r="S2042" t="s">
        <v>166</v>
      </c>
      <c r="T2042" t="s">
        <v>2880</v>
      </c>
      <c r="U2042" t="s">
        <v>20338</v>
      </c>
      <c r="V2042">
        <v>0</v>
      </c>
      <c r="AE2042" t="s">
        <v>74</v>
      </c>
      <c r="AF2042" t="s">
        <v>277</v>
      </c>
      <c r="AG2042" t="s">
        <v>20339</v>
      </c>
      <c r="AK2042" t="str">
        <f>HYPERLINK("http://www.proteinatlas.org/Q8NHA6","no")</f>
        <v>no</v>
      </c>
    </row>
    <row r="2043" spans="1:39" x14ac:dyDescent="0.35">
      <c r="A2043" t="s">
        <v>20340</v>
      </c>
      <c r="B2043" t="str">
        <f>HYPERLINK("http://www.uniprot.org/uniprot/Q8NHA8","Q8NHA8")</f>
        <v>Q8NHA8</v>
      </c>
      <c r="C2043" t="s">
        <v>20341</v>
      </c>
      <c r="D2043" t="s">
        <v>20342</v>
      </c>
      <c r="E2043" t="s">
        <v>39</v>
      </c>
      <c r="F2043" t="s">
        <v>40</v>
      </c>
      <c r="H2043">
        <v>337</v>
      </c>
      <c r="I2043">
        <v>7</v>
      </c>
      <c r="J2043">
        <v>0</v>
      </c>
      <c r="K2043" t="s">
        <v>20343</v>
      </c>
      <c r="L2043" t="s">
        <v>57</v>
      </c>
      <c r="N2043">
        <v>0.99</v>
      </c>
      <c r="O2043" s="1">
        <v>1</v>
      </c>
      <c r="S2043" t="s">
        <v>166</v>
      </c>
      <c r="T2043" t="s">
        <v>167</v>
      </c>
      <c r="U2043" t="s">
        <v>20344</v>
      </c>
      <c r="V2043">
        <v>3</v>
      </c>
      <c r="AE2043" t="s">
        <v>74</v>
      </c>
      <c r="AF2043" t="s">
        <v>549</v>
      </c>
      <c r="AG2043" t="s">
        <v>20345</v>
      </c>
      <c r="AK2043" t="str">
        <f>HYPERLINK("http://www.proteinatlas.org/Q8NHA8","no")</f>
        <v>no</v>
      </c>
    </row>
    <row r="2044" spans="1:39" x14ac:dyDescent="0.35">
      <c r="A2044" t="s">
        <v>20346</v>
      </c>
      <c r="B2044" t="str">
        <f>HYPERLINK("http://www.uniprot.org/uniprot/Q8NHB1","Q8NHB1")</f>
        <v>Q8NHB1</v>
      </c>
      <c r="C2044" t="s">
        <v>20347</v>
      </c>
      <c r="D2044" t="s">
        <v>20348</v>
      </c>
      <c r="E2044" t="s">
        <v>39</v>
      </c>
      <c r="F2044" t="s">
        <v>55</v>
      </c>
      <c r="H2044">
        <v>315</v>
      </c>
      <c r="I2044">
        <v>7</v>
      </c>
      <c r="J2044">
        <v>0</v>
      </c>
      <c r="K2044" t="s">
        <v>20349</v>
      </c>
      <c r="L2044" t="s">
        <v>57</v>
      </c>
      <c r="N2044">
        <v>0.98799999999999999</v>
      </c>
      <c r="O2044" s="1">
        <v>1</v>
      </c>
      <c r="P2044" t="s">
        <v>20350</v>
      </c>
      <c r="Q2044" t="s">
        <v>20351</v>
      </c>
      <c r="S2044" t="s">
        <v>166</v>
      </c>
      <c r="T2044" t="s">
        <v>167</v>
      </c>
      <c r="U2044">
        <v>6</v>
      </c>
      <c r="V2044">
        <v>1</v>
      </c>
      <c r="AE2044" t="s">
        <v>74</v>
      </c>
      <c r="AF2044" t="s">
        <v>549</v>
      </c>
      <c r="AG2044" t="s">
        <v>20352</v>
      </c>
      <c r="AH2044" t="str">
        <f>HYPERLINK("http://compartments.jensenlab.org/Entity?figures=subcell_cell_%&amp;knowledge=10&amp;textmining=10&amp;experiments=10&amp;predictions=10&amp;type1=9606&amp;type2=-22&amp;id1=ENSP00000404102","link")</f>
        <v>link</v>
      </c>
      <c r="AI2044" t="s">
        <v>65</v>
      </c>
      <c r="AJ2044" t="s">
        <v>51</v>
      </c>
      <c r="AK2044" t="str">
        <f>HYPERLINK("http://www.proteinatlas.org/Q8NHB1","HPA049953")</f>
        <v>HPA049953</v>
      </c>
      <c r="AM2044">
        <v>26693</v>
      </c>
    </row>
    <row r="2045" spans="1:39" x14ac:dyDescent="0.35">
      <c r="A2045" t="s">
        <v>20353</v>
      </c>
      <c r="B2045" t="str">
        <f>HYPERLINK("http://www.uniprot.org/uniprot/Q8NHB7","Q8NHB7")</f>
        <v>Q8NHB7</v>
      </c>
      <c r="C2045" t="s">
        <v>20354</v>
      </c>
      <c r="D2045" t="s">
        <v>20355</v>
      </c>
      <c r="E2045" t="s">
        <v>39</v>
      </c>
      <c r="F2045" t="s">
        <v>55</v>
      </c>
      <c r="H2045">
        <v>308</v>
      </c>
      <c r="I2045">
        <v>7</v>
      </c>
      <c r="J2045">
        <v>0</v>
      </c>
      <c r="K2045" t="s">
        <v>20356</v>
      </c>
      <c r="L2045" t="s">
        <v>57</v>
      </c>
      <c r="M2045" t="s">
        <v>39</v>
      </c>
      <c r="N2045">
        <v>0.92900000000000005</v>
      </c>
      <c r="O2045" s="1">
        <v>1</v>
      </c>
      <c r="P2045" t="s">
        <v>20357</v>
      </c>
      <c r="Q2045" t="s">
        <v>20358</v>
      </c>
      <c r="S2045" t="s">
        <v>166</v>
      </c>
      <c r="T2045" t="s">
        <v>167</v>
      </c>
      <c r="U2045" t="s">
        <v>16503</v>
      </c>
      <c r="V2045">
        <v>1</v>
      </c>
      <c r="AE2045" t="s">
        <v>74</v>
      </c>
      <c r="AF2045" t="s">
        <v>549</v>
      </c>
      <c r="AG2045" t="s">
        <v>20359</v>
      </c>
      <c r="AH2045" t="str">
        <f>HYPERLINK("http://compartments.jensenlab.org/Entity?figures=subcell_cell_%&amp;knowledge=10&amp;textmining=10&amp;experiments=10&amp;predictions=10&amp;type1=9606&amp;type2=-22&amp;id1=ENSP00000373193","link")</f>
        <v>link</v>
      </c>
      <c r="AI2045" t="s">
        <v>65</v>
      </c>
      <c r="AJ2045" t="s">
        <v>51</v>
      </c>
      <c r="AK2045" t="str">
        <f>HYPERLINK("http://www.proteinatlas.org/Q8NHB7","no")</f>
        <v>no</v>
      </c>
      <c r="AM2045">
        <v>26339</v>
      </c>
    </row>
    <row r="2046" spans="1:39" x14ac:dyDescent="0.35">
      <c r="A2046" t="s">
        <v>20360</v>
      </c>
      <c r="B2046" t="str">
        <f>HYPERLINK("http://www.uniprot.org/uniprot/Q8NHB8","Q8NHB8")</f>
        <v>Q8NHB8</v>
      </c>
      <c r="C2046" t="s">
        <v>20361</v>
      </c>
      <c r="D2046" t="s">
        <v>20362</v>
      </c>
      <c r="E2046" t="s">
        <v>39</v>
      </c>
      <c r="F2046" t="s">
        <v>55</v>
      </c>
      <c r="H2046">
        <v>316</v>
      </c>
      <c r="I2046">
        <v>7</v>
      </c>
      <c r="J2046">
        <v>0</v>
      </c>
      <c r="K2046" t="s">
        <v>20363</v>
      </c>
      <c r="L2046" t="s">
        <v>57</v>
      </c>
      <c r="N2046">
        <v>0.97409999999999997</v>
      </c>
      <c r="O2046" s="1">
        <v>1</v>
      </c>
      <c r="P2046" t="s">
        <v>20364</v>
      </c>
      <c r="Q2046" t="s">
        <v>20365</v>
      </c>
      <c r="S2046" t="s">
        <v>166</v>
      </c>
      <c r="T2046" t="s">
        <v>167</v>
      </c>
      <c r="U2046" t="s">
        <v>16503</v>
      </c>
      <c r="V2046">
        <v>1</v>
      </c>
      <c r="AE2046" t="s">
        <v>74</v>
      </c>
      <c r="AF2046" t="s">
        <v>549</v>
      </c>
      <c r="AG2046" t="s">
        <v>20366</v>
      </c>
      <c r="AH2046" t="str">
        <f>HYPERLINK("http://compartments.jensenlab.org/Entity?figures=subcell_cell_%&amp;knowledge=10&amp;textmining=10&amp;experiments=10&amp;predictions=10&amp;type1=9606&amp;type2=-22&amp;id1=ENSP00000393889","link")</f>
        <v>link</v>
      </c>
      <c r="AI2046" t="s">
        <v>65</v>
      </c>
      <c r="AJ2046" t="s">
        <v>51</v>
      </c>
      <c r="AK2046" t="str">
        <f>HYPERLINK("http://www.proteinatlas.org/Q8NHB8","no")</f>
        <v>no</v>
      </c>
      <c r="AM2046">
        <v>402135</v>
      </c>
    </row>
    <row r="2047" spans="1:39" x14ac:dyDescent="0.35">
      <c r="A2047" t="s">
        <v>20367</v>
      </c>
      <c r="B2047" t="str">
        <f>HYPERLINK("http://www.uniprot.org/uniprot/Q8NHC4","Q8NHC4")</f>
        <v>Q8NHC4</v>
      </c>
      <c r="C2047" t="s">
        <v>20368</v>
      </c>
      <c r="D2047" t="s">
        <v>20369</v>
      </c>
      <c r="E2047" t="s">
        <v>39</v>
      </c>
      <c r="F2047" t="s">
        <v>55</v>
      </c>
      <c r="H2047">
        <v>309</v>
      </c>
      <c r="I2047">
        <v>7</v>
      </c>
      <c r="J2047">
        <v>0</v>
      </c>
      <c r="K2047" t="s">
        <v>20370</v>
      </c>
      <c r="L2047" t="s">
        <v>57</v>
      </c>
      <c r="N2047">
        <v>0.996</v>
      </c>
      <c r="O2047" s="1">
        <v>1</v>
      </c>
      <c r="P2047" t="s">
        <v>20371</v>
      </c>
      <c r="Q2047" t="s">
        <v>20372</v>
      </c>
      <c r="S2047" t="s">
        <v>166</v>
      </c>
      <c r="T2047" t="s">
        <v>167</v>
      </c>
      <c r="U2047" t="s">
        <v>20373</v>
      </c>
      <c r="V2047">
        <v>1</v>
      </c>
      <c r="AE2047" t="s">
        <v>74</v>
      </c>
      <c r="AF2047" t="s">
        <v>169</v>
      </c>
      <c r="AG2047" t="s">
        <v>20374</v>
      </c>
      <c r="AH2047" t="str">
        <f>HYPERLINK("http://compartments.jensenlab.org/Entity?figures=subcell_cell_%&amp;knowledge=10&amp;textmining=10&amp;experiments=10&amp;predictions=10&amp;type1=9606&amp;type2=-22&amp;id1=ENSP00000334441","link")</f>
        <v>link</v>
      </c>
      <c r="AI2047" t="s">
        <v>65</v>
      </c>
      <c r="AJ2047" t="s">
        <v>51</v>
      </c>
      <c r="AK2047" t="str">
        <f>HYPERLINK("http://www.proteinatlas.org/Q8NHC4","no")</f>
        <v>no</v>
      </c>
      <c r="AM2047">
        <v>127385</v>
      </c>
    </row>
    <row r="2048" spans="1:39" x14ac:dyDescent="0.35">
      <c r="A2048" t="s">
        <v>20375</v>
      </c>
      <c r="B2048" t="str">
        <f>HYPERLINK("http://www.uniprot.org/uniprot/Q8NHC5","Q8NHC5")</f>
        <v>Q8NHC5</v>
      </c>
      <c r="C2048" t="s">
        <v>20376</v>
      </c>
      <c r="D2048" t="s">
        <v>20377</v>
      </c>
      <c r="E2048" t="s">
        <v>39</v>
      </c>
      <c r="F2048" t="s">
        <v>55</v>
      </c>
      <c r="H2048">
        <v>309</v>
      </c>
      <c r="I2048">
        <v>7</v>
      </c>
      <c r="J2048">
        <v>0</v>
      </c>
      <c r="K2048" t="s">
        <v>20378</v>
      </c>
      <c r="L2048" t="s">
        <v>57</v>
      </c>
      <c r="N2048">
        <v>0.93010000000000004</v>
      </c>
      <c r="O2048" s="1">
        <v>1</v>
      </c>
      <c r="P2048" t="s">
        <v>20379</v>
      </c>
      <c r="Q2048" t="s">
        <v>20380</v>
      </c>
      <c r="S2048" t="s">
        <v>166</v>
      </c>
      <c r="T2048" t="s">
        <v>167</v>
      </c>
      <c r="U2048" t="s">
        <v>20381</v>
      </c>
      <c r="V2048">
        <v>2</v>
      </c>
      <c r="AE2048" t="s">
        <v>74</v>
      </c>
      <c r="AF2048" t="s">
        <v>169</v>
      </c>
      <c r="AG2048" t="s">
        <v>20382</v>
      </c>
      <c r="AH2048" t="str">
        <f>HYPERLINK("http://compartments.jensenlab.org/Entity?figures=subcell_cell_%&amp;knowledge=10&amp;textmining=10&amp;experiments=10&amp;predictions=10&amp;type1=9606&amp;type2=-22&amp;id1=ENSP00000350248","link")</f>
        <v>link</v>
      </c>
      <c r="AI2048" t="s">
        <v>65</v>
      </c>
      <c r="AJ2048" t="s">
        <v>51</v>
      </c>
      <c r="AK2048" t="str">
        <f>HYPERLINK("http://www.proteinatlas.org/Q8NHC5","no")</f>
        <v>no</v>
      </c>
      <c r="AM2048">
        <v>284532</v>
      </c>
    </row>
    <row r="2049" spans="1:39" x14ac:dyDescent="0.35">
      <c r="A2049" t="s">
        <v>20383</v>
      </c>
      <c r="B2049" t="str">
        <f>HYPERLINK("http://www.uniprot.org/uniprot/Q8NHC6","Q8NHC6")</f>
        <v>Q8NHC6</v>
      </c>
      <c r="C2049" t="s">
        <v>20384</v>
      </c>
      <c r="D2049" t="s">
        <v>20385</v>
      </c>
      <c r="E2049" t="s">
        <v>39</v>
      </c>
      <c r="F2049" t="s">
        <v>40</v>
      </c>
      <c r="H2049">
        <v>308</v>
      </c>
      <c r="I2049">
        <v>7</v>
      </c>
      <c r="J2049">
        <v>0</v>
      </c>
      <c r="K2049" t="s">
        <v>20386</v>
      </c>
      <c r="L2049" t="s">
        <v>57</v>
      </c>
      <c r="N2049">
        <v>0.81640000000000001</v>
      </c>
      <c r="O2049" s="1">
        <v>1</v>
      </c>
      <c r="S2049" t="s">
        <v>166</v>
      </c>
      <c r="T2049" t="s">
        <v>2880</v>
      </c>
      <c r="U2049">
        <v>66</v>
      </c>
      <c r="V2049">
        <v>0</v>
      </c>
      <c r="AE2049" t="s">
        <v>74</v>
      </c>
      <c r="AF2049" t="s">
        <v>582</v>
      </c>
      <c r="AG2049" t="s">
        <v>20387</v>
      </c>
      <c r="AK2049" t="str">
        <f>HYPERLINK("http://www.proteinatlas.org/Q8NHC6","no")</f>
        <v>no</v>
      </c>
    </row>
    <row r="2050" spans="1:39" x14ac:dyDescent="0.35">
      <c r="A2050" t="s">
        <v>20388</v>
      </c>
      <c r="B2050" t="str">
        <f>HYPERLINK("http://www.uniprot.org/uniprot/Q8NHC7","Q8NHC7")</f>
        <v>Q8NHC7</v>
      </c>
      <c r="C2050" t="s">
        <v>20389</v>
      </c>
      <c r="D2050" t="s">
        <v>20390</v>
      </c>
      <c r="E2050" t="s">
        <v>39</v>
      </c>
      <c r="F2050" t="s">
        <v>55</v>
      </c>
      <c r="H2050">
        <v>312</v>
      </c>
      <c r="I2050">
        <v>7</v>
      </c>
      <c r="J2050">
        <v>0</v>
      </c>
      <c r="K2050" t="s">
        <v>20391</v>
      </c>
      <c r="L2050" t="s">
        <v>57</v>
      </c>
      <c r="M2050" t="s">
        <v>39</v>
      </c>
      <c r="N2050">
        <v>1</v>
      </c>
      <c r="O2050" s="1">
        <v>1</v>
      </c>
      <c r="P2050" t="s">
        <v>20392</v>
      </c>
      <c r="Q2050" t="s">
        <v>20393</v>
      </c>
      <c r="S2050" t="s">
        <v>166</v>
      </c>
      <c r="T2050" t="s">
        <v>167</v>
      </c>
      <c r="U2050" t="s">
        <v>252</v>
      </c>
      <c r="V2050">
        <v>1</v>
      </c>
      <c r="AE2050" t="s">
        <v>74</v>
      </c>
      <c r="AF2050" t="s">
        <v>169</v>
      </c>
      <c r="AG2050" t="s">
        <v>20394</v>
      </c>
      <c r="AH2050" t="str">
        <f>HYPERLINK("http://compartments.jensenlab.org/Entity?figures=subcell_cell_%&amp;knowledge=10&amp;textmining=10&amp;experiments=10&amp;predictions=10&amp;type1=9606&amp;type2=-22&amp;id1=ENSP00000324534","link")</f>
        <v>link</v>
      </c>
      <c r="AI2050" t="s">
        <v>65</v>
      </c>
      <c r="AJ2050" t="s">
        <v>51</v>
      </c>
      <c r="AK2050" t="str">
        <f>HYPERLINK("http://www.proteinatlas.org/Q8NHC7","no")</f>
        <v>no</v>
      </c>
      <c r="AM2050">
        <v>127066</v>
      </c>
    </row>
    <row r="2051" spans="1:39" x14ac:dyDescent="0.35">
      <c r="A2051" t="s">
        <v>20395</v>
      </c>
      <c r="B2051" t="str">
        <f>HYPERLINK("http://www.uniprot.org/uniprot/Q8NHC8","Q8NHC8")</f>
        <v>Q8NHC8</v>
      </c>
      <c r="C2051" t="s">
        <v>20396</v>
      </c>
      <c r="D2051" t="s">
        <v>20397</v>
      </c>
      <c r="E2051" t="s">
        <v>39</v>
      </c>
      <c r="F2051" t="s">
        <v>55</v>
      </c>
      <c r="H2051">
        <v>308</v>
      </c>
      <c r="I2051">
        <v>7</v>
      </c>
      <c r="J2051">
        <v>0</v>
      </c>
      <c r="K2051" t="s">
        <v>20398</v>
      </c>
      <c r="L2051" t="s">
        <v>57</v>
      </c>
      <c r="M2051" t="s">
        <v>39</v>
      </c>
      <c r="N2051">
        <v>0.9718</v>
      </c>
      <c r="O2051" s="1">
        <v>1</v>
      </c>
      <c r="P2051" t="s">
        <v>20399</v>
      </c>
      <c r="Q2051" t="s">
        <v>20400</v>
      </c>
      <c r="S2051" t="s">
        <v>166</v>
      </c>
      <c r="T2051" t="s">
        <v>167</v>
      </c>
      <c r="U2051">
        <v>5</v>
      </c>
      <c r="V2051">
        <v>1</v>
      </c>
      <c r="AE2051" t="s">
        <v>74</v>
      </c>
      <c r="AF2051" t="s">
        <v>169</v>
      </c>
      <c r="AG2051" t="s">
        <v>20401</v>
      </c>
      <c r="AH2051" t="str">
        <f>HYPERLINK("http://compartments.jensenlab.org/Entity?figures=subcell_cell_%&amp;knowledge=10&amp;textmining=10&amp;experiments=10&amp;predictions=10&amp;type1=9606&amp;type2=-22&amp;id1=ENSP00000347965","link")</f>
        <v>link</v>
      </c>
      <c r="AI2051" t="s">
        <v>65</v>
      </c>
      <c r="AJ2051" t="s">
        <v>51</v>
      </c>
      <c r="AK2051" t="str">
        <f>HYPERLINK("http://www.proteinatlas.org/Q8NHC8","no")</f>
        <v>no</v>
      </c>
      <c r="AM2051">
        <v>254879</v>
      </c>
    </row>
    <row r="2052" spans="1:39" x14ac:dyDescent="0.35">
      <c r="A2052" t="s">
        <v>20402</v>
      </c>
      <c r="B2052" t="str">
        <f>HYPERLINK("http://www.uniprot.org/uniprot/Q8NHK3","Q8NHK3")</f>
        <v>Q8NHK3</v>
      </c>
      <c r="C2052" t="s">
        <v>20403</v>
      </c>
      <c r="D2052" t="s">
        <v>20404</v>
      </c>
      <c r="E2052" t="s">
        <v>39</v>
      </c>
      <c r="F2052" t="s">
        <v>40</v>
      </c>
      <c r="H2052">
        <v>375</v>
      </c>
      <c r="I2052">
        <v>1</v>
      </c>
      <c r="J2052">
        <v>1</v>
      </c>
      <c r="K2052" t="s">
        <v>17637</v>
      </c>
      <c r="L2052" t="s">
        <v>57</v>
      </c>
      <c r="N2052">
        <v>0.87429999999999997</v>
      </c>
      <c r="O2052" s="1">
        <v>1</v>
      </c>
      <c r="R2052" t="s">
        <v>20405</v>
      </c>
      <c r="S2052" t="s">
        <v>166</v>
      </c>
      <c r="T2052" t="s">
        <v>9489</v>
      </c>
      <c r="U2052">
        <v>218</v>
      </c>
      <c r="V2052">
        <v>1</v>
      </c>
      <c r="AE2052" t="s">
        <v>332</v>
      </c>
      <c r="AF2052" t="s">
        <v>13332</v>
      </c>
      <c r="AG2052" t="s">
        <v>20406</v>
      </c>
      <c r="AK2052" t="str">
        <f>HYPERLINK("http://www.proteinatlas.org/Q8NHK3","no")</f>
        <v>no</v>
      </c>
    </row>
    <row r="2053" spans="1:39" x14ac:dyDescent="0.35">
      <c r="A2053" t="s">
        <v>20407</v>
      </c>
      <c r="B2053" t="str">
        <f>HYPERLINK("http://www.uniprot.org/uniprot/Q8NHL6","Q8NHL6")</f>
        <v>Q8NHL6</v>
      </c>
      <c r="C2053" t="s">
        <v>20408</v>
      </c>
      <c r="D2053" t="s">
        <v>20409</v>
      </c>
      <c r="E2053" t="s">
        <v>39</v>
      </c>
      <c r="F2053" t="s">
        <v>40</v>
      </c>
      <c r="H2053">
        <v>650</v>
      </c>
      <c r="I2053">
        <v>1</v>
      </c>
      <c r="J2053">
        <v>1</v>
      </c>
      <c r="K2053" t="s">
        <v>20410</v>
      </c>
      <c r="L2053" t="s">
        <v>101</v>
      </c>
      <c r="N2053">
        <v>0.97409999999999997</v>
      </c>
      <c r="O2053" s="1">
        <v>1</v>
      </c>
      <c r="P2053" t="s">
        <v>20411</v>
      </c>
      <c r="Q2053" t="s">
        <v>20412</v>
      </c>
      <c r="R2053" t="s">
        <v>20413</v>
      </c>
      <c r="S2053" t="s">
        <v>166</v>
      </c>
      <c r="T2053" t="s">
        <v>418</v>
      </c>
      <c r="U2053" t="s">
        <v>20414</v>
      </c>
      <c r="V2053">
        <v>3</v>
      </c>
      <c r="W2053" t="s">
        <v>20415</v>
      </c>
      <c r="X2053" t="s">
        <v>20416</v>
      </c>
      <c r="Z2053" t="s">
        <v>107</v>
      </c>
      <c r="AA2053">
        <v>1</v>
      </c>
      <c r="AB2053" t="s">
        <v>20417</v>
      </c>
      <c r="AC2053">
        <v>281</v>
      </c>
      <c r="AD2053" t="s">
        <v>20418</v>
      </c>
      <c r="AE2053" t="s">
        <v>1434</v>
      </c>
      <c r="AF2053" t="s">
        <v>20419</v>
      </c>
      <c r="AG2053" t="s">
        <v>20420</v>
      </c>
      <c r="AH2053" t="str">
        <f>HYPERLINK("http://compartments.jensenlab.org/Entity?figures=subcell_cell_%&amp;knowledge=10&amp;textmining=10&amp;experiments=10&amp;predictions=10&amp;type1=9606&amp;type2=-22&amp;id1=ENSP00000409968","link")</f>
        <v>link</v>
      </c>
      <c r="AK2053" t="str">
        <f>HYPERLINK("http://www.proteinatlas.org/Q8NHL6","no")</f>
        <v>no</v>
      </c>
      <c r="AM2053">
        <v>10859</v>
      </c>
    </row>
    <row r="2054" spans="1:39" x14ac:dyDescent="0.35">
      <c r="A2054" t="s">
        <v>20421</v>
      </c>
      <c r="B2054" t="str">
        <f>HYPERLINK("http://www.uniprot.org/uniprot/Q8NHS3","Q8NHS3")</f>
        <v>Q8NHS3</v>
      </c>
      <c r="C2054" t="s">
        <v>20422</v>
      </c>
      <c r="D2054" t="s">
        <v>20423</v>
      </c>
      <c r="E2054" t="s">
        <v>39</v>
      </c>
      <c r="F2054" t="s">
        <v>40</v>
      </c>
      <c r="H2054">
        <v>518</v>
      </c>
      <c r="I2054">
        <v>12</v>
      </c>
      <c r="J2054">
        <v>0</v>
      </c>
      <c r="K2054" t="s">
        <v>20424</v>
      </c>
      <c r="L2054" t="s">
        <v>101</v>
      </c>
      <c r="N2054">
        <v>0.72460000000000002</v>
      </c>
      <c r="O2054" s="1">
        <v>2</v>
      </c>
      <c r="P2054" t="s">
        <v>20425</v>
      </c>
      <c r="Q2054" t="s">
        <v>20426</v>
      </c>
      <c r="S2054" t="s">
        <v>45</v>
      </c>
      <c r="T2054" t="s">
        <v>10615</v>
      </c>
      <c r="U2054" t="s">
        <v>20427</v>
      </c>
      <c r="V2054">
        <v>2</v>
      </c>
      <c r="Z2054" t="s">
        <v>123</v>
      </c>
      <c r="AA2054">
        <v>2</v>
      </c>
      <c r="AB2054" t="s">
        <v>20428</v>
      </c>
      <c r="AC2054" t="s">
        <v>20429</v>
      </c>
      <c r="AD2054" t="s">
        <v>20430</v>
      </c>
      <c r="AE2054" t="s">
        <v>2218</v>
      </c>
      <c r="AF2054" t="s">
        <v>20431</v>
      </c>
      <c r="AG2054" t="s">
        <v>20432</v>
      </c>
      <c r="AH2054" t="str">
        <f>HYPERLINK("http://compartments.jensenlab.org/Entity?figures=subcell_cell_%&amp;knowledge=10&amp;textmining=10&amp;experiments=10&amp;predictions=10&amp;type1=9606&amp;type2=-22&amp;id1=ENSP00000296468","link")</f>
        <v>link</v>
      </c>
      <c r="AI2054" t="s">
        <v>1487</v>
      </c>
      <c r="AJ2054" t="s">
        <v>20433</v>
      </c>
      <c r="AK2054" t="str">
        <f>HYPERLINK("http://www.proteinatlas.org/Q8NHS3","HPA044802")</f>
        <v>HPA044802</v>
      </c>
      <c r="AM2054">
        <v>256471</v>
      </c>
    </row>
    <row r="2055" spans="1:39" x14ac:dyDescent="0.35">
      <c r="A2055" t="s">
        <v>20434</v>
      </c>
      <c r="B2055" t="str">
        <f>HYPERLINK("http://www.uniprot.org/uniprot/Q8NHV5","Q8NHV5")</f>
        <v>Q8NHV5</v>
      </c>
      <c r="C2055" t="s">
        <v>20435</v>
      </c>
      <c r="D2055" t="s">
        <v>20436</v>
      </c>
      <c r="E2055" t="s">
        <v>39</v>
      </c>
      <c r="F2055" t="s">
        <v>40</v>
      </c>
      <c r="H2055">
        <v>167</v>
      </c>
      <c r="I2055">
        <v>3</v>
      </c>
      <c r="J2055">
        <v>1</v>
      </c>
      <c r="K2055" t="s">
        <v>20437</v>
      </c>
      <c r="L2055" t="s">
        <v>42</v>
      </c>
      <c r="N2055">
        <v>0.76649999999999996</v>
      </c>
      <c r="O2055" s="1">
        <v>1</v>
      </c>
      <c r="P2055" t="s">
        <v>20438</v>
      </c>
      <c r="Q2055" t="s">
        <v>20439</v>
      </c>
      <c r="S2055" t="s">
        <v>60</v>
      </c>
      <c r="T2055" t="s">
        <v>60</v>
      </c>
      <c r="U2055">
        <v>135</v>
      </c>
      <c r="V2055">
        <v>1</v>
      </c>
      <c r="AF2055" t="s">
        <v>20440</v>
      </c>
      <c r="AG2055" t="s">
        <v>20441</v>
      </c>
      <c r="AH2055" t="str">
        <f>HYPERLINK("http://compartments.jensenlab.org/Entity?figures=subcell_cell_%&amp;knowledge=10&amp;textmining=10&amp;experiments=10&amp;predictions=10&amp;type1=9606&amp;type2=-22&amp;id1=ENSP00000454926","link")</f>
        <v>link</v>
      </c>
      <c r="AK2055" t="str">
        <f>HYPERLINK("http://www.proteinatlas.org/Q8NHV5","no")</f>
        <v>no</v>
      </c>
      <c r="AM2055" t="s">
        <v>20442</v>
      </c>
    </row>
    <row r="2056" spans="1:39" x14ac:dyDescent="0.35">
      <c r="A2056" t="s">
        <v>20443</v>
      </c>
      <c r="B2056" t="str">
        <f>HYPERLINK("http://www.uniprot.org/uniprot/Q8NI17","Q8NI17")</f>
        <v>Q8NI17</v>
      </c>
      <c r="C2056" t="s">
        <v>20444</v>
      </c>
      <c r="D2056" t="s">
        <v>20445</v>
      </c>
      <c r="E2056" t="s">
        <v>39</v>
      </c>
      <c r="F2056" t="s">
        <v>40</v>
      </c>
      <c r="H2056">
        <v>732</v>
      </c>
      <c r="I2056">
        <v>1</v>
      </c>
      <c r="J2056">
        <v>1</v>
      </c>
      <c r="K2056" t="s">
        <v>20446</v>
      </c>
      <c r="L2056" t="s">
        <v>57</v>
      </c>
      <c r="N2056">
        <v>0.94410000000000005</v>
      </c>
      <c r="O2056" s="1">
        <v>1</v>
      </c>
      <c r="P2056" t="s">
        <v>20447</v>
      </c>
      <c r="Q2056" t="s">
        <v>20448</v>
      </c>
      <c r="S2056" t="s">
        <v>166</v>
      </c>
      <c r="T2056" t="s">
        <v>3171</v>
      </c>
      <c r="U2056" t="s">
        <v>20449</v>
      </c>
      <c r="V2056">
        <v>15</v>
      </c>
      <c r="X2056" t="s">
        <v>20450</v>
      </c>
      <c r="Y2056" t="s">
        <v>20451</v>
      </c>
      <c r="AE2056" t="s">
        <v>332</v>
      </c>
      <c r="AF2056" t="s">
        <v>20452</v>
      </c>
      <c r="AG2056" t="s">
        <v>20453</v>
      </c>
      <c r="AH2056" t="str">
        <f>HYPERLINK("http://compartments.jensenlab.org/Entity?figures=subcell_cell_%&amp;knowledge=10&amp;textmining=10&amp;experiments=10&amp;predictions=10&amp;type1=9606&amp;type2=-22&amp;id1=ENSP00000479432","link")</f>
        <v>link</v>
      </c>
      <c r="AK2056" t="str">
        <f>HYPERLINK("http://www.proteinatlas.org/Q8NI17","HPA051532")</f>
        <v>HPA051532</v>
      </c>
      <c r="AM2056">
        <v>133396</v>
      </c>
    </row>
    <row r="2057" spans="1:39" x14ac:dyDescent="0.35">
      <c r="A2057" t="s">
        <v>20454</v>
      </c>
      <c r="B2057" t="str">
        <f>HYPERLINK("http://www.uniprot.org/uniprot/Q8NI32","Q8NI32")</f>
        <v>Q8NI32</v>
      </c>
      <c r="C2057" t="s">
        <v>20455</v>
      </c>
      <c r="D2057" t="s">
        <v>20456</v>
      </c>
      <c r="E2057" t="s">
        <v>39</v>
      </c>
      <c r="F2057" t="s">
        <v>239</v>
      </c>
      <c r="H2057">
        <v>183</v>
      </c>
      <c r="I2057">
        <v>0</v>
      </c>
      <c r="J2057">
        <v>1</v>
      </c>
      <c r="K2057" t="s">
        <v>20457</v>
      </c>
      <c r="L2057" t="s">
        <v>57</v>
      </c>
      <c r="N2057">
        <v>0.76649999999999996</v>
      </c>
      <c r="O2057" s="1" t="s">
        <v>997</v>
      </c>
      <c r="P2057" t="s">
        <v>20458</v>
      </c>
      <c r="Q2057" t="s">
        <v>20459</v>
      </c>
      <c r="S2057" t="s">
        <v>60</v>
      </c>
      <c r="T2057" t="s">
        <v>60</v>
      </c>
      <c r="U2057">
        <v>147</v>
      </c>
      <c r="V2057">
        <v>1</v>
      </c>
      <c r="W2057">
        <v>147</v>
      </c>
      <c r="AE2057" t="s">
        <v>243</v>
      </c>
      <c r="AF2057" t="s">
        <v>17771</v>
      </c>
      <c r="AG2057" t="s">
        <v>20460</v>
      </c>
      <c r="AH2057" t="str">
        <f>HYPERLINK("http://compartments.jensenlab.org/Entity?figures=subcell_cell_%&amp;knowledge=10&amp;textmining=10&amp;experiments=10&amp;predictions=10&amp;type1=9606&amp;type2=-22&amp;id1=ENSP00000386650","link")</f>
        <v>link</v>
      </c>
      <c r="AK2057" t="str">
        <f>HYPERLINK("http://www.proteinatlas.org/Q8NI32","HPA049239")</f>
        <v>HPA049239</v>
      </c>
      <c r="AM2057">
        <v>130576</v>
      </c>
    </row>
    <row r="2058" spans="1:39" x14ac:dyDescent="0.35">
      <c r="A2058" t="s">
        <v>20461</v>
      </c>
      <c r="B2058" t="str">
        <f>HYPERLINK("http://www.uniprot.org/uniprot/Q8TAB3","Q8TAB3")</f>
        <v>Q8TAB3</v>
      </c>
      <c r="C2058" t="s">
        <v>20462</v>
      </c>
      <c r="D2058" t="s">
        <v>20463</v>
      </c>
      <c r="E2058" t="s">
        <v>39</v>
      </c>
      <c r="F2058" t="s">
        <v>55</v>
      </c>
      <c r="H2058">
        <v>1148</v>
      </c>
      <c r="I2058">
        <v>1</v>
      </c>
      <c r="J2058">
        <v>1</v>
      </c>
      <c r="K2058" t="s">
        <v>20464</v>
      </c>
      <c r="L2058" t="s">
        <v>101</v>
      </c>
      <c r="M2058" t="s">
        <v>39</v>
      </c>
      <c r="N2058">
        <v>0.97740000000000005</v>
      </c>
      <c r="O2058" s="1">
        <v>1</v>
      </c>
      <c r="P2058" t="s">
        <v>20465</v>
      </c>
      <c r="Q2058" t="s">
        <v>20466</v>
      </c>
      <c r="S2058" t="s">
        <v>91</v>
      </c>
      <c r="T2058" t="s">
        <v>216</v>
      </c>
      <c r="U2058" t="s">
        <v>20467</v>
      </c>
      <c r="V2058">
        <v>7</v>
      </c>
      <c r="Z2058" t="s">
        <v>107</v>
      </c>
      <c r="AA2058">
        <v>1</v>
      </c>
      <c r="AB2058" t="s">
        <v>20468</v>
      </c>
      <c r="AC2058">
        <v>546</v>
      </c>
      <c r="AD2058" t="s">
        <v>20469</v>
      </c>
      <c r="AE2058" t="s">
        <v>332</v>
      </c>
      <c r="AF2058" t="s">
        <v>20470</v>
      </c>
      <c r="AG2058" t="s">
        <v>20471</v>
      </c>
      <c r="AH2058" t="str">
        <f>HYPERLINK("http://compartments.jensenlab.org/Entity?figures=subcell_cell_%&amp;knowledge=10&amp;textmining=10&amp;experiments=10&amp;predictions=10&amp;type1=9606&amp;type2=-22&amp;id1=ENSP00000362125","link")</f>
        <v>link</v>
      </c>
      <c r="AK2058" t="str">
        <f>HYPERLINK("http://www.proteinatlas.org/Q8TAB3","HPA027533")</f>
        <v>HPA027533</v>
      </c>
      <c r="AM2058">
        <v>57526</v>
      </c>
    </row>
    <row r="2059" spans="1:39" x14ac:dyDescent="0.35">
      <c r="A2059" t="s">
        <v>20472</v>
      </c>
      <c r="B2059" t="str">
        <f>HYPERLINK("http://www.uniprot.org/uniprot/Q8TAF8","Q8TAF8")</f>
        <v>Q8TAF8</v>
      </c>
      <c r="C2059" t="s">
        <v>20473</v>
      </c>
      <c r="D2059" t="s">
        <v>20474</v>
      </c>
      <c r="E2059" t="s">
        <v>39</v>
      </c>
      <c r="F2059" t="s">
        <v>40</v>
      </c>
      <c r="H2059">
        <v>219</v>
      </c>
      <c r="I2059">
        <v>4</v>
      </c>
      <c r="J2059">
        <v>0</v>
      </c>
      <c r="K2059" t="s">
        <v>20475</v>
      </c>
      <c r="L2059" t="s">
        <v>57</v>
      </c>
      <c r="N2059">
        <v>0.62870000000000004</v>
      </c>
      <c r="O2059" s="1">
        <v>2</v>
      </c>
      <c r="P2059" t="s">
        <v>20476</v>
      </c>
      <c r="Q2059" t="s">
        <v>20477</v>
      </c>
      <c r="S2059" t="s">
        <v>91</v>
      </c>
      <c r="T2059" t="s">
        <v>15167</v>
      </c>
      <c r="V2059">
        <v>0</v>
      </c>
      <c r="AE2059" t="s">
        <v>74</v>
      </c>
      <c r="AF2059" t="s">
        <v>20478</v>
      </c>
      <c r="AG2059" t="s">
        <v>20479</v>
      </c>
      <c r="AH2059" t="str">
        <f>HYPERLINK("http://compartments.jensenlab.org/Entity?figures=subcell_cell_%&amp;knowledge=10&amp;textmining=10&amp;experiments=10&amp;predictions=10&amp;type1=9606&amp;type2=-22&amp;id1=ENSP00000353346","link")</f>
        <v>link</v>
      </c>
      <c r="AJ2059" t="s">
        <v>51</v>
      </c>
      <c r="AK2059" t="str">
        <f>HYPERLINK("http://www.proteinatlas.org/Q8TAF8","HPA055110")</f>
        <v>HPA055110</v>
      </c>
      <c r="AM2059">
        <v>222662</v>
      </c>
    </row>
    <row r="2060" spans="1:39" x14ac:dyDescent="0.35">
      <c r="A2060" t="s">
        <v>20480</v>
      </c>
      <c r="B2060" t="str">
        <f>HYPERLINK("http://www.uniprot.org/uniprot/Q8TB96","Q8TB96")</f>
        <v>Q8TB96</v>
      </c>
      <c r="C2060" t="s">
        <v>20481</v>
      </c>
      <c r="D2060" t="s">
        <v>20482</v>
      </c>
      <c r="E2060" t="s">
        <v>39</v>
      </c>
      <c r="F2060" t="s">
        <v>40</v>
      </c>
      <c r="H2060">
        <v>612</v>
      </c>
      <c r="I2060">
        <v>1</v>
      </c>
      <c r="J2060">
        <v>1</v>
      </c>
      <c r="K2060" t="s">
        <v>20483</v>
      </c>
      <c r="L2060" t="s">
        <v>118</v>
      </c>
      <c r="N2060">
        <v>0.8962</v>
      </c>
      <c r="O2060" s="1">
        <v>1</v>
      </c>
      <c r="P2060" t="s">
        <v>20484</v>
      </c>
      <c r="Q2060" t="s">
        <v>20485</v>
      </c>
      <c r="S2060" t="s">
        <v>60</v>
      </c>
      <c r="T2060" t="s">
        <v>60</v>
      </c>
      <c r="U2060" t="s">
        <v>20486</v>
      </c>
      <c r="V2060">
        <v>12</v>
      </c>
      <c r="W2060" t="s">
        <v>20486</v>
      </c>
      <c r="Z2060" t="s">
        <v>107</v>
      </c>
      <c r="AA2060">
        <v>1</v>
      </c>
      <c r="AB2060" t="s">
        <v>20487</v>
      </c>
      <c r="AC2060">
        <v>371</v>
      </c>
      <c r="AD2060" t="s">
        <v>20488</v>
      </c>
      <c r="AE2060" t="s">
        <v>1434</v>
      </c>
      <c r="AF2060" t="s">
        <v>20489</v>
      </c>
      <c r="AG2060" t="s">
        <v>20490</v>
      </c>
      <c r="AH2060" t="str">
        <f>HYPERLINK("http://compartments.jensenlab.org/Entity?figures=subcell_cell_%&amp;knowledge=10&amp;textmining=10&amp;experiments=10&amp;predictions=10&amp;type1=9606&amp;type2=-22&amp;id1=ENSP00000319918","link")</f>
        <v>link</v>
      </c>
      <c r="AJ2060" t="s">
        <v>902</v>
      </c>
      <c r="AK2060" t="str">
        <f>HYPERLINK("http://www.proteinatlas.org/Q8TB96","HPA015590;HPA019728")</f>
        <v>HPA015590;HPA019728</v>
      </c>
      <c r="AM2060">
        <v>81533</v>
      </c>
    </row>
    <row r="2061" spans="1:39" x14ac:dyDescent="0.35">
      <c r="A2061" t="s">
        <v>20491</v>
      </c>
      <c r="B2061" t="str">
        <f>HYPERLINK("http://www.uniprot.org/uniprot/Q8TBB6","Q8TBB6")</f>
        <v>Q8TBB6</v>
      </c>
      <c r="C2061" t="s">
        <v>20492</v>
      </c>
      <c r="D2061" t="s">
        <v>20493</v>
      </c>
      <c r="E2061" t="s">
        <v>39</v>
      </c>
      <c r="F2061" t="s">
        <v>40</v>
      </c>
      <c r="H2061">
        <v>771</v>
      </c>
      <c r="I2061">
        <v>15</v>
      </c>
      <c r="J2061">
        <v>0</v>
      </c>
      <c r="K2061" t="s">
        <v>20494</v>
      </c>
      <c r="L2061" t="s">
        <v>42</v>
      </c>
      <c r="N2061">
        <v>0.77049999999999996</v>
      </c>
      <c r="O2061" s="1">
        <v>1</v>
      </c>
      <c r="P2061" t="s">
        <v>20495</v>
      </c>
      <c r="Q2061" t="s">
        <v>20496</v>
      </c>
      <c r="S2061" t="s">
        <v>45</v>
      </c>
      <c r="T2061" t="s">
        <v>1743</v>
      </c>
      <c r="U2061" t="s">
        <v>20497</v>
      </c>
      <c r="V2061">
        <v>2</v>
      </c>
      <c r="AE2061" t="s">
        <v>20498</v>
      </c>
      <c r="AF2061" t="s">
        <v>20499</v>
      </c>
      <c r="AG2061" t="s">
        <v>20500</v>
      </c>
      <c r="AH2061" t="str">
        <f>HYPERLINK("http://compartments.jensenlab.org/Entity?figures=subcell_cell_%&amp;knowledge=10&amp;textmining=10&amp;experiments=10&amp;predictions=10&amp;type1=9606&amp;type2=-22&amp;id1=ENSP00000231706","link")</f>
        <v>link</v>
      </c>
      <c r="AJ2061" t="s">
        <v>51</v>
      </c>
      <c r="AK2061" t="str">
        <f>HYPERLINK("http://www.proteinatlas.org/Q8TBB6","HPA045929")</f>
        <v>HPA045929</v>
      </c>
      <c r="AM2061">
        <v>57709</v>
      </c>
    </row>
    <row r="2062" spans="1:39" x14ac:dyDescent="0.35">
      <c r="A2062" t="s">
        <v>20501</v>
      </c>
      <c r="B2062" t="str">
        <f>HYPERLINK("http://www.uniprot.org/uniprot/Q8TBE3","Q8TBE3")</f>
        <v>Q8TBE3</v>
      </c>
      <c r="C2062" t="s">
        <v>20502</v>
      </c>
      <c r="D2062" t="s">
        <v>20503</v>
      </c>
      <c r="E2062" t="s">
        <v>39</v>
      </c>
      <c r="F2062" t="s">
        <v>40</v>
      </c>
      <c r="H2062">
        <v>224</v>
      </c>
      <c r="I2062">
        <v>1</v>
      </c>
      <c r="J2062">
        <v>0</v>
      </c>
      <c r="K2062" t="s">
        <v>20504</v>
      </c>
      <c r="L2062" t="s">
        <v>42</v>
      </c>
      <c r="N2062">
        <v>0.62280000000000002</v>
      </c>
      <c r="O2062" s="1">
        <v>2</v>
      </c>
      <c r="P2062" t="s">
        <v>20505</v>
      </c>
      <c r="Q2062" t="s">
        <v>20506</v>
      </c>
      <c r="S2062" t="s">
        <v>60</v>
      </c>
      <c r="T2062" t="s">
        <v>60</v>
      </c>
      <c r="U2062">
        <v>7</v>
      </c>
      <c r="V2062">
        <v>1</v>
      </c>
      <c r="AE2062" t="s">
        <v>94</v>
      </c>
      <c r="AF2062" t="s">
        <v>15141</v>
      </c>
      <c r="AG2062" t="s">
        <v>20507</v>
      </c>
      <c r="AH2062" t="str">
        <f>HYPERLINK("http://compartments.jensenlab.org/Entity?figures=subcell_cell_%&amp;knowledge=10&amp;textmining=10&amp;experiments=10&amp;predictions=10&amp;type1=9606&amp;type2=-22&amp;id1=ENSP00000310594","link")</f>
        <v>link</v>
      </c>
      <c r="AJ2062" t="s">
        <v>51</v>
      </c>
      <c r="AK2062" t="str">
        <f>HYPERLINK("http://www.proteinatlas.org/Q8TBE3","HPA011115;HPA017291")</f>
        <v>HPA011115;HPA017291</v>
      </c>
      <c r="AM2062">
        <v>408263</v>
      </c>
    </row>
    <row r="2063" spans="1:39" x14ac:dyDescent="0.35">
      <c r="A2063" t="s">
        <v>20508</v>
      </c>
      <c r="B2063" t="str">
        <f>HYPERLINK("http://www.uniprot.org/uniprot/Q8TBG9","Q8TBG9")</f>
        <v>Q8TBG9</v>
      </c>
      <c r="C2063" t="s">
        <v>20509</v>
      </c>
      <c r="D2063" t="s">
        <v>20510</v>
      </c>
      <c r="E2063" t="s">
        <v>39</v>
      </c>
      <c r="F2063" t="s">
        <v>40</v>
      </c>
      <c r="H2063">
        <v>265</v>
      </c>
      <c r="I2063">
        <v>4</v>
      </c>
      <c r="J2063">
        <v>0</v>
      </c>
      <c r="K2063" t="s">
        <v>20511</v>
      </c>
      <c r="L2063" t="s">
        <v>57</v>
      </c>
      <c r="N2063">
        <v>0.65869999999999995</v>
      </c>
      <c r="O2063" s="1">
        <v>2</v>
      </c>
      <c r="P2063" t="s">
        <v>20512</v>
      </c>
      <c r="Q2063" t="s">
        <v>20513</v>
      </c>
      <c r="S2063" t="s">
        <v>91</v>
      </c>
      <c r="T2063" t="s">
        <v>4453</v>
      </c>
      <c r="U2063" t="s">
        <v>20514</v>
      </c>
      <c r="V2063">
        <v>3</v>
      </c>
      <c r="AE2063" t="s">
        <v>4455</v>
      </c>
      <c r="AF2063" t="s">
        <v>20515</v>
      </c>
      <c r="AG2063" t="s">
        <v>20516</v>
      </c>
      <c r="AH2063" t="str">
        <f>HYPERLINK("http://compartments.jensenlab.org/Entity?figures=subcell_cell_%&amp;knowledge=10&amp;textmining=10&amp;experiments=10&amp;predictions=10&amp;type1=9606&amp;type2=-22&amp;id1=ENSP00000295894","link")</f>
        <v>link</v>
      </c>
      <c r="AK2063" t="str">
        <f>HYPERLINK("http://www.proteinatlas.org/Q8TBG9","HPA051368;HPA061671")</f>
        <v>HPA051368;HPA061671</v>
      </c>
      <c r="AM2063">
        <v>132204</v>
      </c>
    </row>
    <row r="2064" spans="1:39" x14ac:dyDescent="0.35">
      <c r="A2064" t="s">
        <v>20517</v>
      </c>
      <c r="B2064" t="str">
        <f>HYPERLINK("http://www.uniprot.org/uniprot/Q8TBJ4","Q8TBJ4")</f>
        <v>Q8TBJ4</v>
      </c>
      <c r="C2064" t="s">
        <v>20518</v>
      </c>
      <c r="D2064" t="s">
        <v>20519</v>
      </c>
      <c r="E2064" t="s">
        <v>39</v>
      </c>
      <c r="F2064" t="s">
        <v>40</v>
      </c>
      <c r="H2064">
        <v>325</v>
      </c>
      <c r="I2064">
        <v>6</v>
      </c>
      <c r="J2064">
        <v>0</v>
      </c>
      <c r="K2064" t="s">
        <v>20520</v>
      </c>
      <c r="L2064" t="s">
        <v>42</v>
      </c>
      <c r="N2064">
        <v>0.8982</v>
      </c>
      <c r="O2064" s="1">
        <v>1</v>
      </c>
      <c r="S2064" t="s">
        <v>947</v>
      </c>
      <c r="T2064" t="s">
        <v>1117</v>
      </c>
      <c r="U2064" t="s">
        <v>20521</v>
      </c>
      <c r="V2064">
        <v>1</v>
      </c>
      <c r="AE2064" t="s">
        <v>48</v>
      </c>
      <c r="AF2064" t="s">
        <v>20522</v>
      </c>
      <c r="AG2064" t="s">
        <v>20523</v>
      </c>
      <c r="AK2064" t="str">
        <f>HYPERLINK("http://www.proteinatlas.org/Q8TBJ4","no")</f>
        <v>no</v>
      </c>
      <c r="AM2064">
        <v>54886</v>
      </c>
    </row>
    <row r="2065" spans="1:39" x14ac:dyDescent="0.35">
      <c r="A2065" t="s">
        <v>20524</v>
      </c>
      <c r="B2065" t="str">
        <f>HYPERLINK("http://www.uniprot.org/uniprot/Q8TBP5","Q8TBP5")</f>
        <v>Q8TBP5</v>
      </c>
      <c r="C2065" t="s">
        <v>20525</v>
      </c>
      <c r="D2065" t="s">
        <v>20526</v>
      </c>
      <c r="E2065" t="s">
        <v>39</v>
      </c>
      <c r="F2065" t="s">
        <v>40</v>
      </c>
      <c r="H2065">
        <v>190</v>
      </c>
      <c r="I2065">
        <v>1</v>
      </c>
      <c r="J2065">
        <v>1</v>
      </c>
      <c r="K2065" t="s">
        <v>20527</v>
      </c>
      <c r="L2065" t="s">
        <v>101</v>
      </c>
      <c r="N2065">
        <v>0.58679999999999999</v>
      </c>
      <c r="O2065" s="1">
        <v>2</v>
      </c>
      <c r="P2065" t="s">
        <v>20528</v>
      </c>
      <c r="Q2065" t="s">
        <v>20529</v>
      </c>
      <c r="S2065" t="s">
        <v>60</v>
      </c>
      <c r="T2065" t="s">
        <v>60</v>
      </c>
      <c r="U2065">
        <v>83</v>
      </c>
      <c r="V2065">
        <v>1</v>
      </c>
      <c r="Z2065" t="s">
        <v>107</v>
      </c>
      <c r="AA2065">
        <v>1</v>
      </c>
      <c r="AB2065" t="s">
        <v>20530</v>
      </c>
      <c r="AC2065">
        <v>83</v>
      </c>
      <c r="AD2065" t="s">
        <v>20531</v>
      </c>
      <c r="AE2065" t="s">
        <v>144</v>
      </c>
      <c r="AF2065" t="s">
        <v>409</v>
      </c>
      <c r="AG2065" t="s">
        <v>20532</v>
      </c>
      <c r="AH2065" t="str">
        <f>HYPERLINK("http://compartments.jensenlab.org/Entity?figures=subcell_cell_%&amp;knowledge=10&amp;textmining=10&amp;experiments=10&amp;predictions=10&amp;type1=9606&amp;type2=-22&amp;id1=ENSP00000307954","link")</f>
        <v>link</v>
      </c>
      <c r="AJ2065" t="s">
        <v>51</v>
      </c>
      <c r="AK2065" t="str">
        <f>HYPERLINK("http://www.proteinatlas.org/Q8TBP5","HPA019539")</f>
        <v>HPA019539</v>
      </c>
      <c r="AM2065">
        <v>345757</v>
      </c>
    </row>
    <row r="2066" spans="1:39" x14ac:dyDescent="0.35">
      <c r="A2066" t="s">
        <v>20533</v>
      </c>
      <c r="B2066" t="str">
        <f>HYPERLINK("http://www.uniprot.org/uniprot/Q8TC27","Q8TC27")</f>
        <v>Q8TC27</v>
      </c>
      <c r="C2066" t="s">
        <v>20534</v>
      </c>
      <c r="D2066" t="s">
        <v>20535</v>
      </c>
      <c r="E2066" t="s">
        <v>39</v>
      </c>
      <c r="F2066" t="s">
        <v>40</v>
      </c>
      <c r="H2066">
        <v>787</v>
      </c>
      <c r="I2066">
        <v>1</v>
      </c>
      <c r="J2066">
        <v>1</v>
      </c>
      <c r="K2066" t="s">
        <v>20536</v>
      </c>
      <c r="L2066" t="s">
        <v>57</v>
      </c>
      <c r="N2066">
        <v>0.76049999999999995</v>
      </c>
      <c r="O2066" s="1">
        <v>1</v>
      </c>
      <c r="P2066" t="s">
        <v>20537</v>
      </c>
      <c r="Q2066" t="s">
        <v>20538</v>
      </c>
      <c r="S2066" t="s">
        <v>947</v>
      </c>
      <c r="T2066" t="s">
        <v>1208</v>
      </c>
      <c r="U2066" t="s">
        <v>20539</v>
      </c>
      <c r="V2066">
        <v>4</v>
      </c>
      <c r="AE2066" t="s">
        <v>144</v>
      </c>
      <c r="AF2066" t="s">
        <v>20540</v>
      </c>
      <c r="AG2066" t="s">
        <v>20541</v>
      </c>
      <c r="AH2066" t="str">
        <f>HYPERLINK("http://compartments.jensenlab.org/Entity?figures=subcell_cell_%&amp;knowledge=10&amp;textmining=10&amp;experiments=10&amp;predictions=10&amp;type1=9606&amp;type2=-22&amp;id1=ENSP00000369238","link")</f>
        <v>link</v>
      </c>
      <c r="AJ2066" t="s">
        <v>51</v>
      </c>
      <c r="AK2066" t="str">
        <f>HYPERLINK("http://www.proteinatlas.org/Q8TC27","HPA044156")</f>
        <v>HPA044156</v>
      </c>
      <c r="AM2066">
        <v>203102</v>
      </c>
    </row>
    <row r="2067" spans="1:39" x14ac:dyDescent="0.35">
      <c r="A2067" t="s">
        <v>20542</v>
      </c>
      <c r="B2067" t="str">
        <f>HYPERLINK("http://www.uniprot.org/uniprot/Q8TCB6","Q8TCB6")</f>
        <v>Q8TCB6</v>
      </c>
      <c r="C2067" t="s">
        <v>20543</v>
      </c>
      <c r="D2067" t="s">
        <v>20544</v>
      </c>
      <c r="E2067" t="s">
        <v>39</v>
      </c>
      <c r="F2067" t="s">
        <v>40</v>
      </c>
      <c r="H2067">
        <v>317</v>
      </c>
      <c r="I2067">
        <v>7</v>
      </c>
      <c r="J2067">
        <v>0</v>
      </c>
      <c r="K2067" t="s">
        <v>20545</v>
      </c>
      <c r="L2067" t="s">
        <v>57</v>
      </c>
      <c r="N2067">
        <v>0.98399999999999999</v>
      </c>
      <c r="O2067" s="1">
        <v>1</v>
      </c>
      <c r="P2067" t="s">
        <v>20546</v>
      </c>
      <c r="Q2067" t="s">
        <v>20547</v>
      </c>
      <c r="S2067" t="s">
        <v>166</v>
      </c>
      <c r="T2067" t="s">
        <v>167</v>
      </c>
      <c r="U2067" t="s">
        <v>20548</v>
      </c>
      <c r="V2067">
        <v>2</v>
      </c>
      <c r="AE2067" t="s">
        <v>74</v>
      </c>
      <c r="AF2067" t="s">
        <v>169</v>
      </c>
      <c r="AG2067" t="s">
        <v>20549</v>
      </c>
      <c r="AH2067" t="str">
        <f>HYPERLINK("http://compartments.jensenlab.org/Entity?figures=subcell_cell_%&amp;knowledge=10&amp;textmining=10&amp;experiments=10&amp;predictions=10&amp;type1=9606&amp;type2=-22&amp;id1=ENSP00000380155","link")</f>
        <v>link</v>
      </c>
      <c r="AI2067" t="s">
        <v>65</v>
      </c>
      <c r="AJ2067" t="s">
        <v>51</v>
      </c>
      <c r="AK2067" t="str">
        <f>HYPERLINK("http://www.proteinatlas.org/Q8TCB6","CAB019995;HPA051439")</f>
        <v>CAB019995;HPA051439</v>
      </c>
      <c r="AM2067">
        <v>143503</v>
      </c>
    </row>
    <row r="2068" spans="1:39" x14ac:dyDescent="0.35">
      <c r="A2068" t="s">
        <v>20550</v>
      </c>
      <c r="B2068" t="str">
        <f>HYPERLINK("http://www.uniprot.org/uniprot/Q8TCC7","Q8TCC7")</f>
        <v>Q8TCC7</v>
      </c>
      <c r="C2068" t="s">
        <v>20551</v>
      </c>
      <c r="D2068" t="s">
        <v>20552</v>
      </c>
      <c r="E2068" t="s">
        <v>39</v>
      </c>
      <c r="F2068" t="s">
        <v>55</v>
      </c>
      <c r="H2068">
        <v>542</v>
      </c>
      <c r="I2068">
        <v>11</v>
      </c>
      <c r="J2068">
        <v>0</v>
      </c>
      <c r="K2068" t="s">
        <v>20553</v>
      </c>
      <c r="L2068" t="s">
        <v>57</v>
      </c>
      <c r="M2068" t="s">
        <v>39</v>
      </c>
      <c r="N2068">
        <v>0.60919999999999996</v>
      </c>
      <c r="O2068" s="1">
        <v>2</v>
      </c>
      <c r="P2068" t="s">
        <v>20554</v>
      </c>
      <c r="Q2068" t="s">
        <v>20555</v>
      </c>
      <c r="S2068" t="s">
        <v>45</v>
      </c>
      <c r="T2068" t="s">
        <v>121</v>
      </c>
      <c r="U2068" t="s">
        <v>20556</v>
      </c>
      <c r="V2068">
        <v>5</v>
      </c>
      <c r="AE2068" t="s">
        <v>1460</v>
      </c>
      <c r="AF2068" t="s">
        <v>20557</v>
      </c>
      <c r="AG2068" t="s">
        <v>20558</v>
      </c>
      <c r="AH2068" t="str">
        <f>HYPERLINK("http://compartments.jensenlab.org/Entity?figures=subcell_cell_%&amp;knowledge=10&amp;textmining=10&amp;experiments=10&amp;predictions=10&amp;type1=9606&amp;type2=-22&amp;id1=ENSP00000337335","link")</f>
        <v>link</v>
      </c>
      <c r="AI2068" t="s">
        <v>65</v>
      </c>
      <c r="AJ2068" t="s">
        <v>51</v>
      </c>
      <c r="AK2068" t="str">
        <f>HYPERLINK("http://www.proteinatlas.org/Q8TCC7","HPA044174")</f>
        <v>HPA044174</v>
      </c>
      <c r="AL2068" t="s">
        <v>14439</v>
      </c>
      <c r="AM2068">
        <v>9376</v>
      </c>
    </row>
    <row r="2069" spans="1:39" x14ac:dyDescent="0.35">
      <c r="A2069" t="s">
        <v>20559</v>
      </c>
      <c r="B2069" t="str">
        <f>HYPERLINK("http://www.uniprot.org/uniprot/Q8TCJ2","Q8TCJ2")</f>
        <v>Q8TCJ2</v>
      </c>
      <c r="C2069" t="s">
        <v>20560</v>
      </c>
      <c r="D2069" t="s">
        <v>20561</v>
      </c>
      <c r="E2069" t="s">
        <v>39</v>
      </c>
      <c r="F2069" t="s">
        <v>40</v>
      </c>
      <c r="H2069">
        <v>826</v>
      </c>
      <c r="I2069">
        <v>11</v>
      </c>
      <c r="J2069">
        <v>0</v>
      </c>
      <c r="K2069" t="s">
        <v>20562</v>
      </c>
      <c r="L2069" t="s">
        <v>101</v>
      </c>
      <c r="N2069">
        <v>0.75049999999999994</v>
      </c>
      <c r="O2069" s="1">
        <v>1</v>
      </c>
      <c r="P2069" t="s">
        <v>20563</v>
      </c>
      <c r="Q2069" t="s">
        <v>20564</v>
      </c>
      <c r="S2069" t="s">
        <v>947</v>
      </c>
      <c r="T2069" t="s">
        <v>3958</v>
      </c>
      <c r="U2069" t="s">
        <v>20565</v>
      </c>
      <c r="V2069">
        <v>5</v>
      </c>
      <c r="Z2069" t="s">
        <v>123</v>
      </c>
      <c r="AA2069">
        <v>17</v>
      </c>
      <c r="AB2069" t="s">
        <v>20566</v>
      </c>
      <c r="AC2069" t="s">
        <v>20567</v>
      </c>
      <c r="AD2069" t="s">
        <v>20568</v>
      </c>
      <c r="AE2069" t="s">
        <v>977</v>
      </c>
      <c r="AF2069" t="s">
        <v>20569</v>
      </c>
      <c r="AG2069" t="s">
        <v>20570</v>
      </c>
      <c r="AH2069" t="str">
        <f>HYPERLINK("http://compartments.jensenlab.org/Entity?figures=subcell_cell_%&amp;knowledge=10&amp;textmining=10&amp;experiments=10&amp;predictions=10&amp;type1=9606&amp;type2=-22&amp;id1=ENSP00000295770","link")</f>
        <v>link</v>
      </c>
      <c r="AI2069" t="s">
        <v>980</v>
      </c>
      <c r="AJ2069" t="s">
        <v>3965</v>
      </c>
      <c r="AK2069" t="str">
        <f>HYPERLINK("http://www.proteinatlas.org/Q8TCJ2","HPA036646")</f>
        <v>HPA036646</v>
      </c>
      <c r="AM2069">
        <v>201595</v>
      </c>
    </row>
    <row r="2070" spans="1:39" x14ac:dyDescent="0.35">
      <c r="A2070" t="s">
        <v>20571</v>
      </c>
      <c r="B2070" t="str">
        <f>HYPERLINK("http://www.uniprot.org/uniprot/Q8TCT7","Q8TCT7")</f>
        <v>Q8TCT7</v>
      </c>
      <c r="C2070" t="s">
        <v>20572</v>
      </c>
      <c r="D2070" t="s">
        <v>20573</v>
      </c>
      <c r="E2070" t="s">
        <v>39</v>
      </c>
      <c r="F2070" t="s">
        <v>40</v>
      </c>
      <c r="H2070">
        <v>592</v>
      </c>
      <c r="I2070">
        <v>9</v>
      </c>
      <c r="J2070">
        <v>1</v>
      </c>
      <c r="K2070" t="s">
        <v>20574</v>
      </c>
      <c r="L2070" t="s">
        <v>101</v>
      </c>
      <c r="N2070">
        <v>0.83830000000000005</v>
      </c>
      <c r="O2070" s="1">
        <v>1</v>
      </c>
      <c r="P2070" t="s">
        <v>20575</v>
      </c>
      <c r="Q2070" t="s">
        <v>20576</v>
      </c>
      <c r="S2070" t="s">
        <v>60</v>
      </c>
      <c r="T2070" t="s">
        <v>60</v>
      </c>
      <c r="U2070" t="s">
        <v>20577</v>
      </c>
      <c r="V2070">
        <v>4</v>
      </c>
      <c r="W2070" t="s">
        <v>20577</v>
      </c>
      <c r="Z2070" t="s">
        <v>107</v>
      </c>
      <c r="AA2070">
        <v>2</v>
      </c>
      <c r="AB2070" t="s">
        <v>20578</v>
      </c>
      <c r="AC2070" t="s">
        <v>20579</v>
      </c>
      <c r="AD2070" t="s">
        <v>20580</v>
      </c>
      <c r="AE2070" t="s">
        <v>20581</v>
      </c>
      <c r="AF2070" t="s">
        <v>20582</v>
      </c>
      <c r="AG2070" t="s">
        <v>20583</v>
      </c>
      <c r="AH2070" t="str">
        <f>HYPERLINK("http://compartments.jensenlab.org/Entity?figures=subcell_cell_%&amp;knowledge=10&amp;textmining=10&amp;experiments=10&amp;predictions=10&amp;type1=9606&amp;type2=-22&amp;id1=ENSP00000478298","link")</f>
        <v>link</v>
      </c>
      <c r="AK2070" t="str">
        <f>HYPERLINK("http://www.proteinatlas.org/Q8TCT7","no")</f>
        <v>no</v>
      </c>
      <c r="AM2070">
        <v>56928</v>
      </c>
    </row>
    <row r="2071" spans="1:39" x14ac:dyDescent="0.35">
      <c r="A2071" t="s">
        <v>20584</v>
      </c>
      <c r="B2071" t="str">
        <f>HYPERLINK("http://www.uniprot.org/uniprot/Q8TCT8","Q8TCT8")</f>
        <v>Q8TCT8</v>
      </c>
      <c r="C2071" t="s">
        <v>20585</v>
      </c>
      <c r="D2071" t="s">
        <v>20586</v>
      </c>
      <c r="E2071" t="s">
        <v>39</v>
      </c>
      <c r="F2071" t="s">
        <v>55</v>
      </c>
      <c r="H2071">
        <v>520</v>
      </c>
      <c r="I2071">
        <v>9</v>
      </c>
      <c r="J2071">
        <v>1</v>
      </c>
      <c r="K2071" t="s">
        <v>20587</v>
      </c>
      <c r="L2071" t="s">
        <v>101</v>
      </c>
      <c r="M2071" t="s">
        <v>39</v>
      </c>
      <c r="N2071">
        <v>0.96199999999999997</v>
      </c>
      <c r="O2071" s="1">
        <v>1</v>
      </c>
      <c r="P2071" t="s">
        <v>20588</v>
      </c>
      <c r="Q2071" t="s">
        <v>20589</v>
      </c>
      <c r="S2071" t="s">
        <v>60</v>
      </c>
      <c r="T2071" t="s">
        <v>60</v>
      </c>
      <c r="U2071" t="s">
        <v>20590</v>
      </c>
      <c r="V2071">
        <v>8</v>
      </c>
      <c r="W2071" t="s">
        <v>20590</v>
      </c>
      <c r="Z2071" t="s">
        <v>107</v>
      </c>
      <c r="AA2071">
        <v>2</v>
      </c>
      <c r="AB2071" t="s">
        <v>20591</v>
      </c>
      <c r="AC2071" t="s">
        <v>20592</v>
      </c>
      <c r="AD2071" t="s">
        <v>20593</v>
      </c>
      <c r="AE2071" t="s">
        <v>20594</v>
      </c>
      <c r="AF2071" t="s">
        <v>20595</v>
      </c>
      <c r="AG2071" t="s">
        <v>20596</v>
      </c>
      <c r="AH2071" t="str">
        <f>HYPERLINK("http://compartments.jensenlab.org/Entity?figures=subcell_cell_%&amp;knowledge=10&amp;textmining=10&amp;experiments=10&amp;predictions=10&amp;type1=9606&amp;type2=-22&amp;id1=ENSP00000261854","link")</f>
        <v>link</v>
      </c>
      <c r="AI2071" t="s">
        <v>20597</v>
      </c>
      <c r="AJ2071" t="s">
        <v>1630</v>
      </c>
      <c r="AK2071" t="str">
        <f>HYPERLINK("http://www.proteinatlas.org/Q8TCT8","HPA036062")</f>
        <v>HPA036062</v>
      </c>
      <c r="AM2071">
        <v>84888</v>
      </c>
    </row>
    <row r="2072" spans="1:39" x14ac:dyDescent="0.35">
      <c r="A2072" t="s">
        <v>20598</v>
      </c>
      <c r="B2072" t="str">
        <f>HYPERLINK("http://www.uniprot.org/uniprot/Q8TCT9","Q8TCT9")</f>
        <v>Q8TCT9</v>
      </c>
      <c r="C2072" t="s">
        <v>20599</v>
      </c>
      <c r="D2072" t="s">
        <v>20600</v>
      </c>
      <c r="E2072" t="s">
        <v>39</v>
      </c>
      <c r="F2072" t="s">
        <v>40</v>
      </c>
      <c r="H2072">
        <v>377</v>
      </c>
      <c r="I2072">
        <v>9</v>
      </c>
      <c r="J2072">
        <v>0</v>
      </c>
      <c r="K2072" t="s">
        <v>20601</v>
      </c>
      <c r="L2072" t="s">
        <v>57</v>
      </c>
      <c r="N2072">
        <v>0.74250000000000005</v>
      </c>
      <c r="O2072" s="1">
        <v>2</v>
      </c>
      <c r="P2072" t="s">
        <v>20602</v>
      </c>
      <c r="Q2072" t="s">
        <v>20603</v>
      </c>
      <c r="S2072" t="s">
        <v>60</v>
      </c>
      <c r="T2072" t="s">
        <v>60</v>
      </c>
      <c r="U2072" t="s">
        <v>20604</v>
      </c>
      <c r="V2072">
        <v>2</v>
      </c>
      <c r="W2072" t="s">
        <v>20604</v>
      </c>
      <c r="AE2072" t="s">
        <v>20605</v>
      </c>
      <c r="AF2072" t="s">
        <v>20606</v>
      </c>
      <c r="AG2072" t="s">
        <v>20607</v>
      </c>
      <c r="AH2072" t="str">
        <f>HYPERLINK("http://compartments.jensenlab.org/Entity?figures=subcell_cell_%&amp;knowledge=10&amp;textmining=10&amp;experiments=10&amp;predictions=10&amp;type1=9606&amp;type2=-22&amp;id1=ENSP00000343032","link")</f>
        <v>link</v>
      </c>
      <c r="AK2072" t="str">
        <f>HYPERLINK("http://www.proteinatlas.org/Q8TCT9","HPA045089")</f>
        <v>HPA045089</v>
      </c>
      <c r="AM2072">
        <v>81502</v>
      </c>
    </row>
    <row r="2073" spans="1:39" x14ac:dyDescent="0.35">
      <c r="A2073" t="s">
        <v>20608</v>
      </c>
      <c r="B2073" t="str">
        <f>HYPERLINK("http://www.uniprot.org/uniprot/Q8TCU5","Q8TCU5")</f>
        <v>Q8TCU5</v>
      </c>
      <c r="C2073" t="s">
        <v>20609</v>
      </c>
      <c r="D2073" t="s">
        <v>20610</v>
      </c>
      <c r="E2073" t="s">
        <v>39</v>
      </c>
      <c r="F2073" t="s">
        <v>55</v>
      </c>
      <c r="H2073">
        <v>1115</v>
      </c>
      <c r="I2073">
        <v>3</v>
      </c>
      <c r="J2073">
        <v>1</v>
      </c>
      <c r="K2073" t="s">
        <v>20611</v>
      </c>
      <c r="L2073" t="s">
        <v>57</v>
      </c>
      <c r="M2073" t="s">
        <v>39</v>
      </c>
      <c r="N2073">
        <v>0.91439999999999999</v>
      </c>
      <c r="O2073" s="1">
        <v>1</v>
      </c>
      <c r="P2073" t="s">
        <v>20612</v>
      </c>
      <c r="Q2073" t="s">
        <v>20613</v>
      </c>
      <c r="S2073" t="s">
        <v>45</v>
      </c>
      <c r="T2073" t="s">
        <v>1554</v>
      </c>
      <c r="U2073" t="s">
        <v>20614</v>
      </c>
      <c r="V2073">
        <v>11</v>
      </c>
      <c r="Y2073">
        <v>675</v>
      </c>
      <c r="AE2073" t="s">
        <v>12000</v>
      </c>
      <c r="AF2073" t="s">
        <v>20615</v>
      </c>
      <c r="AG2073" t="s">
        <v>20616</v>
      </c>
      <c r="AH2073" t="str">
        <f>HYPERLINK("http://compartments.jensenlab.org/Entity?figures=subcell_cell_%&amp;knowledge=10&amp;textmining=10&amp;experiments=10&amp;predictions=10&amp;type1=9606&amp;type2=-22&amp;id1=ENSP00000355155","link")</f>
        <v>link</v>
      </c>
      <c r="AI2073" t="s">
        <v>65</v>
      </c>
      <c r="AJ2073" t="s">
        <v>1811</v>
      </c>
      <c r="AK2073" t="str">
        <f>HYPERLINK("http://www.proteinatlas.org/Q8TCU5","no")</f>
        <v>no</v>
      </c>
      <c r="AL2073" t="s">
        <v>20617</v>
      </c>
      <c r="AM2073">
        <v>116443</v>
      </c>
    </row>
    <row r="2074" spans="1:39" x14ac:dyDescent="0.35">
      <c r="A2074" t="s">
        <v>20618</v>
      </c>
      <c r="B2074" t="str">
        <f>HYPERLINK("http://www.uniprot.org/uniprot/Q8TCW7","Q8TCW7")</f>
        <v>Q8TCW7</v>
      </c>
      <c r="C2074" t="s">
        <v>20619</v>
      </c>
      <c r="D2074" t="s">
        <v>20620</v>
      </c>
      <c r="E2074" t="s">
        <v>39</v>
      </c>
      <c r="F2074" t="s">
        <v>40</v>
      </c>
      <c r="H2074">
        <v>415</v>
      </c>
      <c r="I2074">
        <v>1</v>
      </c>
      <c r="J2074">
        <v>1</v>
      </c>
      <c r="K2074" t="s">
        <v>20621</v>
      </c>
      <c r="L2074" t="s">
        <v>57</v>
      </c>
      <c r="N2074">
        <v>0.88819999999999999</v>
      </c>
      <c r="O2074" s="1">
        <v>1</v>
      </c>
      <c r="P2074" t="s">
        <v>20622</v>
      </c>
      <c r="Q2074" t="s">
        <v>20623</v>
      </c>
      <c r="S2074" t="s">
        <v>60</v>
      </c>
      <c r="T2074" t="s">
        <v>60</v>
      </c>
      <c r="U2074" t="s">
        <v>20624</v>
      </c>
      <c r="V2074">
        <v>8</v>
      </c>
      <c r="AE2074" t="s">
        <v>144</v>
      </c>
      <c r="AF2074" t="s">
        <v>676</v>
      </c>
      <c r="AG2074" t="s">
        <v>20625</v>
      </c>
      <c r="AH2074" t="str">
        <f>HYPERLINK("http://compartments.jensenlab.org/Entity?figures=subcell_cell_%&amp;knowledge=10&amp;textmining=10&amp;experiments=10&amp;predictions=10&amp;type1=9606&amp;type2=-22&amp;id1=ENSP00000418253","link")</f>
        <v>link</v>
      </c>
      <c r="AK2074" t="str">
        <f>HYPERLINK("http://www.proteinatlas.org/Q8TCW7","no")</f>
        <v>no</v>
      </c>
      <c r="AM2074">
        <v>131368</v>
      </c>
    </row>
    <row r="2075" spans="1:39" x14ac:dyDescent="0.35">
      <c r="A2075" t="s">
        <v>20626</v>
      </c>
      <c r="B2075" t="str">
        <f>HYPERLINK("http://www.uniprot.org/uniprot/Q8TCW9","Q8TCW9")</f>
        <v>Q8TCW9</v>
      </c>
      <c r="C2075" t="s">
        <v>20627</v>
      </c>
      <c r="D2075" t="s">
        <v>20628</v>
      </c>
      <c r="E2075" t="s">
        <v>39</v>
      </c>
      <c r="F2075" t="s">
        <v>55</v>
      </c>
      <c r="H2075">
        <v>393</v>
      </c>
      <c r="I2075">
        <v>7</v>
      </c>
      <c r="J2075">
        <v>0</v>
      </c>
      <c r="K2075" t="s">
        <v>20629</v>
      </c>
      <c r="L2075" t="s">
        <v>57</v>
      </c>
      <c r="N2075">
        <v>0.91620000000000001</v>
      </c>
      <c r="O2075" s="1">
        <v>1</v>
      </c>
      <c r="P2075" t="s">
        <v>20630</v>
      </c>
      <c r="Q2075" t="s">
        <v>20631</v>
      </c>
      <c r="S2075" t="s">
        <v>166</v>
      </c>
      <c r="T2075" t="s">
        <v>838</v>
      </c>
      <c r="U2075" t="s">
        <v>20632</v>
      </c>
      <c r="V2075">
        <v>3</v>
      </c>
      <c r="X2075">
        <v>371</v>
      </c>
      <c r="AE2075" t="s">
        <v>74</v>
      </c>
      <c r="AF2075" t="s">
        <v>967</v>
      </c>
      <c r="AG2075" t="s">
        <v>20633</v>
      </c>
      <c r="AH2075" t="str">
        <f>HYPERLINK("http://compartments.jensenlab.org/Entity?figures=subcell_cell_%&amp;knowledge=10&amp;textmining=10&amp;experiments=10&amp;predictions=10&amp;type1=9606&amp;type2=-22&amp;id1=ENSP00000303775","link")</f>
        <v>link</v>
      </c>
      <c r="AI2075" t="s">
        <v>65</v>
      </c>
      <c r="AJ2075" t="s">
        <v>51</v>
      </c>
      <c r="AK2075" t="str">
        <f>HYPERLINK("http://www.proteinatlas.org/Q8TCW9","HPA029396")</f>
        <v>HPA029396</v>
      </c>
      <c r="AM2075">
        <v>10887</v>
      </c>
    </row>
    <row r="2076" spans="1:39" x14ac:dyDescent="0.35">
      <c r="A2076" t="s">
        <v>20634</v>
      </c>
      <c r="B2076" t="str">
        <f>HYPERLINK("http://www.uniprot.org/uniprot/Q8TD07","Q8TD07")</f>
        <v>Q8TD07</v>
      </c>
      <c r="C2076" t="s">
        <v>20635</v>
      </c>
      <c r="D2076" t="s">
        <v>20636</v>
      </c>
      <c r="E2076" t="s">
        <v>39</v>
      </c>
      <c r="F2076" t="s">
        <v>40</v>
      </c>
      <c r="H2076">
        <v>263</v>
      </c>
      <c r="I2076">
        <v>1</v>
      </c>
      <c r="J2076">
        <v>1</v>
      </c>
      <c r="K2076" t="s">
        <v>20637</v>
      </c>
      <c r="L2076" t="s">
        <v>57</v>
      </c>
      <c r="N2076">
        <v>0.89419999999999999</v>
      </c>
      <c r="O2076" s="1">
        <v>1</v>
      </c>
      <c r="P2076" t="s">
        <v>20638</v>
      </c>
      <c r="Q2076" t="s">
        <v>20639</v>
      </c>
      <c r="S2076" t="s">
        <v>91</v>
      </c>
      <c r="T2076" t="s">
        <v>14971</v>
      </c>
      <c r="U2076" t="s">
        <v>20640</v>
      </c>
      <c r="V2076">
        <v>3</v>
      </c>
      <c r="W2076" t="s">
        <v>20640</v>
      </c>
      <c r="AE2076" t="s">
        <v>1434</v>
      </c>
      <c r="AF2076" t="s">
        <v>20641</v>
      </c>
      <c r="AG2076" t="s">
        <v>20642</v>
      </c>
      <c r="AH2076" t="str">
        <f>HYPERLINK("http://compartments.jensenlab.org/Entity?figures=subcell_cell_%&amp;knowledge=10&amp;textmining=10&amp;experiments=10&amp;predictions=10&amp;type1=9606&amp;type2=-22&amp;id1=ENSP00000349709","link")</f>
        <v>link</v>
      </c>
      <c r="AJ2076" t="s">
        <v>51</v>
      </c>
      <c r="AK2076" t="str">
        <f>HYPERLINK("http://www.proteinatlas.org/Q8TD07","HPA054022")</f>
        <v>HPA054022</v>
      </c>
      <c r="AM2076">
        <v>135250</v>
      </c>
    </row>
    <row r="2077" spans="1:39" x14ac:dyDescent="0.35">
      <c r="A2077" t="s">
        <v>20643</v>
      </c>
      <c r="B2077" t="str">
        <f>HYPERLINK("http://www.uniprot.org/uniprot/Q8TD20","Q8TD20")</f>
        <v>Q8TD20</v>
      </c>
      <c r="C2077" t="s">
        <v>20644</v>
      </c>
      <c r="D2077" t="s">
        <v>20645</v>
      </c>
      <c r="E2077" t="s">
        <v>39</v>
      </c>
      <c r="F2077" t="s">
        <v>40</v>
      </c>
      <c r="H2077">
        <v>617</v>
      </c>
      <c r="I2077">
        <v>12</v>
      </c>
      <c r="J2077">
        <v>0</v>
      </c>
      <c r="K2077" t="s">
        <v>20646</v>
      </c>
      <c r="L2077" t="s">
        <v>57</v>
      </c>
      <c r="N2077">
        <v>0.91220000000000001</v>
      </c>
      <c r="O2077" s="1">
        <v>1</v>
      </c>
      <c r="P2077" t="s">
        <v>20647</v>
      </c>
      <c r="Q2077" t="s">
        <v>20648</v>
      </c>
      <c r="S2077" t="s">
        <v>45</v>
      </c>
      <c r="T2077" t="s">
        <v>3338</v>
      </c>
      <c r="U2077" t="s">
        <v>20649</v>
      </c>
      <c r="V2077">
        <v>4</v>
      </c>
      <c r="AE2077" t="s">
        <v>20650</v>
      </c>
      <c r="AF2077" t="s">
        <v>20651</v>
      </c>
      <c r="AG2077" t="s">
        <v>20652</v>
      </c>
      <c r="AH2077" t="str">
        <f>HYPERLINK("http://compartments.jensenlab.org/Entity?figures=subcell_cell_%&amp;knowledge=10&amp;textmining=10&amp;experiments=10&amp;predictions=10&amp;type1=9606&amp;type2=-22&amp;id1=ENSP00000275230","link")</f>
        <v>link</v>
      </c>
      <c r="AJ2077" t="s">
        <v>51</v>
      </c>
      <c r="AK2077" t="str">
        <f>HYPERLINK("http://www.proteinatlas.org/Q8TD20","HPA031593")</f>
        <v>HPA031593</v>
      </c>
      <c r="AM2077">
        <v>154091</v>
      </c>
    </row>
    <row r="2078" spans="1:39" x14ac:dyDescent="0.35">
      <c r="A2078" t="s">
        <v>20653</v>
      </c>
      <c r="B2078" t="str">
        <f>HYPERLINK("http://www.uniprot.org/uniprot/Q8TD46","Q8TD46")</f>
        <v>Q8TD46</v>
      </c>
      <c r="C2078" t="s">
        <v>20654</v>
      </c>
      <c r="D2078" t="s">
        <v>20655</v>
      </c>
      <c r="E2078" t="s">
        <v>39</v>
      </c>
      <c r="F2078" t="s">
        <v>55</v>
      </c>
      <c r="H2078">
        <v>325</v>
      </c>
      <c r="I2078">
        <v>1</v>
      </c>
      <c r="J2078">
        <v>1</v>
      </c>
      <c r="K2078" t="s">
        <v>20656</v>
      </c>
      <c r="L2078" t="s">
        <v>101</v>
      </c>
      <c r="M2078" t="s">
        <v>39</v>
      </c>
      <c r="N2078">
        <v>0.91110000000000002</v>
      </c>
      <c r="O2078" s="1">
        <v>1</v>
      </c>
      <c r="P2078" t="s">
        <v>20657</v>
      </c>
      <c r="Q2078" t="s">
        <v>20658</v>
      </c>
      <c r="S2078" t="s">
        <v>166</v>
      </c>
      <c r="T2078" t="s">
        <v>3629</v>
      </c>
      <c r="U2078" t="s">
        <v>20659</v>
      </c>
      <c r="V2078">
        <v>8</v>
      </c>
      <c r="W2078" t="s">
        <v>20659</v>
      </c>
      <c r="Z2078" t="s">
        <v>107</v>
      </c>
      <c r="AA2078">
        <v>4</v>
      </c>
      <c r="AB2078" t="s">
        <v>20660</v>
      </c>
      <c r="AC2078" t="s">
        <v>20661</v>
      </c>
      <c r="AD2078" t="s">
        <v>20662</v>
      </c>
      <c r="AE2078" t="s">
        <v>17188</v>
      </c>
      <c r="AF2078" t="s">
        <v>20663</v>
      </c>
      <c r="AG2078" t="s">
        <v>20664</v>
      </c>
      <c r="AH2078" t="str">
        <f>HYPERLINK("http://compartments.jensenlab.org/Entity?figures=subcell_cell_%&amp;knowledge=10&amp;textmining=10&amp;experiments=10&amp;predictions=10&amp;type1=9606&amp;type2=-22&amp;id1=ENSP00000311035","link")</f>
        <v>link</v>
      </c>
      <c r="AI2078" t="s">
        <v>1058</v>
      </c>
      <c r="AJ2078" t="s">
        <v>902</v>
      </c>
      <c r="AK2078" t="str">
        <f>HYPERLINK("http://www.proteinatlas.org/Q8TD46","no")</f>
        <v>no</v>
      </c>
      <c r="AM2078">
        <v>131450</v>
      </c>
    </row>
    <row r="2079" spans="1:39" x14ac:dyDescent="0.35">
      <c r="A2079" t="s">
        <v>20665</v>
      </c>
      <c r="B2079" t="str">
        <f>HYPERLINK("http://www.uniprot.org/uniprot/Q8TD84","Q8TD84")</f>
        <v>Q8TD84</v>
      </c>
      <c r="C2079" t="s">
        <v>20666</v>
      </c>
      <c r="D2079" t="s">
        <v>20667</v>
      </c>
      <c r="E2079" t="s">
        <v>39</v>
      </c>
      <c r="F2079" t="s">
        <v>40</v>
      </c>
      <c r="H2079">
        <v>2053</v>
      </c>
      <c r="I2079">
        <v>1</v>
      </c>
      <c r="J2079">
        <v>1</v>
      </c>
      <c r="K2079" t="s">
        <v>20668</v>
      </c>
      <c r="L2079" t="s">
        <v>57</v>
      </c>
      <c r="N2079">
        <v>0.96809999999999996</v>
      </c>
      <c r="O2079" s="1">
        <v>1</v>
      </c>
      <c r="P2079" t="s">
        <v>20669</v>
      </c>
      <c r="Q2079" t="s">
        <v>20670</v>
      </c>
      <c r="S2079" t="s">
        <v>91</v>
      </c>
      <c r="T2079" t="s">
        <v>555</v>
      </c>
      <c r="U2079" t="s">
        <v>20671</v>
      </c>
      <c r="V2079">
        <v>21</v>
      </c>
      <c r="W2079" t="s">
        <v>20671</v>
      </c>
      <c r="AE2079" t="s">
        <v>332</v>
      </c>
      <c r="AF2079" t="s">
        <v>20672</v>
      </c>
      <c r="AG2079" t="s">
        <v>20673</v>
      </c>
      <c r="AH2079" t="str">
        <f>HYPERLINK("http://compartments.jensenlab.org/Entity?figures=subcell_cell_%&amp;knowledge=10&amp;textmining=10&amp;experiments=10&amp;predictions=10&amp;type1=9606&amp;type2=-22&amp;id1=ENSP00000315465","link")</f>
        <v>link</v>
      </c>
      <c r="AI2079" t="s">
        <v>65</v>
      </c>
      <c r="AJ2079" t="s">
        <v>51</v>
      </c>
      <c r="AK2079" t="str">
        <f>HYPERLINK("http://www.proteinatlas.org/Q8TD84","CAB025540")</f>
        <v>CAB025540</v>
      </c>
      <c r="AM2079">
        <v>57453</v>
      </c>
    </row>
    <row r="2080" spans="1:39" x14ac:dyDescent="0.35">
      <c r="A2080" t="s">
        <v>20674</v>
      </c>
      <c r="B2080" t="str">
        <f>HYPERLINK("http://www.uniprot.org/uniprot/Q8TDB8","Q8TDB8")</f>
        <v>Q8TDB8</v>
      </c>
      <c r="C2080" t="s">
        <v>20675</v>
      </c>
      <c r="D2080" t="s">
        <v>20676</v>
      </c>
      <c r="E2080" t="s">
        <v>39</v>
      </c>
      <c r="F2080" t="s">
        <v>40</v>
      </c>
      <c r="H2080">
        <v>520</v>
      </c>
      <c r="I2080">
        <v>12</v>
      </c>
      <c r="J2080">
        <v>0</v>
      </c>
      <c r="K2080" t="s">
        <v>20677</v>
      </c>
      <c r="L2080" t="s">
        <v>57</v>
      </c>
      <c r="N2080">
        <v>0.86029999999999995</v>
      </c>
      <c r="O2080" s="1">
        <v>1</v>
      </c>
      <c r="P2080" t="s">
        <v>20678</v>
      </c>
      <c r="Q2080" t="s">
        <v>20679</v>
      </c>
      <c r="S2080" t="s">
        <v>45</v>
      </c>
      <c r="T2080" t="s">
        <v>3338</v>
      </c>
      <c r="U2080" t="s">
        <v>20680</v>
      </c>
      <c r="V2080">
        <v>1</v>
      </c>
      <c r="X2080">
        <v>499</v>
      </c>
      <c r="AE2080" t="s">
        <v>48</v>
      </c>
      <c r="AF2080" t="s">
        <v>20681</v>
      </c>
      <c r="AG2080" t="s">
        <v>20682</v>
      </c>
      <c r="AH2080" t="str">
        <f>HYPERLINK("http://compartments.jensenlab.org/Entity?figures=subcell_cell_%&amp;knowledge=10&amp;textmining=10&amp;experiments=10&amp;predictions=10&amp;type1=9606&amp;type2=-22&amp;id1=ENSP00000379834","link")</f>
        <v>link</v>
      </c>
      <c r="AK2080" t="str">
        <f>HYPERLINK("http://www.proteinatlas.org/Q8TDB8","HPA006539")</f>
        <v>HPA006539</v>
      </c>
      <c r="AM2080">
        <v>144195</v>
      </c>
    </row>
    <row r="2081" spans="1:39" x14ac:dyDescent="0.35">
      <c r="A2081" t="s">
        <v>20683</v>
      </c>
      <c r="B2081" t="str">
        <f>HYPERLINK("http://www.uniprot.org/uniprot/Q8TDF5","Q8TDF5")</f>
        <v>Q8TDF5</v>
      </c>
      <c r="C2081" t="s">
        <v>20684</v>
      </c>
      <c r="D2081" t="s">
        <v>20685</v>
      </c>
      <c r="E2081" t="s">
        <v>39</v>
      </c>
      <c r="F2081" t="s">
        <v>40</v>
      </c>
      <c r="H2081">
        <v>533</v>
      </c>
      <c r="I2081">
        <v>1</v>
      </c>
      <c r="J2081">
        <v>1</v>
      </c>
      <c r="K2081" t="s">
        <v>20686</v>
      </c>
      <c r="L2081" t="s">
        <v>57</v>
      </c>
      <c r="N2081">
        <v>0.95209999999999995</v>
      </c>
      <c r="O2081" s="1">
        <v>1</v>
      </c>
      <c r="P2081" t="s">
        <v>20687</v>
      </c>
      <c r="Q2081" t="s">
        <v>20688</v>
      </c>
      <c r="S2081" t="s">
        <v>60</v>
      </c>
      <c r="T2081" t="s">
        <v>60</v>
      </c>
      <c r="U2081" t="s">
        <v>20689</v>
      </c>
      <c r="V2081">
        <v>3</v>
      </c>
      <c r="W2081" t="s">
        <v>20689</v>
      </c>
      <c r="Y2081" t="s">
        <v>20690</v>
      </c>
      <c r="AE2081" t="s">
        <v>20691</v>
      </c>
      <c r="AF2081" t="s">
        <v>20692</v>
      </c>
      <c r="AG2081" t="s">
        <v>20693</v>
      </c>
      <c r="AH2081" t="str">
        <f>HYPERLINK("http://compartments.jensenlab.org/Entity?figures=subcell_cell_%&amp;knowledge=10&amp;textmining=10&amp;experiments=10&amp;predictions=10&amp;type1=9606&amp;type2=-22&amp;id1=ENSP00000381024","link")</f>
        <v>link</v>
      </c>
      <c r="AK2081" t="str">
        <f>HYPERLINK("http://www.proteinatlas.org/Q8TDF5","no")</f>
        <v>no</v>
      </c>
      <c r="AM2081">
        <v>81832</v>
      </c>
    </row>
    <row r="2082" spans="1:39" x14ac:dyDescent="0.35">
      <c r="A2082" t="s">
        <v>20694</v>
      </c>
      <c r="B2082" t="str">
        <f>HYPERLINK("http://www.uniprot.org/uniprot/Q8TDM5","Q8TDM5")</f>
        <v>Q8TDM5</v>
      </c>
      <c r="C2082" t="s">
        <v>20695</v>
      </c>
      <c r="D2082" t="s">
        <v>20696</v>
      </c>
      <c r="E2082" t="s">
        <v>39</v>
      </c>
      <c r="F2082" t="s">
        <v>239</v>
      </c>
      <c r="H2082">
        <v>124</v>
      </c>
      <c r="I2082">
        <v>0</v>
      </c>
      <c r="J2082">
        <v>1</v>
      </c>
      <c r="K2082" t="s">
        <v>20697</v>
      </c>
      <c r="L2082" t="s">
        <v>57</v>
      </c>
      <c r="N2082">
        <v>0.43709999999999999</v>
      </c>
      <c r="O2082" s="1" t="s">
        <v>1752</v>
      </c>
      <c r="P2082" t="s">
        <v>20698</v>
      </c>
      <c r="Q2082" t="s">
        <v>20699</v>
      </c>
      <c r="V2082">
        <v>0</v>
      </c>
      <c r="AE2082" t="s">
        <v>20700</v>
      </c>
      <c r="AF2082" t="s">
        <v>20701</v>
      </c>
      <c r="AG2082" t="s">
        <v>20702</v>
      </c>
      <c r="AH2082" t="str">
        <f>HYPERLINK("http://compartments.jensenlab.org/Entity?figures=subcell_cell_%&amp;knowledge=10&amp;textmining=10&amp;experiments=10&amp;predictions=10&amp;type1=9606&amp;type2=-22&amp;id1=ENSP00000312774","link")</f>
        <v>link</v>
      </c>
      <c r="AI2082" t="s">
        <v>65</v>
      </c>
      <c r="AJ2082" t="s">
        <v>51</v>
      </c>
      <c r="AK2082" t="str">
        <f>HYPERLINK("http://www.proteinatlas.org/Q8TDM5","HPA041927;HPA061302")</f>
        <v>HPA041927;HPA061302</v>
      </c>
      <c r="AM2082">
        <v>171169</v>
      </c>
    </row>
    <row r="2083" spans="1:39" x14ac:dyDescent="0.35">
      <c r="A2083" t="s">
        <v>20703</v>
      </c>
      <c r="B2083" t="str">
        <f>HYPERLINK("http://www.uniprot.org/uniprot/Q8TDN1","Q8TDN1")</f>
        <v>Q8TDN1</v>
      </c>
      <c r="C2083" t="s">
        <v>20704</v>
      </c>
      <c r="D2083" t="s">
        <v>20705</v>
      </c>
      <c r="E2083" t="s">
        <v>39</v>
      </c>
      <c r="F2083" t="s">
        <v>55</v>
      </c>
      <c r="H2083">
        <v>519</v>
      </c>
      <c r="I2083">
        <v>6</v>
      </c>
      <c r="J2083">
        <v>0</v>
      </c>
      <c r="K2083" t="s">
        <v>20706</v>
      </c>
      <c r="L2083" t="s">
        <v>57</v>
      </c>
      <c r="M2083" t="s">
        <v>39</v>
      </c>
      <c r="N2083">
        <v>0.24</v>
      </c>
      <c r="O2083" s="1"/>
      <c r="P2083" t="s">
        <v>20707</v>
      </c>
      <c r="Q2083" t="s">
        <v>20708</v>
      </c>
      <c r="S2083" t="s">
        <v>45</v>
      </c>
      <c r="T2083" t="s">
        <v>6713</v>
      </c>
      <c r="V2083">
        <v>0</v>
      </c>
      <c r="AE2083" t="s">
        <v>74</v>
      </c>
      <c r="AF2083" t="s">
        <v>20709</v>
      </c>
      <c r="AG2083" t="s">
        <v>20710</v>
      </c>
      <c r="AH2083" t="str">
        <f>HYPERLINK("http://compartments.jensenlab.org/Entity?figures=subcell_cell_%&amp;knowledge=10&amp;textmining=10&amp;experiments=10&amp;predictions=10&amp;type1=9606&amp;type2=-22&amp;id1=ENSP00000312129","link")</f>
        <v>link</v>
      </c>
      <c r="AI2083" t="s">
        <v>65</v>
      </c>
      <c r="AJ2083" t="s">
        <v>51</v>
      </c>
      <c r="AK2083" t="str">
        <f>HYPERLINK("http://www.proteinatlas.org/Q8TDN1","HPA039161")</f>
        <v>HPA039161</v>
      </c>
      <c r="AM2083">
        <v>93107</v>
      </c>
    </row>
    <row r="2084" spans="1:39" x14ac:dyDescent="0.35">
      <c r="A2084" t="s">
        <v>20711</v>
      </c>
      <c r="B2084" t="str">
        <f>HYPERLINK("http://www.uniprot.org/uniprot/Q8TDN2","Q8TDN2")</f>
        <v>Q8TDN2</v>
      </c>
      <c r="C2084" t="s">
        <v>20712</v>
      </c>
      <c r="D2084" t="s">
        <v>20713</v>
      </c>
      <c r="E2084" t="s">
        <v>39</v>
      </c>
      <c r="F2084" t="s">
        <v>55</v>
      </c>
      <c r="H2084">
        <v>545</v>
      </c>
      <c r="I2084">
        <v>6</v>
      </c>
      <c r="J2084">
        <v>0</v>
      </c>
      <c r="K2084" t="s">
        <v>20714</v>
      </c>
      <c r="L2084" t="s">
        <v>57</v>
      </c>
      <c r="M2084" t="s">
        <v>39</v>
      </c>
      <c r="N2084">
        <v>0.41260000000000002</v>
      </c>
      <c r="O2084" s="1">
        <v>3</v>
      </c>
      <c r="P2084" t="s">
        <v>20715</v>
      </c>
      <c r="Q2084" t="s">
        <v>20716</v>
      </c>
      <c r="S2084" t="s">
        <v>45</v>
      </c>
      <c r="T2084" t="s">
        <v>6713</v>
      </c>
      <c r="U2084" t="s">
        <v>20717</v>
      </c>
      <c r="V2084">
        <v>1</v>
      </c>
      <c r="AE2084" t="s">
        <v>74</v>
      </c>
      <c r="AF2084" t="s">
        <v>20718</v>
      </c>
      <c r="AG2084" t="s">
        <v>20719</v>
      </c>
      <c r="AH2084" t="str">
        <f>HYPERLINK("http://compartments.jensenlab.org/Entity?figures=subcell_cell_%&amp;knowledge=10&amp;textmining=10&amp;experiments=10&amp;predictions=10&amp;type1=9606&amp;type2=-22&amp;id1=ENSP00000371514","link")</f>
        <v>link</v>
      </c>
      <c r="AI2084" t="s">
        <v>65</v>
      </c>
      <c r="AJ2084" t="s">
        <v>51</v>
      </c>
      <c r="AK2084" t="str">
        <f>HYPERLINK("http://www.proteinatlas.org/Q8TDN2","HPA031131")</f>
        <v>HPA031131</v>
      </c>
      <c r="AM2084">
        <v>169522</v>
      </c>
    </row>
    <row r="2085" spans="1:39" x14ac:dyDescent="0.35">
      <c r="A2085" t="s">
        <v>20720</v>
      </c>
      <c r="B2085" t="str">
        <f>HYPERLINK("http://www.uniprot.org/uniprot/Q8TDQ0","Q8TDQ0")</f>
        <v>Q8TDQ0</v>
      </c>
      <c r="C2085" t="s">
        <v>20721</v>
      </c>
      <c r="D2085" t="s">
        <v>20722</v>
      </c>
      <c r="E2085" t="s">
        <v>39</v>
      </c>
      <c r="F2085" t="s">
        <v>40</v>
      </c>
      <c r="H2085">
        <v>301</v>
      </c>
      <c r="I2085">
        <v>1</v>
      </c>
      <c r="J2085">
        <v>1</v>
      </c>
      <c r="K2085" t="s">
        <v>20723</v>
      </c>
      <c r="L2085" t="s">
        <v>57</v>
      </c>
      <c r="N2085">
        <v>0.84630000000000005</v>
      </c>
      <c r="O2085" s="1">
        <v>1</v>
      </c>
      <c r="P2085" t="s">
        <v>20724</v>
      </c>
      <c r="Q2085" t="s">
        <v>20725</v>
      </c>
      <c r="S2085" t="s">
        <v>60</v>
      </c>
      <c r="T2085" t="s">
        <v>60</v>
      </c>
      <c r="U2085" t="s">
        <v>20726</v>
      </c>
      <c r="V2085">
        <v>2</v>
      </c>
      <c r="AE2085" t="s">
        <v>144</v>
      </c>
      <c r="AF2085" t="s">
        <v>20727</v>
      </c>
      <c r="AG2085" t="s">
        <v>20728</v>
      </c>
      <c r="AH2085" t="str">
        <f>HYPERLINK("http://compartments.jensenlab.org/Entity?figures=subcell_cell_%&amp;knowledge=10&amp;textmining=10&amp;experiments=10&amp;predictions=10&amp;type1=9606&amp;type2=-22&amp;id1=ENSP00000312002","link")</f>
        <v>link</v>
      </c>
      <c r="AJ2085" t="s">
        <v>51</v>
      </c>
      <c r="AK2085" t="str">
        <f>HYPERLINK("http://www.proteinatlas.org/Q8TDQ0","HPA010505;CAB026003;HPA047581")</f>
        <v>HPA010505;CAB026003;HPA047581</v>
      </c>
      <c r="AM2085">
        <v>84868</v>
      </c>
    </row>
    <row r="2086" spans="1:39" x14ac:dyDescent="0.35">
      <c r="A2086" t="s">
        <v>20729</v>
      </c>
      <c r="B2086" t="str">
        <f>HYPERLINK("http://www.uniprot.org/uniprot/Q8TDQ1","Q8TDQ1")</f>
        <v>Q8TDQ1</v>
      </c>
      <c r="C2086" t="s">
        <v>20730</v>
      </c>
      <c r="D2086" t="s">
        <v>20731</v>
      </c>
      <c r="E2086" t="s">
        <v>39</v>
      </c>
      <c r="F2086" t="s">
        <v>40</v>
      </c>
      <c r="H2086">
        <v>290</v>
      </c>
      <c r="I2086">
        <v>1</v>
      </c>
      <c r="J2086">
        <v>1</v>
      </c>
      <c r="K2086" t="s">
        <v>20732</v>
      </c>
      <c r="L2086" t="s">
        <v>57</v>
      </c>
      <c r="N2086">
        <v>0.87229999999999996</v>
      </c>
      <c r="O2086" s="1">
        <v>1</v>
      </c>
      <c r="P2086" t="s">
        <v>20733</v>
      </c>
      <c r="Q2086" t="s">
        <v>20734</v>
      </c>
      <c r="R2086" t="s">
        <v>20735</v>
      </c>
      <c r="S2086" t="s">
        <v>166</v>
      </c>
      <c r="T2086" t="s">
        <v>12245</v>
      </c>
      <c r="U2086">
        <v>88</v>
      </c>
      <c r="V2086">
        <v>1</v>
      </c>
      <c r="AE2086" t="s">
        <v>332</v>
      </c>
      <c r="AF2086" t="s">
        <v>20736</v>
      </c>
      <c r="AG2086" t="s">
        <v>20737</v>
      </c>
      <c r="AH2086" t="str">
        <f>HYPERLINK("http://compartments.jensenlab.org/Entity?figures=subcell_cell_%&amp;knowledge=10&amp;textmining=10&amp;experiments=10&amp;predictions=10&amp;type1=9606&amp;type2=-22&amp;id1=ENSP00000327075","link")</f>
        <v>link</v>
      </c>
      <c r="AI2086" t="s">
        <v>65</v>
      </c>
      <c r="AJ2086" t="s">
        <v>51</v>
      </c>
      <c r="AK2086" t="str">
        <f>HYPERLINK("http://www.proteinatlas.org/Q8TDQ1","HPA013712")</f>
        <v>HPA013712</v>
      </c>
      <c r="AM2086">
        <v>146722</v>
      </c>
    </row>
    <row r="2087" spans="1:39" x14ac:dyDescent="0.35">
      <c r="A2087" t="s">
        <v>20738</v>
      </c>
      <c r="B2087" t="str">
        <f>HYPERLINK("http://www.uniprot.org/uniprot/Q8TDS4","Q8TDS4")</f>
        <v>Q8TDS4</v>
      </c>
      <c r="C2087" t="s">
        <v>20739</v>
      </c>
      <c r="D2087" t="s">
        <v>20740</v>
      </c>
      <c r="E2087" t="s">
        <v>39</v>
      </c>
      <c r="F2087" t="s">
        <v>55</v>
      </c>
      <c r="H2087">
        <v>363</v>
      </c>
      <c r="I2087">
        <v>7</v>
      </c>
      <c r="J2087">
        <v>0</v>
      </c>
      <c r="K2087" t="s">
        <v>20741</v>
      </c>
      <c r="L2087" t="s">
        <v>57</v>
      </c>
      <c r="M2087" t="s">
        <v>39</v>
      </c>
      <c r="N2087">
        <v>0.67759999999999998</v>
      </c>
      <c r="O2087" s="1">
        <v>2</v>
      </c>
      <c r="P2087" t="s">
        <v>20742</v>
      </c>
      <c r="Q2087" t="s">
        <v>20743</v>
      </c>
      <c r="S2087" t="s">
        <v>166</v>
      </c>
      <c r="T2087" t="s">
        <v>838</v>
      </c>
      <c r="U2087" t="s">
        <v>20744</v>
      </c>
      <c r="V2087">
        <v>0</v>
      </c>
      <c r="AE2087" t="s">
        <v>74</v>
      </c>
      <c r="AF2087" t="s">
        <v>20745</v>
      </c>
      <c r="AG2087" t="s">
        <v>20746</v>
      </c>
      <c r="AH2087" t="str">
        <f>HYPERLINK("http://compartments.jensenlab.org/Entity?figures=subcell_cell_%&amp;knowledge=10&amp;textmining=10&amp;experiments=10&amp;predictions=10&amp;type1=9606&amp;type2=-22&amp;id1=ENSP00000375066","link")</f>
        <v>link</v>
      </c>
      <c r="AI2087" t="s">
        <v>65</v>
      </c>
      <c r="AJ2087" t="s">
        <v>51</v>
      </c>
      <c r="AK2087" t="str">
        <f>HYPERLINK("http://www.proteinatlas.org/Q8TDS4","HPA028660")</f>
        <v>HPA028660</v>
      </c>
      <c r="AL2087" t="s">
        <v>10072</v>
      </c>
      <c r="AM2087">
        <v>338442</v>
      </c>
    </row>
    <row r="2088" spans="1:39" x14ac:dyDescent="0.35">
      <c r="A2088" t="s">
        <v>20747</v>
      </c>
      <c r="B2088" t="str">
        <f>HYPERLINK("http://www.uniprot.org/uniprot/Q8TDS5","Q8TDS5")</f>
        <v>Q8TDS5</v>
      </c>
      <c r="C2088" t="s">
        <v>20748</v>
      </c>
      <c r="D2088" t="s">
        <v>20749</v>
      </c>
      <c r="E2088" t="s">
        <v>39</v>
      </c>
      <c r="F2088" t="s">
        <v>55</v>
      </c>
      <c r="H2088">
        <v>423</v>
      </c>
      <c r="I2088">
        <v>7</v>
      </c>
      <c r="J2088">
        <v>0</v>
      </c>
      <c r="K2088" t="s">
        <v>20750</v>
      </c>
      <c r="L2088" t="s">
        <v>57</v>
      </c>
      <c r="M2088" t="s">
        <v>39</v>
      </c>
      <c r="N2088">
        <v>0.88949999999999996</v>
      </c>
      <c r="O2088" s="1">
        <v>1</v>
      </c>
      <c r="P2088" t="s">
        <v>20751</v>
      </c>
      <c r="Q2088" t="s">
        <v>20752</v>
      </c>
      <c r="S2088" t="s">
        <v>166</v>
      </c>
      <c r="T2088" t="s">
        <v>838</v>
      </c>
      <c r="U2088" t="s">
        <v>20753</v>
      </c>
      <c r="V2088">
        <v>1</v>
      </c>
      <c r="AE2088" t="s">
        <v>74</v>
      </c>
      <c r="AF2088" t="s">
        <v>967</v>
      </c>
      <c r="AG2088" t="s">
        <v>20754</v>
      </c>
      <c r="AH2088" t="str">
        <f>HYPERLINK("http://compartments.jensenlab.org/Entity?figures=subcell_cell_%&amp;knowledge=10&amp;textmining=10&amp;experiments=10&amp;predictions=10&amp;type1=9606&amp;type2=-22&amp;id1=ENSP00000367930","link")</f>
        <v>link</v>
      </c>
      <c r="AI2088" t="s">
        <v>65</v>
      </c>
      <c r="AJ2088" t="s">
        <v>51</v>
      </c>
      <c r="AK2088" t="str">
        <f>HYPERLINK("http://www.proteinatlas.org/Q8TDS5","HPA051433")</f>
        <v>HPA051433</v>
      </c>
      <c r="AM2088">
        <v>165140</v>
      </c>
    </row>
    <row r="2089" spans="1:39" x14ac:dyDescent="0.35">
      <c r="A2089" t="s">
        <v>20755</v>
      </c>
      <c r="B2089" t="str">
        <f>HYPERLINK("http://www.uniprot.org/uniprot/Q8TDS7","Q8TDS7")</f>
        <v>Q8TDS7</v>
      </c>
      <c r="C2089" t="s">
        <v>20756</v>
      </c>
      <c r="D2089" t="s">
        <v>20757</v>
      </c>
      <c r="E2089" t="s">
        <v>39</v>
      </c>
      <c r="F2089" t="s">
        <v>40</v>
      </c>
      <c r="H2089">
        <v>321</v>
      </c>
      <c r="I2089">
        <v>7</v>
      </c>
      <c r="J2089">
        <v>0</v>
      </c>
      <c r="K2089" t="s">
        <v>20758</v>
      </c>
      <c r="L2089" t="s">
        <v>57</v>
      </c>
      <c r="N2089">
        <v>0.86229999999999996</v>
      </c>
      <c r="O2089" s="1">
        <v>1</v>
      </c>
      <c r="P2089" t="s">
        <v>20759</v>
      </c>
      <c r="Q2089" t="s">
        <v>20760</v>
      </c>
      <c r="S2089" t="s">
        <v>166</v>
      </c>
      <c r="T2089" t="s">
        <v>838</v>
      </c>
      <c r="U2089" t="s">
        <v>20761</v>
      </c>
      <c r="V2089">
        <v>4</v>
      </c>
      <c r="AE2089" t="s">
        <v>74</v>
      </c>
      <c r="AF2089" t="s">
        <v>13176</v>
      </c>
      <c r="AG2089" t="s">
        <v>20762</v>
      </c>
      <c r="AH2089" t="str">
        <f>HYPERLINK("http://compartments.jensenlab.org/Entity?figures=subcell_cell_%&amp;knowledge=10&amp;textmining=10&amp;experiments=10&amp;predictions=10&amp;type1=9606&amp;type2=-22&amp;id1=ENSP00000310631","link")</f>
        <v>link</v>
      </c>
      <c r="AI2089" t="s">
        <v>65</v>
      </c>
      <c r="AJ2089" t="s">
        <v>51</v>
      </c>
      <c r="AK2089" t="str">
        <f>HYPERLINK("http://www.proteinatlas.org/Q8TDS7","HPA031346")</f>
        <v>HPA031346</v>
      </c>
      <c r="AM2089">
        <v>116512</v>
      </c>
    </row>
    <row r="2090" spans="1:39" x14ac:dyDescent="0.35">
      <c r="A2090" t="s">
        <v>20763</v>
      </c>
      <c r="B2090" t="str">
        <f>HYPERLINK("http://www.uniprot.org/uniprot/Q8TDT2","Q8TDT2")</f>
        <v>Q8TDT2</v>
      </c>
      <c r="C2090" t="s">
        <v>20764</v>
      </c>
      <c r="D2090" t="s">
        <v>20765</v>
      </c>
      <c r="E2090" t="s">
        <v>39</v>
      </c>
      <c r="F2090" t="s">
        <v>55</v>
      </c>
      <c r="H2090">
        <v>470</v>
      </c>
      <c r="I2090">
        <v>7</v>
      </c>
      <c r="J2090">
        <v>0</v>
      </c>
      <c r="K2090" t="s">
        <v>20766</v>
      </c>
      <c r="L2090" t="s">
        <v>57</v>
      </c>
      <c r="M2090" t="s">
        <v>39</v>
      </c>
      <c r="N2090">
        <v>0.39460000000000001</v>
      </c>
      <c r="O2090" s="1"/>
      <c r="P2090" t="s">
        <v>20767</v>
      </c>
      <c r="Q2090" t="s">
        <v>20768</v>
      </c>
      <c r="S2090" t="s">
        <v>166</v>
      </c>
      <c r="T2090" t="s">
        <v>838</v>
      </c>
      <c r="V2090">
        <v>0</v>
      </c>
      <c r="AE2090" t="s">
        <v>74</v>
      </c>
      <c r="AF2090" t="s">
        <v>10070</v>
      </c>
      <c r="AG2090" t="s">
        <v>20769</v>
      </c>
      <c r="AH2090" t="str">
        <f>HYPERLINK("http://compartments.jensenlab.org/Entity?figures=subcell_cell_%&amp;knowledge=10&amp;textmining=10&amp;experiments=10&amp;predictions=10&amp;type1=9606&amp;type2=-22&amp;id1=ENSP00000310255","link")</f>
        <v>link</v>
      </c>
      <c r="AI2090" t="s">
        <v>65</v>
      </c>
      <c r="AJ2090" t="s">
        <v>51</v>
      </c>
      <c r="AK2090" t="str">
        <f>HYPERLINK("http://www.proteinatlas.org/Q8TDT2","HPA035078")</f>
        <v>HPA035078</v>
      </c>
      <c r="AM2090">
        <v>390212</v>
      </c>
    </row>
    <row r="2091" spans="1:39" x14ac:dyDescent="0.35">
      <c r="A2091" t="s">
        <v>20770</v>
      </c>
      <c r="B2091" t="str">
        <f>HYPERLINK("http://www.uniprot.org/uniprot/Q8TDU6","Q8TDU6")</f>
        <v>Q8TDU6</v>
      </c>
      <c r="C2091" t="s">
        <v>20771</v>
      </c>
      <c r="D2091" t="s">
        <v>20772</v>
      </c>
      <c r="E2091" t="s">
        <v>39</v>
      </c>
      <c r="F2091" t="s">
        <v>40</v>
      </c>
      <c r="H2091">
        <v>330</v>
      </c>
      <c r="I2091">
        <v>7</v>
      </c>
      <c r="J2091">
        <v>0</v>
      </c>
      <c r="K2091" t="s">
        <v>20773</v>
      </c>
      <c r="L2091" t="s">
        <v>57</v>
      </c>
      <c r="N2091">
        <v>0.72850000000000004</v>
      </c>
      <c r="O2091" s="1">
        <v>2</v>
      </c>
      <c r="P2091" t="s">
        <v>20774</v>
      </c>
      <c r="Q2091" t="s">
        <v>20775</v>
      </c>
      <c r="S2091" t="s">
        <v>166</v>
      </c>
      <c r="T2091" t="s">
        <v>838</v>
      </c>
      <c r="U2091" t="s">
        <v>20776</v>
      </c>
      <c r="V2091">
        <v>3</v>
      </c>
      <c r="Y2091">
        <v>146</v>
      </c>
      <c r="AE2091" t="s">
        <v>74</v>
      </c>
      <c r="AF2091" t="s">
        <v>1913</v>
      </c>
      <c r="AG2091" t="s">
        <v>20777</v>
      </c>
      <c r="AH2091" t="str">
        <f>HYPERLINK("http://compartments.jensenlab.org/Entity?figures=subcell_cell_%&amp;knowledge=10&amp;textmining=10&amp;experiments=10&amp;predictions=10&amp;type1=9606&amp;type2=-22&amp;id1=ENSP00000430698","link")</f>
        <v>link</v>
      </c>
      <c r="AK2091" t="str">
        <f>HYPERLINK("http://www.proteinatlas.org/Q8TDU6","HPA062890")</f>
        <v>HPA062890</v>
      </c>
      <c r="AM2091">
        <v>151306</v>
      </c>
    </row>
    <row r="2092" spans="1:39" x14ac:dyDescent="0.35">
      <c r="A2092" t="s">
        <v>20778</v>
      </c>
      <c r="B2092" t="str">
        <f>HYPERLINK("http://www.uniprot.org/uniprot/Q8TDU9","Q8TDU9")</f>
        <v>Q8TDU9</v>
      </c>
      <c r="C2092" t="s">
        <v>20779</v>
      </c>
      <c r="D2092" t="s">
        <v>20780</v>
      </c>
      <c r="E2092" t="s">
        <v>39</v>
      </c>
      <c r="F2092" t="s">
        <v>55</v>
      </c>
      <c r="H2092">
        <v>374</v>
      </c>
      <c r="I2092">
        <v>7</v>
      </c>
      <c r="J2092">
        <v>0</v>
      </c>
      <c r="K2092" t="s">
        <v>20781</v>
      </c>
      <c r="L2092" t="s">
        <v>57</v>
      </c>
      <c r="M2092" t="s">
        <v>39</v>
      </c>
      <c r="N2092">
        <v>0.83589999999999998</v>
      </c>
      <c r="O2092" s="1">
        <v>1</v>
      </c>
      <c r="P2092" t="s">
        <v>20782</v>
      </c>
      <c r="Q2092" t="s">
        <v>20783</v>
      </c>
      <c r="S2092" t="s">
        <v>166</v>
      </c>
      <c r="T2092" t="s">
        <v>838</v>
      </c>
      <c r="U2092" t="s">
        <v>20784</v>
      </c>
      <c r="V2092">
        <v>3</v>
      </c>
      <c r="AE2092" t="s">
        <v>74</v>
      </c>
      <c r="AF2092" t="s">
        <v>967</v>
      </c>
      <c r="AG2092" t="s">
        <v>20785</v>
      </c>
      <c r="AH2092" t="str">
        <f>HYPERLINK("http://compartments.jensenlab.org/Entity?figures=subcell_cell_%&amp;knowledge=10&amp;textmining=10&amp;experiments=10&amp;predictions=10&amp;type1=9606&amp;type2=-22&amp;id1=ENSP00000357301","link")</f>
        <v>link</v>
      </c>
      <c r="AI2092" t="s">
        <v>65</v>
      </c>
      <c r="AJ2092" t="s">
        <v>51</v>
      </c>
      <c r="AK2092" t="str">
        <f>HYPERLINK("http://www.proteinatlas.org/Q8TDU9","no")</f>
        <v>no</v>
      </c>
      <c r="AM2092">
        <v>339403</v>
      </c>
    </row>
    <row r="2093" spans="1:39" x14ac:dyDescent="0.35">
      <c r="A2093" t="s">
        <v>20786</v>
      </c>
      <c r="B2093" t="str">
        <f>HYPERLINK("http://www.uniprot.org/uniprot/Q8TDV0","Q8TDV0")</f>
        <v>Q8TDV0</v>
      </c>
      <c r="C2093" t="s">
        <v>20787</v>
      </c>
      <c r="D2093" t="s">
        <v>20788</v>
      </c>
      <c r="E2093" t="s">
        <v>39</v>
      </c>
      <c r="F2093" t="s">
        <v>55</v>
      </c>
      <c r="H2093">
        <v>419</v>
      </c>
      <c r="I2093">
        <v>7</v>
      </c>
      <c r="J2093">
        <v>0</v>
      </c>
      <c r="K2093" t="s">
        <v>20789</v>
      </c>
      <c r="L2093" t="s">
        <v>57</v>
      </c>
      <c r="M2093" t="s">
        <v>39</v>
      </c>
      <c r="N2093">
        <v>0.71350000000000002</v>
      </c>
      <c r="O2093" s="1">
        <v>2</v>
      </c>
      <c r="P2093" t="s">
        <v>20790</v>
      </c>
      <c r="Q2093" t="s">
        <v>20791</v>
      </c>
      <c r="S2093" t="s">
        <v>166</v>
      </c>
      <c r="T2093" t="s">
        <v>838</v>
      </c>
      <c r="U2093" t="s">
        <v>20792</v>
      </c>
      <c r="V2093">
        <v>2</v>
      </c>
      <c r="Y2093">
        <v>267</v>
      </c>
      <c r="AE2093" t="s">
        <v>74</v>
      </c>
      <c r="AF2093" t="s">
        <v>967</v>
      </c>
      <c r="AG2093" t="s">
        <v>20793</v>
      </c>
      <c r="AH2093" t="str">
        <f>HYPERLINK("http://compartments.jensenlab.org/Entity?figures=subcell_cell_%&amp;knowledge=10&amp;textmining=10&amp;experiments=10&amp;predictions=10&amp;type1=9606&amp;type2=-22&amp;id1=ENSP00000308733","link")</f>
        <v>link</v>
      </c>
      <c r="AI2093" t="s">
        <v>65</v>
      </c>
      <c r="AJ2093" t="s">
        <v>51</v>
      </c>
      <c r="AK2093" t="str">
        <f>HYPERLINK("http://www.proteinatlas.org/Q8TDV0","no")</f>
        <v>no</v>
      </c>
      <c r="AM2093">
        <v>134391</v>
      </c>
    </row>
    <row r="2094" spans="1:39" x14ac:dyDescent="0.35">
      <c r="A2094" t="s">
        <v>20794</v>
      </c>
      <c r="B2094" t="str">
        <f>HYPERLINK("http://www.uniprot.org/uniprot/Q8TDV2","Q8TDV2")</f>
        <v>Q8TDV2</v>
      </c>
      <c r="C2094" t="s">
        <v>20795</v>
      </c>
      <c r="D2094" t="s">
        <v>20796</v>
      </c>
      <c r="E2094" t="s">
        <v>39</v>
      </c>
      <c r="F2094" t="s">
        <v>55</v>
      </c>
      <c r="H2094">
        <v>347</v>
      </c>
      <c r="I2094">
        <v>7</v>
      </c>
      <c r="J2094">
        <v>0</v>
      </c>
      <c r="K2094" t="s">
        <v>20797</v>
      </c>
      <c r="L2094" t="s">
        <v>57</v>
      </c>
      <c r="M2094" t="s">
        <v>39</v>
      </c>
      <c r="N2094">
        <v>0.80789999999999995</v>
      </c>
      <c r="O2094" s="1">
        <v>1</v>
      </c>
      <c r="P2094" t="s">
        <v>20798</v>
      </c>
      <c r="Q2094" t="s">
        <v>20799</v>
      </c>
      <c r="S2094" t="s">
        <v>166</v>
      </c>
      <c r="T2094" t="s">
        <v>838</v>
      </c>
      <c r="U2094">
        <v>34</v>
      </c>
      <c r="V2094">
        <v>1</v>
      </c>
      <c r="AE2094" t="s">
        <v>74</v>
      </c>
      <c r="AF2094" t="s">
        <v>910</v>
      </c>
      <c r="AG2094" t="s">
        <v>20800</v>
      </c>
      <c r="AH2094" t="str">
        <f>HYPERLINK("http://compartments.jensenlab.org/Entity?figures=subcell_cell_%&amp;knowledge=10&amp;textmining=10&amp;experiments=10&amp;predictions=10&amp;type1=9606&amp;type2=-22&amp;id1=ENSP00000308908","link")</f>
        <v>link</v>
      </c>
      <c r="AI2094" t="s">
        <v>65</v>
      </c>
      <c r="AJ2094" t="s">
        <v>51</v>
      </c>
      <c r="AK2094" t="str">
        <f>HYPERLINK("http://www.proteinatlas.org/Q8TDV2","HPA060527")</f>
        <v>HPA060527</v>
      </c>
      <c r="AM2094">
        <v>344561</v>
      </c>
    </row>
    <row r="2095" spans="1:39" x14ac:dyDescent="0.35">
      <c r="A2095" t="s">
        <v>20801</v>
      </c>
      <c r="B2095" t="str">
        <f>HYPERLINK("http://www.uniprot.org/uniprot/Q8TDV5","Q8TDV5")</f>
        <v>Q8TDV5</v>
      </c>
      <c r="C2095" t="s">
        <v>20802</v>
      </c>
      <c r="D2095" t="s">
        <v>20803</v>
      </c>
      <c r="E2095" t="s">
        <v>39</v>
      </c>
      <c r="F2095" t="s">
        <v>55</v>
      </c>
      <c r="H2095">
        <v>335</v>
      </c>
      <c r="I2095">
        <v>7</v>
      </c>
      <c r="J2095">
        <v>0</v>
      </c>
      <c r="K2095" t="s">
        <v>20804</v>
      </c>
      <c r="L2095" t="s">
        <v>57</v>
      </c>
      <c r="M2095" t="s">
        <v>39</v>
      </c>
      <c r="N2095">
        <v>0.65259999999999996</v>
      </c>
      <c r="O2095" s="1">
        <v>2</v>
      </c>
      <c r="P2095" t="s">
        <v>20805</v>
      </c>
      <c r="Q2095" t="s">
        <v>20806</v>
      </c>
      <c r="S2095" t="s">
        <v>166</v>
      </c>
      <c r="T2095" t="s">
        <v>838</v>
      </c>
      <c r="V2095">
        <v>0</v>
      </c>
      <c r="AE2095" t="s">
        <v>74</v>
      </c>
      <c r="AF2095" t="s">
        <v>20807</v>
      </c>
      <c r="AG2095" t="s">
        <v>20808</v>
      </c>
      <c r="AH2095" t="str">
        <f>HYPERLINK("http://compartments.jensenlab.org/Entity?figures=subcell_cell_%&amp;knowledge=10&amp;textmining=10&amp;experiments=10&amp;predictions=10&amp;type1=9606&amp;type2=-22&amp;id1=ENSP00000276218","link")</f>
        <v>link</v>
      </c>
      <c r="AI2095" t="s">
        <v>65</v>
      </c>
      <c r="AJ2095" t="s">
        <v>51</v>
      </c>
      <c r="AK2095" t="str">
        <f>HYPERLINK("http://www.proteinatlas.org/Q8TDV5","no")</f>
        <v>no</v>
      </c>
      <c r="AM2095">
        <v>139760</v>
      </c>
    </row>
    <row r="2096" spans="1:39" x14ac:dyDescent="0.35">
      <c r="A2096" t="s">
        <v>20809</v>
      </c>
      <c r="B2096" t="str">
        <f>HYPERLINK("http://www.uniprot.org/uniprot/Q8TDW7","Q8TDW7")</f>
        <v>Q8TDW7</v>
      </c>
      <c r="C2096" t="s">
        <v>20810</v>
      </c>
      <c r="D2096" t="s">
        <v>20811</v>
      </c>
      <c r="E2096" t="s">
        <v>39</v>
      </c>
      <c r="F2096" t="s">
        <v>40</v>
      </c>
      <c r="H2096">
        <v>4589</v>
      </c>
      <c r="I2096">
        <v>1</v>
      </c>
      <c r="J2096">
        <v>1</v>
      </c>
      <c r="K2096" t="s">
        <v>20812</v>
      </c>
      <c r="L2096" t="s">
        <v>101</v>
      </c>
      <c r="N2096">
        <v>0.89219999999999999</v>
      </c>
      <c r="O2096" s="1">
        <v>1</v>
      </c>
      <c r="P2096" t="s">
        <v>20813</v>
      </c>
      <c r="S2096" t="s">
        <v>91</v>
      </c>
      <c r="T2096" t="s">
        <v>216</v>
      </c>
      <c r="U2096" t="s">
        <v>20814</v>
      </c>
      <c r="V2096">
        <v>28</v>
      </c>
      <c r="Z2096" t="s">
        <v>107</v>
      </c>
      <c r="AA2096">
        <v>3</v>
      </c>
      <c r="AB2096" t="s">
        <v>20815</v>
      </c>
      <c r="AC2096" t="s">
        <v>20816</v>
      </c>
      <c r="AD2096" t="s">
        <v>20817</v>
      </c>
      <c r="AE2096" t="s">
        <v>144</v>
      </c>
      <c r="AF2096" t="s">
        <v>20818</v>
      </c>
      <c r="AG2096" t="s">
        <v>20819</v>
      </c>
      <c r="AK2096" t="str">
        <f>HYPERLINK("http://www.proteinatlas.org/Q8TDW7","HPA026878")</f>
        <v>HPA026878</v>
      </c>
      <c r="AM2096">
        <v>120114</v>
      </c>
    </row>
    <row r="2097" spans="1:39" x14ac:dyDescent="0.35">
      <c r="A2097" t="s">
        <v>20820</v>
      </c>
      <c r="B2097" t="str">
        <f>HYPERLINK("http://www.uniprot.org/uniprot/Q8TDX9","Q8TDX9")</f>
        <v>Q8TDX9</v>
      </c>
      <c r="C2097" t="s">
        <v>20821</v>
      </c>
      <c r="D2097" t="s">
        <v>20822</v>
      </c>
      <c r="E2097" t="s">
        <v>39</v>
      </c>
      <c r="F2097" t="s">
        <v>40</v>
      </c>
      <c r="H2097">
        <v>2849</v>
      </c>
      <c r="I2097">
        <v>11</v>
      </c>
      <c r="J2097">
        <v>0</v>
      </c>
      <c r="K2097" t="s">
        <v>20823</v>
      </c>
      <c r="L2097" t="s">
        <v>57</v>
      </c>
      <c r="N2097">
        <v>0.77049999999999996</v>
      </c>
      <c r="O2097" s="1">
        <v>1</v>
      </c>
      <c r="P2097" t="s">
        <v>20824</v>
      </c>
      <c r="Q2097" t="s">
        <v>20825</v>
      </c>
      <c r="S2097" t="s">
        <v>45</v>
      </c>
      <c r="T2097" t="s">
        <v>11602</v>
      </c>
      <c r="U2097" t="s">
        <v>20826</v>
      </c>
      <c r="V2097">
        <v>20</v>
      </c>
      <c r="Y2097">
        <v>2337</v>
      </c>
      <c r="AE2097" t="s">
        <v>20827</v>
      </c>
      <c r="AF2097" t="s">
        <v>20828</v>
      </c>
      <c r="AG2097" t="s">
        <v>20829</v>
      </c>
      <c r="AH2097" t="str">
        <f>HYPERLINK("http://compartments.jensenlab.org/Entity?figures=subcell_cell_%&amp;knowledge=10&amp;textmining=10&amp;experiments=10&amp;predictions=10&amp;type1=9606&amp;type2=-22&amp;id1=ENSP00000289672","link")</f>
        <v>link</v>
      </c>
      <c r="AJ2097" t="s">
        <v>51</v>
      </c>
      <c r="AK2097" t="str">
        <f>HYPERLINK("http://www.proteinatlas.org/Q8TDX9","HPA020422;HPA022424")</f>
        <v>HPA020422;HPA022424</v>
      </c>
      <c r="AM2097">
        <v>168507</v>
      </c>
    </row>
    <row r="2098" spans="1:39" x14ac:dyDescent="0.35">
      <c r="A2098" t="s">
        <v>20830</v>
      </c>
      <c r="B2098" t="str">
        <f>HYPERLINK("http://www.uniprot.org/uniprot/Q8TDY8","Q8TDY8")</f>
        <v>Q8TDY8</v>
      </c>
      <c r="C2098" t="s">
        <v>20831</v>
      </c>
      <c r="D2098" t="s">
        <v>20832</v>
      </c>
      <c r="E2098" t="s">
        <v>39</v>
      </c>
      <c r="F2098" t="s">
        <v>55</v>
      </c>
      <c r="H2098">
        <v>1250</v>
      </c>
      <c r="I2098">
        <v>1</v>
      </c>
      <c r="J2098">
        <v>1</v>
      </c>
      <c r="K2098" t="s">
        <v>20833</v>
      </c>
      <c r="L2098" t="s">
        <v>101</v>
      </c>
      <c r="M2098" t="s">
        <v>39</v>
      </c>
      <c r="N2098">
        <v>0.9113</v>
      </c>
      <c r="O2098" s="1">
        <v>1</v>
      </c>
      <c r="P2098" t="s">
        <v>20834</v>
      </c>
      <c r="Q2098" t="s">
        <v>20835</v>
      </c>
      <c r="S2098" t="s">
        <v>166</v>
      </c>
      <c r="T2098" t="s">
        <v>3120</v>
      </c>
      <c r="U2098" t="s">
        <v>20836</v>
      </c>
      <c r="V2098">
        <v>13</v>
      </c>
      <c r="Y2098">
        <v>767</v>
      </c>
      <c r="Z2098" t="s">
        <v>107</v>
      </c>
      <c r="AA2098">
        <v>3</v>
      </c>
      <c r="AB2098" t="s">
        <v>20837</v>
      </c>
      <c r="AC2098" t="s">
        <v>20838</v>
      </c>
      <c r="AD2098" t="s">
        <v>20839</v>
      </c>
      <c r="AE2098" t="s">
        <v>332</v>
      </c>
      <c r="AF2098" t="s">
        <v>20840</v>
      </c>
      <c r="AG2098" t="s">
        <v>20841</v>
      </c>
      <c r="AH2098" t="str">
        <f>HYPERLINK("http://compartments.jensenlab.org/Entity?figures=subcell_cell_%&amp;knowledge=10&amp;textmining=10&amp;experiments=10&amp;predictions=10&amp;type1=9606&amp;type2=-22&amp;id1=ENSP00000319623","link")</f>
        <v>link</v>
      </c>
      <c r="AI2098" t="s">
        <v>65</v>
      </c>
      <c r="AJ2098" t="s">
        <v>51</v>
      </c>
      <c r="AK2098" t="str">
        <f>HYPERLINK("http://www.proteinatlas.org/Q8TDY8","HPA008576")</f>
        <v>HPA008576</v>
      </c>
      <c r="AM2098">
        <v>57722</v>
      </c>
    </row>
    <row r="2099" spans="1:39" x14ac:dyDescent="0.35">
      <c r="A2099" t="s">
        <v>20842</v>
      </c>
      <c r="B2099" t="str">
        <f>HYPERLINK("http://www.uniprot.org/uniprot/Q8TE23","Q8TE23")</f>
        <v>Q8TE23</v>
      </c>
      <c r="C2099" t="s">
        <v>20843</v>
      </c>
      <c r="D2099" t="s">
        <v>20844</v>
      </c>
      <c r="E2099" t="s">
        <v>39</v>
      </c>
      <c r="F2099" t="s">
        <v>55</v>
      </c>
      <c r="H2099">
        <v>839</v>
      </c>
      <c r="I2099">
        <v>7</v>
      </c>
      <c r="J2099">
        <v>1</v>
      </c>
      <c r="K2099" t="s">
        <v>20845</v>
      </c>
      <c r="L2099" t="s">
        <v>57</v>
      </c>
      <c r="M2099" t="s">
        <v>39</v>
      </c>
      <c r="N2099">
        <v>0.93989999999999996</v>
      </c>
      <c r="O2099" s="1">
        <v>1</v>
      </c>
      <c r="P2099" t="s">
        <v>20846</v>
      </c>
      <c r="Q2099" t="s">
        <v>20847</v>
      </c>
      <c r="S2099" t="s">
        <v>166</v>
      </c>
      <c r="T2099" t="s">
        <v>874</v>
      </c>
      <c r="U2099" t="s">
        <v>20848</v>
      </c>
      <c r="V2099">
        <v>8</v>
      </c>
      <c r="AE2099" t="s">
        <v>74</v>
      </c>
      <c r="AF2099" t="s">
        <v>16395</v>
      </c>
      <c r="AG2099" t="s">
        <v>20849</v>
      </c>
      <c r="AH2099" t="str">
        <f>HYPERLINK("http://compartments.jensenlab.org/Entity?figures=subcell_cell_%&amp;knowledge=10&amp;textmining=10&amp;experiments=10&amp;predictions=10&amp;type1=9606&amp;type2=-22&amp;id1=ENSP00000364520","link")</f>
        <v>link</v>
      </c>
      <c r="AI2099" t="s">
        <v>65</v>
      </c>
      <c r="AJ2099" t="s">
        <v>51</v>
      </c>
      <c r="AK2099" t="str">
        <f>HYPERLINK("http://www.proteinatlas.org/Q8TE23","no")</f>
        <v>no</v>
      </c>
      <c r="AL2099" t="s">
        <v>20850</v>
      </c>
      <c r="AM2099">
        <v>80834</v>
      </c>
    </row>
    <row r="2100" spans="1:39" x14ac:dyDescent="0.35">
      <c r="A2100" t="s">
        <v>20851</v>
      </c>
      <c r="B2100" t="str">
        <f>HYPERLINK("http://www.uniprot.org/uniprot/Q8TEB7","Q8TEB7")</f>
        <v>Q8TEB7</v>
      </c>
      <c r="C2100" t="s">
        <v>20852</v>
      </c>
      <c r="D2100" t="s">
        <v>20853</v>
      </c>
      <c r="E2100" t="s">
        <v>39</v>
      </c>
      <c r="F2100" t="s">
        <v>40</v>
      </c>
      <c r="H2100">
        <v>428</v>
      </c>
      <c r="I2100">
        <v>1</v>
      </c>
      <c r="J2100">
        <v>1</v>
      </c>
      <c r="K2100" t="s">
        <v>20854</v>
      </c>
      <c r="L2100" t="s">
        <v>42</v>
      </c>
      <c r="N2100">
        <v>0.74850000000000005</v>
      </c>
      <c r="O2100" s="1">
        <v>1</v>
      </c>
      <c r="P2100" t="s">
        <v>20855</v>
      </c>
      <c r="Q2100" t="s">
        <v>20856</v>
      </c>
      <c r="S2100" t="s">
        <v>60</v>
      </c>
      <c r="T2100" t="s">
        <v>60</v>
      </c>
      <c r="U2100" t="s">
        <v>20857</v>
      </c>
      <c r="V2100">
        <v>3</v>
      </c>
      <c r="X2100">
        <v>343</v>
      </c>
      <c r="AE2100" t="s">
        <v>20858</v>
      </c>
      <c r="AF2100" t="s">
        <v>20859</v>
      </c>
      <c r="AG2100" t="s">
        <v>20860</v>
      </c>
      <c r="AH2100" t="str">
        <f>HYPERLINK("http://compartments.jensenlab.org/Entity?figures=subcell_cell_%&amp;knowledge=10&amp;textmining=10&amp;experiments=10&amp;predictions=10&amp;type1=9606&amp;type2=-22&amp;id1=ENSP00000255499","link")</f>
        <v>link</v>
      </c>
      <c r="AJ2100" t="s">
        <v>20861</v>
      </c>
      <c r="AK2100" t="str">
        <f>HYPERLINK("http://www.proteinatlas.org/Q8TEB7","HPA019675")</f>
        <v>HPA019675</v>
      </c>
      <c r="AM2100">
        <v>79589</v>
      </c>
    </row>
    <row r="2101" spans="1:39" x14ac:dyDescent="0.35">
      <c r="A2101" t="s">
        <v>20862</v>
      </c>
      <c r="B2101" t="str">
        <f>HYPERLINK("http://www.uniprot.org/uniprot/Q8TED4","Q8TED4")</f>
        <v>Q8TED4</v>
      </c>
      <c r="C2101" t="s">
        <v>20863</v>
      </c>
      <c r="D2101" t="s">
        <v>20864</v>
      </c>
      <c r="E2101" t="s">
        <v>39</v>
      </c>
      <c r="F2101" t="s">
        <v>40</v>
      </c>
      <c r="H2101">
        <v>501</v>
      </c>
      <c r="I2101">
        <v>12</v>
      </c>
      <c r="J2101">
        <v>0</v>
      </c>
      <c r="K2101" t="s">
        <v>20865</v>
      </c>
      <c r="L2101" t="s">
        <v>42</v>
      </c>
      <c r="N2101">
        <v>0.81040000000000001</v>
      </c>
      <c r="O2101" s="1">
        <v>1</v>
      </c>
      <c r="P2101" t="s">
        <v>20866</v>
      </c>
      <c r="Q2101" t="s">
        <v>20867</v>
      </c>
      <c r="S2101" t="s">
        <v>45</v>
      </c>
      <c r="T2101" t="s">
        <v>1983</v>
      </c>
      <c r="U2101" t="s">
        <v>20868</v>
      </c>
      <c r="V2101">
        <v>3</v>
      </c>
      <c r="Y2101">
        <v>72</v>
      </c>
      <c r="AE2101" t="s">
        <v>48</v>
      </c>
      <c r="AF2101" t="s">
        <v>20869</v>
      </c>
      <c r="AG2101" t="s">
        <v>20870</v>
      </c>
      <c r="AH2101" t="str">
        <f>HYPERLINK("http://compartments.jensenlab.org/Entity?figures=subcell_cell_%&amp;knowledge=10&amp;textmining=10&amp;experiments=10&amp;predictions=10&amp;type1=9606&amp;type2=-22&amp;id1=ENSP00000384407","link")</f>
        <v>link</v>
      </c>
      <c r="AK2101" t="str">
        <f>HYPERLINK("http://www.proteinatlas.org/Q8TED4","HPA014948")</f>
        <v>HPA014948</v>
      </c>
      <c r="AM2101">
        <v>219855</v>
      </c>
    </row>
    <row r="2102" spans="1:39" x14ac:dyDescent="0.35">
      <c r="A2102" t="s">
        <v>20871</v>
      </c>
      <c r="B2102" t="str">
        <f>HYPERLINK("http://www.uniprot.org/uniprot/Q8TEM1","Q8TEM1")</f>
        <v>Q8TEM1</v>
      </c>
      <c r="C2102" t="s">
        <v>20872</v>
      </c>
      <c r="D2102" t="s">
        <v>20873</v>
      </c>
      <c r="E2102" t="s">
        <v>39</v>
      </c>
      <c r="F2102" t="s">
        <v>40</v>
      </c>
      <c r="H2102">
        <v>1887</v>
      </c>
      <c r="I2102">
        <v>1</v>
      </c>
      <c r="J2102">
        <v>1</v>
      </c>
      <c r="K2102" t="s">
        <v>20874</v>
      </c>
      <c r="L2102" t="s">
        <v>101</v>
      </c>
      <c r="N2102">
        <v>0.61080000000000001</v>
      </c>
      <c r="O2102" s="1">
        <v>2</v>
      </c>
      <c r="P2102" t="s">
        <v>20875</v>
      </c>
      <c r="Q2102" t="s">
        <v>20876</v>
      </c>
      <c r="S2102" t="s">
        <v>60</v>
      </c>
      <c r="T2102" t="s">
        <v>60</v>
      </c>
      <c r="U2102" t="s">
        <v>20877</v>
      </c>
      <c r="V2102">
        <v>12</v>
      </c>
      <c r="X2102" t="s">
        <v>20878</v>
      </c>
      <c r="Z2102" t="s">
        <v>107</v>
      </c>
      <c r="AA2102">
        <v>11</v>
      </c>
      <c r="AB2102" t="s">
        <v>20879</v>
      </c>
      <c r="AC2102" t="s">
        <v>20880</v>
      </c>
      <c r="AD2102" t="s">
        <v>20881</v>
      </c>
      <c r="AE2102" t="s">
        <v>20882</v>
      </c>
      <c r="AF2102" t="s">
        <v>20883</v>
      </c>
      <c r="AG2102" t="s">
        <v>20884</v>
      </c>
      <c r="AH2102" t="str">
        <f>HYPERLINK("http://compartments.jensenlab.org/Entity?figures=subcell_cell_%&amp;knowledge=10&amp;textmining=10&amp;experiments=10&amp;predictions=10&amp;type1=9606&amp;type2=-22&amp;id1=ENSP00000254508","link")</f>
        <v>link</v>
      </c>
      <c r="AI2102" t="s">
        <v>20885</v>
      </c>
      <c r="AJ2102" t="s">
        <v>20886</v>
      </c>
      <c r="AK2102" t="str">
        <f>HYPERLINK("http://www.proteinatlas.org/Q8TEM1","HPA066888")</f>
        <v>HPA066888</v>
      </c>
      <c r="AM2102">
        <v>23225</v>
      </c>
    </row>
    <row r="2103" spans="1:39" x14ac:dyDescent="0.35">
      <c r="A2103" t="s">
        <v>20887</v>
      </c>
      <c r="B2103" t="str">
        <f>HYPERLINK("http://www.uniprot.org/uniprot/Q8TEQ8","Q8TEQ8")</f>
        <v>Q8TEQ8</v>
      </c>
      <c r="C2103" t="s">
        <v>20888</v>
      </c>
      <c r="D2103" t="s">
        <v>20889</v>
      </c>
      <c r="E2103" t="s">
        <v>39</v>
      </c>
      <c r="F2103" t="s">
        <v>40</v>
      </c>
      <c r="H2103">
        <v>1089</v>
      </c>
      <c r="I2103">
        <v>13</v>
      </c>
      <c r="J2103">
        <v>1</v>
      </c>
      <c r="K2103" t="s">
        <v>20890</v>
      </c>
      <c r="L2103" t="s">
        <v>42</v>
      </c>
      <c r="N2103">
        <v>0.63870000000000005</v>
      </c>
      <c r="O2103" s="1">
        <v>2</v>
      </c>
      <c r="P2103" t="s">
        <v>20891</v>
      </c>
      <c r="Q2103" t="s">
        <v>20892</v>
      </c>
      <c r="S2103" t="s">
        <v>60</v>
      </c>
      <c r="T2103" t="s">
        <v>60</v>
      </c>
      <c r="U2103" t="s">
        <v>20893</v>
      </c>
      <c r="V2103">
        <v>2</v>
      </c>
      <c r="Y2103" t="s">
        <v>20894</v>
      </c>
      <c r="AE2103" t="s">
        <v>977</v>
      </c>
      <c r="AF2103" t="s">
        <v>20895</v>
      </c>
      <c r="AG2103" t="s">
        <v>20896</v>
      </c>
      <c r="AH2103" t="str">
        <f>HYPERLINK("http://compartments.jensenlab.org/Entity?figures=subcell_cell_%&amp;knowledge=10&amp;textmining=10&amp;experiments=10&amp;predictions=10&amp;type1=9606&amp;type2=-22&amp;id1=ENSP00000367880","link")</f>
        <v>link</v>
      </c>
      <c r="AK2103" t="str">
        <f>HYPERLINK("http://www.proteinatlas.org/Q8TEQ8","HPA014905")</f>
        <v>HPA014905</v>
      </c>
      <c r="AM2103">
        <v>84720</v>
      </c>
    </row>
    <row r="2104" spans="1:39" x14ac:dyDescent="0.35">
      <c r="A2104" t="s">
        <v>20897</v>
      </c>
      <c r="B2104" t="str">
        <f>HYPERLINK("http://www.uniprot.org/uniprot/Q8TF66","Q8TF66")</f>
        <v>Q8TF66</v>
      </c>
      <c r="C2104" t="s">
        <v>20898</v>
      </c>
      <c r="D2104" t="s">
        <v>20899</v>
      </c>
      <c r="E2104" t="s">
        <v>39</v>
      </c>
      <c r="F2104" t="s">
        <v>40</v>
      </c>
      <c r="H2104">
        <v>581</v>
      </c>
      <c r="I2104">
        <v>1</v>
      </c>
      <c r="J2104">
        <v>1</v>
      </c>
      <c r="K2104" t="s">
        <v>20900</v>
      </c>
      <c r="L2104" t="s">
        <v>101</v>
      </c>
      <c r="N2104">
        <v>0.73650000000000004</v>
      </c>
      <c r="O2104" s="1">
        <v>2</v>
      </c>
      <c r="P2104" t="s">
        <v>20901</v>
      </c>
      <c r="Q2104" t="s">
        <v>20902</v>
      </c>
      <c r="S2104" t="s">
        <v>91</v>
      </c>
      <c r="T2104" t="s">
        <v>260</v>
      </c>
      <c r="U2104" t="s">
        <v>20903</v>
      </c>
      <c r="V2104">
        <v>3</v>
      </c>
      <c r="X2104">
        <v>501</v>
      </c>
      <c r="Z2104" t="s">
        <v>107</v>
      </c>
      <c r="AA2104">
        <v>10</v>
      </c>
      <c r="AB2104" t="s">
        <v>20904</v>
      </c>
      <c r="AC2104">
        <v>369</v>
      </c>
      <c r="AD2104" t="s">
        <v>20905</v>
      </c>
      <c r="AE2104" t="s">
        <v>144</v>
      </c>
      <c r="AF2104" t="s">
        <v>20906</v>
      </c>
      <c r="AG2104" t="s">
        <v>20907</v>
      </c>
      <c r="AH2104" t="str">
        <f>HYPERLINK("http://compartments.jensenlab.org/Entity?figures=subcell_cell_%&amp;knowledge=10&amp;textmining=10&amp;experiments=10&amp;predictions=10&amp;type1=9606&amp;type2=-22&amp;id1=ENSP00000306276","link")</f>
        <v>link</v>
      </c>
      <c r="AK2104" t="str">
        <f>HYPERLINK("http://www.proteinatlas.org/Q8TF66","HPA035503")</f>
        <v>HPA035503</v>
      </c>
      <c r="AM2104">
        <v>131578</v>
      </c>
    </row>
    <row r="2105" spans="1:39" x14ac:dyDescent="0.35">
      <c r="A2105" t="s">
        <v>20908</v>
      </c>
      <c r="B2105" t="str">
        <f>HYPERLINK("http://www.uniprot.org/uniprot/Q8WTR4","Q8WTR4")</f>
        <v>Q8WTR4</v>
      </c>
      <c r="C2105" t="s">
        <v>20909</v>
      </c>
      <c r="D2105" t="s">
        <v>20910</v>
      </c>
      <c r="E2105" t="s">
        <v>39</v>
      </c>
      <c r="F2105" t="s">
        <v>40</v>
      </c>
      <c r="H2105">
        <v>605</v>
      </c>
      <c r="I2105">
        <v>6</v>
      </c>
      <c r="J2105">
        <v>0</v>
      </c>
      <c r="K2105" t="s">
        <v>20911</v>
      </c>
      <c r="L2105" t="s">
        <v>101</v>
      </c>
      <c r="N2105">
        <v>0.62280000000000002</v>
      </c>
      <c r="O2105" s="1">
        <v>2</v>
      </c>
      <c r="P2105" t="s">
        <v>20912</v>
      </c>
      <c r="Q2105" t="s">
        <v>20913</v>
      </c>
      <c r="S2105" t="s">
        <v>60</v>
      </c>
      <c r="T2105" t="s">
        <v>60</v>
      </c>
      <c r="U2105" t="s">
        <v>20914</v>
      </c>
      <c r="V2105">
        <v>5</v>
      </c>
      <c r="Y2105">
        <v>83</v>
      </c>
      <c r="Z2105" t="s">
        <v>123</v>
      </c>
      <c r="AA2105">
        <v>3</v>
      </c>
      <c r="AB2105" t="s">
        <v>20915</v>
      </c>
      <c r="AC2105" t="s">
        <v>20916</v>
      </c>
      <c r="AD2105" t="s">
        <v>20917</v>
      </c>
      <c r="AE2105" t="s">
        <v>20918</v>
      </c>
      <c r="AF2105" t="s">
        <v>20919</v>
      </c>
      <c r="AG2105" t="s">
        <v>20920</v>
      </c>
      <c r="AH2105" t="str">
        <f>HYPERLINK("http://compartments.jensenlab.org/Entity?figures=subcell_cell_%&amp;knowledge=10&amp;textmining=10&amp;experiments=10&amp;predictions=10&amp;type1=9606&amp;type2=-22&amp;id1=ENSP00000337972","link")</f>
        <v>link</v>
      </c>
      <c r="AJ2105" t="s">
        <v>4458</v>
      </c>
      <c r="AK2105" t="str">
        <f>HYPERLINK("http://www.proteinatlas.org/Q8WTR4","no")</f>
        <v>no</v>
      </c>
      <c r="AM2105">
        <v>81544</v>
      </c>
    </row>
    <row r="2106" spans="1:39" x14ac:dyDescent="0.35">
      <c r="A2106" t="s">
        <v>20921</v>
      </c>
      <c r="B2106" t="str">
        <f>HYPERLINK("http://www.uniprot.org/uniprot/Q8WTV0","Q8WTV0")</f>
        <v>Q8WTV0</v>
      </c>
      <c r="C2106" t="s">
        <v>20922</v>
      </c>
      <c r="D2106" t="s">
        <v>20923</v>
      </c>
      <c r="E2106" t="s">
        <v>39</v>
      </c>
      <c r="F2106" t="s">
        <v>55</v>
      </c>
      <c r="H2106">
        <v>552</v>
      </c>
      <c r="I2106">
        <v>2</v>
      </c>
      <c r="J2106">
        <v>0</v>
      </c>
      <c r="K2106" t="s">
        <v>20924</v>
      </c>
      <c r="L2106" t="s">
        <v>101</v>
      </c>
      <c r="M2106" t="s">
        <v>39</v>
      </c>
      <c r="N2106">
        <v>0.77329999999999999</v>
      </c>
      <c r="O2106" s="1">
        <v>1</v>
      </c>
      <c r="P2106" t="s">
        <v>20925</v>
      </c>
      <c r="Q2106" t="s">
        <v>20926</v>
      </c>
      <c r="S2106" t="s">
        <v>166</v>
      </c>
      <c r="T2106" t="s">
        <v>5946</v>
      </c>
      <c r="U2106" t="s">
        <v>20927</v>
      </c>
      <c r="V2106">
        <v>9</v>
      </c>
      <c r="W2106" t="s">
        <v>20928</v>
      </c>
      <c r="X2106">
        <v>490</v>
      </c>
      <c r="Z2106" t="s">
        <v>107</v>
      </c>
      <c r="AA2106">
        <v>15</v>
      </c>
      <c r="AB2106" t="s">
        <v>20929</v>
      </c>
      <c r="AC2106" t="s">
        <v>20930</v>
      </c>
      <c r="AD2106" t="s">
        <v>20931</v>
      </c>
      <c r="AE2106" t="s">
        <v>20932</v>
      </c>
      <c r="AF2106" t="s">
        <v>20933</v>
      </c>
      <c r="AG2106" t="s">
        <v>20934</v>
      </c>
      <c r="AH2106" t="str">
        <f>HYPERLINK("http://compartments.jensenlab.org/Entity?figures=subcell_cell_%&amp;knowledge=10&amp;textmining=10&amp;experiments=10&amp;predictions=10&amp;type1=9606&amp;type2=-22&amp;id1=ENSP00000414979","link")</f>
        <v>link</v>
      </c>
      <c r="AK2106" t="str">
        <f>HYPERLINK("http://www.proteinatlas.org/Q8WTV0","CAB070124")</f>
        <v>CAB070124</v>
      </c>
      <c r="AL2106" t="s">
        <v>20935</v>
      </c>
      <c r="AM2106">
        <v>949</v>
      </c>
    </row>
    <row r="2107" spans="1:39" x14ac:dyDescent="0.35">
      <c r="A2107" t="s">
        <v>20936</v>
      </c>
      <c r="B2107" t="str">
        <f>HYPERLINK("http://www.uniprot.org/uniprot/Q8WUD6","Q8WUD6")</f>
        <v>Q8WUD6</v>
      </c>
      <c r="C2107" t="s">
        <v>20937</v>
      </c>
      <c r="D2107" t="s">
        <v>20938</v>
      </c>
      <c r="E2107" t="s">
        <v>39</v>
      </c>
      <c r="F2107" t="s">
        <v>40</v>
      </c>
      <c r="H2107">
        <v>406</v>
      </c>
      <c r="I2107">
        <v>8</v>
      </c>
      <c r="J2107">
        <v>0</v>
      </c>
      <c r="K2107" t="s">
        <v>20939</v>
      </c>
      <c r="L2107" t="s">
        <v>42</v>
      </c>
      <c r="N2107">
        <v>0.78239999999999998</v>
      </c>
      <c r="O2107" s="1">
        <v>1</v>
      </c>
      <c r="P2107" t="s">
        <v>20940</v>
      </c>
      <c r="Q2107" t="s">
        <v>20941</v>
      </c>
      <c r="S2107" t="s">
        <v>947</v>
      </c>
      <c r="T2107" t="s">
        <v>20942</v>
      </c>
      <c r="U2107">
        <v>255</v>
      </c>
      <c r="V2107">
        <v>1</v>
      </c>
      <c r="AE2107" t="s">
        <v>20943</v>
      </c>
      <c r="AF2107" t="s">
        <v>20944</v>
      </c>
      <c r="AG2107" t="s">
        <v>20945</v>
      </c>
      <c r="AH2107" t="str">
        <f>HYPERLINK("http://compartments.jensenlab.org/Entity?figures=subcell_cell_%&amp;knowledge=10&amp;textmining=10&amp;experiments=10&amp;predictions=10&amp;type1=9606&amp;type2=-22&amp;id1=ENSP00000229266","link")</f>
        <v>link</v>
      </c>
      <c r="AI2107" t="s">
        <v>4370</v>
      </c>
      <c r="AJ2107" t="s">
        <v>3228</v>
      </c>
      <c r="AK2107" t="str">
        <f>HYPERLINK("http://www.proteinatlas.org/Q8WUD6","HPA067643")</f>
        <v>HPA067643</v>
      </c>
      <c r="AM2107">
        <v>56994</v>
      </c>
    </row>
    <row r="2108" spans="1:39" x14ac:dyDescent="0.35">
      <c r="A2108" t="s">
        <v>20946</v>
      </c>
      <c r="B2108" t="str">
        <f>HYPERLINK("http://www.uniprot.org/uniprot/Q8WUG5","Q8WUG5")</f>
        <v>Q8WUG5</v>
      </c>
      <c r="C2108" t="s">
        <v>20947</v>
      </c>
      <c r="D2108" t="s">
        <v>20948</v>
      </c>
      <c r="E2108" t="s">
        <v>39</v>
      </c>
      <c r="F2108" t="s">
        <v>55</v>
      </c>
      <c r="H2108">
        <v>538</v>
      </c>
      <c r="I2108">
        <v>11</v>
      </c>
      <c r="J2108">
        <v>0</v>
      </c>
      <c r="K2108" t="s">
        <v>20949</v>
      </c>
      <c r="L2108" t="s">
        <v>42</v>
      </c>
      <c r="M2108" t="s">
        <v>39</v>
      </c>
      <c r="N2108">
        <v>0.74870000000000003</v>
      </c>
      <c r="O2108" s="1">
        <v>1</v>
      </c>
      <c r="P2108" t="s">
        <v>20950</v>
      </c>
      <c r="Q2108" t="s">
        <v>20951</v>
      </c>
      <c r="S2108" t="s">
        <v>45</v>
      </c>
      <c r="T2108" t="s">
        <v>121</v>
      </c>
      <c r="U2108" t="s">
        <v>20952</v>
      </c>
      <c r="V2108">
        <v>2</v>
      </c>
      <c r="AE2108" t="s">
        <v>20953</v>
      </c>
      <c r="AF2108" t="s">
        <v>20954</v>
      </c>
      <c r="AG2108" t="s">
        <v>20955</v>
      </c>
      <c r="AH2108" t="str">
        <f>HYPERLINK("http://compartments.jensenlab.org/Entity?figures=subcell_cell_%&amp;knowledge=10&amp;textmining=10&amp;experiments=10&amp;predictions=10&amp;type1=9606&amp;type2=-22&amp;id1=ENSP00000206544","link")</f>
        <v>link</v>
      </c>
      <c r="AI2108" t="s">
        <v>65</v>
      </c>
      <c r="AJ2108" t="s">
        <v>51</v>
      </c>
      <c r="AK2108" t="str">
        <f>HYPERLINK("http://www.proteinatlas.org/Q8WUG5","HPA002728")</f>
        <v>HPA002728</v>
      </c>
      <c r="AM2108">
        <v>51310</v>
      </c>
    </row>
    <row r="2109" spans="1:39" x14ac:dyDescent="0.35">
      <c r="A2109" t="s">
        <v>20956</v>
      </c>
      <c r="B2109" t="str">
        <f>HYPERLINK("http://www.uniprot.org/uniprot/Q8WUT4","Q8WUT4")</f>
        <v>Q8WUT4</v>
      </c>
      <c r="C2109" t="s">
        <v>20957</v>
      </c>
      <c r="D2109" t="s">
        <v>20958</v>
      </c>
      <c r="E2109" t="s">
        <v>39</v>
      </c>
      <c r="F2109" t="s">
        <v>40</v>
      </c>
      <c r="H2109">
        <v>740</v>
      </c>
      <c r="I2109">
        <v>1</v>
      </c>
      <c r="J2109">
        <v>1</v>
      </c>
      <c r="K2109" t="s">
        <v>20959</v>
      </c>
      <c r="L2109" t="s">
        <v>57</v>
      </c>
      <c r="N2109">
        <v>0.81640000000000001</v>
      </c>
      <c r="O2109" s="1">
        <v>1</v>
      </c>
      <c r="P2109" t="s">
        <v>20960</v>
      </c>
      <c r="Q2109" t="s">
        <v>20961</v>
      </c>
      <c r="S2109" t="s">
        <v>91</v>
      </c>
      <c r="T2109" t="s">
        <v>260</v>
      </c>
      <c r="U2109" t="s">
        <v>20962</v>
      </c>
      <c r="V2109">
        <v>6</v>
      </c>
      <c r="AE2109" t="s">
        <v>144</v>
      </c>
      <c r="AF2109" t="s">
        <v>529</v>
      </c>
      <c r="AG2109" t="s">
        <v>20963</v>
      </c>
      <c r="AH2109" t="str">
        <f>HYPERLINK("http://compartments.jensenlab.org/Entity?figures=subcell_cell_%&amp;knowledge=10&amp;textmining=10&amp;experiments=10&amp;predictions=10&amp;type1=9606&amp;type2=-22&amp;id1=ENSP00000368135","link")</f>
        <v>link</v>
      </c>
      <c r="AJ2109" t="s">
        <v>51</v>
      </c>
      <c r="AK2109" t="str">
        <f>HYPERLINK("http://www.proteinatlas.org/Q8WUT4","HPA009431")</f>
        <v>HPA009431</v>
      </c>
      <c r="AM2109">
        <v>164312</v>
      </c>
    </row>
    <row r="2110" spans="1:39" x14ac:dyDescent="0.35">
      <c r="A2110" t="s">
        <v>20964</v>
      </c>
      <c r="B2110" t="str">
        <f>HYPERLINK("http://www.uniprot.org/uniprot/Q8WUX1","Q8WUX1")</f>
        <v>Q8WUX1</v>
      </c>
      <c r="C2110" t="s">
        <v>20965</v>
      </c>
      <c r="D2110" t="s">
        <v>20966</v>
      </c>
      <c r="E2110" t="s">
        <v>39</v>
      </c>
      <c r="F2110" t="s">
        <v>40</v>
      </c>
      <c r="H2110">
        <v>472</v>
      </c>
      <c r="I2110">
        <v>11</v>
      </c>
      <c r="J2110">
        <v>0</v>
      </c>
      <c r="K2110" t="s">
        <v>20967</v>
      </c>
      <c r="L2110" t="s">
        <v>57</v>
      </c>
      <c r="N2110">
        <v>0.83830000000000005</v>
      </c>
      <c r="O2110" s="1">
        <v>1</v>
      </c>
      <c r="P2110" t="s">
        <v>20968</v>
      </c>
      <c r="Q2110" t="s">
        <v>20969</v>
      </c>
      <c r="S2110" t="s">
        <v>45</v>
      </c>
      <c r="T2110" t="s">
        <v>598</v>
      </c>
      <c r="U2110" t="s">
        <v>20970</v>
      </c>
      <c r="V2110">
        <v>2</v>
      </c>
      <c r="AE2110" t="s">
        <v>74</v>
      </c>
      <c r="AF2110" t="s">
        <v>20971</v>
      </c>
      <c r="AG2110" t="s">
        <v>20972</v>
      </c>
      <c r="AH2110" t="str">
        <f>HYPERLINK("http://compartments.jensenlab.org/Entity?figures=subcell_cell_%&amp;knowledge=10&amp;textmining=10&amp;experiments=10&amp;predictions=10&amp;type1=9606&amp;type2=-22&amp;id1=ENSP00000471683","link")</f>
        <v>link</v>
      </c>
      <c r="AK2110" t="str">
        <f>HYPERLINK("http://www.proteinatlas.org/Q8WUX1","HPA047411")</f>
        <v>HPA047411</v>
      </c>
      <c r="AM2110">
        <v>92745</v>
      </c>
    </row>
    <row r="2111" spans="1:39" x14ac:dyDescent="0.35">
      <c r="A2111" t="s">
        <v>20973</v>
      </c>
      <c r="B2111" t="str">
        <f>HYPERLINK("http://www.uniprot.org/uniprot/Q8WV15","Q8WV15")</f>
        <v>Q8WV15</v>
      </c>
      <c r="C2111" t="s">
        <v>20974</v>
      </c>
      <c r="D2111" t="s">
        <v>20975</v>
      </c>
      <c r="E2111" t="s">
        <v>39</v>
      </c>
      <c r="F2111" t="s">
        <v>40</v>
      </c>
      <c r="H2111">
        <v>326</v>
      </c>
      <c r="I2111">
        <v>4</v>
      </c>
      <c r="J2111">
        <v>0</v>
      </c>
      <c r="K2111" t="s">
        <v>20976</v>
      </c>
      <c r="L2111" t="s">
        <v>42</v>
      </c>
      <c r="N2111">
        <v>0.75449999999999995</v>
      </c>
      <c r="O2111" s="1">
        <v>1</v>
      </c>
      <c r="P2111" t="s">
        <v>20977</v>
      </c>
      <c r="Q2111" t="s">
        <v>20978</v>
      </c>
      <c r="S2111" t="s">
        <v>60</v>
      </c>
      <c r="T2111" t="s">
        <v>60</v>
      </c>
      <c r="U2111">
        <v>52</v>
      </c>
      <c r="V2111">
        <v>1</v>
      </c>
      <c r="AE2111" t="s">
        <v>48</v>
      </c>
      <c r="AF2111" t="s">
        <v>15168</v>
      </c>
      <c r="AG2111" t="s">
        <v>20979</v>
      </c>
      <c r="AH2111" t="str">
        <f>HYPERLINK("http://compartments.jensenlab.org/Entity?figures=subcell_cell_%&amp;knowledge=10&amp;textmining=10&amp;experiments=10&amp;predictions=10&amp;type1=9606&amp;type2=-22&amp;id1=ENSP00000364502","link")</f>
        <v>link</v>
      </c>
      <c r="AJ2111" t="s">
        <v>51</v>
      </c>
      <c r="AK2111" t="str">
        <f>HYPERLINK("http://www.proteinatlas.org/Q8WV15","HPA043334")</f>
        <v>HPA043334</v>
      </c>
      <c r="AM2111">
        <v>348013</v>
      </c>
    </row>
    <row r="2112" spans="1:39" x14ac:dyDescent="0.35">
      <c r="A2112" t="s">
        <v>20980</v>
      </c>
      <c r="B2112" t="str">
        <f>HYPERLINK("http://www.uniprot.org/uniprot/Q8WVE6","Q8WVE6")</f>
        <v>Q8WVE6</v>
      </c>
      <c r="C2112" t="s">
        <v>20981</v>
      </c>
      <c r="D2112" t="s">
        <v>20982</v>
      </c>
      <c r="E2112" t="s">
        <v>39</v>
      </c>
      <c r="F2112" t="s">
        <v>40</v>
      </c>
      <c r="H2112">
        <v>324</v>
      </c>
      <c r="I2112">
        <v>4</v>
      </c>
      <c r="J2112">
        <v>0</v>
      </c>
      <c r="K2112" t="s">
        <v>20983</v>
      </c>
      <c r="L2112" t="s">
        <v>42</v>
      </c>
      <c r="N2112">
        <v>0.64870000000000005</v>
      </c>
      <c r="O2112" s="1">
        <v>2</v>
      </c>
      <c r="P2112" t="s">
        <v>20984</v>
      </c>
      <c r="Q2112" t="s">
        <v>20985</v>
      </c>
      <c r="S2112" t="s">
        <v>60</v>
      </c>
      <c r="T2112" t="s">
        <v>60</v>
      </c>
      <c r="U2112" t="s">
        <v>20986</v>
      </c>
      <c r="V2112">
        <v>1</v>
      </c>
      <c r="AE2112" t="s">
        <v>48</v>
      </c>
      <c r="AF2112" t="s">
        <v>14609</v>
      </c>
      <c r="AG2112" t="s">
        <v>20987</v>
      </c>
      <c r="AH2112" t="str">
        <f>HYPERLINK("http://compartments.jensenlab.org/Entity?figures=subcell_cell_%&amp;knowledge=10&amp;textmining=10&amp;experiments=10&amp;predictions=10&amp;type1=9606&amp;type2=-22&amp;id1=ENSP00000415030","link")</f>
        <v>link</v>
      </c>
      <c r="AK2112" t="str">
        <f>HYPERLINK("http://www.proteinatlas.org/Q8WVE6","HPA042308")</f>
        <v>HPA042308</v>
      </c>
      <c r="AM2112">
        <v>134285</v>
      </c>
    </row>
    <row r="2113" spans="1:39" x14ac:dyDescent="0.35">
      <c r="A2113" t="s">
        <v>20988</v>
      </c>
      <c r="B2113" t="str">
        <f>HYPERLINK("http://www.uniprot.org/uniprot/Q8WVN6","Q8WVN6")</f>
        <v>Q8WVN6</v>
      </c>
      <c r="C2113" t="s">
        <v>20989</v>
      </c>
      <c r="D2113" t="s">
        <v>20990</v>
      </c>
      <c r="E2113" t="s">
        <v>39</v>
      </c>
      <c r="F2113" t="s">
        <v>40</v>
      </c>
      <c r="H2113">
        <v>248</v>
      </c>
      <c r="I2113">
        <v>1</v>
      </c>
      <c r="J2113">
        <v>1</v>
      </c>
      <c r="K2113" t="s">
        <v>20991</v>
      </c>
      <c r="L2113" t="s">
        <v>57</v>
      </c>
      <c r="N2113">
        <v>0.86229999999999996</v>
      </c>
      <c r="O2113" s="1">
        <v>1</v>
      </c>
      <c r="P2113" t="s">
        <v>20992</v>
      </c>
      <c r="Q2113" t="s">
        <v>20993</v>
      </c>
      <c r="S2113" t="s">
        <v>60</v>
      </c>
      <c r="T2113" t="s">
        <v>60</v>
      </c>
      <c r="U2113">
        <v>56</v>
      </c>
      <c r="V2113">
        <v>1</v>
      </c>
      <c r="W2113">
        <v>56</v>
      </c>
      <c r="X2113">
        <v>140</v>
      </c>
      <c r="AE2113" t="s">
        <v>1250</v>
      </c>
      <c r="AF2113" t="s">
        <v>20994</v>
      </c>
      <c r="AG2113" t="s">
        <v>20995</v>
      </c>
      <c r="AH2113" t="str">
        <f>HYPERLINK("http://compartments.jensenlab.org/Entity?figures=subcell_cell_%&amp;knowledge=10&amp;textmining=10&amp;experiments=10&amp;predictions=10&amp;type1=9606&amp;type2=-22&amp;id1=ENSP00000269389","link")</f>
        <v>link</v>
      </c>
      <c r="AI2113" t="s">
        <v>1058</v>
      </c>
      <c r="AJ2113" t="s">
        <v>7201</v>
      </c>
      <c r="AK2113" t="str">
        <f>HYPERLINK("http://www.proteinatlas.org/Q8WVN6","HPA051214")</f>
        <v>HPA051214</v>
      </c>
      <c r="AM2113">
        <v>6398</v>
      </c>
    </row>
    <row r="2114" spans="1:39" x14ac:dyDescent="0.35">
      <c r="A2114" t="s">
        <v>20996</v>
      </c>
      <c r="B2114" t="str">
        <f>HYPERLINK("http://www.uniprot.org/uniprot/Q8WVP7","Q8WVP7")</f>
        <v>Q8WVP7</v>
      </c>
      <c r="C2114" t="s">
        <v>20997</v>
      </c>
      <c r="D2114" t="s">
        <v>20998</v>
      </c>
      <c r="E2114" t="s">
        <v>39</v>
      </c>
      <c r="F2114" t="s">
        <v>40</v>
      </c>
      <c r="H2114">
        <v>490</v>
      </c>
      <c r="I2114">
        <v>9</v>
      </c>
      <c r="J2114">
        <v>0</v>
      </c>
      <c r="K2114" t="s">
        <v>20999</v>
      </c>
      <c r="L2114" t="s">
        <v>57</v>
      </c>
      <c r="N2114">
        <v>0.7944</v>
      </c>
      <c r="O2114" s="1">
        <v>1</v>
      </c>
      <c r="P2114" t="s">
        <v>21000</v>
      </c>
      <c r="Q2114" t="s">
        <v>21001</v>
      </c>
      <c r="S2114" t="s">
        <v>60</v>
      </c>
      <c r="T2114" t="s">
        <v>60</v>
      </c>
      <c r="U2114" t="s">
        <v>21002</v>
      </c>
      <c r="V2114">
        <v>2</v>
      </c>
      <c r="AE2114" t="s">
        <v>48</v>
      </c>
      <c r="AF2114" t="s">
        <v>21003</v>
      </c>
      <c r="AG2114" t="s">
        <v>21004</v>
      </c>
      <c r="AH2114" t="str">
        <f>HYPERLINK("http://compartments.jensenlab.org/Entity?figures=subcell_cell_%&amp;knowledge=10&amp;textmining=10&amp;experiments=10&amp;predictions=10&amp;type1=9606&amp;type2=-22&amp;id1=ENSP00000326604","link")</f>
        <v>link</v>
      </c>
      <c r="AJ2114" t="s">
        <v>51</v>
      </c>
      <c r="AK2114" t="str">
        <f>HYPERLINK("http://www.proteinatlas.org/Q8WVP7","HPA016592")</f>
        <v>HPA016592</v>
      </c>
      <c r="AM2114">
        <v>64327</v>
      </c>
    </row>
    <row r="2115" spans="1:39" x14ac:dyDescent="0.35">
      <c r="A2115" t="s">
        <v>21005</v>
      </c>
      <c r="B2115" t="str">
        <f>HYPERLINK("http://www.uniprot.org/uniprot/Q8WVV5","Q8WVV5")</f>
        <v>Q8WVV5</v>
      </c>
      <c r="C2115" t="s">
        <v>21006</v>
      </c>
      <c r="D2115" t="s">
        <v>21007</v>
      </c>
      <c r="E2115" t="s">
        <v>39</v>
      </c>
      <c r="F2115" t="s">
        <v>40</v>
      </c>
      <c r="H2115">
        <v>523</v>
      </c>
      <c r="I2115">
        <v>1</v>
      </c>
      <c r="J2115">
        <v>1</v>
      </c>
      <c r="K2115" t="s">
        <v>21008</v>
      </c>
      <c r="L2115" t="s">
        <v>57</v>
      </c>
      <c r="N2115">
        <v>0.89219999999999999</v>
      </c>
      <c r="O2115" s="1">
        <v>1</v>
      </c>
      <c r="P2115" t="s">
        <v>21009</v>
      </c>
      <c r="Q2115" t="s">
        <v>21010</v>
      </c>
      <c r="S2115" t="s">
        <v>91</v>
      </c>
      <c r="T2115" t="s">
        <v>1012</v>
      </c>
      <c r="U2115" t="s">
        <v>21011</v>
      </c>
      <c r="V2115">
        <v>4</v>
      </c>
      <c r="AE2115" t="s">
        <v>144</v>
      </c>
      <c r="AF2115" t="s">
        <v>15860</v>
      </c>
      <c r="AG2115" t="s">
        <v>21012</v>
      </c>
      <c r="AH2115" t="str">
        <f>HYPERLINK("http://compartments.jensenlab.org/Entity?figures=subcell_cell_%&amp;knowledge=10&amp;textmining=10&amp;experiments=10&amp;predictions=10&amp;type1=9606&amp;type2=-22&amp;id1=ENSP00000349143","link")</f>
        <v>link</v>
      </c>
      <c r="AJ2115" t="s">
        <v>51</v>
      </c>
      <c r="AK2115" t="str">
        <f>HYPERLINK("http://www.proteinatlas.org/Q8WVV5","HPA051504")</f>
        <v>HPA051504</v>
      </c>
      <c r="AM2115">
        <v>10385</v>
      </c>
    </row>
    <row r="2116" spans="1:39" x14ac:dyDescent="0.35">
      <c r="A2116" t="s">
        <v>21013</v>
      </c>
      <c r="B2116" t="str">
        <f>HYPERLINK("http://www.uniprot.org/uniprot/Q8WWA0","Q8WWA0")</f>
        <v>Q8WWA0</v>
      </c>
      <c r="C2116" t="s">
        <v>21014</v>
      </c>
      <c r="D2116" t="s">
        <v>21015</v>
      </c>
      <c r="E2116" t="s">
        <v>39</v>
      </c>
      <c r="F2116" t="s">
        <v>239</v>
      </c>
      <c r="H2116">
        <v>313</v>
      </c>
      <c r="I2116">
        <v>0</v>
      </c>
      <c r="J2116">
        <v>1</v>
      </c>
      <c r="K2116" t="s">
        <v>21016</v>
      </c>
      <c r="L2116" t="s">
        <v>57</v>
      </c>
      <c r="N2116">
        <v>0.71860000000000002</v>
      </c>
      <c r="O2116" s="1" t="s">
        <v>241</v>
      </c>
      <c r="P2116" t="s">
        <v>21017</v>
      </c>
      <c r="Q2116" t="s">
        <v>21018</v>
      </c>
      <c r="U2116" t="s">
        <v>21019</v>
      </c>
      <c r="V2116">
        <v>2</v>
      </c>
      <c r="W2116" t="s">
        <v>21019</v>
      </c>
      <c r="AE2116" t="s">
        <v>2453</v>
      </c>
      <c r="AF2116" t="s">
        <v>21020</v>
      </c>
      <c r="AG2116" t="s">
        <v>21021</v>
      </c>
      <c r="AH2116" t="str">
        <f>HYPERLINK("http://compartments.jensenlab.org/Entity?figures=subcell_cell_%&amp;knowledge=10&amp;textmining=10&amp;experiments=10&amp;predictions=10&amp;type1=9606&amp;type2=-22&amp;id1=ENSP00000323587","link")</f>
        <v>link</v>
      </c>
      <c r="AI2116" t="s">
        <v>1058</v>
      </c>
      <c r="AJ2116" t="s">
        <v>902</v>
      </c>
      <c r="AK2116" t="str">
        <f>HYPERLINK("http://www.proteinatlas.org/Q8WWA0","CAB012652;HPA063275")</f>
        <v>CAB012652;HPA063275</v>
      </c>
      <c r="AM2116">
        <v>55600</v>
      </c>
    </row>
    <row r="2117" spans="1:39" x14ac:dyDescent="0.35">
      <c r="A2117" t="s">
        <v>21022</v>
      </c>
      <c r="B2117" t="str">
        <f>HYPERLINK("http://www.uniprot.org/uniprot/Q8WWB7","Q8WWB7")</f>
        <v>Q8WWB7</v>
      </c>
      <c r="C2117" t="s">
        <v>21023</v>
      </c>
      <c r="D2117" t="s">
        <v>21024</v>
      </c>
      <c r="E2117" t="s">
        <v>39</v>
      </c>
      <c r="F2117" t="s">
        <v>40</v>
      </c>
      <c r="H2117">
        <v>406</v>
      </c>
      <c r="I2117">
        <v>1</v>
      </c>
      <c r="J2117">
        <v>1</v>
      </c>
      <c r="K2117" t="s">
        <v>21025</v>
      </c>
      <c r="L2117" t="s">
        <v>101</v>
      </c>
      <c r="N2117">
        <v>0.78639999999999999</v>
      </c>
      <c r="O2117" s="1">
        <v>1</v>
      </c>
      <c r="P2117" t="s">
        <v>21026</v>
      </c>
      <c r="Q2117" t="s">
        <v>21027</v>
      </c>
      <c r="S2117" t="s">
        <v>60</v>
      </c>
      <c r="T2117" t="s">
        <v>60</v>
      </c>
      <c r="U2117" t="s">
        <v>21028</v>
      </c>
      <c r="V2117">
        <v>7</v>
      </c>
      <c r="X2117">
        <v>249</v>
      </c>
      <c r="Z2117" t="s">
        <v>107</v>
      </c>
      <c r="AA2117">
        <v>3</v>
      </c>
      <c r="AB2117" t="s">
        <v>21029</v>
      </c>
      <c r="AC2117" t="s">
        <v>21030</v>
      </c>
      <c r="AD2117" t="s">
        <v>21031</v>
      </c>
      <c r="AE2117" t="s">
        <v>5162</v>
      </c>
      <c r="AF2117" t="s">
        <v>21032</v>
      </c>
      <c r="AG2117" t="s">
        <v>21033</v>
      </c>
      <c r="AH2117" t="str">
        <f>HYPERLINK("http://compartments.jensenlab.org/Entity?figures=subcell_cell_%&amp;knowledge=10&amp;textmining=10&amp;experiments=10&amp;predictions=10&amp;type1=9606&amp;type2=-22&amp;id1=ENSP00000354553","link")</f>
        <v>link</v>
      </c>
      <c r="AI2117" t="s">
        <v>1487</v>
      </c>
      <c r="AJ2117" t="s">
        <v>21034</v>
      </c>
      <c r="AK2117" t="str">
        <f>HYPERLINK("http://www.proteinatlas.org/Q8WWB7","HPA029121")</f>
        <v>HPA029121</v>
      </c>
      <c r="AM2117">
        <v>112770</v>
      </c>
    </row>
    <row r="2118" spans="1:39" x14ac:dyDescent="0.35">
      <c r="A2118" t="s">
        <v>21035</v>
      </c>
      <c r="B2118" t="str">
        <f>HYPERLINK("http://www.uniprot.org/uniprot/Q8WWF5","Q8WWF5")</f>
        <v>Q8WWF5</v>
      </c>
      <c r="C2118" t="s">
        <v>21036</v>
      </c>
      <c r="D2118" t="s">
        <v>21037</v>
      </c>
      <c r="E2118" t="s">
        <v>39</v>
      </c>
      <c r="F2118" t="s">
        <v>40</v>
      </c>
      <c r="H2118">
        <v>429</v>
      </c>
      <c r="I2118">
        <v>1</v>
      </c>
      <c r="J2118">
        <v>1</v>
      </c>
      <c r="K2118" t="s">
        <v>21038</v>
      </c>
      <c r="L2118" t="s">
        <v>57</v>
      </c>
      <c r="N2118">
        <v>0.76049999999999995</v>
      </c>
      <c r="O2118" s="1">
        <v>1</v>
      </c>
      <c r="P2118" t="s">
        <v>21039</v>
      </c>
      <c r="Q2118" t="s">
        <v>21040</v>
      </c>
      <c r="S2118" t="s">
        <v>60</v>
      </c>
      <c r="T2118" t="s">
        <v>60</v>
      </c>
      <c r="U2118" t="s">
        <v>21041</v>
      </c>
      <c r="V2118">
        <v>3</v>
      </c>
      <c r="AE2118" t="s">
        <v>144</v>
      </c>
      <c r="AF2118" t="s">
        <v>21042</v>
      </c>
      <c r="AG2118" t="s">
        <v>21043</v>
      </c>
      <c r="AH2118" t="str">
        <f>HYPERLINK("http://compartments.jensenlab.org/Entity?figures=subcell_cell_%&amp;knowledge=10&amp;textmining=10&amp;experiments=10&amp;predictions=10&amp;type1=9606&amp;type2=-22&amp;id1=ENSP00000222033","link")</f>
        <v>link</v>
      </c>
      <c r="AJ2118" t="s">
        <v>2124</v>
      </c>
      <c r="AK2118" t="str">
        <f>HYPERLINK("http://www.proteinatlas.org/Q8WWF5","no")</f>
        <v>no</v>
      </c>
      <c r="AM2118">
        <v>148066</v>
      </c>
    </row>
    <row r="2119" spans="1:39" x14ac:dyDescent="0.35">
      <c r="A2119" t="s">
        <v>21044</v>
      </c>
      <c r="B2119" t="str">
        <f>HYPERLINK("http://www.uniprot.org/uniprot/Q8WWG1","Q8WWG1")</f>
        <v>Q8WWG1</v>
      </c>
      <c r="C2119" t="s">
        <v>21045</v>
      </c>
      <c r="D2119" t="s">
        <v>21046</v>
      </c>
      <c r="E2119" t="s">
        <v>39</v>
      </c>
      <c r="F2119" t="s">
        <v>40</v>
      </c>
      <c r="H2119">
        <v>115</v>
      </c>
      <c r="I2119">
        <v>1</v>
      </c>
      <c r="J2119">
        <v>0</v>
      </c>
      <c r="K2119" t="s">
        <v>21047</v>
      </c>
      <c r="L2119" t="s">
        <v>57</v>
      </c>
      <c r="N2119">
        <v>0.79039999999999999</v>
      </c>
      <c r="O2119" s="1">
        <v>1</v>
      </c>
      <c r="P2119" t="s">
        <v>21048</v>
      </c>
      <c r="Q2119" t="s">
        <v>21049</v>
      </c>
      <c r="S2119" t="s">
        <v>60</v>
      </c>
      <c r="T2119" t="s">
        <v>60</v>
      </c>
      <c r="U2119">
        <v>39</v>
      </c>
      <c r="V2119">
        <v>1</v>
      </c>
      <c r="W2119">
        <v>39</v>
      </c>
      <c r="AE2119" t="s">
        <v>1140</v>
      </c>
      <c r="AF2119" t="s">
        <v>21050</v>
      </c>
      <c r="AG2119" t="s">
        <v>21051</v>
      </c>
      <c r="AH2119" t="str">
        <f>HYPERLINK("http://compartments.jensenlab.org/Entity?figures=subcell_cell_%&amp;knowledge=10&amp;textmining=10&amp;experiments=10&amp;predictions=10&amp;type1=9606&amp;type2=-22&amp;id1=ENSP00000378367","link")</f>
        <v>link</v>
      </c>
      <c r="AI2119" t="s">
        <v>65</v>
      </c>
      <c r="AJ2119" t="s">
        <v>902</v>
      </c>
      <c r="AK2119" t="str">
        <f>HYPERLINK("http://www.proteinatlas.org/Q8WWG1","HPA010957")</f>
        <v>HPA010957</v>
      </c>
      <c r="AM2119">
        <v>145957</v>
      </c>
    </row>
    <row r="2120" spans="1:39" x14ac:dyDescent="0.35">
      <c r="A2120" t="s">
        <v>21052</v>
      </c>
      <c r="B2120" t="str">
        <f>HYPERLINK("http://www.uniprot.org/uniprot/Q8WWI5","Q8WWI5")</f>
        <v>Q8WWI5</v>
      </c>
      <c r="C2120" t="s">
        <v>21053</v>
      </c>
      <c r="D2120" t="s">
        <v>21054</v>
      </c>
      <c r="E2120" t="s">
        <v>39</v>
      </c>
      <c r="F2120" t="s">
        <v>55</v>
      </c>
      <c r="H2120">
        <v>657</v>
      </c>
      <c r="I2120">
        <v>9</v>
      </c>
      <c r="J2120">
        <v>0</v>
      </c>
      <c r="K2120" t="s">
        <v>21055</v>
      </c>
      <c r="L2120" t="s">
        <v>101</v>
      </c>
      <c r="M2120" t="s">
        <v>39</v>
      </c>
      <c r="N2120">
        <v>0.71040000000000003</v>
      </c>
      <c r="O2120" s="1">
        <v>2</v>
      </c>
      <c r="P2120" t="s">
        <v>21056</v>
      </c>
      <c r="Q2120" t="s">
        <v>21057</v>
      </c>
      <c r="R2120" t="s">
        <v>21058</v>
      </c>
      <c r="S2120" t="s">
        <v>45</v>
      </c>
      <c r="T2120" t="s">
        <v>14483</v>
      </c>
      <c r="U2120" t="s">
        <v>21059</v>
      </c>
      <c r="V2120">
        <v>3</v>
      </c>
      <c r="Y2120">
        <v>349</v>
      </c>
      <c r="Z2120" t="s">
        <v>107</v>
      </c>
      <c r="AA2120">
        <v>1</v>
      </c>
      <c r="AB2120" t="s">
        <v>21060</v>
      </c>
      <c r="AC2120">
        <v>135</v>
      </c>
      <c r="AD2120" t="s">
        <v>21061</v>
      </c>
      <c r="AE2120" t="s">
        <v>21062</v>
      </c>
      <c r="AF2120" t="s">
        <v>21063</v>
      </c>
      <c r="AG2120" t="s">
        <v>21064</v>
      </c>
      <c r="AH2120" t="str">
        <f>HYPERLINK("http://compartments.jensenlab.org/Entity?figures=subcell_cell_%&amp;knowledge=10&amp;textmining=10&amp;experiments=10&amp;predictions=10&amp;type1=9606&amp;type2=-22&amp;id1=ENSP00000363852","link")</f>
        <v>link</v>
      </c>
      <c r="AI2120" t="s">
        <v>21065</v>
      </c>
      <c r="AJ2120" t="s">
        <v>2256</v>
      </c>
      <c r="AK2120" t="str">
        <f>HYPERLINK("http://www.proteinatlas.org/Q8WWI5","no")</f>
        <v>no</v>
      </c>
      <c r="AM2120">
        <v>23446</v>
      </c>
    </row>
    <row r="2121" spans="1:39" x14ac:dyDescent="0.35">
      <c r="A2121" t="s">
        <v>21066</v>
      </c>
      <c r="B2121" t="str">
        <f>HYPERLINK("http://www.uniprot.org/uniprot/Q8WWQ8","Q8WWQ8")</f>
        <v>Q8WWQ8</v>
      </c>
      <c r="C2121" t="s">
        <v>21067</v>
      </c>
      <c r="D2121" t="s">
        <v>21068</v>
      </c>
      <c r="E2121" t="s">
        <v>39</v>
      </c>
      <c r="F2121" t="s">
        <v>40</v>
      </c>
      <c r="H2121">
        <v>2551</v>
      </c>
      <c r="I2121">
        <v>1</v>
      </c>
      <c r="J2121">
        <v>1</v>
      </c>
      <c r="K2121" t="s">
        <v>21069</v>
      </c>
      <c r="L2121" t="s">
        <v>57</v>
      </c>
      <c r="N2121">
        <v>0.94410000000000005</v>
      </c>
      <c r="O2121" s="1">
        <v>1</v>
      </c>
      <c r="P2121" t="s">
        <v>21070</v>
      </c>
      <c r="Q2121" t="s">
        <v>21071</v>
      </c>
      <c r="S2121" t="s">
        <v>166</v>
      </c>
      <c r="T2121" t="s">
        <v>21072</v>
      </c>
      <c r="U2121" t="s">
        <v>21073</v>
      </c>
      <c r="V2121">
        <v>28</v>
      </c>
      <c r="W2121" t="s">
        <v>21073</v>
      </c>
      <c r="X2121">
        <v>514</v>
      </c>
      <c r="AE2121" t="s">
        <v>2994</v>
      </c>
      <c r="AF2121" t="s">
        <v>21074</v>
      </c>
      <c r="AG2121" t="s">
        <v>21075</v>
      </c>
      <c r="AH2121" t="str">
        <f>HYPERLINK("http://compartments.jensenlab.org/Entity?figures=subcell_cell_%&amp;knowledge=10&amp;textmining=10&amp;experiments=10&amp;predictions=10&amp;type1=9606&amp;type2=-22&amp;id1=ENSP00000373539","link")</f>
        <v>link</v>
      </c>
      <c r="AI2121" t="s">
        <v>65</v>
      </c>
      <c r="AJ2121" t="s">
        <v>2124</v>
      </c>
      <c r="AK2121" t="str">
        <f>HYPERLINK("http://www.proteinatlas.org/Q8WWQ8","HPA026871")</f>
        <v>HPA026871</v>
      </c>
      <c r="AM2121">
        <v>55576</v>
      </c>
    </row>
    <row r="2122" spans="1:39" x14ac:dyDescent="0.35">
      <c r="A2122" t="s">
        <v>21076</v>
      </c>
      <c r="B2122" t="str">
        <f>HYPERLINK("http://www.uniprot.org/uniprot/Q8WWT9","Q8WWT9")</f>
        <v>Q8WWT9</v>
      </c>
      <c r="C2122" t="s">
        <v>21077</v>
      </c>
      <c r="D2122" t="s">
        <v>21078</v>
      </c>
      <c r="E2122" t="s">
        <v>39</v>
      </c>
      <c r="F2122" t="s">
        <v>40</v>
      </c>
      <c r="H2122">
        <v>602</v>
      </c>
      <c r="I2122">
        <v>11</v>
      </c>
      <c r="J2122">
        <v>0</v>
      </c>
      <c r="K2122" t="s">
        <v>21079</v>
      </c>
      <c r="L2122" t="s">
        <v>57</v>
      </c>
      <c r="N2122">
        <v>0.5988</v>
      </c>
      <c r="O2122" s="1">
        <v>2</v>
      </c>
      <c r="P2122" t="s">
        <v>21080</v>
      </c>
      <c r="Q2122" t="s">
        <v>21081</v>
      </c>
      <c r="S2122" t="s">
        <v>45</v>
      </c>
      <c r="T2122" t="s">
        <v>12539</v>
      </c>
      <c r="U2122" t="s">
        <v>21082</v>
      </c>
      <c r="V2122">
        <v>2</v>
      </c>
      <c r="AE2122" t="s">
        <v>74</v>
      </c>
      <c r="AF2122" t="s">
        <v>21083</v>
      </c>
      <c r="AG2122" t="s">
        <v>21084</v>
      </c>
      <c r="AH2122" t="str">
        <f>HYPERLINK("http://compartments.jensenlab.org/Entity?figures=subcell_cell_%&amp;knowledge=10&amp;textmining=10&amp;experiments=10&amp;predictions=10&amp;type1=9606&amp;type2=-22&amp;id1=ENSP00000279027","link")</f>
        <v>link</v>
      </c>
      <c r="AI2122" t="s">
        <v>65</v>
      </c>
      <c r="AJ2122" t="s">
        <v>51</v>
      </c>
      <c r="AK2122" t="str">
        <f>HYPERLINK("http://www.proteinatlas.org/Q8WWT9","HPA014353;HPA014736")</f>
        <v>HPA014353;HPA014736</v>
      </c>
      <c r="AL2122" t="s">
        <v>12544</v>
      </c>
      <c r="AM2122">
        <v>64849</v>
      </c>
    </row>
    <row r="2123" spans="1:39" x14ac:dyDescent="0.35">
      <c r="A2123" t="s">
        <v>21085</v>
      </c>
      <c r="B2123" t="str">
        <f>HYPERLINK("http://www.uniprot.org/uniprot/Q8WWV6","Q8WWV6")</f>
        <v>Q8WWV6</v>
      </c>
      <c r="C2123" t="s">
        <v>21086</v>
      </c>
      <c r="D2123" t="s">
        <v>21087</v>
      </c>
      <c r="E2123" t="s">
        <v>39</v>
      </c>
      <c r="F2123" t="s">
        <v>40</v>
      </c>
      <c r="H2123">
        <v>532</v>
      </c>
      <c r="I2123">
        <v>1</v>
      </c>
      <c r="J2123">
        <v>1</v>
      </c>
      <c r="K2123" t="s">
        <v>21088</v>
      </c>
      <c r="L2123" t="s">
        <v>57</v>
      </c>
      <c r="N2123">
        <v>0.67269999999999996</v>
      </c>
      <c r="O2123" s="1">
        <v>2</v>
      </c>
      <c r="P2123" t="s">
        <v>21089</v>
      </c>
      <c r="Q2123" t="s">
        <v>21090</v>
      </c>
      <c r="R2123" t="s">
        <v>21091</v>
      </c>
      <c r="S2123" t="s">
        <v>166</v>
      </c>
      <c r="T2123" t="s">
        <v>478</v>
      </c>
      <c r="U2123" t="s">
        <v>21092</v>
      </c>
      <c r="V2123">
        <v>2</v>
      </c>
      <c r="AE2123" t="s">
        <v>332</v>
      </c>
      <c r="AF2123" t="s">
        <v>21093</v>
      </c>
      <c r="AG2123" t="s">
        <v>21094</v>
      </c>
      <c r="AH2123" t="str">
        <f>HYPERLINK("http://compartments.jensenlab.org/Entity?figures=subcell_cell_%&amp;knowledge=10&amp;textmining=10&amp;experiments=10&amp;predictions=10&amp;type1=9606&amp;type2=-22&amp;id1=ENSP00000383746","link")</f>
        <v>link</v>
      </c>
      <c r="AI2123" t="s">
        <v>65</v>
      </c>
      <c r="AJ2123" t="s">
        <v>51</v>
      </c>
      <c r="AK2123" t="str">
        <f>HYPERLINK("http://www.proteinatlas.org/Q8WWV6","no")</f>
        <v>no</v>
      </c>
      <c r="AM2123">
        <v>83953</v>
      </c>
    </row>
    <row r="2124" spans="1:39" x14ac:dyDescent="0.35">
      <c r="A2124" t="s">
        <v>21095</v>
      </c>
      <c r="B2124" t="str">
        <f>HYPERLINK("http://www.uniprot.org/uniprot/Q8WWX8","Q8WWX8")</f>
        <v>Q8WWX8</v>
      </c>
      <c r="C2124" t="s">
        <v>21096</v>
      </c>
      <c r="D2124" t="s">
        <v>21097</v>
      </c>
      <c r="E2124" t="s">
        <v>39</v>
      </c>
      <c r="F2124" t="s">
        <v>40</v>
      </c>
      <c r="H2124">
        <v>675</v>
      </c>
      <c r="I2124">
        <v>14</v>
      </c>
      <c r="J2124">
        <v>0</v>
      </c>
      <c r="K2124" t="s">
        <v>21098</v>
      </c>
      <c r="L2124" t="s">
        <v>57</v>
      </c>
      <c r="N2124">
        <v>0.86629999999999996</v>
      </c>
      <c r="O2124" s="1">
        <v>1</v>
      </c>
      <c r="P2124" t="s">
        <v>21099</v>
      </c>
      <c r="Q2124" t="s">
        <v>21100</v>
      </c>
      <c r="S2124" t="s">
        <v>45</v>
      </c>
      <c r="T2124" t="s">
        <v>72</v>
      </c>
      <c r="U2124" t="s">
        <v>21101</v>
      </c>
      <c r="V2124">
        <v>2</v>
      </c>
      <c r="AE2124" t="s">
        <v>48</v>
      </c>
      <c r="AF2124" t="s">
        <v>21102</v>
      </c>
      <c r="AG2124" t="s">
        <v>21103</v>
      </c>
      <c r="AH2124" t="str">
        <f>HYPERLINK("http://compartments.jensenlab.org/Entity?figures=subcell_cell_%&amp;knowledge=10&amp;textmining=10&amp;experiments=10&amp;predictions=10&amp;type1=9606&amp;type2=-22&amp;id1=ENSP00000289932","link")</f>
        <v>link</v>
      </c>
      <c r="AJ2124" t="s">
        <v>51</v>
      </c>
      <c r="AK2124" t="str">
        <f>HYPERLINK("http://www.proteinatlas.org/Q8WWX8","HPA035331")</f>
        <v>HPA035331</v>
      </c>
      <c r="AM2124">
        <v>115584</v>
      </c>
    </row>
    <row r="2125" spans="1:39" x14ac:dyDescent="0.35">
      <c r="A2125" t="s">
        <v>21104</v>
      </c>
      <c r="B2125" t="str">
        <f>HYPERLINK("http://www.uniprot.org/uniprot/Q8WWZ7","Q8WWZ7")</f>
        <v>Q8WWZ7</v>
      </c>
      <c r="C2125" t="s">
        <v>21105</v>
      </c>
      <c r="D2125" t="s">
        <v>21106</v>
      </c>
      <c r="E2125" t="s">
        <v>39</v>
      </c>
      <c r="F2125" t="s">
        <v>40</v>
      </c>
      <c r="H2125">
        <v>1642</v>
      </c>
      <c r="I2125">
        <v>15</v>
      </c>
      <c r="J2125">
        <v>0</v>
      </c>
      <c r="K2125" t="s">
        <v>21107</v>
      </c>
      <c r="L2125" t="s">
        <v>118</v>
      </c>
      <c r="N2125">
        <v>0.67269999999999996</v>
      </c>
      <c r="O2125" s="1">
        <v>2</v>
      </c>
      <c r="P2125" t="s">
        <v>21108</v>
      </c>
      <c r="Q2125" t="s">
        <v>21109</v>
      </c>
      <c r="S2125" t="s">
        <v>45</v>
      </c>
      <c r="T2125" t="s">
        <v>3013</v>
      </c>
      <c r="U2125" t="s">
        <v>21110</v>
      </c>
      <c r="V2125">
        <v>9</v>
      </c>
      <c r="Y2125">
        <v>263</v>
      </c>
      <c r="Z2125" t="s">
        <v>123</v>
      </c>
      <c r="AA2125">
        <v>1</v>
      </c>
      <c r="AB2125" t="s">
        <v>21111</v>
      </c>
      <c r="AC2125">
        <v>190</v>
      </c>
      <c r="AD2125" t="s">
        <v>21112</v>
      </c>
      <c r="AE2125" t="s">
        <v>21113</v>
      </c>
      <c r="AF2125" t="s">
        <v>21114</v>
      </c>
      <c r="AG2125" t="s">
        <v>21115</v>
      </c>
      <c r="AH2125" t="str">
        <f>HYPERLINK("http://compartments.jensenlab.org/Entity?figures=subcell_cell_%&amp;knowledge=10&amp;textmining=10&amp;experiments=10&amp;predictions=10&amp;type1=9606&amp;type2=-22&amp;id1=ENSP00000376443","link")</f>
        <v>link</v>
      </c>
      <c r="AK2125" t="str">
        <f>HYPERLINK("http://www.proteinatlas.org/Q8WWZ7","HPA022032")</f>
        <v>HPA022032</v>
      </c>
      <c r="AM2125">
        <v>23461</v>
      </c>
    </row>
    <row r="2126" spans="1:39" x14ac:dyDescent="0.35">
      <c r="A2126" t="s">
        <v>21116</v>
      </c>
      <c r="B2126" t="str">
        <f>HYPERLINK("http://www.uniprot.org/uniprot/Q8WXA8","Q8WXA8")</f>
        <v>Q8WXA8</v>
      </c>
      <c r="C2126" t="s">
        <v>21117</v>
      </c>
      <c r="D2126" t="s">
        <v>21118</v>
      </c>
      <c r="E2126" t="s">
        <v>39</v>
      </c>
      <c r="F2126" t="s">
        <v>40</v>
      </c>
      <c r="H2126">
        <v>447</v>
      </c>
      <c r="I2126">
        <v>4</v>
      </c>
      <c r="J2126">
        <v>1</v>
      </c>
      <c r="K2126" t="s">
        <v>21119</v>
      </c>
      <c r="L2126" t="s">
        <v>57</v>
      </c>
      <c r="N2126">
        <v>0.75049999999999994</v>
      </c>
      <c r="O2126" s="1">
        <v>1</v>
      </c>
      <c r="P2126" t="s">
        <v>21120</v>
      </c>
      <c r="Q2126" t="s">
        <v>21121</v>
      </c>
      <c r="S2126" t="s">
        <v>45</v>
      </c>
      <c r="T2126" t="s">
        <v>195</v>
      </c>
      <c r="U2126" t="s">
        <v>196</v>
      </c>
      <c r="V2126">
        <v>4</v>
      </c>
      <c r="AE2126" t="s">
        <v>74</v>
      </c>
      <c r="AF2126" t="s">
        <v>21122</v>
      </c>
      <c r="AG2126" t="s">
        <v>21123</v>
      </c>
      <c r="AH2126" t="str">
        <f>HYPERLINK("http://compartments.jensenlab.org/Entity?figures=subcell_cell_%&amp;knowledge=10&amp;textmining=10&amp;experiments=10&amp;predictions=10&amp;type1=9606&amp;type2=-22&amp;id1=ENSP00000322617","link")</f>
        <v>link</v>
      </c>
      <c r="AI2126" t="s">
        <v>65</v>
      </c>
      <c r="AJ2126" t="s">
        <v>51</v>
      </c>
      <c r="AK2126" t="str">
        <f>HYPERLINK("http://www.proteinatlas.org/Q8WXA8","no")</f>
        <v>no</v>
      </c>
      <c r="AM2126">
        <v>170572</v>
      </c>
    </row>
    <row r="2127" spans="1:39" x14ac:dyDescent="0.35">
      <c r="A2127" t="s">
        <v>21124</v>
      </c>
      <c r="B2127" t="str">
        <f>HYPERLINK("http://www.uniprot.org/uniprot/Q8WXD0","Q8WXD0")</f>
        <v>Q8WXD0</v>
      </c>
      <c r="C2127" t="s">
        <v>21125</v>
      </c>
      <c r="D2127" t="s">
        <v>21126</v>
      </c>
      <c r="E2127" t="s">
        <v>39</v>
      </c>
      <c r="F2127" t="s">
        <v>55</v>
      </c>
      <c r="H2127">
        <v>754</v>
      </c>
      <c r="I2127">
        <v>7</v>
      </c>
      <c r="J2127">
        <v>0</v>
      </c>
      <c r="K2127" t="s">
        <v>21127</v>
      </c>
      <c r="L2127" t="s">
        <v>57</v>
      </c>
      <c r="M2127" t="s">
        <v>39</v>
      </c>
      <c r="N2127">
        <v>0.85640000000000005</v>
      </c>
      <c r="O2127" s="1">
        <v>1</v>
      </c>
      <c r="P2127" t="s">
        <v>21128</v>
      </c>
      <c r="Q2127" t="s">
        <v>21129</v>
      </c>
      <c r="S2127" t="s">
        <v>166</v>
      </c>
      <c r="T2127" t="s">
        <v>838</v>
      </c>
      <c r="U2127" t="s">
        <v>21130</v>
      </c>
      <c r="V2127">
        <v>5</v>
      </c>
      <c r="X2127" t="s">
        <v>21131</v>
      </c>
      <c r="Y2127" t="s">
        <v>21132</v>
      </c>
      <c r="AE2127" t="s">
        <v>74</v>
      </c>
      <c r="AF2127" t="s">
        <v>21133</v>
      </c>
      <c r="AG2127" t="s">
        <v>21134</v>
      </c>
      <c r="AH2127" t="str">
        <f>HYPERLINK("http://compartments.jensenlab.org/Entity?figures=subcell_cell_%&amp;knowledge=10&amp;textmining=10&amp;experiments=10&amp;predictions=10&amp;type1=9606&amp;type2=-22&amp;id1=ENSP00000298386","link")</f>
        <v>link</v>
      </c>
      <c r="AI2127" t="s">
        <v>65</v>
      </c>
      <c r="AJ2127" t="s">
        <v>51</v>
      </c>
      <c r="AK2127" t="str">
        <f>HYPERLINK("http://www.proteinatlas.org/Q8WXD0","no")</f>
        <v>no</v>
      </c>
      <c r="AM2127">
        <v>122042</v>
      </c>
    </row>
    <row r="2128" spans="1:39" x14ac:dyDescent="0.35">
      <c r="A2128" t="s">
        <v>21135</v>
      </c>
      <c r="B2128" t="str">
        <f>HYPERLINK("http://www.uniprot.org/uniprot/Q8WXG9","Q8WXG9")</f>
        <v>Q8WXG9</v>
      </c>
      <c r="C2128" t="s">
        <v>21136</v>
      </c>
      <c r="D2128" t="s">
        <v>21137</v>
      </c>
      <c r="E2128" t="s">
        <v>39</v>
      </c>
      <c r="F2128" t="s">
        <v>40</v>
      </c>
      <c r="H2128">
        <v>6306</v>
      </c>
      <c r="I2128">
        <v>7</v>
      </c>
      <c r="J2128">
        <v>1</v>
      </c>
      <c r="K2128" t="s">
        <v>21138</v>
      </c>
      <c r="L2128" t="s">
        <v>57</v>
      </c>
      <c r="N2128">
        <v>0.93010000000000004</v>
      </c>
      <c r="O2128" s="1">
        <v>1</v>
      </c>
      <c r="P2128" t="s">
        <v>21139</v>
      </c>
      <c r="Q2128" t="s">
        <v>21140</v>
      </c>
      <c r="S2128" t="s">
        <v>166</v>
      </c>
      <c r="T2128" t="s">
        <v>1149</v>
      </c>
      <c r="U2128" t="s">
        <v>21141</v>
      </c>
      <c r="V2128">
        <v>103</v>
      </c>
      <c r="W2128" t="s">
        <v>21142</v>
      </c>
      <c r="Y2128">
        <v>2423</v>
      </c>
      <c r="AE2128" t="s">
        <v>74</v>
      </c>
      <c r="AF2128" t="s">
        <v>21143</v>
      </c>
      <c r="AG2128" t="s">
        <v>21144</v>
      </c>
      <c r="AH2128" t="str">
        <f>HYPERLINK("http://compartments.jensenlab.org/Entity?figures=subcell_cell_%&amp;knowledge=10&amp;textmining=10&amp;experiments=10&amp;predictions=10&amp;type1=9606&amp;type2=-22&amp;id1=ENSP00000384582","link")</f>
        <v>link</v>
      </c>
      <c r="AI2128" t="s">
        <v>65</v>
      </c>
      <c r="AJ2128" t="s">
        <v>2124</v>
      </c>
      <c r="AK2128" t="str">
        <f>HYPERLINK("http://www.proteinatlas.org/Q8WXG9","no")</f>
        <v>no</v>
      </c>
      <c r="AM2128">
        <v>84059</v>
      </c>
    </row>
    <row r="2129" spans="1:39" x14ac:dyDescent="0.35">
      <c r="A2129" t="s">
        <v>21145</v>
      </c>
      <c r="B2129" t="str">
        <f>HYPERLINK("http://www.uniprot.org/uniprot/Q8WXI7","Q8WXI7")</f>
        <v>Q8WXI7</v>
      </c>
      <c r="C2129" t="s">
        <v>21146</v>
      </c>
      <c r="D2129" t="s">
        <v>21147</v>
      </c>
      <c r="E2129" t="s">
        <v>39</v>
      </c>
      <c r="F2129" t="s">
        <v>55</v>
      </c>
      <c r="H2129">
        <v>22152</v>
      </c>
      <c r="I2129">
        <v>1</v>
      </c>
      <c r="J2129">
        <v>0</v>
      </c>
      <c r="K2129" t="s">
        <v>21148</v>
      </c>
      <c r="L2129" t="s">
        <v>101</v>
      </c>
      <c r="M2129" t="s">
        <v>39</v>
      </c>
      <c r="N2129">
        <v>0.82420000000000004</v>
      </c>
      <c r="O2129" s="1">
        <v>1</v>
      </c>
      <c r="S2129" t="s">
        <v>60</v>
      </c>
      <c r="T2129" t="s">
        <v>60</v>
      </c>
      <c r="U2129" t="s">
        <v>21149</v>
      </c>
      <c r="V2129">
        <v>255</v>
      </c>
      <c r="W2129" t="s">
        <v>21150</v>
      </c>
      <c r="X2129" t="s">
        <v>21151</v>
      </c>
      <c r="Z2129" t="s">
        <v>107</v>
      </c>
      <c r="AA2129">
        <v>17</v>
      </c>
      <c r="AB2129" t="s">
        <v>21152</v>
      </c>
      <c r="AC2129" t="s">
        <v>21153</v>
      </c>
      <c r="AD2129" t="s">
        <v>21154</v>
      </c>
      <c r="AE2129" t="s">
        <v>3583</v>
      </c>
      <c r="AF2129" t="s">
        <v>21155</v>
      </c>
      <c r="AG2129" t="s">
        <v>21156</v>
      </c>
      <c r="AK2129" t="str">
        <f>HYPERLINK("http://www.proteinatlas.org/Q8WXI7","no")</f>
        <v>no</v>
      </c>
      <c r="AM2129">
        <v>94025</v>
      </c>
    </row>
    <row r="2130" spans="1:39" x14ac:dyDescent="0.35">
      <c r="A2130" t="s">
        <v>21157</v>
      </c>
      <c r="B2130" t="str">
        <f>HYPERLINK("http://www.uniprot.org/uniprot/Q8WXS4","Q8WXS4")</f>
        <v>Q8WXS4</v>
      </c>
      <c r="C2130" t="s">
        <v>21158</v>
      </c>
      <c r="D2130" t="s">
        <v>21159</v>
      </c>
      <c r="E2130" t="s">
        <v>39</v>
      </c>
      <c r="F2130" t="s">
        <v>40</v>
      </c>
      <c r="H2130">
        <v>190</v>
      </c>
      <c r="I2130">
        <v>4</v>
      </c>
      <c r="J2130">
        <v>0</v>
      </c>
      <c r="K2130" t="s">
        <v>21160</v>
      </c>
      <c r="L2130" t="s">
        <v>42</v>
      </c>
      <c r="N2130">
        <v>0.70860000000000001</v>
      </c>
      <c r="O2130" s="1">
        <v>2</v>
      </c>
      <c r="P2130" t="s">
        <v>21161</v>
      </c>
      <c r="Q2130" t="s">
        <v>21162</v>
      </c>
      <c r="S2130" t="s">
        <v>45</v>
      </c>
      <c r="T2130" t="s">
        <v>341</v>
      </c>
      <c r="U2130">
        <v>68</v>
      </c>
      <c r="V2130">
        <v>1</v>
      </c>
      <c r="AE2130" t="s">
        <v>48</v>
      </c>
      <c r="AF2130" t="s">
        <v>2133</v>
      </c>
      <c r="AG2130" t="s">
        <v>21163</v>
      </c>
      <c r="AH2130" t="str">
        <f>HYPERLINK("http://compartments.jensenlab.org/Entity?figures=subcell_cell_%&amp;knowledge=10&amp;textmining=10&amp;experiments=10&amp;predictions=10&amp;type1=9606&amp;type2=-22&amp;id1=ENSP00000303148","link")</f>
        <v>link</v>
      </c>
      <c r="AJ2130" t="s">
        <v>51</v>
      </c>
      <c r="AK2130" t="str">
        <f>HYPERLINK("http://www.proteinatlas.org/Q8WXS4","HPA053794")</f>
        <v>HPA053794</v>
      </c>
      <c r="AM2130">
        <v>140738</v>
      </c>
    </row>
    <row r="2131" spans="1:39" x14ac:dyDescent="0.35">
      <c r="A2131" t="s">
        <v>21164</v>
      </c>
      <c r="B2131" t="str">
        <f>HYPERLINK("http://www.uniprot.org/uniprot/Q8WXS5","Q8WXS5")</f>
        <v>Q8WXS5</v>
      </c>
      <c r="C2131" t="s">
        <v>21165</v>
      </c>
      <c r="D2131" t="s">
        <v>21166</v>
      </c>
      <c r="E2131" t="s">
        <v>39</v>
      </c>
      <c r="F2131" t="s">
        <v>55</v>
      </c>
      <c r="H2131">
        <v>425</v>
      </c>
      <c r="I2131">
        <v>4</v>
      </c>
      <c r="J2131">
        <v>0</v>
      </c>
      <c r="K2131" t="s">
        <v>21167</v>
      </c>
      <c r="L2131" t="s">
        <v>42</v>
      </c>
      <c r="M2131" t="s">
        <v>39</v>
      </c>
      <c r="N2131">
        <v>0.71750000000000003</v>
      </c>
      <c r="O2131" s="1">
        <v>2</v>
      </c>
      <c r="P2131" t="s">
        <v>21168</v>
      </c>
      <c r="Q2131" t="s">
        <v>21169</v>
      </c>
      <c r="S2131" t="s">
        <v>45</v>
      </c>
      <c r="T2131" t="s">
        <v>341</v>
      </c>
      <c r="U2131" t="s">
        <v>21170</v>
      </c>
      <c r="V2131">
        <v>2</v>
      </c>
      <c r="Y2131" t="s">
        <v>21171</v>
      </c>
      <c r="AE2131" t="s">
        <v>21172</v>
      </c>
      <c r="AF2131" t="s">
        <v>21173</v>
      </c>
      <c r="AG2131" t="s">
        <v>21174</v>
      </c>
      <c r="AH2131" t="str">
        <f>HYPERLINK("http://compartments.jensenlab.org/Entity?figures=subcell_cell_%&amp;knowledge=10&amp;textmining=10&amp;experiments=10&amp;predictions=10&amp;type1=9606&amp;type2=-22&amp;id1=ENSP00000270458","link")</f>
        <v>link</v>
      </c>
      <c r="AI2131" t="s">
        <v>65</v>
      </c>
      <c r="AJ2131" t="s">
        <v>1811</v>
      </c>
      <c r="AK2131" t="str">
        <f>HYPERLINK("http://www.proteinatlas.org/Q8WXS5","HPA041351")</f>
        <v>HPA041351</v>
      </c>
      <c r="AM2131">
        <v>59283</v>
      </c>
    </row>
    <row r="2132" spans="1:39" x14ac:dyDescent="0.35">
      <c r="A2132" t="s">
        <v>21175</v>
      </c>
      <c r="B2132" t="str">
        <f>HYPERLINK("http://www.uniprot.org/uniprot/Q8WY07","Q8WY07")</f>
        <v>Q8WY07</v>
      </c>
      <c r="C2132" t="s">
        <v>21176</v>
      </c>
      <c r="D2132" t="s">
        <v>21177</v>
      </c>
      <c r="E2132" t="s">
        <v>39</v>
      </c>
      <c r="F2132" t="s">
        <v>55</v>
      </c>
      <c r="H2132">
        <v>619</v>
      </c>
      <c r="I2132">
        <v>14</v>
      </c>
      <c r="J2132">
        <v>0</v>
      </c>
      <c r="K2132" t="s">
        <v>21178</v>
      </c>
      <c r="L2132" t="s">
        <v>57</v>
      </c>
      <c r="M2132" t="s">
        <v>39</v>
      </c>
      <c r="N2132">
        <v>0.65680000000000005</v>
      </c>
      <c r="O2132" s="1">
        <v>2</v>
      </c>
      <c r="P2132" t="s">
        <v>21179</v>
      </c>
      <c r="Q2132" t="s">
        <v>21180</v>
      </c>
      <c r="S2132" t="s">
        <v>45</v>
      </c>
      <c r="T2132" t="s">
        <v>1743</v>
      </c>
      <c r="U2132">
        <v>232</v>
      </c>
      <c r="V2132">
        <v>1</v>
      </c>
      <c r="AE2132" t="s">
        <v>74</v>
      </c>
      <c r="AF2132" t="s">
        <v>21181</v>
      </c>
      <c r="AG2132" t="s">
        <v>21182</v>
      </c>
      <c r="AH2132" t="str">
        <f>HYPERLINK("http://compartments.jensenlab.org/Entity?figures=subcell_cell_%&amp;knowledge=10&amp;textmining=10&amp;experiments=10&amp;predictions=10&amp;type1=9606&amp;type2=-22&amp;id1=ENSP00000298085","link")</f>
        <v>link</v>
      </c>
      <c r="AI2132" t="s">
        <v>65</v>
      </c>
      <c r="AJ2132" t="s">
        <v>51</v>
      </c>
      <c r="AK2132" t="str">
        <f>HYPERLINK("http://www.proteinatlas.org/Q8WY07","HPA003629")</f>
        <v>HPA003629</v>
      </c>
      <c r="AL2132" t="s">
        <v>1747</v>
      </c>
      <c r="AM2132">
        <v>84889</v>
      </c>
    </row>
    <row r="2133" spans="1:39" x14ac:dyDescent="0.35">
      <c r="A2133" t="s">
        <v>21183</v>
      </c>
      <c r="B2133" t="str">
        <f>HYPERLINK("http://www.uniprot.org/uniprot/Q8WY21","Q8WY21")</f>
        <v>Q8WY21</v>
      </c>
      <c r="C2133" t="s">
        <v>21184</v>
      </c>
      <c r="D2133" t="s">
        <v>21185</v>
      </c>
      <c r="E2133" t="s">
        <v>39</v>
      </c>
      <c r="F2133" t="s">
        <v>40</v>
      </c>
      <c r="H2133">
        <v>1168</v>
      </c>
      <c r="I2133">
        <v>1</v>
      </c>
      <c r="J2133">
        <v>1</v>
      </c>
      <c r="K2133" t="s">
        <v>21186</v>
      </c>
      <c r="L2133" t="s">
        <v>101</v>
      </c>
      <c r="N2133">
        <v>0.69259999999999999</v>
      </c>
      <c r="O2133" s="1">
        <v>2</v>
      </c>
      <c r="P2133" t="s">
        <v>21187</v>
      </c>
      <c r="Q2133" t="s">
        <v>21188</v>
      </c>
      <c r="S2133" t="s">
        <v>166</v>
      </c>
      <c r="T2133" t="s">
        <v>21189</v>
      </c>
      <c r="U2133" t="s">
        <v>21190</v>
      </c>
      <c r="V2133">
        <v>9</v>
      </c>
      <c r="Z2133" t="s">
        <v>107</v>
      </c>
      <c r="AA2133">
        <v>3</v>
      </c>
      <c r="AB2133" t="s">
        <v>21191</v>
      </c>
      <c r="AC2133" t="s">
        <v>21192</v>
      </c>
      <c r="AD2133" t="s">
        <v>21193</v>
      </c>
      <c r="AE2133" t="s">
        <v>144</v>
      </c>
      <c r="AF2133" t="s">
        <v>21194</v>
      </c>
      <c r="AG2133" t="s">
        <v>21195</v>
      </c>
      <c r="AH2133" t="str">
        <f>HYPERLINK("http://compartments.jensenlab.org/Entity?figures=subcell_cell_%&amp;knowledge=10&amp;textmining=10&amp;experiments=10&amp;predictions=10&amp;type1=9606&amp;type2=-22&amp;id1=ENSP00000263054","link")</f>
        <v>link</v>
      </c>
      <c r="AK2133" t="str">
        <f>HYPERLINK("http://www.proteinatlas.org/Q8WY21","HPA011948")</f>
        <v>HPA011948</v>
      </c>
      <c r="AM2133">
        <v>114815</v>
      </c>
    </row>
    <row r="2134" spans="1:39" x14ac:dyDescent="0.35">
      <c r="A2134" t="s">
        <v>21196</v>
      </c>
      <c r="B2134" t="str">
        <f>HYPERLINK("http://www.uniprot.org/uniprot/Q8WYK1","Q8WYK1")</f>
        <v>Q8WYK1</v>
      </c>
      <c r="C2134" t="s">
        <v>21197</v>
      </c>
      <c r="D2134" t="s">
        <v>21198</v>
      </c>
      <c r="E2134" t="s">
        <v>39</v>
      </c>
      <c r="F2134" t="s">
        <v>40</v>
      </c>
      <c r="H2134">
        <v>1306</v>
      </c>
      <c r="I2134">
        <v>1</v>
      </c>
      <c r="J2134">
        <v>1</v>
      </c>
      <c r="K2134" t="s">
        <v>21199</v>
      </c>
      <c r="L2134" t="s">
        <v>57</v>
      </c>
      <c r="N2134">
        <v>0.81640000000000001</v>
      </c>
      <c r="O2134" s="1">
        <v>1</v>
      </c>
      <c r="P2134" t="s">
        <v>21200</v>
      </c>
      <c r="Q2134" t="s">
        <v>21201</v>
      </c>
      <c r="S2134" t="s">
        <v>166</v>
      </c>
      <c r="T2134" t="s">
        <v>11402</v>
      </c>
      <c r="U2134" t="s">
        <v>21202</v>
      </c>
      <c r="V2134">
        <v>13</v>
      </c>
      <c r="AE2134" t="s">
        <v>144</v>
      </c>
      <c r="AF2134" t="s">
        <v>21203</v>
      </c>
      <c r="AG2134" t="s">
        <v>21204</v>
      </c>
      <c r="AH2134" t="str">
        <f>HYPERLINK("http://compartments.jensenlab.org/Entity?figures=subcell_cell_%&amp;knowledge=10&amp;textmining=10&amp;experiments=10&amp;predictions=10&amp;type1=9606&amp;type2=-22&amp;id1=ENSP00000399013","link")</f>
        <v>link</v>
      </c>
      <c r="AJ2134" t="s">
        <v>51</v>
      </c>
      <c r="AK2134" t="str">
        <f>HYPERLINK("http://www.proteinatlas.org/Q8WYK1","no")</f>
        <v>no</v>
      </c>
      <c r="AM2134">
        <v>129684</v>
      </c>
    </row>
    <row r="2135" spans="1:39" x14ac:dyDescent="0.35">
      <c r="A2135" t="s">
        <v>21205</v>
      </c>
      <c r="B2135" t="str">
        <f>HYPERLINK("http://www.uniprot.org/uniprot/Q8WZ71","Q8WZ71")</f>
        <v>Q8WZ71</v>
      </c>
      <c r="C2135" t="s">
        <v>21206</v>
      </c>
      <c r="D2135" t="s">
        <v>21207</v>
      </c>
      <c r="E2135" t="s">
        <v>39</v>
      </c>
      <c r="F2135" t="s">
        <v>40</v>
      </c>
      <c r="H2135">
        <v>300</v>
      </c>
      <c r="I2135">
        <v>1</v>
      </c>
      <c r="J2135">
        <v>1</v>
      </c>
      <c r="K2135" t="s">
        <v>21208</v>
      </c>
      <c r="L2135" t="s">
        <v>42</v>
      </c>
      <c r="N2135">
        <v>0.72650000000000003</v>
      </c>
      <c r="O2135" s="1">
        <v>2</v>
      </c>
      <c r="P2135" t="s">
        <v>21209</v>
      </c>
      <c r="Q2135" t="s">
        <v>21210</v>
      </c>
      <c r="S2135" t="s">
        <v>60</v>
      </c>
      <c r="T2135" t="s">
        <v>60</v>
      </c>
      <c r="U2135" t="s">
        <v>21211</v>
      </c>
      <c r="V2135">
        <v>3</v>
      </c>
      <c r="AE2135" t="s">
        <v>48</v>
      </c>
      <c r="AF2135" t="s">
        <v>16495</v>
      </c>
      <c r="AG2135" t="s">
        <v>21212</v>
      </c>
      <c r="AH2135" t="str">
        <f>HYPERLINK("http://compartments.jensenlab.org/Entity?figures=subcell_cell_%&amp;knowledge=10&amp;textmining=10&amp;experiments=10&amp;predictions=10&amp;type1=9606&amp;type2=-22&amp;id1=ENSP00000422431","link")</f>
        <v>link</v>
      </c>
      <c r="AK2135" t="str">
        <f>HYPERLINK("http://www.proteinatlas.org/Q8WZ71","no")</f>
        <v>no</v>
      </c>
      <c r="AM2135">
        <v>25907</v>
      </c>
    </row>
    <row r="2136" spans="1:39" x14ac:dyDescent="0.35">
      <c r="A2136" t="s">
        <v>21213</v>
      </c>
      <c r="B2136" t="str">
        <f>HYPERLINK("http://www.uniprot.org/uniprot/Q8WZ84","Q8WZ84")</f>
        <v>Q8WZ84</v>
      </c>
      <c r="C2136" t="s">
        <v>21214</v>
      </c>
      <c r="D2136" t="s">
        <v>21215</v>
      </c>
      <c r="E2136" t="s">
        <v>39</v>
      </c>
      <c r="F2136" t="s">
        <v>55</v>
      </c>
      <c r="H2136">
        <v>308</v>
      </c>
      <c r="I2136">
        <v>7</v>
      </c>
      <c r="J2136">
        <v>0</v>
      </c>
      <c r="K2136" t="s">
        <v>21216</v>
      </c>
      <c r="L2136" t="s">
        <v>57</v>
      </c>
      <c r="M2136" t="s">
        <v>39</v>
      </c>
      <c r="N2136">
        <v>0.97040000000000004</v>
      </c>
      <c r="O2136" s="1">
        <v>1</v>
      </c>
      <c r="P2136" t="s">
        <v>21217</v>
      </c>
      <c r="Q2136" t="s">
        <v>21218</v>
      </c>
      <c r="S2136" t="s">
        <v>166</v>
      </c>
      <c r="T2136" t="s">
        <v>167</v>
      </c>
      <c r="U2136" t="s">
        <v>21219</v>
      </c>
      <c r="V2136">
        <v>2</v>
      </c>
      <c r="AE2136" t="s">
        <v>74</v>
      </c>
      <c r="AF2136" t="s">
        <v>169</v>
      </c>
      <c r="AG2136" t="s">
        <v>21220</v>
      </c>
      <c r="AH2136" t="str">
        <f>HYPERLINK("http://compartments.jensenlab.org/Entity?figures=subcell_cell_%&amp;knowledge=10&amp;textmining=10&amp;experiments=10&amp;predictions=10&amp;type1=9606&amp;type2=-22&amp;id1=ENSP00000350474","link")</f>
        <v>link</v>
      </c>
      <c r="AI2136" t="s">
        <v>65</v>
      </c>
      <c r="AJ2136" t="s">
        <v>51</v>
      </c>
      <c r="AK2136" t="str">
        <f>HYPERLINK("http://www.proteinatlas.org/Q8WZ84","HPA059510")</f>
        <v>HPA059510</v>
      </c>
      <c r="AM2136">
        <v>283159</v>
      </c>
    </row>
    <row r="2137" spans="1:39" x14ac:dyDescent="0.35">
      <c r="A2137" t="s">
        <v>21221</v>
      </c>
      <c r="B2137" t="str">
        <f>HYPERLINK("http://www.uniprot.org/uniprot/Q8WZ92","Q8WZ92")</f>
        <v>Q8WZ92</v>
      </c>
      <c r="C2137" t="s">
        <v>21222</v>
      </c>
      <c r="D2137" t="s">
        <v>21223</v>
      </c>
      <c r="E2137" t="s">
        <v>39</v>
      </c>
      <c r="F2137" t="s">
        <v>55</v>
      </c>
      <c r="H2137">
        <v>322</v>
      </c>
      <c r="I2137">
        <v>7</v>
      </c>
      <c r="J2137">
        <v>0</v>
      </c>
      <c r="K2137" t="s">
        <v>21224</v>
      </c>
      <c r="L2137" t="s">
        <v>57</v>
      </c>
      <c r="N2137">
        <v>0.99</v>
      </c>
      <c r="O2137" s="1">
        <v>1</v>
      </c>
      <c r="P2137" t="s">
        <v>21225</v>
      </c>
      <c r="Q2137" t="s">
        <v>21226</v>
      </c>
      <c r="S2137" t="s">
        <v>166</v>
      </c>
      <c r="T2137" t="s">
        <v>167</v>
      </c>
      <c r="U2137" t="s">
        <v>21227</v>
      </c>
      <c r="V2137">
        <v>2</v>
      </c>
      <c r="AE2137" t="s">
        <v>74</v>
      </c>
      <c r="AF2137" t="s">
        <v>169</v>
      </c>
      <c r="AG2137" t="s">
        <v>21228</v>
      </c>
      <c r="AH2137" t="str">
        <f>HYPERLINK("http://compartments.jensenlab.org/Entity?figures=subcell_cell_%&amp;knowledge=10&amp;textmining=10&amp;experiments=10&amp;predictions=10&amp;type1=9606&amp;type2=-22&amp;id1=ENSP00000331823","link")</f>
        <v>link</v>
      </c>
      <c r="AI2137" t="s">
        <v>65</v>
      </c>
      <c r="AJ2137" t="s">
        <v>51</v>
      </c>
      <c r="AK2137" t="str">
        <f>HYPERLINK("http://www.proteinatlas.org/Q8WZ92","no")</f>
        <v>no</v>
      </c>
      <c r="AM2137">
        <v>120065</v>
      </c>
    </row>
    <row r="2138" spans="1:39" x14ac:dyDescent="0.35">
      <c r="A2138" t="s">
        <v>21229</v>
      </c>
      <c r="B2138" t="str">
        <f>HYPERLINK("http://www.uniprot.org/uniprot/Q8WZ94","Q8WZ94")</f>
        <v>Q8WZ94</v>
      </c>
      <c r="C2138" t="s">
        <v>21230</v>
      </c>
      <c r="D2138" t="s">
        <v>21231</v>
      </c>
      <c r="E2138" t="s">
        <v>39</v>
      </c>
      <c r="F2138" t="s">
        <v>55</v>
      </c>
      <c r="H2138">
        <v>311</v>
      </c>
      <c r="I2138">
        <v>7</v>
      </c>
      <c r="J2138">
        <v>0</v>
      </c>
      <c r="K2138" t="s">
        <v>21232</v>
      </c>
      <c r="L2138" t="s">
        <v>57</v>
      </c>
      <c r="M2138" t="s">
        <v>39</v>
      </c>
      <c r="N2138">
        <v>0.98960000000000004</v>
      </c>
      <c r="O2138" s="1">
        <v>1</v>
      </c>
      <c r="P2138" t="s">
        <v>21233</v>
      </c>
      <c r="Q2138" t="s">
        <v>21234</v>
      </c>
      <c r="S2138" t="s">
        <v>166</v>
      </c>
      <c r="T2138" t="s">
        <v>167</v>
      </c>
      <c r="U2138" t="s">
        <v>16503</v>
      </c>
      <c r="V2138">
        <v>1</v>
      </c>
      <c r="AE2138" t="s">
        <v>74</v>
      </c>
      <c r="AF2138" t="s">
        <v>169</v>
      </c>
      <c r="AG2138" t="s">
        <v>21235</v>
      </c>
      <c r="AH2138" t="str">
        <f>HYPERLINK("http://compartments.jensenlab.org/Entity?figures=subcell_cell_%&amp;knowledge=10&amp;textmining=10&amp;experiments=10&amp;predictions=10&amp;type1=9606&amp;type2=-22&amp;id1=ENSP00000332068","link")</f>
        <v>link</v>
      </c>
      <c r="AI2138" t="s">
        <v>65</v>
      </c>
      <c r="AJ2138" t="s">
        <v>51</v>
      </c>
      <c r="AK2138" t="str">
        <f>HYPERLINK("http://www.proteinatlas.org/Q8WZ94","HPA060787")</f>
        <v>HPA060787</v>
      </c>
      <c r="AM2138">
        <v>120066</v>
      </c>
    </row>
    <row r="2139" spans="1:39" x14ac:dyDescent="0.35">
      <c r="A2139" t="s">
        <v>21236</v>
      </c>
      <c r="B2139" t="str">
        <f>HYPERLINK("http://www.uniprot.org/uniprot/Q8WZA6","Q8WZA6")</f>
        <v>Q8WZA6</v>
      </c>
      <c r="C2139" t="s">
        <v>21237</v>
      </c>
      <c r="D2139" t="s">
        <v>21238</v>
      </c>
      <c r="E2139" t="s">
        <v>39</v>
      </c>
      <c r="F2139" t="s">
        <v>40</v>
      </c>
      <c r="H2139">
        <v>343</v>
      </c>
      <c r="I2139">
        <v>7</v>
      </c>
      <c r="J2139">
        <v>0</v>
      </c>
      <c r="K2139" t="s">
        <v>21239</v>
      </c>
      <c r="L2139" t="s">
        <v>57</v>
      </c>
      <c r="N2139">
        <v>0.81240000000000001</v>
      </c>
      <c r="O2139" s="1">
        <v>1</v>
      </c>
      <c r="S2139" t="s">
        <v>166</v>
      </c>
      <c r="T2139" t="s">
        <v>167</v>
      </c>
      <c r="U2139" t="s">
        <v>1191</v>
      </c>
      <c r="V2139">
        <v>1</v>
      </c>
      <c r="AE2139" t="s">
        <v>74</v>
      </c>
      <c r="AF2139" t="s">
        <v>169</v>
      </c>
      <c r="AG2139" t="s">
        <v>21240</v>
      </c>
      <c r="AK2139" t="str">
        <f>HYPERLINK("http://www.proteinatlas.org/Q8WZA6","no")</f>
        <v>no</v>
      </c>
    </row>
    <row r="2140" spans="1:39" x14ac:dyDescent="0.35">
      <c r="A2140" t="s">
        <v>21241</v>
      </c>
      <c r="B2140" t="str">
        <f>HYPERLINK("http://www.uniprot.org/uniprot/Q902F8","Q902F8")</f>
        <v>Q902F8</v>
      </c>
      <c r="C2140" t="s">
        <v>21242</v>
      </c>
      <c r="D2140" t="s">
        <v>21243</v>
      </c>
      <c r="E2140" t="s">
        <v>39</v>
      </c>
      <c r="F2140" t="s">
        <v>40</v>
      </c>
      <c r="H2140">
        <v>699</v>
      </c>
      <c r="I2140">
        <v>1</v>
      </c>
      <c r="J2140">
        <v>1</v>
      </c>
      <c r="K2140" t="s">
        <v>2437</v>
      </c>
      <c r="L2140" t="s">
        <v>57</v>
      </c>
      <c r="N2140">
        <v>0.87429999999999997</v>
      </c>
      <c r="O2140" s="1">
        <v>1</v>
      </c>
      <c r="S2140" t="s">
        <v>91</v>
      </c>
      <c r="T2140" t="s">
        <v>2438</v>
      </c>
      <c r="U2140" t="s">
        <v>2439</v>
      </c>
      <c r="V2140">
        <v>11</v>
      </c>
      <c r="AE2140" t="s">
        <v>1674</v>
      </c>
      <c r="AF2140" t="s">
        <v>2440</v>
      </c>
      <c r="AG2140" t="s">
        <v>21244</v>
      </c>
      <c r="AK2140" t="str">
        <f>HYPERLINK("http://www.proteinatlas.org/Q902F8","no")</f>
        <v>no</v>
      </c>
    </row>
    <row r="2141" spans="1:39" x14ac:dyDescent="0.35">
      <c r="A2141" t="s">
        <v>21245</v>
      </c>
      <c r="B2141" t="str">
        <f>HYPERLINK("http://www.uniprot.org/uniprot/Q902F9","Q902F9")</f>
        <v>Q902F9</v>
      </c>
      <c r="C2141" t="s">
        <v>21246</v>
      </c>
      <c r="D2141" t="s">
        <v>21247</v>
      </c>
      <c r="E2141" t="s">
        <v>39</v>
      </c>
      <c r="F2141" t="s">
        <v>40</v>
      </c>
      <c r="H2141">
        <v>699</v>
      </c>
      <c r="I2141">
        <v>1</v>
      </c>
      <c r="J2141">
        <v>1</v>
      </c>
      <c r="K2141" t="s">
        <v>2437</v>
      </c>
      <c r="L2141" t="s">
        <v>57</v>
      </c>
      <c r="N2141">
        <v>0.88219999999999998</v>
      </c>
      <c r="O2141" s="1">
        <v>1</v>
      </c>
      <c r="S2141" t="s">
        <v>91</v>
      </c>
      <c r="T2141" t="s">
        <v>2438</v>
      </c>
      <c r="U2141" t="s">
        <v>21248</v>
      </c>
      <c r="V2141">
        <v>12</v>
      </c>
      <c r="AE2141" t="s">
        <v>1674</v>
      </c>
      <c r="AF2141" t="s">
        <v>2440</v>
      </c>
      <c r="AG2141" t="s">
        <v>21249</v>
      </c>
      <c r="AK2141" t="str">
        <f>HYPERLINK("http://www.proteinatlas.org/Q902F9","no")</f>
        <v>no</v>
      </c>
    </row>
    <row r="2142" spans="1:39" x14ac:dyDescent="0.35">
      <c r="A2142" t="s">
        <v>21250</v>
      </c>
      <c r="B2142" t="str">
        <f>HYPERLINK("http://www.uniprot.org/uniprot/Q92508","Q92508")</f>
        <v>Q92508</v>
      </c>
      <c r="C2142" t="s">
        <v>21251</v>
      </c>
      <c r="D2142" t="s">
        <v>21252</v>
      </c>
      <c r="E2142" t="s">
        <v>39</v>
      </c>
      <c r="F2142" t="s">
        <v>55</v>
      </c>
      <c r="H2142">
        <v>2521</v>
      </c>
      <c r="I2142">
        <v>39</v>
      </c>
      <c r="J2142">
        <v>0</v>
      </c>
      <c r="K2142" t="s">
        <v>21253</v>
      </c>
      <c r="L2142" t="s">
        <v>1592</v>
      </c>
      <c r="M2142" t="s">
        <v>39</v>
      </c>
      <c r="N2142">
        <v>0.55379999999999996</v>
      </c>
      <c r="O2142" s="1">
        <v>3</v>
      </c>
      <c r="P2142" t="s">
        <v>21254</v>
      </c>
      <c r="Q2142" t="s">
        <v>21255</v>
      </c>
      <c r="S2142" t="s">
        <v>60</v>
      </c>
      <c r="T2142" t="s">
        <v>60</v>
      </c>
      <c r="U2142" t="s">
        <v>21256</v>
      </c>
      <c r="V2142">
        <v>7</v>
      </c>
      <c r="Y2142">
        <v>1403</v>
      </c>
      <c r="Z2142" t="s">
        <v>107</v>
      </c>
      <c r="AA2142">
        <v>5</v>
      </c>
      <c r="AB2142" t="s">
        <v>21257</v>
      </c>
      <c r="AC2142" t="s">
        <v>21258</v>
      </c>
      <c r="AD2142" t="s">
        <v>21259</v>
      </c>
      <c r="AE2142" t="s">
        <v>21260</v>
      </c>
      <c r="AF2142" t="s">
        <v>21261</v>
      </c>
      <c r="AG2142" t="s">
        <v>21262</v>
      </c>
      <c r="AH2142" t="str">
        <f>HYPERLINK("http://compartments.jensenlab.org/Entity?figures=subcell_cell_%&amp;knowledge=10&amp;textmining=10&amp;experiments=10&amp;predictions=10&amp;type1=9606&amp;type2=-22&amp;id1=ENSP00000301015","link")</f>
        <v>link</v>
      </c>
      <c r="AI2142" t="s">
        <v>1500</v>
      </c>
      <c r="AJ2142" t="s">
        <v>345</v>
      </c>
      <c r="AK2142" t="str">
        <f>HYPERLINK("http://www.proteinatlas.org/Q92508","HPA047185")</f>
        <v>HPA047185</v>
      </c>
      <c r="AM2142">
        <v>9780</v>
      </c>
    </row>
    <row r="2143" spans="1:39" x14ac:dyDescent="0.35">
      <c r="A2143" t="s">
        <v>21263</v>
      </c>
      <c r="B2143" t="str">
        <f>HYPERLINK("http://www.uniprot.org/uniprot/Q92536","Q92536")</f>
        <v>Q92536</v>
      </c>
      <c r="C2143" t="s">
        <v>21264</v>
      </c>
      <c r="D2143" t="s">
        <v>21265</v>
      </c>
      <c r="E2143" t="s">
        <v>39</v>
      </c>
      <c r="F2143" t="s">
        <v>40</v>
      </c>
      <c r="H2143">
        <v>515</v>
      </c>
      <c r="I2143">
        <v>12</v>
      </c>
      <c r="J2143">
        <v>0</v>
      </c>
      <c r="K2143" t="s">
        <v>21266</v>
      </c>
      <c r="L2143" t="s">
        <v>57</v>
      </c>
      <c r="N2143">
        <v>0.91020000000000001</v>
      </c>
      <c r="O2143" s="1">
        <v>1</v>
      </c>
      <c r="P2143" t="s">
        <v>21267</v>
      </c>
      <c r="Q2143" t="s">
        <v>21268</v>
      </c>
      <c r="S2143" t="s">
        <v>45</v>
      </c>
      <c r="T2143" t="s">
        <v>1743</v>
      </c>
      <c r="U2143" t="s">
        <v>21269</v>
      </c>
      <c r="V2143">
        <v>2</v>
      </c>
      <c r="W2143">
        <v>373</v>
      </c>
      <c r="AE2143" t="s">
        <v>21270</v>
      </c>
      <c r="AF2143" t="s">
        <v>21271</v>
      </c>
      <c r="AG2143" t="s">
        <v>21272</v>
      </c>
      <c r="AH2143" t="str">
        <f>HYPERLINK("http://compartments.jensenlab.org/Entity?figures=subcell_cell_%&amp;knowledge=10&amp;textmining=10&amp;experiments=10&amp;predictions=10&amp;type1=9606&amp;type2=-22&amp;id1=ENSP00000219343","link")</f>
        <v>link</v>
      </c>
      <c r="AI2143" t="s">
        <v>65</v>
      </c>
      <c r="AJ2143" t="s">
        <v>51</v>
      </c>
      <c r="AK2143" t="str">
        <f>HYPERLINK("http://www.proteinatlas.org/Q92536","HPA050713")</f>
        <v>HPA050713</v>
      </c>
      <c r="AM2143">
        <v>9057</v>
      </c>
    </row>
    <row r="2144" spans="1:39" x14ac:dyDescent="0.35">
      <c r="A2144" t="s">
        <v>21273</v>
      </c>
      <c r="B2144" t="str">
        <f>HYPERLINK("http://www.uniprot.org/uniprot/Q92537","Q92537")</f>
        <v>Q92537</v>
      </c>
      <c r="C2144" t="s">
        <v>21274</v>
      </c>
      <c r="D2144" t="s">
        <v>21275</v>
      </c>
      <c r="E2144" t="s">
        <v>39</v>
      </c>
      <c r="F2144" t="s">
        <v>40</v>
      </c>
      <c r="H2144">
        <v>303</v>
      </c>
      <c r="I2144">
        <v>1</v>
      </c>
      <c r="J2144">
        <v>1</v>
      </c>
      <c r="K2144" t="s">
        <v>21276</v>
      </c>
      <c r="L2144" t="s">
        <v>57</v>
      </c>
      <c r="N2144">
        <v>0.63070000000000004</v>
      </c>
      <c r="O2144" s="1">
        <v>2</v>
      </c>
      <c r="P2144" t="s">
        <v>21277</v>
      </c>
      <c r="Q2144" t="s">
        <v>21278</v>
      </c>
      <c r="S2144" t="s">
        <v>60</v>
      </c>
      <c r="T2144" t="s">
        <v>60</v>
      </c>
      <c r="V2144">
        <v>0</v>
      </c>
      <c r="AE2144" t="s">
        <v>144</v>
      </c>
      <c r="AF2144" t="s">
        <v>21279</v>
      </c>
      <c r="AG2144" t="s">
        <v>21280</v>
      </c>
      <c r="AH2144" t="str">
        <f>HYPERLINK("http://compartments.jensenlab.org/Entity?figures=subcell_cell_%&amp;knowledge=10&amp;textmining=10&amp;experiments=10&amp;predictions=10&amp;type1=9606&amp;type2=-22&amp;id1=ENSP00000344424","link")</f>
        <v>link</v>
      </c>
      <c r="AJ2144" t="s">
        <v>51</v>
      </c>
      <c r="AK2144" t="str">
        <f>HYPERLINK("http://www.proteinatlas.org/Q92537","HPA030464")</f>
        <v>HPA030464</v>
      </c>
      <c r="AM2144">
        <v>9766</v>
      </c>
    </row>
    <row r="2145" spans="1:39" x14ac:dyDescent="0.35">
      <c r="A2145" t="s">
        <v>21281</v>
      </c>
      <c r="B2145" t="str">
        <f>HYPERLINK("http://www.uniprot.org/uniprot/Q92542","Q92542")</f>
        <v>Q92542</v>
      </c>
      <c r="C2145" t="s">
        <v>21282</v>
      </c>
      <c r="D2145" t="s">
        <v>21283</v>
      </c>
      <c r="E2145" t="s">
        <v>39</v>
      </c>
      <c r="F2145" t="s">
        <v>40</v>
      </c>
      <c r="H2145">
        <v>709</v>
      </c>
      <c r="I2145">
        <v>1</v>
      </c>
      <c r="J2145">
        <v>1</v>
      </c>
      <c r="K2145" t="s">
        <v>21284</v>
      </c>
      <c r="L2145" t="s">
        <v>101</v>
      </c>
      <c r="N2145">
        <v>0.85429999999999995</v>
      </c>
      <c r="O2145" s="1">
        <v>1</v>
      </c>
      <c r="P2145" t="s">
        <v>21285</v>
      </c>
      <c r="Q2145" t="s">
        <v>21286</v>
      </c>
      <c r="S2145" t="s">
        <v>60</v>
      </c>
      <c r="T2145" t="s">
        <v>60</v>
      </c>
      <c r="U2145" t="s">
        <v>21287</v>
      </c>
      <c r="V2145">
        <v>16</v>
      </c>
      <c r="W2145" t="s">
        <v>21287</v>
      </c>
      <c r="Z2145" t="s">
        <v>107</v>
      </c>
      <c r="AA2145">
        <v>23</v>
      </c>
      <c r="AB2145" t="s">
        <v>21288</v>
      </c>
      <c r="AC2145" t="s">
        <v>21289</v>
      </c>
      <c r="AD2145" t="s">
        <v>21290</v>
      </c>
      <c r="AE2145" t="s">
        <v>21291</v>
      </c>
      <c r="AF2145" t="s">
        <v>21292</v>
      </c>
      <c r="AG2145" t="s">
        <v>21293</v>
      </c>
      <c r="AH2145" t="str">
        <f>HYPERLINK("http://compartments.jensenlab.org/Entity?figures=subcell_cell_%&amp;knowledge=10&amp;textmining=10&amp;experiments=10&amp;predictions=10&amp;type1=9606&amp;type2=-22&amp;id1=ENSP00000294785","link")</f>
        <v>link</v>
      </c>
      <c r="AJ2145" t="s">
        <v>21294</v>
      </c>
      <c r="AK2145" t="str">
        <f>HYPERLINK("http://www.proteinatlas.org/Q92542","CAB021982;HPA051793;HPA054846")</f>
        <v>CAB021982;HPA051793;HPA054846</v>
      </c>
      <c r="AM2145">
        <v>23385</v>
      </c>
    </row>
    <row r="2146" spans="1:39" x14ac:dyDescent="0.35">
      <c r="A2146" t="s">
        <v>21295</v>
      </c>
      <c r="B2146" t="str">
        <f>HYPERLINK("http://www.uniprot.org/uniprot/Q92544","Q92544")</f>
        <v>Q92544</v>
      </c>
      <c r="C2146" t="s">
        <v>21296</v>
      </c>
      <c r="D2146" t="s">
        <v>21297</v>
      </c>
      <c r="E2146" t="s">
        <v>39</v>
      </c>
      <c r="F2146" t="s">
        <v>40</v>
      </c>
      <c r="H2146">
        <v>642</v>
      </c>
      <c r="I2146">
        <v>9</v>
      </c>
      <c r="J2146">
        <v>1</v>
      </c>
      <c r="K2146" t="s">
        <v>21298</v>
      </c>
      <c r="L2146" t="s">
        <v>42</v>
      </c>
      <c r="N2146">
        <v>0.74050000000000005</v>
      </c>
      <c r="O2146" s="1">
        <v>2</v>
      </c>
      <c r="P2146" t="s">
        <v>21299</v>
      </c>
      <c r="Q2146" t="s">
        <v>21300</v>
      </c>
      <c r="S2146" t="s">
        <v>91</v>
      </c>
      <c r="T2146" t="s">
        <v>1480</v>
      </c>
      <c r="U2146">
        <v>234</v>
      </c>
      <c r="V2146">
        <v>1</v>
      </c>
      <c r="Y2146">
        <v>7</v>
      </c>
      <c r="AE2146" t="s">
        <v>48</v>
      </c>
      <c r="AF2146" t="s">
        <v>21301</v>
      </c>
      <c r="AG2146" t="s">
        <v>21302</v>
      </c>
      <c r="AH2146" t="str">
        <f>HYPERLINK("http://compartments.jensenlab.org/Entity?figures=subcell_cell_%&amp;knowledge=10&amp;textmining=10&amp;experiments=10&amp;predictions=10&amp;type1=9606&amp;type2=-22&amp;id1=ENSP00000217315","link")</f>
        <v>link</v>
      </c>
      <c r="AJ2146" t="s">
        <v>51</v>
      </c>
      <c r="AK2146" t="str">
        <f>HYPERLINK("http://www.proteinatlas.org/Q92544","HPA064099")</f>
        <v>HPA064099</v>
      </c>
      <c r="AM2146">
        <v>9777</v>
      </c>
    </row>
    <row r="2147" spans="1:39" x14ac:dyDescent="0.35">
      <c r="A2147" t="s">
        <v>21303</v>
      </c>
      <c r="B2147" t="str">
        <f>HYPERLINK("http://www.uniprot.org/uniprot/Q92581","Q92581")</f>
        <v>Q92581</v>
      </c>
      <c r="C2147" t="s">
        <v>21304</v>
      </c>
      <c r="D2147" t="s">
        <v>21305</v>
      </c>
      <c r="E2147" t="s">
        <v>39</v>
      </c>
      <c r="F2147" t="s">
        <v>40</v>
      </c>
      <c r="H2147">
        <v>669</v>
      </c>
      <c r="I2147">
        <v>11</v>
      </c>
      <c r="J2147">
        <v>1</v>
      </c>
      <c r="K2147" t="s">
        <v>21306</v>
      </c>
      <c r="L2147" t="s">
        <v>42</v>
      </c>
      <c r="N2147">
        <v>0.74050000000000005</v>
      </c>
      <c r="O2147" s="1">
        <v>2</v>
      </c>
      <c r="P2147" t="s">
        <v>21307</v>
      </c>
      <c r="Q2147" t="s">
        <v>21308</v>
      </c>
      <c r="S2147" t="s">
        <v>45</v>
      </c>
      <c r="T2147" t="s">
        <v>6330</v>
      </c>
      <c r="U2147" t="s">
        <v>21309</v>
      </c>
      <c r="V2147">
        <v>1</v>
      </c>
      <c r="AE2147" t="s">
        <v>21310</v>
      </c>
      <c r="AF2147" t="s">
        <v>21311</v>
      </c>
      <c r="AG2147" t="s">
        <v>21312</v>
      </c>
      <c r="AH2147" t="str">
        <f>HYPERLINK("http://compartments.jensenlab.org/Entity?figures=subcell_cell_%&amp;knowledge=10&amp;textmining=10&amp;experiments=10&amp;predictions=10&amp;type1=9606&amp;type2=-22&amp;id1=ENSP00000359732","link")</f>
        <v>link</v>
      </c>
      <c r="AK2147" t="str">
        <f>HYPERLINK("http://www.proteinatlas.org/Q92581","HPA059445;HPA059590")</f>
        <v>HPA059445;HPA059590</v>
      </c>
      <c r="AM2147">
        <v>10479</v>
      </c>
    </row>
    <row r="2148" spans="1:39" x14ac:dyDescent="0.35">
      <c r="A2148" t="s">
        <v>21313</v>
      </c>
      <c r="B2148" t="str">
        <f>HYPERLINK("http://www.uniprot.org/uniprot/Q92629","Q92629")</f>
        <v>Q92629</v>
      </c>
      <c r="C2148" t="s">
        <v>21314</v>
      </c>
      <c r="D2148" t="s">
        <v>21315</v>
      </c>
      <c r="E2148" t="s">
        <v>39</v>
      </c>
      <c r="F2148" t="s">
        <v>55</v>
      </c>
      <c r="H2148">
        <v>289</v>
      </c>
      <c r="I2148">
        <v>1</v>
      </c>
      <c r="J2148">
        <v>0</v>
      </c>
      <c r="K2148" t="s">
        <v>21316</v>
      </c>
      <c r="L2148" t="s">
        <v>101</v>
      </c>
      <c r="M2148" t="s">
        <v>39</v>
      </c>
      <c r="N2148">
        <v>0.64739999999999998</v>
      </c>
      <c r="O2148" s="1">
        <v>2</v>
      </c>
      <c r="P2148" t="s">
        <v>21317</v>
      </c>
      <c r="Q2148" t="s">
        <v>21318</v>
      </c>
      <c r="S2148" t="s">
        <v>91</v>
      </c>
      <c r="T2148" t="s">
        <v>1872</v>
      </c>
      <c r="U2148" t="s">
        <v>21319</v>
      </c>
      <c r="V2148">
        <v>3</v>
      </c>
      <c r="Z2148" t="s">
        <v>107</v>
      </c>
      <c r="AA2148">
        <v>2</v>
      </c>
      <c r="AB2148" t="s">
        <v>21320</v>
      </c>
      <c r="AC2148">
        <v>108</v>
      </c>
      <c r="AD2148" t="s">
        <v>21321</v>
      </c>
      <c r="AE2148" t="s">
        <v>13866</v>
      </c>
      <c r="AF2148" t="s">
        <v>21322</v>
      </c>
      <c r="AG2148" t="s">
        <v>21323</v>
      </c>
      <c r="AH2148" t="str">
        <f>HYPERLINK("http://compartments.jensenlab.org/Entity?figures=subcell_cell_%&amp;knowledge=10&amp;textmining=10&amp;experiments=10&amp;predictions=10&amp;type1=9606&amp;type2=-22&amp;id1=ENSP00000403003","link")</f>
        <v>link</v>
      </c>
      <c r="AK2148" t="str">
        <f>HYPERLINK("http://www.proteinatlas.org/Q92629","HPA026969")</f>
        <v>HPA026969</v>
      </c>
      <c r="AM2148">
        <v>6444</v>
      </c>
    </row>
    <row r="2149" spans="1:39" x14ac:dyDescent="0.35">
      <c r="A2149" t="s">
        <v>21324</v>
      </c>
      <c r="B2149" t="str">
        <f>HYPERLINK("http://www.uniprot.org/uniprot/Q92633","Q92633")</f>
        <v>Q92633</v>
      </c>
      <c r="C2149" t="s">
        <v>21325</v>
      </c>
      <c r="D2149" t="s">
        <v>21326</v>
      </c>
      <c r="E2149" t="s">
        <v>39</v>
      </c>
      <c r="F2149" t="s">
        <v>40</v>
      </c>
      <c r="H2149">
        <v>364</v>
      </c>
      <c r="I2149">
        <v>7</v>
      </c>
      <c r="J2149">
        <v>0</v>
      </c>
      <c r="K2149" t="s">
        <v>21327</v>
      </c>
      <c r="L2149" t="s">
        <v>57</v>
      </c>
      <c r="N2149">
        <v>0.95809999999999995</v>
      </c>
      <c r="O2149" s="1">
        <v>1</v>
      </c>
      <c r="P2149" t="s">
        <v>21328</v>
      </c>
      <c r="Q2149" t="s">
        <v>21329</v>
      </c>
      <c r="S2149" t="s">
        <v>166</v>
      </c>
      <c r="T2149" t="s">
        <v>838</v>
      </c>
      <c r="U2149" t="s">
        <v>21330</v>
      </c>
      <c r="V2149">
        <v>3</v>
      </c>
      <c r="W2149" t="s">
        <v>21331</v>
      </c>
      <c r="X2149" t="s">
        <v>21332</v>
      </c>
      <c r="AE2149" t="s">
        <v>21333</v>
      </c>
      <c r="AF2149" t="s">
        <v>9397</v>
      </c>
      <c r="AG2149" t="s">
        <v>21334</v>
      </c>
      <c r="AH2149" t="str">
        <f>HYPERLINK("http://compartments.jensenlab.org/Entity?figures=subcell_cell_%&amp;knowledge=10&amp;textmining=10&amp;experiments=10&amp;predictions=10&amp;type1=9606&amp;type2=-22&amp;id1=ENSP00000351755","link")</f>
        <v>link</v>
      </c>
      <c r="AI2149" t="s">
        <v>65</v>
      </c>
      <c r="AJ2149" t="s">
        <v>2124</v>
      </c>
      <c r="AK2149" t="str">
        <f>HYPERLINK("http://www.proteinatlas.org/Q92633","HPA050667")</f>
        <v>HPA050667</v>
      </c>
      <c r="AM2149">
        <v>1902</v>
      </c>
    </row>
    <row r="2150" spans="1:39" x14ac:dyDescent="0.35">
      <c r="A2150" t="s">
        <v>21335</v>
      </c>
      <c r="B2150" t="str">
        <f>HYPERLINK("http://www.uniprot.org/uniprot/Q92637","Q92637")</f>
        <v>Q92637</v>
      </c>
      <c r="C2150" t="s">
        <v>21336</v>
      </c>
      <c r="D2150" t="s">
        <v>21337</v>
      </c>
      <c r="E2150" t="s">
        <v>39</v>
      </c>
      <c r="F2150" t="s">
        <v>40</v>
      </c>
      <c r="H2150">
        <v>280</v>
      </c>
      <c r="I2150">
        <v>1</v>
      </c>
      <c r="J2150">
        <v>1</v>
      </c>
      <c r="K2150" t="s">
        <v>477</v>
      </c>
      <c r="L2150" t="s">
        <v>57</v>
      </c>
      <c r="N2150">
        <v>0.86229999999999996</v>
      </c>
      <c r="O2150" s="1">
        <v>1</v>
      </c>
      <c r="P2150" t="s">
        <v>21338</v>
      </c>
      <c r="S2150" t="s">
        <v>166</v>
      </c>
      <c r="T2150" t="s">
        <v>478</v>
      </c>
      <c r="U2150" t="s">
        <v>479</v>
      </c>
      <c r="V2150">
        <v>5</v>
      </c>
      <c r="AE2150" t="s">
        <v>332</v>
      </c>
      <c r="AF2150" t="s">
        <v>21339</v>
      </c>
      <c r="AG2150" t="s">
        <v>21340</v>
      </c>
      <c r="AK2150" t="str">
        <f>HYPERLINK("http://www.proteinatlas.org/Q92637","no")</f>
        <v>no</v>
      </c>
      <c r="AL2150" t="s">
        <v>21341</v>
      </c>
      <c r="AM2150">
        <v>2210</v>
      </c>
    </row>
    <row r="2151" spans="1:39" x14ac:dyDescent="0.35">
      <c r="A2151" t="s">
        <v>21342</v>
      </c>
      <c r="B2151" t="str">
        <f>HYPERLINK("http://www.uniprot.org/uniprot/Q92673","Q92673")</f>
        <v>Q92673</v>
      </c>
      <c r="C2151" t="s">
        <v>21343</v>
      </c>
      <c r="D2151" t="s">
        <v>21344</v>
      </c>
      <c r="E2151" t="s">
        <v>39</v>
      </c>
      <c r="F2151" t="s">
        <v>40</v>
      </c>
      <c r="H2151">
        <v>2214</v>
      </c>
      <c r="I2151">
        <v>1</v>
      </c>
      <c r="J2151">
        <v>1</v>
      </c>
      <c r="K2151" t="s">
        <v>21345</v>
      </c>
      <c r="L2151" t="s">
        <v>101</v>
      </c>
      <c r="N2151">
        <v>0.97209999999999996</v>
      </c>
      <c r="O2151" s="1">
        <v>1</v>
      </c>
      <c r="P2151" t="s">
        <v>21346</v>
      </c>
      <c r="Q2151" t="s">
        <v>21347</v>
      </c>
      <c r="S2151" t="s">
        <v>166</v>
      </c>
      <c r="T2151" t="s">
        <v>2518</v>
      </c>
      <c r="U2151" t="s">
        <v>21348</v>
      </c>
      <c r="V2151">
        <v>27</v>
      </c>
      <c r="W2151" t="s">
        <v>21349</v>
      </c>
      <c r="Y2151" t="s">
        <v>21350</v>
      </c>
      <c r="Z2151" t="s">
        <v>107</v>
      </c>
      <c r="AA2151">
        <v>12</v>
      </c>
      <c r="AB2151" t="s">
        <v>21351</v>
      </c>
      <c r="AC2151" t="s">
        <v>21352</v>
      </c>
      <c r="AD2151" t="s">
        <v>21353</v>
      </c>
      <c r="AE2151" t="s">
        <v>21354</v>
      </c>
      <c r="AF2151" t="s">
        <v>21355</v>
      </c>
      <c r="AG2151" t="s">
        <v>21356</v>
      </c>
      <c r="AH2151" t="str">
        <f>HYPERLINK("http://compartments.jensenlab.org/Entity?figures=subcell_cell_%&amp;knowledge=10&amp;textmining=10&amp;experiments=10&amp;predictions=10&amp;type1=9606&amp;type2=-22&amp;id1=ENSP00000260197","link")</f>
        <v>link</v>
      </c>
      <c r="AJ2151" t="s">
        <v>902</v>
      </c>
      <c r="AK2151" t="str">
        <f>HYPERLINK("http://www.proteinatlas.org/Q92673","CAB011500;HPA031321")</f>
        <v>CAB011500;HPA031321</v>
      </c>
      <c r="AM2151">
        <v>6653</v>
      </c>
    </row>
    <row r="2152" spans="1:39" x14ac:dyDescent="0.35">
      <c r="A2152" t="s">
        <v>21357</v>
      </c>
      <c r="B2152" t="str">
        <f>HYPERLINK("http://www.uniprot.org/uniprot/Q92692","Q92692")</f>
        <v>Q92692</v>
      </c>
      <c r="C2152" t="s">
        <v>21358</v>
      </c>
      <c r="D2152" t="s">
        <v>21359</v>
      </c>
      <c r="E2152" t="s">
        <v>39</v>
      </c>
      <c r="F2152" t="s">
        <v>55</v>
      </c>
      <c r="H2152">
        <v>538</v>
      </c>
      <c r="I2152">
        <v>1</v>
      </c>
      <c r="J2152">
        <v>1</v>
      </c>
      <c r="K2152" t="s">
        <v>21360</v>
      </c>
      <c r="L2152" t="s">
        <v>101</v>
      </c>
      <c r="M2152" t="s">
        <v>39</v>
      </c>
      <c r="N2152">
        <v>0.94589999999999996</v>
      </c>
      <c r="O2152" s="1">
        <v>1</v>
      </c>
      <c r="P2152" t="s">
        <v>21361</v>
      </c>
      <c r="Q2152" t="s">
        <v>21362</v>
      </c>
      <c r="R2152" t="s">
        <v>21363</v>
      </c>
      <c r="S2152" t="s">
        <v>166</v>
      </c>
      <c r="T2152" t="s">
        <v>5627</v>
      </c>
      <c r="U2152" t="s">
        <v>21364</v>
      </c>
      <c r="V2152">
        <v>2</v>
      </c>
      <c r="W2152" t="s">
        <v>21364</v>
      </c>
      <c r="Z2152" t="s">
        <v>107</v>
      </c>
      <c r="AA2152">
        <v>2</v>
      </c>
      <c r="AB2152" t="s">
        <v>21365</v>
      </c>
      <c r="AC2152" t="s">
        <v>21364</v>
      </c>
      <c r="AD2152" t="s">
        <v>21366</v>
      </c>
      <c r="AE2152" t="s">
        <v>332</v>
      </c>
      <c r="AF2152" t="s">
        <v>21367</v>
      </c>
      <c r="AG2152" t="s">
        <v>21368</v>
      </c>
      <c r="AH2152" t="str">
        <f>HYPERLINK("http://compartments.jensenlab.org/Entity?figures=subcell_cell_%&amp;knowledge=10&amp;textmining=10&amp;experiments=10&amp;predictions=10&amp;type1=9606&amp;type2=-22&amp;id1=ENSP00000252483","link")</f>
        <v>link</v>
      </c>
      <c r="AI2152" t="s">
        <v>65</v>
      </c>
      <c r="AJ2152" t="s">
        <v>51</v>
      </c>
      <c r="AK2152" t="str">
        <f>HYPERLINK("http://www.proteinatlas.org/Q92692","HPA012759;CAB026138")</f>
        <v>HPA012759;CAB026138</v>
      </c>
      <c r="AM2152">
        <v>5819</v>
      </c>
    </row>
    <row r="2153" spans="1:39" x14ac:dyDescent="0.35">
      <c r="A2153" t="s">
        <v>21369</v>
      </c>
      <c r="B2153" t="str">
        <f>HYPERLINK("http://www.uniprot.org/uniprot/Q92729","Q92729")</f>
        <v>Q92729</v>
      </c>
      <c r="C2153" t="s">
        <v>21370</v>
      </c>
      <c r="D2153" t="s">
        <v>21371</v>
      </c>
      <c r="E2153" t="s">
        <v>39</v>
      </c>
      <c r="F2153" t="s">
        <v>55</v>
      </c>
      <c r="H2153">
        <v>1446</v>
      </c>
      <c r="I2153">
        <v>1</v>
      </c>
      <c r="J2153">
        <v>1</v>
      </c>
      <c r="K2153" t="s">
        <v>21372</v>
      </c>
      <c r="L2153" t="s">
        <v>57</v>
      </c>
      <c r="M2153" t="s">
        <v>39</v>
      </c>
      <c r="N2153">
        <v>0.98780000000000001</v>
      </c>
      <c r="O2153" s="1">
        <v>1</v>
      </c>
      <c r="P2153" t="s">
        <v>21373</v>
      </c>
      <c r="Q2153" t="s">
        <v>21374</v>
      </c>
      <c r="S2153" t="s">
        <v>166</v>
      </c>
      <c r="T2153" t="s">
        <v>1161</v>
      </c>
      <c r="U2153" t="s">
        <v>21375</v>
      </c>
      <c r="V2153">
        <v>9</v>
      </c>
      <c r="W2153" t="s">
        <v>21376</v>
      </c>
      <c r="AE2153" t="s">
        <v>8431</v>
      </c>
      <c r="AF2153" t="s">
        <v>21377</v>
      </c>
      <c r="AG2153" t="s">
        <v>21378</v>
      </c>
      <c r="AH2153" t="str">
        <f>HYPERLINK("http://compartments.jensenlab.org/Entity?figures=subcell_cell_%&amp;knowledge=10&amp;textmining=10&amp;experiments=10&amp;predictions=10&amp;type1=9606&amp;type2=-22&amp;id1=ENSP00000334941","link")</f>
        <v>link</v>
      </c>
      <c r="AI2153" t="s">
        <v>65</v>
      </c>
      <c r="AJ2153" t="s">
        <v>51</v>
      </c>
      <c r="AK2153" t="str">
        <f>HYPERLINK("http://www.proteinatlas.org/Q92729","CAB011476;HPA039832")</f>
        <v>CAB011476;HPA039832</v>
      </c>
      <c r="AM2153">
        <v>10076</v>
      </c>
    </row>
    <row r="2154" spans="1:39" x14ac:dyDescent="0.35">
      <c r="A2154" t="s">
        <v>21379</v>
      </c>
      <c r="B2154" t="str">
        <f>HYPERLINK("http://www.uniprot.org/uniprot/Q92823","Q92823")</f>
        <v>Q92823</v>
      </c>
      <c r="C2154" t="s">
        <v>21380</v>
      </c>
      <c r="D2154" t="s">
        <v>21381</v>
      </c>
      <c r="E2154" t="s">
        <v>39</v>
      </c>
      <c r="F2154" t="s">
        <v>55</v>
      </c>
      <c r="H2154">
        <v>1304</v>
      </c>
      <c r="I2154">
        <v>1</v>
      </c>
      <c r="J2154">
        <v>1</v>
      </c>
      <c r="K2154" t="s">
        <v>21382</v>
      </c>
      <c r="L2154" t="s">
        <v>101</v>
      </c>
      <c r="M2154" t="s">
        <v>39</v>
      </c>
      <c r="N2154">
        <v>0.95630000000000004</v>
      </c>
      <c r="O2154" s="1">
        <v>1</v>
      </c>
      <c r="P2154" t="s">
        <v>21383</v>
      </c>
      <c r="Q2154" t="s">
        <v>21384</v>
      </c>
      <c r="S2154" t="s">
        <v>91</v>
      </c>
      <c r="T2154" t="s">
        <v>555</v>
      </c>
      <c r="U2154" t="s">
        <v>21385</v>
      </c>
      <c r="V2154">
        <v>19</v>
      </c>
      <c r="W2154" t="s">
        <v>21386</v>
      </c>
      <c r="Z2154" t="s">
        <v>107</v>
      </c>
      <c r="AA2154">
        <v>17</v>
      </c>
      <c r="AB2154" t="s">
        <v>21387</v>
      </c>
      <c r="AC2154" t="s">
        <v>21388</v>
      </c>
      <c r="AD2154" t="s">
        <v>21389</v>
      </c>
      <c r="AE2154" t="s">
        <v>332</v>
      </c>
      <c r="AF2154" t="s">
        <v>2973</v>
      </c>
      <c r="AG2154" t="s">
        <v>21390</v>
      </c>
      <c r="AH2154" t="str">
        <f>HYPERLINK("http://compartments.jensenlab.org/Entity?figures=subcell_cell_%&amp;knowledge=10&amp;textmining=10&amp;experiments=10&amp;predictions=10&amp;type1=9606&amp;type2=-22&amp;id1=ENSP00000368314","link")</f>
        <v>link</v>
      </c>
      <c r="AI2154" t="s">
        <v>65</v>
      </c>
      <c r="AJ2154" t="s">
        <v>51</v>
      </c>
      <c r="AK2154" t="str">
        <f>HYPERLINK("http://www.proteinatlas.org/Q92823","HPA012606")</f>
        <v>HPA012606</v>
      </c>
      <c r="AM2154">
        <v>4897</v>
      </c>
    </row>
    <row r="2155" spans="1:39" x14ac:dyDescent="0.35">
      <c r="A2155" t="s">
        <v>21391</v>
      </c>
      <c r="B2155" t="str">
        <f>HYPERLINK("http://www.uniprot.org/uniprot/Q92824","Q92824")</f>
        <v>Q92824</v>
      </c>
      <c r="C2155" t="s">
        <v>21392</v>
      </c>
      <c r="D2155" t="s">
        <v>21393</v>
      </c>
      <c r="E2155" t="s">
        <v>39</v>
      </c>
      <c r="F2155" t="s">
        <v>40</v>
      </c>
      <c r="H2155">
        <v>1860</v>
      </c>
      <c r="I2155">
        <v>1</v>
      </c>
      <c r="J2155">
        <v>1</v>
      </c>
      <c r="K2155" t="s">
        <v>21394</v>
      </c>
      <c r="L2155" t="s">
        <v>57</v>
      </c>
      <c r="N2155">
        <v>0.88619999999999999</v>
      </c>
      <c r="O2155" s="1">
        <v>1</v>
      </c>
      <c r="P2155" t="s">
        <v>21395</v>
      </c>
      <c r="Q2155" t="s">
        <v>21396</v>
      </c>
      <c r="S2155" t="s">
        <v>60</v>
      </c>
      <c r="T2155" t="s">
        <v>60</v>
      </c>
      <c r="U2155" t="s">
        <v>21397</v>
      </c>
      <c r="V2155">
        <v>15</v>
      </c>
      <c r="W2155" t="s">
        <v>21397</v>
      </c>
      <c r="AE2155" t="s">
        <v>21398</v>
      </c>
      <c r="AF2155" t="s">
        <v>21399</v>
      </c>
      <c r="AG2155" t="s">
        <v>21400</v>
      </c>
      <c r="AH2155" t="str">
        <f>HYPERLINK("http://compartments.jensenlab.org/Entity?figures=subcell_cell_%&amp;knowledge=10&amp;textmining=10&amp;experiments=10&amp;predictions=10&amp;type1=9606&amp;type2=-22&amp;id1=ENSP00000446280","link")</f>
        <v>link</v>
      </c>
      <c r="AK2155" t="str">
        <f>HYPERLINK("http://www.proteinatlas.org/Q92824","HPA031072")</f>
        <v>HPA031072</v>
      </c>
      <c r="AM2155">
        <v>5125</v>
      </c>
    </row>
    <row r="2156" spans="1:39" x14ac:dyDescent="0.35">
      <c r="A2156" t="s">
        <v>21401</v>
      </c>
      <c r="B2156" t="str">
        <f>HYPERLINK("http://www.uniprot.org/uniprot/Q92838","Q92838")</f>
        <v>Q92838</v>
      </c>
      <c r="C2156" t="s">
        <v>21402</v>
      </c>
      <c r="D2156" t="s">
        <v>21403</v>
      </c>
      <c r="E2156" t="s">
        <v>39</v>
      </c>
      <c r="F2156" t="s">
        <v>40</v>
      </c>
      <c r="H2156">
        <v>391</v>
      </c>
      <c r="I2156">
        <v>1</v>
      </c>
      <c r="J2156">
        <v>0</v>
      </c>
      <c r="K2156" t="s">
        <v>21404</v>
      </c>
      <c r="L2156" t="s">
        <v>57</v>
      </c>
      <c r="N2156">
        <v>0.59079999999999999</v>
      </c>
      <c r="O2156" s="1">
        <v>2</v>
      </c>
      <c r="P2156" t="s">
        <v>21405</v>
      </c>
      <c r="Q2156" t="s">
        <v>21406</v>
      </c>
      <c r="S2156" t="s">
        <v>60</v>
      </c>
      <c r="T2156" t="s">
        <v>60</v>
      </c>
      <c r="U2156" t="s">
        <v>21407</v>
      </c>
      <c r="V2156">
        <v>2</v>
      </c>
      <c r="W2156" t="s">
        <v>21407</v>
      </c>
      <c r="X2156" t="s">
        <v>21408</v>
      </c>
      <c r="AE2156" t="s">
        <v>2036</v>
      </c>
      <c r="AF2156" t="s">
        <v>21409</v>
      </c>
      <c r="AG2156" t="s">
        <v>21410</v>
      </c>
      <c r="AH2156" t="str">
        <f>HYPERLINK("http://compartments.jensenlab.org/Entity?figures=subcell_cell_%&amp;knowledge=10&amp;textmining=10&amp;experiments=10&amp;predictions=10&amp;type1=9606&amp;type2=-22&amp;id1=ENSP00000363680","link")</f>
        <v>link</v>
      </c>
      <c r="AI2156" t="s">
        <v>1058</v>
      </c>
      <c r="AJ2156" t="s">
        <v>21411</v>
      </c>
      <c r="AK2156" t="str">
        <f>HYPERLINK("http://www.proteinatlas.org/Q92838","CAB012644;HPA037972;HPA037973")</f>
        <v>CAB012644;HPA037972;HPA037973</v>
      </c>
      <c r="AM2156">
        <v>1896</v>
      </c>
    </row>
    <row r="2157" spans="1:39" x14ac:dyDescent="0.35">
      <c r="A2157" t="s">
        <v>21412</v>
      </c>
      <c r="B2157" t="str">
        <f>HYPERLINK("http://www.uniprot.org/uniprot/Q92847","Q92847")</f>
        <v>Q92847</v>
      </c>
      <c r="C2157" t="s">
        <v>21413</v>
      </c>
      <c r="D2157" t="s">
        <v>21414</v>
      </c>
      <c r="E2157" t="s">
        <v>39</v>
      </c>
      <c r="F2157" t="s">
        <v>55</v>
      </c>
      <c r="H2157">
        <v>366</v>
      </c>
      <c r="I2157">
        <v>7</v>
      </c>
      <c r="J2157">
        <v>0</v>
      </c>
      <c r="K2157" t="s">
        <v>21415</v>
      </c>
      <c r="L2157" t="s">
        <v>57</v>
      </c>
      <c r="M2157" t="s">
        <v>39</v>
      </c>
      <c r="N2157">
        <v>0.97789999999999999</v>
      </c>
      <c r="O2157" s="1">
        <v>1</v>
      </c>
      <c r="P2157" t="s">
        <v>21416</v>
      </c>
      <c r="Q2157" t="s">
        <v>21417</v>
      </c>
      <c r="S2157" t="s">
        <v>166</v>
      </c>
      <c r="T2157" t="s">
        <v>838</v>
      </c>
      <c r="U2157" t="s">
        <v>21418</v>
      </c>
      <c r="V2157">
        <v>4</v>
      </c>
      <c r="W2157" t="s">
        <v>21418</v>
      </c>
      <c r="AE2157" t="s">
        <v>74</v>
      </c>
      <c r="AF2157" t="s">
        <v>21419</v>
      </c>
      <c r="AG2157" t="s">
        <v>21420</v>
      </c>
      <c r="AH2157" t="str">
        <f>HYPERLINK("http://compartments.jensenlab.org/Entity?figures=subcell_cell_%&amp;knowledge=10&amp;textmining=10&amp;experiments=10&amp;predictions=10&amp;type1=9606&amp;type2=-22&amp;id1=ENSP00000241256","link")</f>
        <v>link</v>
      </c>
      <c r="AI2157" t="s">
        <v>65</v>
      </c>
      <c r="AJ2157" t="s">
        <v>51</v>
      </c>
      <c r="AK2157" t="str">
        <f>HYPERLINK("http://www.proteinatlas.org/Q92847","CAB012451")</f>
        <v>CAB012451</v>
      </c>
      <c r="AM2157">
        <v>2693</v>
      </c>
    </row>
    <row r="2158" spans="1:39" x14ac:dyDescent="0.35">
      <c r="A2158" t="s">
        <v>21421</v>
      </c>
      <c r="B2158" t="str">
        <f>HYPERLINK("http://www.uniprot.org/uniprot/Q92854","Q92854")</f>
        <v>Q92854</v>
      </c>
      <c r="C2158" t="s">
        <v>21422</v>
      </c>
      <c r="D2158" t="s">
        <v>21423</v>
      </c>
      <c r="E2158" t="s">
        <v>39</v>
      </c>
      <c r="F2158" t="s">
        <v>55</v>
      </c>
      <c r="H2158">
        <v>862</v>
      </c>
      <c r="I2158">
        <v>1</v>
      </c>
      <c r="J2158">
        <v>1</v>
      </c>
      <c r="K2158" t="s">
        <v>21424</v>
      </c>
      <c r="L2158" t="s">
        <v>101</v>
      </c>
      <c r="M2158" t="s">
        <v>39</v>
      </c>
      <c r="N2158">
        <v>0.87629999999999997</v>
      </c>
      <c r="O2158" s="1">
        <v>1</v>
      </c>
      <c r="P2158" t="s">
        <v>21425</v>
      </c>
      <c r="Q2158" t="s">
        <v>21426</v>
      </c>
      <c r="R2158" t="s">
        <v>21427</v>
      </c>
      <c r="S2158" t="s">
        <v>91</v>
      </c>
      <c r="T2158" t="s">
        <v>3379</v>
      </c>
      <c r="U2158" t="s">
        <v>21428</v>
      </c>
      <c r="V2158">
        <v>9</v>
      </c>
      <c r="W2158" t="s">
        <v>21428</v>
      </c>
      <c r="X2158" t="s">
        <v>21429</v>
      </c>
      <c r="Z2158" t="s">
        <v>107</v>
      </c>
      <c r="AA2158">
        <v>21</v>
      </c>
      <c r="AB2158" t="s">
        <v>21430</v>
      </c>
      <c r="AC2158" t="s">
        <v>21431</v>
      </c>
      <c r="AD2158" t="s">
        <v>21432</v>
      </c>
      <c r="AE2158" t="s">
        <v>332</v>
      </c>
      <c r="AF2158" t="s">
        <v>21433</v>
      </c>
      <c r="AG2158" t="s">
        <v>21434</v>
      </c>
      <c r="AH2158" t="str">
        <f>HYPERLINK("http://compartments.jensenlab.org/Entity?figures=subcell_cell_%&amp;knowledge=10&amp;textmining=10&amp;experiments=10&amp;predictions=10&amp;type1=9606&amp;type2=-22&amp;id1=ENSP00000348822","link")</f>
        <v>link</v>
      </c>
      <c r="AK2158" t="str">
        <f>HYPERLINK("http://www.proteinatlas.org/Q92854","HPA015662;HPA023277")</f>
        <v>HPA015662;HPA023277</v>
      </c>
      <c r="AM2158">
        <v>10507</v>
      </c>
    </row>
    <row r="2159" spans="1:39" x14ac:dyDescent="0.35">
      <c r="A2159" t="s">
        <v>21435</v>
      </c>
      <c r="B2159" t="str">
        <f>HYPERLINK("http://www.uniprot.org/uniprot/Q92859","Q92859")</f>
        <v>Q92859</v>
      </c>
      <c r="C2159" t="s">
        <v>21436</v>
      </c>
      <c r="D2159" t="s">
        <v>21437</v>
      </c>
      <c r="E2159" t="s">
        <v>39</v>
      </c>
      <c r="F2159" t="s">
        <v>55</v>
      </c>
      <c r="H2159">
        <v>1461</v>
      </c>
      <c r="I2159">
        <v>1</v>
      </c>
      <c r="J2159">
        <v>1</v>
      </c>
      <c r="K2159" t="s">
        <v>21438</v>
      </c>
      <c r="L2159" t="s">
        <v>101</v>
      </c>
      <c r="M2159" t="s">
        <v>39</v>
      </c>
      <c r="N2159">
        <v>1</v>
      </c>
      <c r="O2159" s="1">
        <v>1</v>
      </c>
      <c r="P2159" t="s">
        <v>21439</v>
      </c>
      <c r="Q2159" t="s">
        <v>21440</v>
      </c>
      <c r="S2159" t="s">
        <v>166</v>
      </c>
      <c r="T2159" t="s">
        <v>3120</v>
      </c>
      <c r="U2159" t="s">
        <v>21441</v>
      </c>
      <c r="V2159">
        <v>8</v>
      </c>
      <c r="W2159" t="s">
        <v>21442</v>
      </c>
      <c r="Z2159" t="s">
        <v>107</v>
      </c>
      <c r="AA2159">
        <v>20</v>
      </c>
      <c r="AB2159" t="s">
        <v>21443</v>
      </c>
      <c r="AC2159" t="s">
        <v>21444</v>
      </c>
      <c r="AD2159" t="s">
        <v>21445</v>
      </c>
      <c r="AE2159" t="s">
        <v>332</v>
      </c>
      <c r="AF2159" t="s">
        <v>1546</v>
      </c>
      <c r="AG2159" t="s">
        <v>21446</v>
      </c>
      <c r="AH2159" t="str">
        <f>HYPERLINK("http://compartments.jensenlab.org/Entity?figures=subcell_cell_%&amp;knowledge=10&amp;textmining=10&amp;experiments=10&amp;predictions=10&amp;type1=9606&amp;type2=-22&amp;id1=ENSP00000261908","link")</f>
        <v>link</v>
      </c>
      <c r="AI2159" t="s">
        <v>65</v>
      </c>
      <c r="AJ2159" t="s">
        <v>51</v>
      </c>
      <c r="AK2159" t="str">
        <f>HYPERLINK("http://www.proteinatlas.org/Q92859","CAB009320;HPA027804;HPA027805;HPA027806")</f>
        <v>CAB009320;HPA027804;HPA027805;HPA027806</v>
      </c>
      <c r="AM2159">
        <v>4756</v>
      </c>
    </row>
    <row r="2160" spans="1:39" x14ac:dyDescent="0.35">
      <c r="A2160" t="s">
        <v>21447</v>
      </c>
      <c r="B2160" t="str">
        <f>HYPERLINK("http://www.uniprot.org/uniprot/Q92887","Q92887")</f>
        <v>Q92887</v>
      </c>
      <c r="C2160" t="s">
        <v>21448</v>
      </c>
      <c r="D2160" t="s">
        <v>21449</v>
      </c>
      <c r="E2160" t="s">
        <v>39</v>
      </c>
      <c r="F2160" t="s">
        <v>40</v>
      </c>
      <c r="H2160">
        <v>1545</v>
      </c>
      <c r="I2160">
        <v>17</v>
      </c>
      <c r="J2160">
        <v>0</v>
      </c>
      <c r="K2160" t="s">
        <v>21450</v>
      </c>
      <c r="L2160" t="s">
        <v>101</v>
      </c>
      <c r="N2160">
        <v>0.81240000000000001</v>
      </c>
      <c r="O2160" s="1">
        <v>1</v>
      </c>
      <c r="P2160" t="s">
        <v>21451</v>
      </c>
      <c r="Q2160" t="s">
        <v>21452</v>
      </c>
      <c r="S2160" t="s">
        <v>45</v>
      </c>
      <c r="T2160" t="s">
        <v>1583</v>
      </c>
      <c r="U2160" t="s">
        <v>21453</v>
      </c>
      <c r="V2160">
        <v>3</v>
      </c>
      <c r="W2160" t="s">
        <v>21454</v>
      </c>
      <c r="Z2160" t="s">
        <v>123</v>
      </c>
      <c r="AA2160">
        <v>1</v>
      </c>
      <c r="AB2160" t="s">
        <v>21455</v>
      </c>
      <c r="AC2160">
        <v>1011</v>
      </c>
      <c r="AD2160" t="s">
        <v>21456</v>
      </c>
      <c r="AE2160" t="s">
        <v>10045</v>
      </c>
      <c r="AF2160" t="s">
        <v>21457</v>
      </c>
      <c r="AG2160" t="s">
        <v>21458</v>
      </c>
      <c r="AH2160" t="str">
        <f>HYPERLINK("http://compartments.jensenlab.org/Entity?figures=subcell_cell_%&amp;knowledge=10&amp;textmining=10&amp;experiments=10&amp;predictions=10&amp;type1=9606&amp;type2=-22&amp;id1=ENSP00000359478","link")</f>
        <v>link</v>
      </c>
      <c r="AJ2160" t="s">
        <v>51</v>
      </c>
      <c r="AK2160" t="str">
        <f>HYPERLINK("http://www.proteinatlas.org/Q92887","HPA004860;CAB037271")</f>
        <v>HPA004860;CAB037271</v>
      </c>
      <c r="AL2160" t="s">
        <v>21459</v>
      </c>
      <c r="AM2160">
        <v>1244</v>
      </c>
    </row>
    <row r="2161" spans="1:39" x14ac:dyDescent="0.35">
      <c r="A2161" t="s">
        <v>21460</v>
      </c>
      <c r="B2161" t="str">
        <f>HYPERLINK("http://www.uniprot.org/uniprot/Q92911","Q92911")</f>
        <v>Q92911</v>
      </c>
      <c r="C2161" t="s">
        <v>21461</v>
      </c>
      <c r="D2161" t="s">
        <v>21462</v>
      </c>
      <c r="E2161" t="s">
        <v>39</v>
      </c>
      <c r="F2161" t="s">
        <v>40</v>
      </c>
      <c r="H2161">
        <v>643</v>
      </c>
      <c r="I2161">
        <v>13</v>
      </c>
      <c r="J2161">
        <v>0</v>
      </c>
      <c r="K2161" t="s">
        <v>21463</v>
      </c>
      <c r="L2161" t="s">
        <v>57</v>
      </c>
      <c r="N2161">
        <v>0.86429999999999996</v>
      </c>
      <c r="O2161" s="1">
        <v>1</v>
      </c>
      <c r="P2161" t="s">
        <v>21464</v>
      </c>
      <c r="Q2161" t="s">
        <v>21465</v>
      </c>
      <c r="S2161" t="s">
        <v>45</v>
      </c>
      <c r="T2161" t="s">
        <v>72</v>
      </c>
      <c r="U2161" t="s">
        <v>21466</v>
      </c>
      <c r="V2161">
        <v>3</v>
      </c>
      <c r="AE2161" t="s">
        <v>48</v>
      </c>
      <c r="AF2161" t="s">
        <v>21467</v>
      </c>
      <c r="AG2161" t="s">
        <v>21468</v>
      </c>
      <c r="AH2161" t="str">
        <f>HYPERLINK("http://compartments.jensenlab.org/Entity?figures=subcell_cell_%&amp;knowledge=10&amp;textmining=10&amp;experiments=10&amp;predictions=10&amp;type1=9606&amp;type2=-22&amp;id1=ENSP00000222248","link")</f>
        <v>link</v>
      </c>
      <c r="AI2161" t="s">
        <v>6563</v>
      </c>
      <c r="AJ2161" t="s">
        <v>2873</v>
      </c>
      <c r="AK2161" t="str">
        <f>HYPERLINK("http://www.proteinatlas.org/Q92911","CAB022364;HPA049055")</f>
        <v>CAB022364;HPA049055</v>
      </c>
      <c r="AM2161">
        <v>6528</v>
      </c>
    </row>
    <row r="2162" spans="1:39" x14ac:dyDescent="0.35">
      <c r="A2162" t="s">
        <v>21469</v>
      </c>
      <c r="B2162" t="str">
        <f>HYPERLINK("http://www.uniprot.org/uniprot/Q92932","Q92932")</f>
        <v>Q92932</v>
      </c>
      <c r="C2162" t="s">
        <v>21470</v>
      </c>
      <c r="D2162" t="s">
        <v>21471</v>
      </c>
      <c r="E2162" t="s">
        <v>39</v>
      </c>
      <c r="F2162" t="s">
        <v>40</v>
      </c>
      <c r="H2162">
        <v>1015</v>
      </c>
      <c r="I2162">
        <v>1</v>
      </c>
      <c r="J2162">
        <v>1</v>
      </c>
      <c r="K2162" t="s">
        <v>21472</v>
      </c>
      <c r="L2162" t="s">
        <v>57</v>
      </c>
      <c r="N2162">
        <v>0.6048</v>
      </c>
      <c r="O2162" s="1">
        <v>2</v>
      </c>
      <c r="P2162" t="s">
        <v>21473</v>
      </c>
      <c r="Q2162" t="s">
        <v>21474</v>
      </c>
      <c r="S2162" t="s">
        <v>166</v>
      </c>
      <c r="T2162" t="s">
        <v>1161</v>
      </c>
      <c r="U2162" t="s">
        <v>21475</v>
      </c>
      <c r="V2162">
        <v>1</v>
      </c>
      <c r="W2162" t="s">
        <v>21475</v>
      </c>
      <c r="AE2162" t="s">
        <v>16887</v>
      </c>
      <c r="AF2162" t="s">
        <v>21476</v>
      </c>
      <c r="AG2162" t="s">
        <v>21477</v>
      </c>
      <c r="AH2162" t="str">
        <f>HYPERLINK("http://compartments.jensenlab.org/Entity?figures=subcell_cell_%&amp;knowledge=10&amp;textmining=10&amp;experiments=10&amp;predictions=10&amp;type1=9606&amp;type2=-22&amp;id1=ENSP00000374069","link")</f>
        <v>link</v>
      </c>
      <c r="AJ2162" t="s">
        <v>51</v>
      </c>
      <c r="AK2162" t="str">
        <f>HYPERLINK("http://www.proteinatlas.org/Q92932","HPA006900;HPA026656")</f>
        <v>HPA006900;HPA026656</v>
      </c>
      <c r="AM2162">
        <v>5799</v>
      </c>
    </row>
    <row r="2163" spans="1:39" x14ac:dyDescent="0.35">
      <c r="A2163" t="s">
        <v>21478</v>
      </c>
      <c r="B2163" t="str">
        <f>HYPERLINK("http://www.uniprot.org/uniprot/Q92956","Q92956")</f>
        <v>Q92956</v>
      </c>
      <c r="C2163" t="s">
        <v>21479</v>
      </c>
      <c r="D2163" t="s">
        <v>21480</v>
      </c>
      <c r="E2163" t="s">
        <v>39</v>
      </c>
      <c r="F2163" t="s">
        <v>40</v>
      </c>
      <c r="H2163">
        <v>283</v>
      </c>
      <c r="I2163">
        <v>1</v>
      </c>
      <c r="J2163">
        <v>1</v>
      </c>
      <c r="K2163" t="s">
        <v>21481</v>
      </c>
      <c r="L2163" t="s">
        <v>101</v>
      </c>
      <c r="N2163">
        <v>0.94010000000000005</v>
      </c>
      <c r="O2163" s="1">
        <v>1</v>
      </c>
      <c r="P2163" t="s">
        <v>21482</v>
      </c>
      <c r="Q2163" t="s">
        <v>21483</v>
      </c>
      <c r="R2163" t="s">
        <v>21484</v>
      </c>
      <c r="S2163" t="s">
        <v>166</v>
      </c>
      <c r="T2163" t="s">
        <v>864</v>
      </c>
      <c r="U2163" t="s">
        <v>21485</v>
      </c>
      <c r="V2163">
        <v>2</v>
      </c>
      <c r="W2163" t="s">
        <v>21485</v>
      </c>
      <c r="X2163" t="s">
        <v>21486</v>
      </c>
      <c r="Y2163">
        <v>201</v>
      </c>
      <c r="Z2163" t="s">
        <v>107</v>
      </c>
      <c r="AA2163">
        <v>1</v>
      </c>
      <c r="AB2163" t="s">
        <v>21487</v>
      </c>
      <c r="AC2163">
        <v>173</v>
      </c>
      <c r="AD2163" t="s">
        <v>21488</v>
      </c>
      <c r="AE2163" t="s">
        <v>144</v>
      </c>
      <c r="AF2163" t="s">
        <v>21489</v>
      </c>
      <c r="AG2163" t="s">
        <v>21490</v>
      </c>
      <c r="AH2163" t="str">
        <f>HYPERLINK("http://compartments.jensenlab.org/Entity?figures=subcell_cell_%&amp;knowledge=10&amp;textmining=10&amp;experiments=10&amp;predictions=10&amp;type1=9606&amp;type2=-22&amp;id1=ENSP00000347948","link")</f>
        <v>link</v>
      </c>
      <c r="AJ2163" t="s">
        <v>51</v>
      </c>
      <c r="AK2163" t="str">
        <f>HYPERLINK("http://www.proteinatlas.org/Q92956","HPA006404;CAB026150;CAB030007")</f>
        <v>HPA006404;CAB026150;CAB030007</v>
      </c>
      <c r="AM2163">
        <v>8764</v>
      </c>
    </row>
    <row r="2164" spans="1:39" x14ac:dyDescent="0.35">
      <c r="A2164" t="s">
        <v>21491</v>
      </c>
      <c r="B2164" t="str">
        <f>HYPERLINK("http://www.uniprot.org/uniprot/Q92959","Q92959")</f>
        <v>Q92959</v>
      </c>
      <c r="C2164" t="s">
        <v>21492</v>
      </c>
      <c r="D2164" t="s">
        <v>21493</v>
      </c>
      <c r="E2164" t="s">
        <v>39</v>
      </c>
      <c r="F2164" t="s">
        <v>55</v>
      </c>
      <c r="H2164">
        <v>643</v>
      </c>
      <c r="I2164">
        <v>12</v>
      </c>
      <c r="J2164">
        <v>0</v>
      </c>
      <c r="K2164" t="s">
        <v>21494</v>
      </c>
      <c r="L2164" t="s">
        <v>101</v>
      </c>
      <c r="M2164" t="s">
        <v>39</v>
      </c>
      <c r="N2164">
        <v>0.78769999999999996</v>
      </c>
      <c r="O2164" s="1">
        <v>1</v>
      </c>
      <c r="P2164" t="s">
        <v>21495</v>
      </c>
      <c r="Q2164" t="s">
        <v>21496</v>
      </c>
      <c r="S2164" t="s">
        <v>45</v>
      </c>
      <c r="T2164" t="s">
        <v>797</v>
      </c>
      <c r="U2164" t="s">
        <v>21497</v>
      </c>
      <c r="V2164">
        <v>3</v>
      </c>
      <c r="Z2164" t="s">
        <v>107</v>
      </c>
      <c r="AA2164">
        <v>1</v>
      </c>
      <c r="AB2164" t="s">
        <v>21498</v>
      </c>
      <c r="AC2164">
        <v>478</v>
      </c>
      <c r="AD2164" t="s">
        <v>21499</v>
      </c>
      <c r="AE2164" t="s">
        <v>74</v>
      </c>
      <c r="AF2164" t="s">
        <v>21500</v>
      </c>
      <c r="AG2164" t="s">
        <v>21501</v>
      </c>
      <c r="AH2164" t="str">
        <f>HYPERLINK("http://compartments.jensenlab.org/Entity?figures=subcell_cell_%&amp;knowledge=10&amp;textmining=10&amp;experiments=10&amp;predictions=10&amp;type1=9606&amp;type2=-22&amp;id1=ENSP00000311291","link")</f>
        <v>link</v>
      </c>
      <c r="AI2164" t="s">
        <v>65</v>
      </c>
      <c r="AJ2164" t="s">
        <v>51</v>
      </c>
      <c r="AK2164" t="str">
        <f>HYPERLINK("http://www.proteinatlas.org/Q92959","HPA013742")</f>
        <v>HPA013742</v>
      </c>
      <c r="AM2164">
        <v>6578</v>
      </c>
    </row>
    <row r="2165" spans="1:39" x14ac:dyDescent="0.35">
      <c r="A2165" t="s">
        <v>21502</v>
      </c>
      <c r="B2165" t="str">
        <f>HYPERLINK("http://www.uniprot.org/uniprot/Q93033","Q93033")</f>
        <v>Q93033</v>
      </c>
      <c r="C2165" t="s">
        <v>21503</v>
      </c>
      <c r="D2165" t="s">
        <v>21504</v>
      </c>
      <c r="E2165" t="s">
        <v>39</v>
      </c>
      <c r="F2165" t="s">
        <v>40</v>
      </c>
      <c r="H2165">
        <v>1021</v>
      </c>
      <c r="I2165">
        <v>1</v>
      </c>
      <c r="J2165">
        <v>1</v>
      </c>
      <c r="K2165" t="s">
        <v>21505</v>
      </c>
      <c r="L2165" t="s">
        <v>101</v>
      </c>
      <c r="N2165">
        <v>0.84630000000000005</v>
      </c>
      <c r="O2165" s="1">
        <v>1</v>
      </c>
      <c r="P2165" t="s">
        <v>21506</v>
      </c>
      <c r="Q2165" t="s">
        <v>21507</v>
      </c>
      <c r="R2165" t="s">
        <v>21504</v>
      </c>
      <c r="S2165" t="s">
        <v>166</v>
      </c>
      <c r="T2165" t="s">
        <v>2505</v>
      </c>
      <c r="U2165" t="s">
        <v>21508</v>
      </c>
      <c r="V2165">
        <v>7</v>
      </c>
      <c r="Z2165" t="s">
        <v>107</v>
      </c>
      <c r="AA2165">
        <v>6</v>
      </c>
      <c r="AB2165" t="s">
        <v>21509</v>
      </c>
      <c r="AC2165" t="s">
        <v>21510</v>
      </c>
      <c r="AD2165" t="s">
        <v>21511</v>
      </c>
      <c r="AE2165" t="s">
        <v>144</v>
      </c>
      <c r="AF2165" t="s">
        <v>15960</v>
      </c>
      <c r="AG2165" t="s">
        <v>21512</v>
      </c>
      <c r="AH2165" t="str">
        <f>HYPERLINK("http://compartments.jensenlab.org/Entity?figures=subcell_cell_%&amp;knowledge=10&amp;textmining=10&amp;experiments=10&amp;predictions=10&amp;type1=9606&amp;type2=-22&amp;id1=ENSP00000256652","link")</f>
        <v>link</v>
      </c>
      <c r="AJ2165" t="s">
        <v>51</v>
      </c>
      <c r="AK2165" t="str">
        <f>HYPERLINK("http://www.proteinatlas.org/Q93033","HPA057763")</f>
        <v>HPA057763</v>
      </c>
      <c r="AM2165">
        <v>9398</v>
      </c>
    </row>
    <row r="2166" spans="1:39" x14ac:dyDescent="0.35">
      <c r="A2166" t="s">
        <v>21513</v>
      </c>
      <c r="B2166" t="str">
        <f>HYPERLINK("http://www.uniprot.org/uniprot/Q93038","Q93038")</f>
        <v>Q93038</v>
      </c>
      <c r="C2166" t="s">
        <v>21514</v>
      </c>
      <c r="D2166" t="s">
        <v>21515</v>
      </c>
      <c r="E2166" t="s">
        <v>39</v>
      </c>
      <c r="F2166" t="s">
        <v>55</v>
      </c>
      <c r="H2166">
        <v>417</v>
      </c>
      <c r="I2166">
        <v>1</v>
      </c>
      <c r="J2166">
        <v>1</v>
      </c>
      <c r="K2166" t="s">
        <v>21516</v>
      </c>
      <c r="L2166" t="s">
        <v>101</v>
      </c>
      <c r="M2166" t="s">
        <v>39</v>
      </c>
      <c r="N2166">
        <v>0.94059999999999999</v>
      </c>
      <c r="O2166" s="1">
        <v>1</v>
      </c>
      <c r="P2166" t="s">
        <v>21517</v>
      </c>
      <c r="Q2166" t="s">
        <v>21518</v>
      </c>
      <c r="S2166" t="s">
        <v>166</v>
      </c>
      <c r="T2166" t="s">
        <v>864</v>
      </c>
      <c r="U2166" t="s">
        <v>21519</v>
      </c>
      <c r="V2166">
        <v>2</v>
      </c>
      <c r="W2166" t="s">
        <v>21519</v>
      </c>
      <c r="Z2166" t="s">
        <v>107</v>
      </c>
      <c r="AA2166">
        <v>1</v>
      </c>
      <c r="AB2166" t="s">
        <v>21520</v>
      </c>
      <c r="AC2166">
        <v>106</v>
      </c>
      <c r="AD2166" t="s">
        <v>21521</v>
      </c>
      <c r="AE2166" t="s">
        <v>21522</v>
      </c>
      <c r="AF2166" t="s">
        <v>21523</v>
      </c>
      <c r="AG2166" t="s">
        <v>21524</v>
      </c>
      <c r="AH2166" t="str">
        <f>HYPERLINK("http://compartments.jensenlab.org/Entity?figures=subcell_cell_%&amp;knowledge=10&amp;textmining=10&amp;experiments=10&amp;predictions=10&amp;type1=9606&amp;type2=-22&amp;id1=ENSP00000349341","link")</f>
        <v>link</v>
      </c>
      <c r="AK2166" t="str">
        <f>HYPERLINK("http://www.proteinatlas.org/Q93038","no")</f>
        <v>no</v>
      </c>
      <c r="AM2166">
        <v>8718</v>
      </c>
    </row>
    <row r="2167" spans="1:39" x14ac:dyDescent="0.35">
      <c r="A2167" t="s">
        <v>21525</v>
      </c>
      <c r="B2167" t="str">
        <f>HYPERLINK("http://www.uniprot.org/uniprot/Q93070","Q93070")</f>
        <v>Q93070</v>
      </c>
      <c r="C2167" t="s">
        <v>21526</v>
      </c>
      <c r="D2167" t="s">
        <v>21527</v>
      </c>
      <c r="E2167" t="s">
        <v>39</v>
      </c>
      <c r="F2167" t="s">
        <v>239</v>
      </c>
      <c r="H2167">
        <v>314</v>
      </c>
      <c r="I2167">
        <v>0</v>
      </c>
      <c r="J2167">
        <v>1</v>
      </c>
      <c r="K2167" t="s">
        <v>21528</v>
      </c>
      <c r="L2167" t="s">
        <v>57</v>
      </c>
      <c r="N2167">
        <v>0.71660000000000001</v>
      </c>
      <c r="O2167" s="1" t="s">
        <v>241</v>
      </c>
      <c r="P2167" t="s">
        <v>21529</v>
      </c>
      <c r="Q2167" t="s">
        <v>21530</v>
      </c>
      <c r="R2167" t="s">
        <v>21531</v>
      </c>
      <c r="U2167" t="s">
        <v>21532</v>
      </c>
      <c r="V2167">
        <v>5</v>
      </c>
      <c r="W2167" t="s">
        <v>21532</v>
      </c>
      <c r="AE2167" t="s">
        <v>243</v>
      </c>
      <c r="AF2167" t="s">
        <v>21533</v>
      </c>
      <c r="AG2167" t="s">
        <v>21534</v>
      </c>
      <c r="AH2167" t="str">
        <f>HYPERLINK("http://compartments.jensenlab.org/Entity?figures=subcell_cell_%&amp;knowledge=10&amp;textmining=10&amp;experiments=10&amp;predictions=10&amp;type1=9606&amp;type2=-22&amp;id1=ENSP00000228936","link")</f>
        <v>link</v>
      </c>
      <c r="AI2167" t="s">
        <v>65</v>
      </c>
      <c r="AJ2167" t="s">
        <v>51</v>
      </c>
      <c r="AK2167" t="str">
        <f>HYPERLINK("http://www.proteinatlas.org/Q93070","HPA040879")</f>
        <v>HPA040879</v>
      </c>
      <c r="AM2167">
        <v>420</v>
      </c>
    </row>
    <row r="2168" spans="1:39" x14ac:dyDescent="0.35">
      <c r="A2168" t="s">
        <v>21535</v>
      </c>
      <c r="B2168" t="str">
        <f>HYPERLINK("http://www.uniprot.org/uniprot/Q95365","Q95365")</f>
        <v>Q95365</v>
      </c>
      <c r="C2168" t="s">
        <v>21536</v>
      </c>
      <c r="D2168" t="s">
        <v>3637</v>
      </c>
      <c r="E2168" t="s">
        <v>39</v>
      </c>
      <c r="F2168" t="s">
        <v>40</v>
      </c>
      <c r="H2168">
        <v>362</v>
      </c>
      <c r="I2168">
        <v>1</v>
      </c>
      <c r="J2168">
        <v>1</v>
      </c>
      <c r="K2168" t="s">
        <v>3638</v>
      </c>
      <c r="L2168" t="s">
        <v>57</v>
      </c>
      <c r="N2168">
        <v>0.7984</v>
      </c>
      <c r="O2168" s="1">
        <v>1</v>
      </c>
      <c r="P2168" t="s">
        <v>7792</v>
      </c>
      <c r="Q2168" t="s">
        <v>7793</v>
      </c>
      <c r="S2168" t="s">
        <v>91</v>
      </c>
      <c r="T2168" t="s">
        <v>3641</v>
      </c>
      <c r="U2168">
        <v>110</v>
      </c>
      <c r="V2168">
        <v>1</v>
      </c>
      <c r="AE2168" t="s">
        <v>144</v>
      </c>
      <c r="AF2168" t="s">
        <v>4918</v>
      </c>
      <c r="AG2168" t="s">
        <v>21537</v>
      </c>
      <c r="AH2168" t="str">
        <f>HYPERLINK("http://compartments.jensenlab.org/Entity?figures=subcell_cell_%&amp;knowledge=10&amp;textmining=10&amp;experiments=10&amp;predictions=10&amp;type1=9606&amp;type2=-22&amp;id1=ENSP00000400842","link")</f>
        <v>link</v>
      </c>
      <c r="AI2168" t="s">
        <v>65</v>
      </c>
      <c r="AJ2168" t="s">
        <v>3644</v>
      </c>
      <c r="AK2168" t="str">
        <f>HYPERLINK("http://www.proteinatlas.org/Q95365","no")</f>
        <v>no</v>
      </c>
    </row>
    <row r="2169" spans="1:39" x14ac:dyDescent="0.35">
      <c r="A2169" t="s">
        <v>21538</v>
      </c>
      <c r="B2169" t="str">
        <f>HYPERLINK("http://www.uniprot.org/uniprot/Q95460","Q95460")</f>
        <v>Q95460</v>
      </c>
      <c r="C2169" t="s">
        <v>21539</v>
      </c>
      <c r="D2169" t="s">
        <v>21540</v>
      </c>
      <c r="E2169" t="s">
        <v>39</v>
      </c>
      <c r="F2169" t="s">
        <v>55</v>
      </c>
      <c r="H2169">
        <v>341</v>
      </c>
      <c r="I2169">
        <v>1</v>
      </c>
      <c r="J2169">
        <v>1</v>
      </c>
      <c r="K2169" t="s">
        <v>21541</v>
      </c>
      <c r="L2169" t="s">
        <v>101</v>
      </c>
      <c r="M2169" t="s">
        <v>39</v>
      </c>
      <c r="N2169">
        <v>0.71430000000000005</v>
      </c>
      <c r="O2169" s="1">
        <v>2</v>
      </c>
      <c r="P2169" t="s">
        <v>21542</v>
      </c>
      <c r="Q2169" t="s">
        <v>21543</v>
      </c>
      <c r="S2169" t="s">
        <v>60</v>
      </c>
      <c r="T2169" t="s">
        <v>60</v>
      </c>
      <c r="U2169">
        <v>107</v>
      </c>
      <c r="V2169">
        <v>1</v>
      </c>
      <c r="W2169">
        <v>107</v>
      </c>
      <c r="Z2169" t="s">
        <v>107</v>
      </c>
      <c r="AA2169">
        <v>2</v>
      </c>
      <c r="AB2169" t="s">
        <v>21544</v>
      </c>
      <c r="AC2169">
        <v>107</v>
      </c>
      <c r="AD2169" t="s">
        <v>21545</v>
      </c>
      <c r="AE2169" t="s">
        <v>21546</v>
      </c>
      <c r="AF2169" t="s">
        <v>21547</v>
      </c>
      <c r="AG2169" t="s">
        <v>21548</v>
      </c>
      <c r="AH2169" t="str">
        <f>HYPERLINK("http://compartments.jensenlab.org/Entity?figures=subcell_cell_%&amp;knowledge=10&amp;textmining=10&amp;experiments=10&amp;predictions=10&amp;type1=9606&amp;type2=-22&amp;id1=ENSP00000356552","link")</f>
        <v>link</v>
      </c>
      <c r="AI2169" t="s">
        <v>11101</v>
      </c>
      <c r="AJ2169" t="s">
        <v>11102</v>
      </c>
      <c r="AK2169" t="str">
        <f>HYPERLINK("http://www.proteinatlas.org/Q95460","no")</f>
        <v>no</v>
      </c>
      <c r="AL2169" t="s">
        <v>3612</v>
      </c>
      <c r="AM2169">
        <v>3140</v>
      </c>
    </row>
    <row r="2170" spans="1:39" x14ac:dyDescent="0.35">
      <c r="A2170" t="s">
        <v>21549</v>
      </c>
      <c r="B2170" t="str">
        <f>HYPERLINK("http://www.uniprot.org/uniprot/Q95604","Q95604")</f>
        <v>Q95604</v>
      </c>
      <c r="C2170" t="s">
        <v>21550</v>
      </c>
      <c r="D2170" t="s">
        <v>3849</v>
      </c>
      <c r="E2170" t="s">
        <v>39</v>
      </c>
      <c r="F2170" t="s">
        <v>40</v>
      </c>
      <c r="H2170">
        <v>372</v>
      </c>
      <c r="I2170">
        <v>1</v>
      </c>
      <c r="J2170">
        <v>1</v>
      </c>
      <c r="K2170" t="s">
        <v>21551</v>
      </c>
      <c r="L2170" t="s">
        <v>57</v>
      </c>
      <c r="N2170">
        <v>0.84230000000000005</v>
      </c>
      <c r="O2170" s="1">
        <v>1</v>
      </c>
      <c r="P2170" t="s">
        <v>7883</v>
      </c>
      <c r="Q2170" t="s">
        <v>7884</v>
      </c>
      <c r="S2170" t="s">
        <v>91</v>
      </c>
      <c r="T2170" t="s">
        <v>3641</v>
      </c>
      <c r="U2170">
        <v>110</v>
      </c>
      <c r="V2170">
        <v>1</v>
      </c>
      <c r="AE2170" t="s">
        <v>144</v>
      </c>
      <c r="AF2170" t="s">
        <v>4918</v>
      </c>
      <c r="AG2170" t="s">
        <v>21552</v>
      </c>
      <c r="AH2170" t="str">
        <f>HYPERLINK("http://compartments.jensenlab.org/Entity?figures=subcell_cell_%&amp;knowledge=10&amp;textmining=10&amp;experiments=10&amp;predictions=10&amp;type1=9606&amp;type2=-22&amp;id1=ENSP00000383195","link")</f>
        <v>link</v>
      </c>
      <c r="AK2170" t="str">
        <f>HYPERLINK("http://www.proteinatlas.org/Q95604","no")</f>
        <v>no</v>
      </c>
    </row>
    <row r="2171" spans="1:39" x14ac:dyDescent="0.35">
      <c r="A2171" t="s">
        <v>21553</v>
      </c>
      <c r="B2171" t="str">
        <f>HYPERLINK("http://www.uniprot.org/uniprot/Q95IE3","Q95IE3")</f>
        <v>Q95IE3</v>
      </c>
      <c r="C2171" t="s">
        <v>21554</v>
      </c>
      <c r="D2171" t="s">
        <v>3712</v>
      </c>
      <c r="E2171" t="s">
        <v>39</v>
      </c>
      <c r="F2171" t="s">
        <v>40</v>
      </c>
      <c r="H2171">
        <v>266</v>
      </c>
      <c r="I2171">
        <v>1</v>
      </c>
      <c r="J2171">
        <v>1</v>
      </c>
      <c r="K2171" t="s">
        <v>3713</v>
      </c>
      <c r="L2171" t="s">
        <v>42</v>
      </c>
      <c r="N2171">
        <v>0.92610000000000003</v>
      </c>
      <c r="O2171" s="1">
        <v>1</v>
      </c>
      <c r="P2171" t="s">
        <v>21555</v>
      </c>
      <c r="Q2171" t="s">
        <v>21556</v>
      </c>
      <c r="S2171" t="s">
        <v>91</v>
      </c>
      <c r="T2171" t="s">
        <v>3641</v>
      </c>
      <c r="U2171">
        <v>48</v>
      </c>
      <c r="V2171">
        <v>1</v>
      </c>
      <c r="W2171">
        <v>48</v>
      </c>
      <c r="AE2171" t="s">
        <v>3717</v>
      </c>
      <c r="AF2171" t="s">
        <v>5408</v>
      </c>
      <c r="AG2171" t="s">
        <v>21557</v>
      </c>
      <c r="AH2171" t="str">
        <f>HYPERLINK("http://compartments.jensenlab.org/Entity?figures=subcell_cell_%&amp;knowledge=10&amp;textmining=10&amp;experiments=10&amp;predictions=10&amp;type1=9606&amp;type2=-22&amp;id1=ENSP00000331343","link")</f>
        <v>link</v>
      </c>
      <c r="AK2171" t="str">
        <f>HYPERLINK("http://www.proteinatlas.org/Q95IE3","no")</f>
        <v>no</v>
      </c>
    </row>
    <row r="2172" spans="1:39" x14ac:dyDescent="0.35">
      <c r="A2172" t="s">
        <v>21558</v>
      </c>
      <c r="B2172" t="str">
        <f>HYPERLINK("http://www.uniprot.org/uniprot/Q969F8","Q969F8")</f>
        <v>Q969F8</v>
      </c>
      <c r="C2172" t="s">
        <v>21559</v>
      </c>
      <c r="D2172" t="s">
        <v>21560</v>
      </c>
      <c r="E2172" t="s">
        <v>39</v>
      </c>
      <c r="F2172" t="s">
        <v>55</v>
      </c>
      <c r="H2172">
        <v>398</v>
      </c>
      <c r="I2172">
        <v>7</v>
      </c>
      <c r="J2172">
        <v>0</v>
      </c>
      <c r="K2172" t="s">
        <v>21561</v>
      </c>
      <c r="L2172" t="s">
        <v>57</v>
      </c>
      <c r="M2172" t="s">
        <v>39</v>
      </c>
      <c r="N2172">
        <v>0.96489999999999998</v>
      </c>
      <c r="O2172" s="1">
        <v>1</v>
      </c>
      <c r="P2172" t="s">
        <v>21562</v>
      </c>
      <c r="Q2172" t="s">
        <v>21563</v>
      </c>
      <c r="S2172" t="s">
        <v>166</v>
      </c>
      <c r="T2172" t="s">
        <v>838</v>
      </c>
      <c r="U2172" t="s">
        <v>21564</v>
      </c>
      <c r="V2172">
        <v>3</v>
      </c>
      <c r="W2172" t="s">
        <v>21564</v>
      </c>
      <c r="AE2172" t="s">
        <v>74</v>
      </c>
      <c r="AF2172" t="s">
        <v>21565</v>
      </c>
      <c r="AG2172" t="s">
        <v>21566</v>
      </c>
      <c r="AH2172" t="str">
        <f>HYPERLINK("http://compartments.jensenlab.org/Entity?figures=subcell_cell_%&amp;knowledge=10&amp;textmining=10&amp;experiments=10&amp;predictions=10&amp;type1=9606&amp;type2=-22&amp;id1=ENSP00000234371","link")</f>
        <v>link</v>
      </c>
      <c r="AI2172" t="s">
        <v>65</v>
      </c>
      <c r="AJ2172" t="s">
        <v>51</v>
      </c>
      <c r="AK2172" t="str">
        <f>HYPERLINK("http://www.proteinatlas.org/Q969F8","no")</f>
        <v>no</v>
      </c>
      <c r="AM2172">
        <v>84634</v>
      </c>
    </row>
    <row r="2173" spans="1:39" x14ac:dyDescent="0.35">
      <c r="A2173" t="s">
        <v>21567</v>
      </c>
      <c r="B2173" t="str">
        <f>HYPERLINK("http://www.uniprot.org/uniprot/Q969I6","Q969I6")</f>
        <v>Q969I6</v>
      </c>
      <c r="C2173" t="s">
        <v>21568</v>
      </c>
      <c r="D2173" t="s">
        <v>21569</v>
      </c>
      <c r="E2173" t="s">
        <v>39</v>
      </c>
      <c r="F2173" t="s">
        <v>40</v>
      </c>
      <c r="H2173">
        <v>547</v>
      </c>
      <c r="I2173">
        <v>10</v>
      </c>
      <c r="J2173">
        <v>0</v>
      </c>
      <c r="K2173" t="s">
        <v>21570</v>
      </c>
      <c r="L2173" t="s">
        <v>57</v>
      </c>
      <c r="N2173">
        <v>0.76849999999999996</v>
      </c>
      <c r="O2173" s="1">
        <v>1</v>
      </c>
      <c r="P2173" t="s">
        <v>21571</v>
      </c>
      <c r="Q2173" t="s">
        <v>21572</v>
      </c>
      <c r="S2173" t="s">
        <v>45</v>
      </c>
      <c r="T2173" t="s">
        <v>598</v>
      </c>
      <c r="U2173" t="s">
        <v>21573</v>
      </c>
      <c r="V2173">
        <v>4</v>
      </c>
      <c r="AE2173" t="s">
        <v>74</v>
      </c>
      <c r="AF2173" t="s">
        <v>21574</v>
      </c>
      <c r="AG2173" t="s">
        <v>21575</v>
      </c>
      <c r="AH2173" t="str">
        <f>HYPERLINK("http://compartments.jensenlab.org/Entity?figures=subcell_cell_%&amp;knowledge=10&amp;textmining=10&amp;experiments=10&amp;predictions=10&amp;type1=9606&amp;type2=-22&amp;id1=ENSP00000266579","link")</f>
        <v>link</v>
      </c>
      <c r="AI2173" t="s">
        <v>65</v>
      </c>
      <c r="AJ2173" t="s">
        <v>51</v>
      </c>
      <c r="AK2173" t="str">
        <f>HYPERLINK("http://www.proteinatlas.org/Q969I6","HPA038910")</f>
        <v>HPA038910</v>
      </c>
      <c r="AM2173">
        <v>55089</v>
      </c>
    </row>
    <row r="2174" spans="1:39" x14ac:dyDescent="0.35">
      <c r="A2174" t="s">
        <v>21576</v>
      </c>
      <c r="B2174" t="str">
        <f>HYPERLINK("http://www.uniprot.org/uniprot/Q969N2","Q969N2")</f>
        <v>Q969N2</v>
      </c>
      <c r="C2174" t="s">
        <v>21577</v>
      </c>
      <c r="D2174" t="s">
        <v>21578</v>
      </c>
      <c r="E2174" t="s">
        <v>39</v>
      </c>
      <c r="F2174" t="s">
        <v>40</v>
      </c>
      <c r="H2174">
        <v>578</v>
      </c>
      <c r="I2174">
        <v>1</v>
      </c>
      <c r="J2174">
        <v>1</v>
      </c>
      <c r="K2174" t="s">
        <v>21579</v>
      </c>
      <c r="L2174" t="s">
        <v>101</v>
      </c>
      <c r="N2174">
        <v>0.64470000000000005</v>
      </c>
      <c r="O2174" s="1">
        <v>2</v>
      </c>
      <c r="P2174" t="s">
        <v>21580</v>
      </c>
      <c r="Q2174" t="s">
        <v>21581</v>
      </c>
      <c r="S2174" t="s">
        <v>60</v>
      </c>
      <c r="T2174" t="s">
        <v>60</v>
      </c>
      <c r="U2174" t="s">
        <v>21582</v>
      </c>
      <c r="V2174">
        <v>4</v>
      </c>
      <c r="Z2174" t="s">
        <v>107</v>
      </c>
      <c r="AA2174">
        <v>6</v>
      </c>
      <c r="AB2174" t="s">
        <v>21583</v>
      </c>
      <c r="AC2174" t="s">
        <v>21584</v>
      </c>
      <c r="AD2174" t="s">
        <v>21585</v>
      </c>
      <c r="AE2174" t="s">
        <v>2788</v>
      </c>
      <c r="AF2174" t="s">
        <v>21586</v>
      </c>
      <c r="AG2174" t="s">
        <v>21587</v>
      </c>
      <c r="AH2174" t="str">
        <f>HYPERLINK("http://compartments.jensenlab.org/Entity?figures=subcell_cell_%&amp;knowledge=10&amp;textmining=10&amp;experiments=10&amp;predictions=10&amp;type1=9606&amp;type2=-22&amp;id1=ENSP00000279036","link")</f>
        <v>link</v>
      </c>
      <c r="AI2174" t="s">
        <v>980</v>
      </c>
      <c r="AJ2174" t="s">
        <v>3965</v>
      </c>
      <c r="AK2174" t="str">
        <f>HYPERLINK("http://www.proteinatlas.org/Q969N2","no")</f>
        <v>no</v>
      </c>
      <c r="AM2174">
        <v>51604</v>
      </c>
    </row>
    <row r="2175" spans="1:39" x14ac:dyDescent="0.35">
      <c r="A2175" t="s">
        <v>21588</v>
      </c>
      <c r="B2175" t="str">
        <f>HYPERLINK("http://www.uniprot.org/uniprot/Q969N4","Q969N4")</f>
        <v>Q969N4</v>
      </c>
      <c r="C2175" t="s">
        <v>21589</v>
      </c>
      <c r="D2175" t="s">
        <v>21590</v>
      </c>
      <c r="E2175" t="s">
        <v>39</v>
      </c>
      <c r="F2175" t="s">
        <v>55</v>
      </c>
      <c r="H2175">
        <v>342</v>
      </c>
      <c r="I2175">
        <v>7</v>
      </c>
      <c r="J2175">
        <v>0</v>
      </c>
      <c r="K2175" t="s">
        <v>21591</v>
      </c>
      <c r="L2175" t="s">
        <v>57</v>
      </c>
      <c r="N2175">
        <v>0.93610000000000004</v>
      </c>
      <c r="O2175" s="1">
        <v>1</v>
      </c>
      <c r="P2175" t="s">
        <v>21592</v>
      </c>
      <c r="Q2175" t="s">
        <v>21593</v>
      </c>
      <c r="S2175" t="s">
        <v>166</v>
      </c>
      <c r="T2175" t="s">
        <v>838</v>
      </c>
      <c r="U2175" t="s">
        <v>21594</v>
      </c>
      <c r="V2175">
        <v>2</v>
      </c>
      <c r="AE2175" t="s">
        <v>74</v>
      </c>
      <c r="AF2175" t="s">
        <v>967</v>
      </c>
      <c r="AG2175" t="s">
        <v>21595</v>
      </c>
      <c r="AH2175" t="str">
        <f>HYPERLINK("http://compartments.jensenlab.org/Entity?figures=subcell_cell_%&amp;knowledge=10&amp;textmining=10&amp;experiments=10&amp;predictions=10&amp;type1=9606&amp;type2=-22&amp;id1=ENSP00000275200","link")</f>
        <v>link</v>
      </c>
      <c r="AI2175" t="s">
        <v>65</v>
      </c>
      <c r="AJ2175" t="s">
        <v>51</v>
      </c>
      <c r="AK2175" t="str">
        <f>HYPERLINK("http://www.proteinatlas.org/Q969N4","no")</f>
        <v>no</v>
      </c>
      <c r="AM2175">
        <v>83551</v>
      </c>
    </row>
    <row r="2176" spans="1:39" x14ac:dyDescent="0.35">
      <c r="A2176" t="s">
        <v>21596</v>
      </c>
      <c r="B2176" t="str">
        <f>HYPERLINK("http://www.uniprot.org/uniprot/Q969P0","Q969P0")</f>
        <v>Q969P0</v>
      </c>
      <c r="C2176" t="s">
        <v>21597</v>
      </c>
      <c r="D2176" t="s">
        <v>21598</v>
      </c>
      <c r="E2176" t="s">
        <v>39</v>
      </c>
      <c r="F2176" t="s">
        <v>55</v>
      </c>
      <c r="H2176">
        <v>613</v>
      </c>
      <c r="I2176">
        <v>1</v>
      </c>
      <c r="J2176">
        <v>1</v>
      </c>
      <c r="K2176" t="s">
        <v>21599</v>
      </c>
      <c r="L2176" t="s">
        <v>101</v>
      </c>
      <c r="M2176" t="s">
        <v>39</v>
      </c>
      <c r="N2176">
        <v>0.48599999999999999</v>
      </c>
      <c r="O2176" s="1">
        <v>3</v>
      </c>
      <c r="P2176" t="s">
        <v>21600</v>
      </c>
      <c r="Q2176" t="s">
        <v>21601</v>
      </c>
      <c r="R2176" t="s">
        <v>21602</v>
      </c>
      <c r="S2176" t="s">
        <v>166</v>
      </c>
      <c r="T2176" t="s">
        <v>2505</v>
      </c>
      <c r="U2176" t="s">
        <v>21603</v>
      </c>
      <c r="V2176">
        <v>3</v>
      </c>
      <c r="Z2176" t="s">
        <v>107</v>
      </c>
      <c r="AA2176">
        <v>3</v>
      </c>
      <c r="AB2176" t="s">
        <v>21604</v>
      </c>
      <c r="AC2176" t="s">
        <v>21605</v>
      </c>
      <c r="AD2176" t="s">
        <v>21606</v>
      </c>
      <c r="AE2176" t="s">
        <v>3665</v>
      </c>
      <c r="AF2176" t="s">
        <v>21607</v>
      </c>
      <c r="AG2176" t="s">
        <v>21608</v>
      </c>
      <c r="AH2176" t="str">
        <f>HYPERLINK("http://compartments.jensenlab.org/Entity?figures=subcell_cell_%&amp;knowledge=10&amp;textmining=10&amp;experiments=10&amp;predictions=10&amp;type1=9606&amp;type2=-22&amp;id1=ENSP00000316664","link")</f>
        <v>link</v>
      </c>
      <c r="AJ2176" t="s">
        <v>51</v>
      </c>
      <c r="AK2176" t="str">
        <f>HYPERLINK("http://www.proteinatlas.org/Q969P0","HPA011917")</f>
        <v>HPA011917</v>
      </c>
      <c r="AM2176">
        <v>93185</v>
      </c>
    </row>
    <row r="2177" spans="1:39" x14ac:dyDescent="0.35">
      <c r="A2177" t="s">
        <v>21609</v>
      </c>
      <c r="B2177" t="str">
        <f>HYPERLINK("http://www.uniprot.org/uniprot/Q969V1","Q969V1")</f>
        <v>Q969V1</v>
      </c>
      <c r="C2177" t="s">
        <v>21610</v>
      </c>
      <c r="D2177" t="s">
        <v>21611</v>
      </c>
      <c r="E2177" t="s">
        <v>39</v>
      </c>
      <c r="F2177" t="s">
        <v>55</v>
      </c>
      <c r="H2177">
        <v>340</v>
      </c>
      <c r="I2177">
        <v>7</v>
      </c>
      <c r="J2177">
        <v>0</v>
      </c>
      <c r="K2177" t="s">
        <v>21612</v>
      </c>
      <c r="L2177" t="s">
        <v>57</v>
      </c>
      <c r="M2177" t="s">
        <v>39</v>
      </c>
      <c r="N2177">
        <v>0.9677</v>
      </c>
      <c r="O2177" s="1">
        <v>1</v>
      </c>
      <c r="P2177" t="s">
        <v>21613</v>
      </c>
      <c r="Q2177" t="s">
        <v>21614</v>
      </c>
      <c r="S2177" t="s">
        <v>166</v>
      </c>
      <c r="T2177" t="s">
        <v>838</v>
      </c>
      <c r="U2177" t="s">
        <v>21615</v>
      </c>
      <c r="V2177">
        <v>2</v>
      </c>
      <c r="AE2177" t="s">
        <v>74</v>
      </c>
      <c r="AF2177" t="s">
        <v>910</v>
      </c>
      <c r="AG2177" t="s">
        <v>21616</v>
      </c>
      <c r="AH2177" t="str">
        <f>HYPERLINK("http://compartments.jensenlab.org/Entity?figures=subcell_cell_%&amp;knowledge=10&amp;textmining=10&amp;experiments=10&amp;predictions=10&amp;type1=9606&amp;type2=-22&amp;id1=ENSP00000281806","link")</f>
        <v>link</v>
      </c>
      <c r="AI2177" t="s">
        <v>65</v>
      </c>
      <c r="AJ2177" t="s">
        <v>51</v>
      </c>
      <c r="AK2177" t="str">
        <f>HYPERLINK("http://www.proteinatlas.org/Q969V1","no")</f>
        <v>no</v>
      </c>
      <c r="AM2177">
        <v>84539</v>
      </c>
    </row>
    <row r="2178" spans="1:39" x14ac:dyDescent="0.35">
      <c r="A2178" t="s">
        <v>21617</v>
      </c>
      <c r="B2178" t="str">
        <f>HYPERLINK("http://www.uniprot.org/uniprot/Q969W9","Q969W9")</f>
        <v>Q969W9</v>
      </c>
      <c r="C2178" t="s">
        <v>21618</v>
      </c>
      <c r="D2178" t="s">
        <v>21619</v>
      </c>
      <c r="E2178" t="s">
        <v>39</v>
      </c>
      <c r="F2178" t="s">
        <v>40</v>
      </c>
      <c r="H2178">
        <v>287</v>
      </c>
      <c r="I2178">
        <v>1</v>
      </c>
      <c r="J2178">
        <v>0</v>
      </c>
      <c r="K2178" t="s">
        <v>21620</v>
      </c>
      <c r="L2178" t="s">
        <v>101</v>
      </c>
      <c r="N2178">
        <v>0.61280000000000001</v>
      </c>
      <c r="O2178" s="1">
        <v>2</v>
      </c>
      <c r="P2178" t="s">
        <v>21621</v>
      </c>
      <c r="Q2178" t="s">
        <v>21622</v>
      </c>
      <c r="S2178" t="s">
        <v>60</v>
      </c>
      <c r="T2178" t="s">
        <v>60</v>
      </c>
      <c r="U2178" t="s">
        <v>21623</v>
      </c>
      <c r="V2178">
        <v>2</v>
      </c>
      <c r="Z2178" t="s">
        <v>107</v>
      </c>
      <c r="AA2178">
        <v>1</v>
      </c>
      <c r="AB2178" t="s">
        <v>21624</v>
      </c>
      <c r="AC2178" t="s">
        <v>21625</v>
      </c>
      <c r="AD2178" t="s">
        <v>21626</v>
      </c>
      <c r="AE2178" t="s">
        <v>21627</v>
      </c>
      <c r="AF2178" t="s">
        <v>21628</v>
      </c>
      <c r="AG2178" t="s">
        <v>21629</v>
      </c>
      <c r="AH2178" t="str">
        <f>HYPERLINK("http://compartments.jensenlab.org/Entity?figures=subcell_cell_%&amp;knowledge=10&amp;textmining=10&amp;experiments=10&amp;predictions=10&amp;type1=9606&amp;type2=-22&amp;id1=ENSP00000345826","link")</f>
        <v>link</v>
      </c>
      <c r="AI2178" t="s">
        <v>65</v>
      </c>
      <c r="AJ2178" t="s">
        <v>51</v>
      </c>
      <c r="AK2178" t="str">
        <f>HYPERLINK("http://www.proteinatlas.org/Q969W9","no")</f>
        <v>no</v>
      </c>
      <c r="AM2178">
        <v>56937</v>
      </c>
    </row>
    <row r="2179" spans="1:39" x14ac:dyDescent="0.35">
      <c r="A2179" t="s">
        <v>21630</v>
      </c>
      <c r="B2179" t="str">
        <f>HYPERLINK("http://www.uniprot.org/uniprot/Q969Z4","Q969Z4")</f>
        <v>Q969Z4</v>
      </c>
      <c r="C2179" t="s">
        <v>21631</v>
      </c>
      <c r="D2179" t="s">
        <v>21632</v>
      </c>
      <c r="E2179" t="s">
        <v>39</v>
      </c>
      <c r="F2179" t="s">
        <v>40</v>
      </c>
      <c r="H2179">
        <v>430</v>
      </c>
      <c r="I2179">
        <v>1</v>
      </c>
      <c r="J2179">
        <v>1</v>
      </c>
      <c r="K2179" t="s">
        <v>21633</v>
      </c>
      <c r="L2179" t="s">
        <v>57</v>
      </c>
      <c r="N2179">
        <v>0.76649999999999996</v>
      </c>
      <c r="O2179" s="1">
        <v>1</v>
      </c>
      <c r="P2179" t="s">
        <v>21634</v>
      </c>
      <c r="Q2179" t="s">
        <v>21635</v>
      </c>
      <c r="S2179" t="s">
        <v>166</v>
      </c>
      <c r="T2179" t="s">
        <v>864</v>
      </c>
      <c r="U2179">
        <v>149</v>
      </c>
      <c r="V2179">
        <v>1</v>
      </c>
      <c r="Y2179">
        <v>94</v>
      </c>
      <c r="AE2179" t="s">
        <v>2994</v>
      </c>
      <c r="AF2179" t="s">
        <v>21636</v>
      </c>
      <c r="AG2179" t="s">
        <v>21637</v>
      </c>
      <c r="AH2179" t="str">
        <f>HYPERLINK("http://compartments.jensenlab.org/Entity?figures=subcell_cell_%&amp;knowledge=10&amp;textmining=10&amp;experiments=10&amp;predictions=10&amp;type1=9606&amp;type2=-22&amp;id1=ENSP00000064780","link")</f>
        <v>link</v>
      </c>
      <c r="AI2179" t="s">
        <v>65</v>
      </c>
      <c r="AJ2179" t="s">
        <v>2124</v>
      </c>
      <c r="AK2179" t="str">
        <f>HYPERLINK("http://www.proteinatlas.org/Q969Z4","HPA062571;HPA062824")</f>
        <v>HPA062571;HPA062824</v>
      </c>
      <c r="AM2179">
        <v>84957</v>
      </c>
    </row>
    <row r="2180" spans="1:39" x14ac:dyDescent="0.35">
      <c r="A2180" t="s">
        <v>21638</v>
      </c>
      <c r="B2180" t="str">
        <f>HYPERLINK("http://www.uniprot.org/uniprot/Q96A25","Q96A25")</f>
        <v>Q96A25</v>
      </c>
      <c r="C2180" t="s">
        <v>21639</v>
      </c>
      <c r="D2180" t="s">
        <v>21640</v>
      </c>
      <c r="E2180" t="s">
        <v>39</v>
      </c>
      <c r="F2180" t="s">
        <v>40</v>
      </c>
      <c r="H2180">
        <v>262</v>
      </c>
      <c r="I2180">
        <v>1</v>
      </c>
      <c r="J2180">
        <v>0</v>
      </c>
      <c r="K2180" t="s">
        <v>21641</v>
      </c>
      <c r="L2180" t="s">
        <v>42</v>
      </c>
      <c r="N2180">
        <v>0.61680000000000001</v>
      </c>
      <c r="O2180" s="1">
        <v>2</v>
      </c>
      <c r="P2180" t="s">
        <v>21642</v>
      </c>
      <c r="Q2180" t="s">
        <v>21643</v>
      </c>
      <c r="S2180" t="s">
        <v>60</v>
      </c>
      <c r="T2180" t="s">
        <v>60</v>
      </c>
      <c r="U2180" t="s">
        <v>21644</v>
      </c>
      <c r="V2180">
        <v>4</v>
      </c>
      <c r="AE2180" t="s">
        <v>94</v>
      </c>
      <c r="AF2180" t="s">
        <v>21645</v>
      </c>
      <c r="AG2180" t="s">
        <v>21646</v>
      </c>
      <c r="AH2180" t="str">
        <f>HYPERLINK("http://compartments.jensenlab.org/Entity?figures=subcell_cell_%&amp;knowledge=10&amp;textmining=10&amp;experiments=10&amp;predictions=10&amp;type1=9606&amp;type2=-22&amp;id1=ENSP00000466820","link")</f>
        <v>link</v>
      </c>
      <c r="AK2180" t="str">
        <f>HYPERLINK("http://www.proteinatlas.org/Q96A25","no")</f>
        <v>no</v>
      </c>
      <c r="AM2180">
        <v>113277</v>
      </c>
    </row>
    <row r="2181" spans="1:39" x14ac:dyDescent="0.35">
      <c r="A2181" t="s">
        <v>21647</v>
      </c>
      <c r="B2181" t="str">
        <f>HYPERLINK("http://www.uniprot.org/uniprot/Q96A28","Q96A28")</f>
        <v>Q96A28</v>
      </c>
      <c r="C2181" t="s">
        <v>21648</v>
      </c>
      <c r="D2181" t="s">
        <v>21649</v>
      </c>
      <c r="E2181" t="s">
        <v>39</v>
      </c>
      <c r="F2181" t="s">
        <v>40</v>
      </c>
      <c r="H2181">
        <v>289</v>
      </c>
      <c r="I2181">
        <v>1</v>
      </c>
      <c r="J2181">
        <v>1</v>
      </c>
      <c r="K2181" t="s">
        <v>21650</v>
      </c>
      <c r="L2181" t="s">
        <v>57</v>
      </c>
      <c r="N2181">
        <v>0.71460000000000001</v>
      </c>
      <c r="O2181" s="1">
        <v>2</v>
      </c>
      <c r="P2181" t="s">
        <v>21651</v>
      </c>
      <c r="Q2181" t="s">
        <v>21652</v>
      </c>
      <c r="S2181" t="s">
        <v>60</v>
      </c>
      <c r="T2181" t="s">
        <v>60</v>
      </c>
      <c r="U2181" t="s">
        <v>21653</v>
      </c>
      <c r="V2181">
        <v>2</v>
      </c>
      <c r="AE2181" t="s">
        <v>144</v>
      </c>
      <c r="AF2181" t="s">
        <v>14258</v>
      </c>
      <c r="AG2181" t="s">
        <v>21654</v>
      </c>
      <c r="AH2181" t="str">
        <f>HYPERLINK("http://compartments.jensenlab.org/Entity?figures=subcell_cell_%&amp;knowledge=10&amp;textmining=10&amp;experiments=10&amp;predictions=10&amp;type1=9606&amp;type2=-22&amp;id1=ENSP00000357072","link")</f>
        <v>link</v>
      </c>
      <c r="AJ2181" t="s">
        <v>51</v>
      </c>
      <c r="AK2181" t="str">
        <f>HYPERLINK("http://www.proteinatlas.org/Q96A28","HPA035153")</f>
        <v>HPA035153</v>
      </c>
      <c r="AM2181">
        <v>89886</v>
      </c>
    </row>
    <row r="2182" spans="1:39" x14ac:dyDescent="0.35">
      <c r="A2182" t="s">
        <v>21655</v>
      </c>
      <c r="B2182" t="str">
        <f>HYPERLINK("http://www.uniprot.org/uniprot/Q96AM1","Q96AM1")</f>
        <v>Q96AM1</v>
      </c>
      <c r="C2182" t="s">
        <v>21656</v>
      </c>
      <c r="D2182" t="s">
        <v>21657</v>
      </c>
      <c r="E2182" t="s">
        <v>39</v>
      </c>
      <c r="F2182" t="s">
        <v>55</v>
      </c>
      <c r="H2182">
        <v>343</v>
      </c>
      <c r="I2182">
        <v>7</v>
      </c>
      <c r="J2182">
        <v>0</v>
      </c>
      <c r="K2182" t="s">
        <v>21658</v>
      </c>
      <c r="L2182" t="s">
        <v>101</v>
      </c>
      <c r="M2182" t="s">
        <v>39</v>
      </c>
      <c r="N2182">
        <v>0.93440000000000001</v>
      </c>
      <c r="O2182" s="1">
        <v>1</v>
      </c>
      <c r="P2182" t="s">
        <v>21659</v>
      </c>
      <c r="Q2182" t="s">
        <v>21660</v>
      </c>
      <c r="S2182" t="s">
        <v>166</v>
      </c>
      <c r="T2182" t="s">
        <v>838</v>
      </c>
      <c r="U2182" t="s">
        <v>21661</v>
      </c>
      <c r="V2182">
        <v>1</v>
      </c>
      <c r="Z2182" t="s">
        <v>107</v>
      </c>
      <c r="AA2182">
        <v>1</v>
      </c>
      <c r="AB2182" t="s">
        <v>21662</v>
      </c>
      <c r="AC2182">
        <v>4</v>
      </c>
      <c r="AD2182" t="s">
        <v>21663</v>
      </c>
      <c r="AE2182" t="s">
        <v>74</v>
      </c>
      <c r="AF2182" t="s">
        <v>910</v>
      </c>
      <c r="AG2182" t="s">
        <v>21664</v>
      </c>
      <c r="AH2182" t="str">
        <f>HYPERLINK("http://compartments.jensenlab.org/Entity?figures=subcell_cell_%&amp;knowledge=10&amp;textmining=10&amp;experiments=10&amp;predictions=10&amp;type1=9606&amp;type2=-22&amp;id1=ENSP00000309782","link")</f>
        <v>link</v>
      </c>
      <c r="AI2182" t="s">
        <v>65</v>
      </c>
      <c r="AJ2182" t="s">
        <v>51</v>
      </c>
      <c r="AK2182" t="str">
        <f>HYPERLINK("http://www.proteinatlas.org/Q96AM1","HPA028811")</f>
        <v>HPA028811</v>
      </c>
      <c r="AM2182">
        <v>116535</v>
      </c>
    </row>
    <row r="2183" spans="1:39" x14ac:dyDescent="0.35">
      <c r="A2183" t="s">
        <v>21665</v>
      </c>
      <c r="B2183" t="str">
        <f>HYPERLINK("http://www.uniprot.org/uniprot/Q96AP7","Q96AP7")</f>
        <v>Q96AP7</v>
      </c>
      <c r="C2183" t="s">
        <v>21666</v>
      </c>
      <c r="D2183" t="s">
        <v>21667</v>
      </c>
      <c r="E2183" t="s">
        <v>39</v>
      </c>
      <c r="F2183" t="s">
        <v>55</v>
      </c>
      <c r="H2183">
        <v>390</v>
      </c>
      <c r="I2183">
        <v>1</v>
      </c>
      <c r="J2183">
        <v>1</v>
      </c>
      <c r="K2183" t="s">
        <v>21668</v>
      </c>
      <c r="L2183" t="s">
        <v>101</v>
      </c>
      <c r="M2183" t="s">
        <v>39</v>
      </c>
      <c r="N2183">
        <v>0.94299999999999995</v>
      </c>
      <c r="O2183" s="1">
        <v>1</v>
      </c>
      <c r="P2183" t="s">
        <v>21669</v>
      </c>
      <c r="Q2183" t="s">
        <v>21670</v>
      </c>
      <c r="S2183" t="s">
        <v>60</v>
      </c>
      <c r="T2183" t="s">
        <v>60</v>
      </c>
      <c r="U2183" t="s">
        <v>21671</v>
      </c>
      <c r="V2183">
        <v>4</v>
      </c>
      <c r="X2183" t="s">
        <v>21672</v>
      </c>
      <c r="Z2183" t="s">
        <v>107</v>
      </c>
      <c r="AA2183">
        <v>2</v>
      </c>
      <c r="AB2183" t="s">
        <v>21673</v>
      </c>
      <c r="AC2183" t="s">
        <v>21674</v>
      </c>
      <c r="AD2183" t="s">
        <v>21675</v>
      </c>
      <c r="AE2183" t="s">
        <v>21676</v>
      </c>
      <c r="AF2183" t="s">
        <v>21677</v>
      </c>
      <c r="AG2183" t="s">
        <v>21678</v>
      </c>
      <c r="AH2183" t="str">
        <f>HYPERLINK("http://compartments.jensenlab.org/Entity?figures=subcell_cell_%&amp;knowledge=10&amp;textmining=10&amp;experiments=10&amp;predictions=10&amp;type1=9606&amp;type2=-22&amp;id1=ENSP00000278927","link")</f>
        <v>link</v>
      </c>
      <c r="AI2183" t="s">
        <v>65</v>
      </c>
      <c r="AJ2183" t="s">
        <v>51</v>
      </c>
      <c r="AK2183" t="str">
        <f>HYPERLINK("http://www.proteinatlas.org/Q96AP7","HPA051043;HPA056293")</f>
        <v>HPA051043;HPA056293</v>
      </c>
      <c r="AM2183">
        <v>90952</v>
      </c>
    </row>
    <row r="2184" spans="1:39" x14ac:dyDescent="0.35">
      <c r="A2184" t="s">
        <v>21679</v>
      </c>
      <c r="B2184" t="str">
        <f>HYPERLINK("http://www.uniprot.org/uniprot/Q96B86","Q96B86")</f>
        <v>Q96B86</v>
      </c>
      <c r="C2184" t="s">
        <v>21680</v>
      </c>
      <c r="D2184" t="s">
        <v>21681</v>
      </c>
      <c r="E2184" t="s">
        <v>39</v>
      </c>
      <c r="F2184" t="s">
        <v>239</v>
      </c>
      <c r="H2184">
        <v>450</v>
      </c>
      <c r="I2184">
        <v>0</v>
      </c>
      <c r="J2184">
        <v>1</v>
      </c>
      <c r="K2184" t="s">
        <v>21682</v>
      </c>
      <c r="L2184" t="s">
        <v>57</v>
      </c>
      <c r="N2184">
        <v>0.77449999999999997</v>
      </c>
      <c r="O2184" s="1" t="s">
        <v>997</v>
      </c>
      <c r="P2184" t="s">
        <v>21683</v>
      </c>
      <c r="Q2184" t="s">
        <v>21684</v>
      </c>
      <c r="U2184" t="s">
        <v>21685</v>
      </c>
      <c r="V2184">
        <v>3</v>
      </c>
      <c r="W2184" t="s">
        <v>21685</v>
      </c>
      <c r="AE2184" t="s">
        <v>243</v>
      </c>
      <c r="AF2184" t="s">
        <v>21686</v>
      </c>
      <c r="AG2184" t="s">
        <v>21687</v>
      </c>
      <c r="AH2184" t="str">
        <f>HYPERLINK("http://compartments.jensenlab.org/Entity?figures=subcell_cell_%&amp;knowledge=10&amp;textmining=10&amp;experiments=10&amp;predictions=10&amp;type1=9606&amp;type2=-22&amp;id1=ENSP00000330005","link")</f>
        <v>link</v>
      </c>
      <c r="AI2184" t="s">
        <v>65</v>
      </c>
      <c r="AJ2184" t="s">
        <v>345</v>
      </c>
      <c r="AK2184" t="str">
        <f>HYPERLINK("http://www.proteinatlas.org/Q96B86","CAB012343;HPA039880;HPA044222")</f>
        <v>CAB012343;HPA039880;HPA044222</v>
      </c>
      <c r="AM2184">
        <v>56963</v>
      </c>
    </row>
    <row r="2185" spans="1:39" x14ac:dyDescent="0.35">
      <c r="A2185" t="s">
        <v>21688</v>
      </c>
      <c r="B2185" t="str">
        <f>HYPERLINK("http://www.uniprot.org/uniprot/Q96BD0","Q96BD0")</f>
        <v>Q96BD0</v>
      </c>
      <c r="C2185" t="s">
        <v>21689</v>
      </c>
      <c r="D2185" t="s">
        <v>21690</v>
      </c>
      <c r="E2185" t="s">
        <v>39</v>
      </c>
      <c r="F2185" t="s">
        <v>55</v>
      </c>
      <c r="H2185">
        <v>722</v>
      </c>
      <c r="I2185">
        <v>12</v>
      </c>
      <c r="J2185">
        <v>0</v>
      </c>
      <c r="K2185" t="s">
        <v>21691</v>
      </c>
      <c r="L2185" t="s">
        <v>101</v>
      </c>
      <c r="M2185" t="s">
        <v>39</v>
      </c>
      <c r="N2185">
        <v>0.94379999999999997</v>
      </c>
      <c r="O2185" s="1">
        <v>1</v>
      </c>
      <c r="P2185" t="s">
        <v>21692</v>
      </c>
      <c r="Q2185" t="s">
        <v>21693</v>
      </c>
      <c r="S2185" t="s">
        <v>45</v>
      </c>
      <c r="T2185" t="s">
        <v>797</v>
      </c>
      <c r="U2185" t="s">
        <v>21694</v>
      </c>
      <c r="V2185">
        <v>2</v>
      </c>
      <c r="Y2185">
        <v>172</v>
      </c>
      <c r="Z2185" t="s">
        <v>107</v>
      </c>
      <c r="AA2185">
        <v>4</v>
      </c>
      <c r="AB2185" t="s">
        <v>21695</v>
      </c>
      <c r="AC2185">
        <v>557</v>
      </c>
      <c r="AD2185" t="s">
        <v>21696</v>
      </c>
      <c r="AE2185" t="s">
        <v>74</v>
      </c>
      <c r="AF2185" t="s">
        <v>21697</v>
      </c>
      <c r="AG2185" t="s">
        <v>21698</v>
      </c>
      <c r="AH2185" t="str">
        <f>HYPERLINK("http://compartments.jensenlab.org/Entity?figures=subcell_cell_%&amp;knowledge=10&amp;textmining=10&amp;experiments=10&amp;predictions=10&amp;type1=9606&amp;type2=-22&amp;id1=ENSP00000217159","link")</f>
        <v>link</v>
      </c>
      <c r="AI2185" t="s">
        <v>65</v>
      </c>
      <c r="AJ2185" t="s">
        <v>51</v>
      </c>
      <c r="AK2185" t="str">
        <f>HYPERLINK("http://www.proteinatlas.org/Q96BD0","HPA030669;HPA030670")</f>
        <v>HPA030669;HPA030670</v>
      </c>
      <c r="AM2185">
        <v>28231</v>
      </c>
    </row>
    <row r="2186" spans="1:39" x14ac:dyDescent="0.35">
      <c r="A2186" t="s">
        <v>21699</v>
      </c>
      <c r="B2186" t="str">
        <f>HYPERLINK("http://www.uniprot.org/uniprot/Q96BF3","Q96BF3")</f>
        <v>Q96BF3</v>
      </c>
      <c r="C2186" t="s">
        <v>21700</v>
      </c>
      <c r="D2186" t="s">
        <v>21701</v>
      </c>
      <c r="E2186" t="s">
        <v>39</v>
      </c>
      <c r="F2186" t="s">
        <v>55</v>
      </c>
      <c r="H2186">
        <v>282</v>
      </c>
      <c r="I2186">
        <v>1</v>
      </c>
      <c r="J2186">
        <v>1</v>
      </c>
      <c r="K2186" t="s">
        <v>21702</v>
      </c>
      <c r="L2186" t="s">
        <v>101</v>
      </c>
      <c r="M2186" t="s">
        <v>39</v>
      </c>
      <c r="N2186">
        <v>0.91100000000000003</v>
      </c>
      <c r="O2186" s="1">
        <v>1</v>
      </c>
      <c r="P2186" t="s">
        <v>21703</v>
      </c>
      <c r="Q2186" t="s">
        <v>21704</v>
      </c>
      <c r="S2186" t="s">
        <v>60</v>
      </c>
      <c r="T2186" t="s">
        <v>60</v>
      </c>
      <c r="U2186" t="s">
        <v>21705</v>
      </c>
      <c r="V2186">
        <v>3</v>
      </c>
      <c r="Y2186">
        <v>168</v>
      </c>
      <c r="Z2186" t="s">
        <v>107</v>
      </c>
      <c r="AA2186">
        <v>6</v>
      </c>
      <c r="AB2186" t="s">
        <v>21706</v>
      </c>
      <c r="AC2186" t="s">
        <v>21707</v>
      </c>
      <c r="AD2186" t="s">
        <v>21708</v>
      </c>
      <c r="AE2186" t="s">
        <v>332</v>
      </c>
      <c r="AF2186" t="s">
        <v>21709</v>
      </c>
      <c r="AG2186" t="s">
        <v>21710</v>
      </c>
      <c r="AH2186" t="str">
        <f>HYPERLINK("http://compartments.jensenlab.org/Entity?figures=subcell_cell_%&amp;knowledge=10&amp;textmining=10&amp;experiments=10&amp;predictions=10&amp;type1=9606&amp;type2=-22&amp;id1=ENSP00000301272","link")</f>
        <v>link</v>
      </c>
      <c r="AJ2186" t="s">
        <v>51</v>
      </c>
      <c r="AK2186" t="str">
        <f>HYPERLINK("http://www.proteinatlas.org/Q96BF3","HPA011081")</f>
        <v>HPA011081</v>
      </c>
      <c r="AM2186">
        <v>126259</v>
      </c>
    </row>
    <row r="2187" spans="1:39" x14ac:dyDescent="0.35">
      <c r="A2187" t="s">
        <v>21711</v>
      </c>
      <c r="B2187" t="str">
        <f>HYPERLINK("http://www.uniprot.org/uniprot/Q96CE8","Q96CE8")</f>
        <v>Q96CE8</v>
      </c>
      <c r="C2187" t="s">
        <v>21712</v>
      </c>
      <c r="D2187" t="s">
        <v>21713</v>
      </c>
      <c r="E2187" t="s">
        <v>39</v>
      </c>
      <c r="F2187" t="s">
        <v>40</v>
      </c>
      <c r="H2187">
        <v>201</v>
      </c>
      <c r="I2187">
        <v>4</v>
      </c>
      <c r="J2187">
        <v>0</v>
      </c>
      <c r="K2187" t="s">
        <v>21714</v>
      </c>
      <c r="L2187" t="s">
        <v>57</v>
      </c>
      <c r="N2187">
        <v>0.62480000000000002</v>
      </c>
      <c r="O2187" s="1">
        <v>2</v>
      </c>
      <c r="P2187" t="s">
        <v>21715</v>
      </c>
      <c r="Q2187" t="s">
        <v>21716</v>
      </c>
      <c r="S2187" t="s">
        <v>91</v>
      </c>
      <c r="T2187" t="s">
        <v>1334</v>
      </c>
      <c r="U2187">
        <v>83</v>
      </c>
      <c r="V2187">
        <v>0</v>
      </c>
      <c r="AE2187" t="s">
        <v>48</v>
      </c>
      <c r="AF2187" t="s">
        <v>15168</v>
      </c>
      <c r="AG2187" t="s">
        <v>21717</v>
      </c>
      <c r="AH2187" t="str">
        <f>HYPERLINK("http://compartments.jensenlab.org/Entity?figures=subcell_cell_%&amp;knowledge=10&amp;textmining=10&amp;experiments=10&amp;predictions=10&amp;type1=9606&amp;type2=-22&amp;id1=ENSP00000296059","link")</f>
        <v>link</v>
      </c>
      <c r="AJ2187" t="s">
        <v>51</v>
      </c>
      <c r="AK2187" t="str">
        <f>HYPERLINK("http://www.proteinatlas.org/Q96CE8","HPA053639")</f>
        <v>HPA053639</v>
      </c>
      <c r="AM2187">
        <v>116441</v>
      </c>
    </row>
    <row r="2188" spans="1:39" x14ac:dyDescent="0.35">
      <c r="A2188" t="s">
        <v>21718</v>
      </c>
      <c r="B2188" t="str">
        <f>HYPERLINK("http://www.uniprot.org/uniprot/Q96CH1","Q96CH1")</f>
        <v>Q96CH1</v>
      </c>
      <c r="C2188" t="s">
        <v>21719</v>
      </c>
      <c r="D2188" t="s">
        <v>21720</v>
      </c>
      <c r="E2188" t="s">
        <v>39</v>
      </c>
      <c r="F2188" t="s">
        <v>55</v>
      </c>
      <c r="H2188">
        <v>333</v>
      </c>
      <c r="I2188">
        <v>7</v>
      </c>
      <c r="J2188">
        <v>0</v>
      </c>
      <c r="K2188" t="s">
        <v>21721</v>
      </c>
      <c r="L2188" t="s">
        <v>57</v>
      </c>
      <c r="M2188" t="s">
        <v>39</v>
      </c>
      <c r="N2188">
        <v>0.7722</v>
      </c>
      <c r="O2188" s="1">
        <v>1</v>
      </c>
      <c r="P2188" t="s">
        <v>21722</v>
      </c>
      <c r="Q2188" t="s">
        <v>21723</v>
      </c>
      <c r="S2188" t="s">
        <v>166</v>
      </c>
      <c r="T2188" t="s">
        <v>838</v>
      </c>
      <c r="U2188" t="s">
        <v>21724</v>
      </c>
      <c r="V2188">
        <v>1</v>
      </c>
      <c r="Y2188">
        <v>92</v>
      </c>
      <c r="AE2188" t="s">
        <v>74</v>
      </c>
      <c r="AF2188" t="s">
        <v>13176</v>
      </c>
      <c r="AG2188" t="s">
        <v>21725</v>
      </c>
      <c r="AH2188" t="str">
        <f>HYPERLINK("http://compartments.jensenlab.org/Entity?figures=subcell_cell_%&amp;knowledge=10&amp;textmining=10&amp;experiments=10&amp;predictions=10&amp;type1=9606&amp;type2=-22&amp;id1=ENSP00000297468","link")</f>
        <v>link</v>
      </c>
      <c r="AI2188" t="s">
        <v>65</v>
      </c>
      <c r="AJ2188" t="s">
        <v>51</v>
      </c>
      <c r="AK2188" t="str">
        <f>HYPERLINK("http://www.proteinatlas.org/Q96CH1","no")</f>
        <v>no</v>
      </c>
      <c r="AM2188">
        <v>115330</v>
      </c>
    </row>
    <row r="2189" spans="1:39" x14ac:dyDescent="0.35">
      <c r="A2189" t="s">
        <v>21726</v>
      </c>
      <c r="B2189" t="str">
        <f>HYPERLINK("http://www.uniprot.org/uniprot/Q96CW9","Q96CW9")</f>
        <v>Q96CW9</v>
      </c>
      <c r="C2189" t="s">
        <v>21727</v>
      </c>
      <c r="D2189" t="s">
        <v>21728</v>
      </c>
      <c r="E2189" t="s">
        <v>39</v>
      </c>
      <c r="F2189" t="s">
        <v>239</v>
      </c>
      <c r="H2189">
        <v>530</v>
      </c>
      <c r="I2189">
        <v>0</v>
      </c>
      <c r="J2189">
        <v>1</v>
      </c>
      <c r="K2189" t="s">
        <v>21729</v>
      </c>
      <c r="L2189" t="s">
        <v>57</v>
      </c>
      <c r="N2189">
        <v>0.6028</v>
      </c>
      <c r="O2189" s="1" t="s">
        <v>241</v>
      </c>
      <c r="U2189" t="s">
        <v>21730</v>
      </c>
      <c r="V2189">
        <v>5</v>
      </c>
      <c r="AE2189" t="s">
        <v>21731</v>
      </c>
      <c r="AF2189" t="s">
        <v>21732</v>
      </c>
      <c r="AG2189" t="s">
        <v>21733</v>
      </c>
      <c r="AK2189" t="str">
        <f>HYPERLINK("http://www.proteinatlas.org/Q96CW9","no")</f>
        <v>no</v>
      </c>
      <c r="AM2189">
        <v>84628</v>
      </c>
    </row>
    <row r="2190" spans="1:39" x14ac:dyDescent="0.35">
      <c r="A2190" t="s">
        <v>21734</v>
      </c>
      <c r="B2190" t="str">
        <f>HYPERLINK("http://www.uniprot.org/uniprot/Q96D42","Q96D42")</f>
        <v>Q96D42</v>
      </c>
      <c r="C2190" t="s">
        <v>21735</v>
      </c>
      <c r="D2190" t="s">
        <v>21736</v>
      </c>
      <c r="E2190" t="s">
        <v>39</v>
      </c>
      <c r="F2190" t="s">
        <v>40</v>
      </c>
      <c r="H2190">
        <v>359</v>
      </c>
      <c r="I2190">
        <v>1</v>
      </c>
      <c r="J2190">
        <v>1</v>
      </c>
      <c r="K2190" t="s">
        <v>21737</v>
      </c>
      <c r="L2190" t="s">
        <v>57</v>
      </c>
      <c r="N2190">
        <v>0.86029999999999995</v>
      </c>
      <c r="O2190" s="1">
        <v>1</v>
      </c>
      <c r="P2190" t="s">
        <v>21738</v>
      </c>
      <c r="Q2190" t="s">
        <v>21739</v>
      </c>
      <c r="S2190" t="s">
        <v>60</v>
      </c>
      <c r="T2190" t="s">
        <v>60</v>
      </c>
      <c r="U2190" t="s">
        <v>21740</v>
      </c>
      <c r="V2190">
        <v>4</v>
      </c>
      <c r="X2190" t="s">
        <v>21741</v>
      </c>
      <c r="AE2190" t="s">
        <v>144</v>
      </c>
      <c r="AF2190" t="s">
        <v>21742</v>
      </c>
      <c r="AG2190" t="s">
        <v>21743</v>
      </c>
      <c r="AH2190" t="str">
        <f>HYPERLINK("http://compartments.jensenlab.org/Entity?figures=subcell_cell_%&amp;knowledge=10&amp;textmining=10&amp;experiments=10&amp;predictions=10&amp;type1=9606&amp;type2=-22&amp;id1=ENSP00000344844","link")</f>
        <v>link</v>
      </c>
      <c r="AJ2190" t="s">
        <v>51</v>
      </c>
      <c r="AK2190" t="str">
        <f>HYPERLINK("http://www.proteinatlas.org/Q96D42","HPA007173")</f>
        <v>HPA007173</v>
      </c>
      <c r="AM2190">
        <v>26762</v>
      </c>
    </row>
    <row r="2191" spans="1:39" x14ac:dyDescent="0.35">
      <c r="A2191" t="s">
        <v>21744</v>
      </c>
      <c r="B2191" t="str">
        <f>HYPERLINK("http://www.uniprot.org/uniprot/Q96DD7","Q96DD7")</f>
        <v>Q96DD7</v>
      </c>
      <c r="C2191" t="s">
        <v>21745</v>
      </c>
      <c r="D2191" t="s">
        <v>21746</v>
      </c>
      <c r="E2191" t="s">
        <v>39</v>
      </c>
      <c r="F2191" t="s">
        <v>40</v>
      </c>
      <c r="H2191">
        <v>197</v>
      </c>
      <c r="I2191">
        <v>1</v>
      </c>
      <c r="J2191">
        <v>1</v>
      </c>
      <c r="K2191" t="s">
        <v>21747</v>
      </c>
      <c r="L2191" t="s">
        <v>57</v>
      </c>
      <c r="N2191">
        <v>0.68259999999999998</v>
      </c>
      <c r="O2191" s="1">
        <v>2</v>
      </c>
      <c r="P2191" t="s">
        <v>21748</v>
      </c>
      <c r="Q2191" t="s">
        <v>21749</v>
      </c>
      <c r="S2191" t="s">
        <v>60</v>
      </c>
      <c r="T2191" t="s">
        <v>60</v>
      </c>
      <c r="U2191">
        <v>38</v>
      </c>
      <c r="V2191">
        <v>1</v>
      </c>
      <c r="AE2191" t="s">
        <v>144</v>
      </c>
      <c r="AF2191" t="s">
        <v>18363</v>
      </c>
      <c r="AG2191" t="s">
        <v>21750</v>
      </c>
      <c r="AH2191" t="str">
        <f>HYPERLINK("http://compartments.jensenlab.org/Entity?figures=subcell_cell_%&amp;knowledge=10&amp;textmining=10&amp;experiments=10&amp;predictions=10&amp;type1=9606&amp;type2=-22&amp;id1=ENSP00000355064","link")</f>
        <v>link</v>
      </c>
      <c r="AJ2191" t="s">
        <v>51</v>
      </c>
      <c r="AK2191" t="str">
        <f>HYPERLINK("http://www.proteinatlas.org/Q96DD7","HPA061273")</f>
        <v>HPA061273</v>
      </c>
      <c r="AM2191">
        <v>149345</v>
      </c>
    </row>
    <row r="2192" spans="1:39" x14ac:dyDescent="0.35">
      <c r="A2192" t="s">
        <v>21751</v>
      </c>
      <c r="B2192" t="str">
        <f>HYPERLINK("http://www.uniprot.org/uniprot/Q96DU3","Q96DU3")</f>
        <v>Q96DU3</v>
      </c>
      <c r="C2192" t="s">
        <v>21752</v>
      </c>
      <c r="D2192" t="s">
        <v>21753</v>
      </c>
      <c r="E2192" t="s">
        <v>39</v>
      </c>
      <c r="F2192" t="s">
        <v>55</v>
      </c>
      <c r="H2192">
        <v>332</v>
      </c>
      <c r="I2192">
        <v>1</v>
      </c>
      <c r="J2192">
        <v>1</v>
      </c>
      <c r="K2192" t="s">
        <v>21754</v>
      </c>
      <c r="L2192" t="s">
        <v>101</v>
      </c>
      <c r="M2192" t="s">
        <v>39</v>
      </c>
      <c r="N2192">
        <v>0.96260000000000001</v>
      </c>
      <c r="O2192" s="1">
        <v>1</v>
      </c>
      <c r="P2192" t="s">
        <v>21755</v>
      </c>
      <c r="Q2192" t="s">
        <v>21756</v>
      </c>
      <c r="R2192" t="s">
        <v>21757</v>
      </c>
      <c r="S2192" t="s">
        <v>60</v>
      </c>
      <c r="T2192" t="s">
        <v>60</v>
      </c>
      <c r="U2192" t="s">
        <v>21758</v>
      </c>
      <c r="V2192">
        <v>7</v>
      </c>
      <c r="Z2192" t="s">
        <v>107</v>
      </c>
      <c r="AA2192">
        <v>19</v>
      </c>
      <c r="AB2192" t="s">
        <v>21759</v>
      </c>
      <c r="AC2192" t="s">
        <v>21760</v>
      </c>
      <c r="AD2192" t="s">
        <v>21761</v>
      </c>
      <c r="AE2192" t="s">
        <v>332</v>
      </c>
      <c r="AF2192" t="s">
        <v>21762</v>
      </c>
      <c r="AG2192" t="s">
        <v>21763</v>
      </c>
      <c r="AH2192" t="str">
        <f>HYPERLINK("http://compartments.jensenlab.org/Entity?figures=subcell_cell_%&amp;knowledge=10&amp;textmining=10&amp;experiments=10&amp;predictions=10&amp;type1=9606&amp;type2=-22&amp;id1=ENSP00000357036","link")</f>
        <v>link</v>
      </c>
      <c r="AK2192" t="str">
        <f>HYPERLINK("http://www.proteinatlas.org/Q96DU3","HPA051363;HPA051903")</f>
        <v>HPA051363;HPA051903</v>
      </c>
      <c r="AM2192">
        <v>114836</v>
      </c>
    </row>
    <row r="2193" spans="1:39" x14ac:dyDescent="0.35">
      <c r="A2193" t="s">
        <v>21764</v>
      </c>
      <c r="B2193" t="str">
        <f>HYPERLINK("http://www.uniprot.org/uniprot/Q96E93","Q96E93")</f>
        <v>Q96E93</v>
      </c>
      <c r="C2193" t="s">
        <v>21765</v>
      </c>
      <c r="D2193" t="s">
        <v>21766</v>
      </c>
      <c r="E2193" t="s">
        <v>39</v>
      </c>
      <c r="F2193" t="s">
        <v>55</v>
      </c>
      <c r="H2193">
        <v>195</v>
      </c>
      <c r="I2193">
        <v>1</v>
      </c>
      <c r="J2193">
        <v>0</v>
      </c>
      <c r="K2193" t="s">
        <v>21767</v>
      </c>
      <c r="L2193" t="s">
        <v>101</v>
      </c>
      <c r="M2193" t="s">
        <v>39</v>
      </c>
      <c r="N2193">
        <v>0.77300000000000002</v>
      </c>
      <c r="O2193" s="1">
        <v>1</v>
      </c>
      <c r="P2193" t="s">
        <v>21768</v>
      </c>
      <c r="Q2193" t="s">
        <v>21769</v>
      </c>
      <c r="S2193" t="s">
        <v>166</v>
      </c>
      <c r="T2193" t="s">
        <v>4251</v>
      </c>
      <c r="U2193" t="s">
        <v>21770</v>
      </c>
      <c r="V2193">
        <v>4</v>
      </c>
      <c r="Z2193" t="s">
        <v>107</v>
      </c>
      <c r="AA2193">
        <v>1</v>
      </c>
      <c r="AB2193" t="s">
        <v>21771</v>
      </c>
      <c r="AC2193">
        <v>150</v>
      </c>
      <c r="AD2193" t="s">
        <v>21772</v>
      </c>
      <c r="AE2193" t="s">
        <v>764</v>
      </c>
      <c r="AF2193" t="s">
        <v>21773</v>
      </c>
      <c r="AG2193" t="s">
        <v>21774</v>
      </c>
      <c r="AH2193" t="str">
        <f>HYPERLINK("http://compartments.jensenlab.org/Entity?figures=subcell_cell_%&amp;knowledge=10&amp;textmining=10&amp;experiments=10&amp;predictions=10&amp;type1=9606&amp;type2=-22&amp;id1=ENSP00000266551","link")</f>
        <v>link</v>
      </c>
      <c r="AK2193" t="str">
        <f>HYPERLINK("http://www.proteinatlas.org/Q96E93","HPA051403")</f>
        <v>HPA051403</v>
      </c>
      <c r="AM2193">
        <v>10219</v>
      </c>
    </row>
    <row r="2194" spans="1:39" x14ac:dyDescent="0.35">
      <c r="A2194" t="s">
        <v>21775</v>
      </c>
      <c r="B2194" t="str">
        <f>HYPERLINK("http://www.uniprot.org/uniprot/Q96EP9","Q96EP9")</f>
        <v>Q96EP9</v>
      </c>
      <c r="C2194" t="s">
        <v>21776</v>
      </c>
      <c r="D2194" t="s">
        <v>21777</v>
      </c>
      <c r="E2194" t="s">
        <v>39</v>
      </c>
      <c r="F2194" t="s">
        <v>40</v>
      </c>
      <c r="H2194">
        <v>437</v>
      </c>
      <c r="I2194">
        <v>7</v>
      </c>
      <c r="J2194">
        <v>0</v>
      </c>
      <c r="K2194" t="s">
        <v>21778</v>
      </c>
      <c r="L2194" t="s">
        <v>57</v>
      </c>
      <c r="N2194">
        <v>0.87029999999999996</v>
      </c>
      <c r="O2194" s="1">
        <v>1</v>
      </c>
      <c r="P2194" t="s">
        <v>21779</v>
      </c>
      <c r="Q2194" t="s">
        <v>21780</v>
      </c>
      <c r="S2194" t="s">
        <v>45</v>
      </c>
      <c r="T2194" t="s">
        <v>4679</v>
      </c>
      <c r="U2194" t="s">
        <v>21781</v>
      </c>
      <c r="V2194">
        <v>5</v>
      </c>
      <c r="AE2194" t="s">
        <v>74</v>
      </c>
      <c r="AF2194" t="s">
        <v>21782</v>
      </c>
      <c r="AG2194" t="s">
        <v>21783</v>
      </c>
      <c r="AH2194" t="str">
        <f>HYPERLINK("http://compartments.jensenlab.org/Entity?figures=subcell_cell_%&amp;knowledge=10&amp;textmining=10&amp;experiments=10&amp;predictions=10&amp;type1=9606&amp;type2=-22&amp;id1=ENSP00000273861","link")</f>
        <v>link</v>
      </c>
      <c r="AJ2194" t="s">
        <v>51</v>
      </c>
      <c r="AK2194" t="str">
        <f>HYPERLINK("http://www.proteinatlas.org/Q96EP9","HPA028835")</f>
        <v>HPA028835</v>
      </c>
      <c r="AM2194">
        <v>201780</v>
      </c>
    </row>
    <row r="2195" spans="1:39" x14ac:dyDescent="0.35">
      <c r="A2195" t="s">
        <v>21784</v>
      </c>
      <c r="B2195" t="str">
        <f>HYPERLINK("http://www.uniprot.org/uniprot/Q96F05","Q96F05")</f>
        <v>Q96F05</v>
      </c>
      <c r="C2195" t="s">
        <v>21785</v>
      </c>
      <c r="D2195" t="s">
        <v>21786</v>
      </c>
      <c r="E2195" t="s">
        <v>39</v>
      </c>
      <c r="F2195" t="s">
        <v>55</v>
      </c>
      <c r="H2195">
        <v>449</v>
      </c>
      <c r="I2195">
        <v>1</v>
      </c>
      <c r="J2195">
        <v>1</v>
      </c>
      <c r="K2195" t="s">
        <v>21787</v>
      </c>
      <c r="L2195" t="s">
        <v>101</v>
      </c>
      <c r="M2195" t="s">
        <v>39</v>
      </c>
      <c r="N2195">
        <v>0.754</v>
      </c>
      <c r="O2195" s="1">
        <v>1</v>
      </c>
      <c r="P2195" t="s">
        <v>21788</v>
      </c>
      <c r="Q2195" t="s">
        <v>21789</v>
      </c>
      <c r="S2195" t="s">
        <v>60</v>
      </c>
      <c r="T2195" t="s">
        <v>60</v>
      </c>
      <c r="U2195" t="s">
        <v>21790</v>
      </c>
      <c r="V2195">
        <v>6</v>
      </c>
      <c r="X2195" t="s">
        <v>21791</v>
      </c>
      <c r="Z2195" t="s">
        <v>107</v>
      </c>
      <c r="AA2195">
        <v>1</v>
      </c>
      <c r="AB2195" t="s">
        <v>21792</v>
      </c>
      <c r="AC2195" t="s">
        <v>21793</v>
      </c>
      <c r="AD2195" t="s">
        <v>21794</v>
      </c>
      <c r="AE2195" t="s">
        <v>4790</v>
      </c>
      <c r="AF2195" t="s">
        <v>21795</v>
      </c>
      <c r="AG2195" t="s">
        <v>21796</v>
      </c>
      <c r="AH2195" t="str">
        <f>HYPERLINK("http://compartments.jensenlab.org/Entity?figures=subcell_cell_%&amp;knowledge=10&amp;textmining=10&amp;experiments=10&amp;predictions=10&amp;type1=9606&amp;type2=-22&amp;id1=ENSP00000307264","link")</f>
        <v>link</v>
      </c>
      <c r="AJ2195" t="s">
        <v>51</v>
      </c>
      <c r="AK2195" t="str">
        <f>HYPERLINK("http://www.proteinatlas.org/Q96F05","HPA012748")</f>
        <v>HPA012748</v>
      </c>
      <c r="AM2195">
        <v>53838</v>
      </c>
    </row>
    <row r="2196" spans="1:39" x14ac:dyDescent="0.35">
      <c r="A2196" t="s">
        <v>21797</v>
      </c>
      <c r="B2196" t="str">
        <f>HYPERLINK("http://www.uniprot.org/uniprot/Q96F46","Q96F46")</f>
        <v>Q96F46</v>
      </c>
      <c r="C2196" t="s">
        <v>21798</v>
      </c>
      <c r="D2196" t="s">
        <v>21799</v>
      </c>
      <c r="E2196" t="s">
        <v>39</v>
      </c>
      <c r="F2196" t="s">
        <v>55</v>
      </c>
      <c r="H2196">
        <v>866</v>
      </c>
      <c r="I2196">
        <v>1</v>
      </c>
      <c r="J2196">
        <v>1</v>
      </c>
      <c r="K2196" t="s">
        <v>21800</v>
      </c>
      <c r="L2196" t="s">
        <v>101</v>
      </c>
      <c r="M2196" t="s">
        <v>39</v>
      </c>
      <c r="N2196">
        <v>0.93510000000000004</v>
      </c>
      <c r="O2196" s="1">
        <v>1</v>
      </c>
      <c r="P2196" t="s">
        <v>21801</v>
      </c>
      <c r="Q2196" t="s">
        <v>21802</v>
      </c>
      <c r="R2196" t="s">
        <v>21803</v>
      </c>
      <c r="S2196" t="s">
        <v>166</v>
      </c>
      <c r="T2196" t="s">
        <v>18122</v>
      </c>
      <c r="U2196" t="s">
        <v>21804</v>
      </c>
      <c r="V2196">
        <v>7</v>
      </c>
      <c r="W2196" t="s">
        <v>21805</v>
      </c>
      <c r="Y2196">
        <v>320</v>
      </c>
      <c r="Z2196" t="s">
        <v>107</v>
      </c>
      <c r="AA2196">
        <v>4</v>
      </c>
      <c r="AB2196" t="s">
        <v>21806</v>
      </c>
      <c r="AC2196" t="s">
        <v>21807</v>
      </c>
      <c r="AD2196" t="s">
        <v>21808</v>
      </c>
      <c r="AE2196" t="s">
        <v>21809</v>
      </c>
      <c r="AF2196" t="s">
        <v>21810</v>
      </c>
      <c r="AG2196" t="s">
        <v>21811</v>
      </c>
      <c r="AH2196" t="str">
        <f>HYPERLINK("http://compartments.jensenlab.org/Entity?figures=subcell_cell_%&amp;knowledge=10&amp;textmining=10&amp;experiments=10&amp;predictions=10&amp;type1=9606&amp;type2=-22&amp;id1=ENSP00000320936","link")</f>
        <v>link</v>
      </c>
      <c r="AI2196" t="s">
        <v>65</v>
      </c>
      <c r="AJ2196" t="s">
        <v>51</v>
      </c>
      <c r="AK2196" t="str">
        <f>HYPERLINK("http://www.proteinatlas.org/Q96F46","CAB024996")</f>
        <v>CAB024996</v>
      </c>
      <c r="AM2196">
        <v>23765</v>
      </c>
    </row>
    <row r="2197" spans="1:39" x14ac:dyDescent="0.35">
      <c r="A2197" t="s">
        <v>21812</v>
      </c>
      <c r="B2197" t="str">
        <f>HYPERLINK("http://www.uniprot.org/uniprot/Q96F81","Q96F81")</f>
        <v>Q96F81</v>
      </c>
      <c r="C2197" t="s">
        <v>21813</v>
      </c>
      <c r="D2197" t="s">
        <v>21814</v>
      </c>
      <c r="E2197" t="s">
        <v>39</v>
      </c>
      <c r="F2197" t="s">
        <v>40</v>
      </c>
      <c r="H2197">
        <v>1524</v>
      </c>
      <c r="I2197">
        <v>12</v>
      </c>
      <c r="J2197">
        <v>0</v>
      </c>
      <c r="K2197" t="s">
        <v>21815</v>
      </c>
      <c r="L2197" t="s">
        <v>42</v>
      </c>
      <c r="N2197">
        <v>0.79239999999999999</v>
      </c>
      <c r="O2197" s="1">
        <v>1</v>
      </c>
      <c r="P2197" t="s">
        <v>21816</v>
      </c>
      <c r="Q2197" t="s">
        <v>21817</v>
      </c>
      <c r="S2197" t="s">
        <v>60</v>
      </c>
      <c r="T2197" t="s">
        <v>60</v>
      </c>
      <c r="U2197" t="s">
        <v>21818</v>
      </c>
      <c r="V2197">
        <v>6</v>
      </c>
      <c r="Y2197">
        <v>721</v>
      </c>
      <c r="AE2197" t="s">
        <v>48</v>
      </c>
      <c r="AF2197" t="s">
        <v>21819</v>
      </c>
      <c r="AG2197" t="s">
        <v>21820</v>
      </c>
      <c r="AH2197" t="str">
        <f>HYPERLINK("http://compartments.jensenlab.org/Entity?figures=subcell_cell_%&amp;knowledge=10&amp;textmining=10&amp;experiments=10&amp;predictions=10&amp;type1=9606&amp;type2=-22&amp;id1=ENSP00000284476","link")</f>
        <v>link</v>
      </c>
      <c r="AJ2197" t="s">
        <v>51</v>
      </c>
      <c r="AK2197" t="str">
        <f>HYPERLINK("http://www.proteinatlas.org/Q96F81","HPA051411")</f>
        <v>HPA051411</v>
      </c>
      <c r="AM2197">
        <v>84976</v>
      </c>
    </row>
    <row r="2198" spans="1:39" x14ac:dyDescent="0.35">
      <c r="A2198" t="s">
        <v>21821</v>
      </c>
      <c r="B2198" t="str">
        <f>HYPERLINK("http://www.uniprot.org/uniprot/Q96FE5","Q96FE5")</f>
        <v>Q96FE5</v>
      </c>
      <c r="C2198" t="s">
        <v>21822</v>
      </c>
      <c r="D2198" t="s">
        <v>21823</v>
      </c>
      <c r="E2198" t="s">
        <v>39</v>
      </c>
      <c r="F2198" t="s">
        <v>40</v>
      </c>
      <c r="H2198">
        <v>620</v>
      </c>
      <c r="I2198">
        <v>1</v>
      </c>
      <c r="J2198">
        <v>1</v>
      </c>
      <c r="K2198" t="s">
        <v>21824</v>
      </c>
      <c r="L2198" t="s">
        <v>57</v>
      </c>
      <c r="N2198">
        <v>0.94610000000000005</v>
      </c>
      <c r="O2198" s="1">
        <v>1</v>
      </c>
      <c r="P2198" t="s">
        <v>21825</v>
      </c>
      <c r="Q2198" t="s">
        <v>21826</v>
      </c>
      <c r="S2198" t="s">
        <v>91</v>
      </c>
      <c r="T2198" t="s">
        <v>260</v>
      </c>
      <c r="U2198" t="s">
        <v>21827</v>
      </c>
      <c r="V2198">
        <v>10</v>
      </c>
      <c r="AE2198" t="s">
        <v>332</v>
      </c>
      <c r="AF2198" t="s">
        <v>21828</v>
      </c>
      <c r="AG2198" t="s">
        <v>21829</v>
      </c>
      <c r="AH2198" t="str">
        <f>HYPERLINK("http://compartments.jensenlab.org/Entity?figures=subcell_cell_%&amp;knowledge=10&amp;textmining=10&amp;experiments=10&amp;predictions=10&amp;type1=9606&amp;type2=-22&amp;id1=ENSP00000347451","link")</f>
        <v>link</v>
      </c>
      <c r="AI2198" t="s">
        <v>65</v>
      </c>
      <c r="AJ2198" t="s">
        <v>51</v>
      </c>
      <c r="AK2198" t="str">
        <f>HYPERLINK("http://www.proteinatlas.org/Q96FE5","no")</f>
        <v>no</v>
      </c>
      <c r="AM2198">
        <v>84894</v>
      </c>
    </row>
    <row r="2199" spans="1:39" x14ac:dyDescent="0.35">
      <c r="A2199" t="s">
        <v>21830</v>
      </c>
      <c r="B2199" t="str">
        <f>HYPERLINK("http://www.uniprot.org/uniprot/Q96FE7","Q96FE7")</f>
        <v>Q96FE7</v>
      </c>
      <c r="C2199" t="s">
        <v>21831</v>
      </c>
      <c r="D2199" t="s">
        <v>21832</v>
      </c>
      <c r="E2199" t="s">
        <v>39</v>
      </c>
      <c r="F2199" t="s">
        <v>40</v>
      </c>
      <c r="H2199">
        <v>263</v>
      </c>
      <c r="I2199">
        <v>1</v>
      </c>
      <c r="J2199">
        <v>1</v>
      </c>
      <c r="K2199" t="s">
        <v>21833</v>
      </c>
      <c r="L2199" t="s">
        <v>57</v>
      </c>
      <c r="N2199">
        <v>0.89019999999999999</v>
      </c>
      <c r="O2199" s="1">
        <v>1</v>
      </c>
      <c r="P2199" t="s">
        <v>21834</v>
      </c>
      <c r="Q2199" t="s">
        <v>21835</v>
      </c>
      <c r="S2199" t="s">
        <v>60</v>
      </c>
      <c r="T2199" t="s">
        <v>60</v>
      </c>
      <c r="U2199">
        <v>66</v>
      </c>
      <c r="V2199">
        <v>1</v>
      </c>
      <c r="AE2199" t="s">
        <v>332</v>
      </c>
      <c r="AF2199" t="s">
        <v>21836</v>
      </c>
      <c r="AG2199" t="s">
        <v>21837</v>
      </c>
      <c r="AH2199" t="str">
        <f>HYPERLINK("http://compartments.jensenlab.org/Entity?figures=subcell_cell_%&amp;knowledge=10&amp;textmining=10&amp;experiments=10&amp;predictions=10&amp;type1=9606&amp;type2=-22&amp;id1=ENSP00000215912","link")</f>
        <v>link</v>
      </c>
      <c r="AJ2199" t="s">
        <v>51</v>
      </c>
      <c r="AK2199" t="str">
        <f>HYPERLINK("http://www.proteinatlas.org/Q96FE7","HPA002959")</f>
        <v>HPA002959</v>
      </c>
      <c r="AM2199">
        <v>113791</v>
      </c>
    </row>
    <row r="2200" spans="1:39" x14ac:dyDescent="0.35">
      <c r="A2200" t="s">
        <v>21838</v>
      </c>
      <c r="B2200" t="str">
        <f>HYPERLINK("http://www.uniprot.org/uniprot/Q96FL8","Q96FL8")</f>
        <v>Q96FL8</v>
      </c>
      <c r="C2200" t="s">
        <v>21839</v>
      </c>
      <c r="D2200" t="s">
        <v>21840</v>
      </c>
      <c r="E2200" t="s">
        <v>39</v>
      </c>
      <c r="F2200" t="s">
        <v>40</v>
      </c>
      <c r="H2200">
        <v>570</v>
      </c>
      <c r="I2200">
        <v>13</v>
      </c>
      <c r="J2200">
        <v>0</v>
      </c>
      <c r="K2200" t="s">
        <v>21841</v>
      </c>
      <c r="L2200" t="s">
        <v>57</v>
      </c>
      <c r="N2200">
        <v>0.66069999999999995</v>
      </c>
      <c r="O2200" s="1">
        <v>2</v>
      </c>
      <c r="P2200" t="s">
        <v>21842</v>
      </c>
      <c r="Q2200" t="s">
        <v>21843</v>
      </c>
      <c r="S2200" t="s">
        <v>60</v>
      </c>
      <c r="T2200" t="s">
        <v>60</v>
      </c>
      <c r="U2200">
        <v>82</v>
      </c>
      <c r="V2200">
        <v>0</v>
      </c>
      <c r="Y2200">
        <v>245</v>
      </c>
      <c r="AE2200" t="s">
        <v>74</v>
      </c>
      <c r="AF2200" t="s">
        <v>21844</v>
      </c>
      <c r="AG2200" t="s">
        <v>21845</v>
      </c>
      <c r="AH2200" t="str">
        <f>HYPERLINK("http://compartments.jensenlab.org/Entity?figures=subcell_cell_%&amp;knowledge=10&amp;textmining=10&amp;experiments=10&amp;predictions=10&amp;type1=9606&amp;type2=-22&amp;id1=ENSP00000270570","link")</f>
        <v>link</v>
      </c>
      <c r="AI2200" t="s">
        <v>65</v>
      </c>
      <c r="AJ2200" t="s">
        <v>51</v>
      </c>
      <c r="AK2200" t="str">
        <f>HYPERLINK("http://www.proteinatlas.org/Q96FL8","HPA021987")</f>
        <v>HPA021987</v>
      </c>
      <c r="AM2200">
        <v>55244</v>
      </c>
    </row>
    <row r="2201" spans="1:39" x14ac:dyDescent="0.35">
      <c r="A2201" t="s">
        <v>21846</v>
      </c>
      <c r="B2201" t="str">
        <f>HYPERLINK("http://www.uniprot.org/uniprot/Q96FT7","Q96FT7")</f>
        <v>Q96FT7</v>
      </c>
      <c r="C2201" t="s">
        <v>21847</v>
      </c>
      <c r="D2201" t="s">
        <v>21848</v>
      </c>
      <c r="E2201" t="s">
        <v>39</v>
      </c>
      <c r="F2201" t="s">
        <v>40</v>
      </c>
      <c r="H2201">
        <v>647</v>
      </c>
      <c r="I2201">
        <v>2</v>
      </c>
      <c r="J2201">
        <v>0</v>
      </c>
      <c r="K2201" t="s">
        <v>21849</v>
      </c>
      <c r="L2201" t="s">
        <v>57</v>
      </c>
      <c r="N2201">
        <v>0.65069999999999995</v>
      </c>
      <c r="O2201" s="1">
        <v>2</v>
      </c>
      <c r="P2201" t="s">
        <v>21850</v>
      </c>
      <c r="Q2201" t="s">
        <v>21851</v>
      </c>
      <c r="U2201" t="s">
        <v>21852</v>
      </c>
      <c r="V2201">
        <v>7</v>
      </c>
      <c r="W2201" t="s">
        <v>21853</v>
      </c>
      <c r="AE2201" t="s">
        <v>48</v>
      </c>
      <c r="AF2201" t="s">
        <v>21854</v>
      </c>
      <c r="AG2201" t="s">
        <v>21855</v>
      </c>
      <c r="AH2201" t="str">
        <f>HYPERLINK("http://compartments.jensenlab.org/Entity?figures=subcell_cell_%&amp;knowledge=10&amp;textmining=10&amp;experiments=10&amp;predictions=10&amp;type1=9606&amp;type2=-22&amp;id1=ENSP00000326627","link")</f>
        <v>link</v>
      </c>
      <c r="AK2201" t="str">
        <f>HYPERLINK("http://www.proteinatlas.org/Q96FT7","CAB032529;HPA036042")</f>
        <v>CAB032529;HPA036042</v>
      </c>
      <c r="AM2201">
        <v>55515</v>
      </c>
    </row>
    <row r="2202" spans="1:39" x14ac:dyDescent="0.35">
      <c r="A2202" t="s">
        <v>21856</v>
      </c>
      <c r="B2202" t="str">
        <f>HYPERLINK("http://www.uniprot.org/uniprot/Q96FV3","Q96FV3")</f>
        <v>Q96FV3</v>
      </c>
      <c r="C2202" t="s">
        <v>21857</v>
      </c>
      <c r="D2202" t="s">
        <v>21858</v>
      </c>
      <c r="E2202" t="s">
        <v>39</v>
      </c>
      <c r="F2202" t="s">
        <v>40</v>
      </c>
      <c r="H2202">
        <v>270</v>
      </c>
      <c r="I2202">
        <v>4</v>
      </c>
      <c r="J2202">
        <v>0</v>
      </c>
      <c r="K2202" t="s">
        <v>21859</v>
      </c>
      <c r="L2202" t="s">
        <v>57</v>
      </c>
      <c r="N2202">
        <v>0.6966</v>
      </c>
      <c r="O2202" s="1">
        <v>2</v>
      </c>
      <c r="P2202" t="s">
        <v>21860</v>
      </c>
      <c r="S2202" t="s">
        <v>91</v>
      </c>
      <c r="T2202" t="s">
        <v>135</v>
      </c>
      <c r="U2202" t="s">
        <v>21861</v>
      </c>
      <c r="V2202">
        <v>2</v>
      </c>
      <c r="AE2202" t="s">
        <v>48</v>
      </c>
      <c r="AF2202" t="s">
        <v>472</v>
      </c>
      <c r="AG2202" t="s">
        <v>21862</v>
      </c>
      <c r="AK2202" t="str">
        <f>HYPERLINK("http://www.proteinatlas.org/Q96FV3","HPA030447")</f>
        <v>HPA030447</v>
      </c>
      <c r="AM2202">
        <v>26262</v>
      </c>
    </row>
    <row r="2203" spans="1:39" x14ac:dyDescent="0.35">
      <c r="A2203" t="s">
        <v>21863</v>
      </c>
      <c r="B2203" t="str">
        <f>HYPERLINK("http://www.uniprot.org/uniprot/Q96G91","Q96G91")</f>
        <v>Q96G91</v>
      </c>
      <c r="C2203" t="s">
        <v>21864</v>
      </c>
      <c r="D2203" t="s">
        <v>21865</v>
      </c>
      <c r="E2203" t="s">
        <v>39</v>
      </c>
      <c r="F2203" t="s">
        <v>55</v>
      </c>
      <c r="H2203">
        <v>374</v>
      </c>
      <c r="I2203">
        <v>7</v>
      </c>
      <c r="J2203">
        <v>0</v>
      </c>
      <c r="K2203" t="s">
        <v>21866</v>
      </c>
      <c r="L2203" t="s">
        <v>101</v>
      </c>
      <c r="M2203" t="s">
        <v>39</v>
      </c>
      <c r="N2203">
        <v>0.8841</v>
      </c>
      <c r="O2203" s="1">
        <v>1</v>
      </c>
      <c r="P2203" t="s">
        <v>21867</v>
      </c>
      <c r="Q2203" t="s">
        <v>21868</v>
      </c>
      <c r="S2203" t="s">
        <v>166</v>
      </c>
      <c r="T2203" t="s">
        <v>838</v>
      </c>
      <c r="U2203" t="s">
        <v>21869</v>
      </c>
      <c r="V2203">
        <v>2</v>
      </c>
      <c r="W2203">
        <v>357</v>
      </c>
      <c r="Z2203" t="s">
        <v>107</v>
      </c>
      <c r="AA2203">
        <v>2</v>
      </c>
      <c r="AB2203" t="s">
        <v>21870</v>
      </c>
      <c r="AC2203">
        <v>179</v>
      </c>
      <c r="AD2203" t="s">
        <v>21871</v>
      </c>
      <c r="AE2203" t="s">
        <v>74</v>
      </c>
      <c r="AF2203" t="s">
        <v>9153</v>
      </c>
      <c r="AG2203" t="s">
        <v>21872</v>
      </c>
      <c r="AH2203" t="str">
        <f>HYPERLINK("http://compartments.jensenlab.org/Entity?figures=subcell_cell_%&amp;knowledge=10&amp;textmining=10&amp;experiments=10&amp;predictions=10&amp;type1=9606&amp;type2=-22&amp;id1=ENSP00000323872","link")</f>
        <v>link</v>
      </c>
      <c r="AI2203" t="s">
        <v>7719</v>
      </c>
      <c r="AJ2203" t="s">
        <v>299</v>
      </c>
      <c r="AK2203" t="str">
        <f>HYPERLINK("http://www.proteinatlas.org/Q96G91","HPA014232")</f>
        <v>HPA014232</v>
      </c>
      <c r="AM2203">
        <v>5032</v>
      </c>
    </row>
    <row r="2204" spans="1:39" x14ac:dyDescent="0.35">
      <c r="A2204" t="s">
        <v>21873</v>
      </c>
      <c r="B2204" t="str">
        <f>HYPERLINK("http://www.uniprot.org/uniprot/Q96GP6","Q96GP6")</f>
        <v>Q96GP6</v>
      </c>
      <c r="C2204" t="s">
        <v>21874</v>
      </c>
      <c r="D2204" t="s">
        <v>21875</v>
      </c>
      <c r="E2204" t="s">
        <v>39</v>
      </c>
      <c r="F2204" t="s">
        <v>40</v>
      </c>
      <c r="H2204">
        <v>870</v>
      </c>
      <c r="I2204">
        <v>1</v>
      </c>
      <c r="J2204">
        <v>1</v>
      </c>
      <c r="K2204" t="s">
        <v>21876</v>
      </c>
      <c r="L2204" t="s">
        <v>101</v>
      </c>
      <c r="N2204">
        <v>0.85429999999999995</v>
      </c>
      <c r="O2204" s="1">
        <v>1</v>
      </c>
      <c r="P2204" t="s">
        <v>21877</v>
      </c>
      <c r="Q2204" t="s">
        <v>21878</v>
      </c>
      <c r="S2204" t="s">
        <v>166</v>
      </c>
      <c r="T2204" t="s">
        <v>205</v>
      </c>
      <c r="U2204" t="s">
        <v>21879</v>
      </c>
      <c r="V2204">
        <v>5</v>
      </c>
      <c r="Z2204" t="s">
        <v>107</v>
      </c>
      <c r="AA2204">
        <v>2</v>
      </c>
      <c r="AB2204" t="s">
        <v>21880</v>
      </c>
      <c r="AC2204" t="s">
        <v>21881</v>
      </c>
      <c r="AD2204" t="s">
        <v>21882</v>
      </c>
      <c r="AE2204" t="s">
        <v>144</v>
      </c>
      <c r="AF2204" t="s">
        <v>21883</v>
      </c>
      <c r="AG2204" t="s">
        <v>21884</v>
      </c>
      <c r="AH2204" t="str">
        <f>HYPERLINK("http://compartments.jensenlab.org/Entity?figures=subcell_cell_%&amp;knowledge=10&amp;textmining=10&amp;experiments=10&amp;predictions=10&amp;type1=9606&amp;type2=-22&amp;id1=ENSP00000477564","link")</f>
        <v>link</v>
      </c>
      <c r="AK2204" t="str">
        <f>HYPERLINK("http://www.proteinatlas.org/Q96GP6","HPA035079")</f>
        <v>HPA035079</v>
      </c>
      <c r="AM2204">
        <v>91179</v>
      </c>
    </row>
    <row r="2205" spans="1:39" x14ac:dyDescent="0.35">
      <c r="A2205" t="s">
        <v>21885</v>
      </c>
      <c r="B2205" t="str">
        <f>HYPERLINK("http://www.uniprot.org/uniprot/Q96GW7","Q96GW7")</f>
        <v>Q96GW7</v>
      </c>
      <c r="C2205" t="s">
        <v>21886</v>
      </c>
      <c r="D2205" t="s">
        <v>21887</v>
      </c>
      <c r="E2205" t="s">
        <v>39</v>
      </c>
      <c r="F2205" t="s">
        <v>239</v>
      </c>
      <c r="H2205">
        <v>911</v>
      </c>
      <c r="I2205">
        <v>0</v>
      </c>
      <c r="J2205">
        <v>1</v>
      </c>
      <c r="K2205" t="s">
        <v>21888</v>
      </c>
      <c r="L2205" t="s">
        <v>996</v>
      </c>
      <c r="N2205">
        <v>0.54890000000000005</v>
      </c>
      <c r="O2205" s="1" t="s">
        <v>1752</v>
      </c>
      <c r="P2205" t="s">
        <v>21889</v>
      </c>
      <c r="Q2205" t="s">
        <v>21890</v>
      </c>
      <c r="U2205" t="s">
        <v>21891</v>
      </c>
      <c r="V2205">
        <v>2</v>
      </c>
      <c r="W2205" t="s">
        <v>21892</v>
      </c>
      <c r="Z2205" t="s">
        <v>107</v>
      </c>
      <c r="AA2205">
        <v>1</v>
      </c>
      <c r="AB2205" t="s">
        <v>21893</v>
      </c>
      <c r="AC2205">
        <v>337</v>
      </c>
      <c r="AD2205" t="s">
        <v>21894</v>
      </c>
      <c r="AE2205" t="s">
        <v>21895</v>
      </c>
      <c r="AF2205" t="s">
        <v>21896</v>
      </c>
      <c r="AG2205" t="s">
        <v>21897</v>
      </c>
      <c r="AH2205" t="str">
        <f>HYPERLINK("http://compartments.jensenlab.org/Entity?figures=subcell_cell_%&amp;knowledge=10&amp;textmining=10&amp;experiments=10&amp;predictions=10&amp;type1=9606&amp;type2=-22&amp;id1=ENSP00000331210","link")</f>
        <v>link</v>
      </c>
      <c r="AI2205" t="s">
        <v>113</v>
      </c>
      <c r="AJ2205" t="s">
        <v>902</v>
      </c>
      <c r="AK2205" t="str">
        <f>HYPERLINK("http://www.proteinatlas.org/Q96GW7","HPA007865;CAB025862")</f>
        <v>HPA007865;CAB025862</v>
      </c>
      <c r="AM2205">
        <v>63827</v>
      </c>
    </row>
    <row r="2206" spans="1:39" x14ac:dyDescent="0.35">
      <c r="A2206" t="s">
        <v>21898</v>
      </c>
      <c r="B2206" t="str">
        <f>HYPERLINK("http://www.uniprot.org/uniprot/Q96GX1","Q96GX1")</f>
        <v>Q96GX1</v>
      </c>
      <c r="C2206" t="s">
        <v>21899</v>
      </c>
      <c r="D2206" t="s">
        <v>21900</v>
      </c>
      <c r="E2206" t="s">
        <v>39</v>
      </c>
      <c r="F2206" t="s">
        <v>40</v>
      </c>
      <c r="H2206">
        <v>697</v>
      </c>
      <c r="I2206">
        <v>1</v>
      </c>
      <c r="J2206">
        <v>1</v>
      </c>
      <c r="K2206" t="s">
        <v>21901</v>
      </c>
      <c r="L2206" t="s">
        <v>101</v>
      </c>
      <c r="N2206">
        <v>0.60680000000000001</v>
      </c>
      <c r="O2206" s="1">
        <v>2</v>
      </c>
      <c r="P2206" t="s">
        <v>21902</v>
      </c>
      <c r="Q2206" t="s">
        <v>21903</v>
      </c>
      <c r="U2206" t="s">
        <v>21904</v>
      </c>
      <c r="V2206">
        <v>13</v>
      </c>
      <c r="Z2206" t="s">
        <v>107</v>
      </c>
      <c r="AA2206">
        <v>2</v>
      </c>
      <c r="AB2206" t="s">
        <v>21905</v>
      </c>
      <c r="AC2206">
        <v>372</v>
      </c>
      <c r="AD2206" t="s">
        <v>21906</v>
      </c>
      <c r="AE2206" t="s">
        <v>21907</v>
      </c>
      <c r="AF2206" t="s">
        <v>21908</v>
      </c>
      <c r="AG2206" t="s">
        <v>21909</v>
      </c>
      <c r="AH2206" t="str">
        <f>HYPERLINK("http://compartments.jensenlab.org/Entity?figures=subcell_cell_%&amp;knowledge=10&amp;textmining=10&amp;experiments=10&amp;predictions=10&amp;type1=9606&amp;type2=-22&amp;id1=ENSP00000304941","link")</f>
        <v>link</v>
      </c>
      <c r="AJ2206" t="s">
        <v>1811</v>
      </c>
      <c r="AK2206" t="str">
        <f>HYPERLINK("http://www.proteinatlas.org/Q96GX1","HPA039900")</f>
        <v>HPA039900</v>
      </c>
      <c r="AM2206">
        <v>79867</v>
      </c>
    </row>
    <row r="2207" spans="1:39" x14ac:dyDescent="0.35">
      <c r="A2207" t="s">
        <v>21910</v>
      </c>
      <c r="B2207" t="str">
        <f>HYPERLINK("http://www.uniprot.org/uniprot/Q96GZ6","Q96GZ6")</f>
        <v>Q96GZ6</v>
      </c>
      <c r="C2207" t="s">
        <v>21911</v>
      </c>
      <c r="D2207" t="s">
        <v>21912</v>
      </c>
      <c r="E2207" t="s">
        <v>39</v>
      </c>
      <c r="F2207" t="s">
        <v>55</v>
      </c>
      <c r="H2207">
        <v>507</v>
      </c>
      <c r="I2207">
        <v>10</v>
      </c>
      <c r="J2207">
        <v>0</v>
      </c>
      <c r="K2207" t="s">
        <v>21913</v>
      </c>
      <c r="L2207" t="s">
        <v>42</v>
      </c>
      <c r="M2207" t="s">
        <v>39</v>
      </c>
      <c r="N2207">
        <v>0.66469999999999996</v>
      </c>
      <c r="O2207" s="1">
        <v>2</v>
      </c>
      <c r="P2207" t="s">
        <v>21914</v>
      </c>
      <c r="Q2207" t="s">
        <v>21915</v>
      </c>
      <c r="S2207" t="s">
        <v>45</v>
      </c>
      <c r="T2207" t="s">
        <v>17293</v>
      </c>
      <c r="V2207">
        <v>0</v>
      </c>
      <c r="AE2207" t="s">
        <v>74</v>
      </c>
      <c r="AF2207" t="s">
        <v>21916</v>
      </c>
      <c r="AG2207" t="s">
        <v>21917</v>
      </c>
      <c r="AH2207" t="str">
        <f>HYPERLINK("http://compartments.jensenlab.org/Entity?figures=subcell_cell_%&amp;knowledge=10&amp;textmining=10&amp;experiments=10&amp;predictions=10&amp;type1=9606&amp;type2=-22&amp;id1=ENSP00000326070","link")</f>
        <v>link</v>
      </c>
      <c r="AI2207" t="s">
        <v>65</v>
      </c>
      <c r="AJ2207" t="s">
        <v>51</v>
      </c>
      <c r="AK2207" t="str">
        <f>HYPERLINK("http://www.proteinatlas.org/Q96GZ6","HPA045847")</f>
        <v>HPA045847</v>
      </c>
      <c r="AM2207">
        <v>54946</v>
      </c>
    </row>
    <row r="2208" spans="1:39" x14ac:dyDescent="0.35">
      <c r="A2208" t="s">
        <v>21918</v>
      </c>
      <c r="B2208" t="str">
        <f>HYPERLINK("http://www.uniprot.org/uniprot/Q96H15","Q96H15")</f>
        <v>Q96H15</v>
      </c>
      <c r="C2208" t="s">
        <v>21919</v>
      </c>
      <c r="D2208" t="s">
        <v>21920</v>
      </c>
      <c r="E2208" t="s">
        <v>39</v>
      </c>
      <c r="F2208" t="s">
        <v>40</v>
      </c>
      <c r="H2208">
        <v>378</v>
      </c>
      <c r="I2208">
        <v>1</v>
      </c>
      <c r="J2208">
        <v>1</v>
      </c>
      <c r="K2208" t="s">
        <v>21921</v>
      </c>
      <c r="L2208" t="s">
        <v>57</v>
      </c>
      <c r="N2208">
        <v>0.81240000000000001</v>
      </c>
      <c r="O2208" s="1">
        <v>1</v>
      </c>
      <c r="P2208" t="s">
        <v>21922</v>
      </c>
      <c r="Q2208" t="s">
        <v>21923</v>
      </c>
      <c r="S2208" t="s">
        <v>60</v>
      </c>
      <c r="T2208" t="s">
        <v>60</v>
      </c>
      <c r="U2208">
        <v>291</v>
      </c>
      <c r="V2208">
        <v>1</v>
      </c>
      <c r="AE2208" t="s">
        <v>144</v>
      </c>
      <c r="AF2208" t="s">
        <v>14258</v>
      </c>
      <c r="AG2208" t="s">
        <v>21924</v>
      </c>
      <c r="AH2208" t="str">
        <f>HYPERLINK("http://compartments.jensenlab.org/Entity?figures=subcell_cell_%&amp;knowledge=10&amp;textmining=10&amp;experiments=10&amp;predictions=10&amp;type1=9606&amp;type2=-22&amp;id1=ENSP00000274532","link")</f>
        <v>link</v>
      </c>
      <c r="AJ2208" t="s">
        <v>51</v>
      </c>
      <c r="AK2208" t="str">
        <f>HYPERLINK("http://www.proteinatlas.org/Q96H15","HPA015625;CAB026027")</f>
        <v>HPA015625;CAB026027</v>
      </c>
      <c r="AM2208">
        <v>91937</v>
      </c>
    </row>
    <row r="2209" spans="1:39" x14ac:dyDescent="0.35">
      <c r="A2209" t="s">
        <v>21925</v>
      </c>
      <c r="B2209" t="str">
        <f>HYPERLINK("http://www.uniprot.org/uniprot/Q96HA4","Q96HA4")</f>
        <v>Q96HA4</v>
      </c>
      <c r="C2209" t="s">
        <v>21926</v>
      </c>
      <c r="D2209" t="s">
        <v>21927</v>
      </c>
      <c r="E2209" t="s">
        <v>39</v>
      </c>
      <c r="F2209" t="s">
        <v>40</v>
      </c>
      <c r="H2209">
        <v>380</v>
      </c>
      <c r="I2209">
        <v>1</v>
      </c>
      <c r="J2209">
        <v>1</v>
      </c>
      <c r="K2209" t="s">
        <v>21928</v>
      </c>
      <c r="L2209" t="s">
        <v>118</v>
      </c>
      <c r="N2209">
        <v>0.85629999999999995</v>
      </c>
      <c r="O2209" s="1">
        <v>1</v>
      </c>
      <c r="P2209" t="s">
        <v>21929</v>
      </c>
      <c r="Q2209" t="s">
        <v>21930</v>
      </c>
      <c r="S2209" t="s">
        <v>60</v>
      </c>
      <c r="T2209" t="s">
        <v>60</v>
      </c>
      <c r="U2209" t="s">
        <v>21931</v>
      </c>
      <c r="V2209">
        <v>5</v>
      </c>
      <c r="Z2209" t="s">
        <v>107</v>
      </c>
      <c r="AA2209">
        <v>2</v>
      </c>
      <c r="AB2209" t="s">
        <v>21932</v>
      </c>
      <c r="AC2209" t="s">
        <v>21933</v>
      </c>
      <c r="AD2209" t="s">
        <v>21934</v>
      </c>
      <c r="AE2209" t="s">
        <v>94</v>
      </c>
      <c r="AF2209" t="s">
        <v>16495</v>
      </c>
      <c r="AG2209" t="s">
        <v>21935</v>
      </c>
      <c r="AH2209" t="str">
        <f>HYPERLINK("http://compartments.jensenlab.org/Entity?figures=subcell_cell_%&amp;knowledge=10&amp;textmining=10&amp;experiments=10&amp;predictions=10&amp;type1=9606&amp;type2=-22&amp;id1=ENSP00000368644","link")</f>
        <v>link</v>
      </c>
      <c r="AK2209" t="str">
        <f>HYPERLINK("http://www.proteinatlas.org/Q96HA4","HPA010019")</f>
        <v>HPA010019</v>
      </c>
      <c r="AM2209">
        <v>54991</v>
      </c>
    </row>
    <row r="2210" spans="1:39" x14ac:dyDescent="0.35">
      <c r="A2210" t="s">
        <v>21936</v>
      </c>
      <c r="B2210" t="str">
        <f>HYPERLINK("http://www.uniprot.org/uniprot/Q96IQ7","Q96IQ7")</f>
        <v>Q96IQ7</v>
      </c>
      <c r="C2210" t="s">
        <v>21937</v>
      </c>
      <c r="D2210" t="s">
        <v>21938</v>
      </c>
      <c r="E2210" t="s">
        <v>39</v>
      </c>
      <c r="F2210" t="s">
        <v>40</v>
      </c>
      <c r="H2210">
        <v>327</v>
      </c>
      <c r="I2210">
        <v>1</v>
      </c>
      <c r="J2210">
        <v>1</v>
      </c>
      <c r="K2210" t="s">
        <v>21939</v>
      </c>
      <c r="L2210" t="s">
        <v>57</v>
      </c>
      <c r="N2210">
        <v>0.94810000000000005</v>
      </c>
      <c r="O2210" s="1">
        <v>1</v>
      </c>
      <c r="P2210" t="s">
        <v>21940</v>
      </c>
      <c r="Q2210" t="s">
        <v>21941</v>
      </c>
      <c r="S2210" t="s">
        <v>91</v>
      </c>
      <c r="T2210" t="s">
        <v>14321</v>
      </c>
      <c r="U2210" t="s">
        <v>21942</v>
      </c>
      <c r="V2210">
        <v>2</v>
      </c>
      <c r="W2210">
        <v>138</v>
      </c>
      <c r="AE2210" t="s">
        <v>144</v>
      </c>
      <c r="AF2210" t="s">
        <v>21943</v>
      </c>
      <c r="AG2210" t="s">
        <v>21944</v>
      </c>
      <c r="AH2210" t="str">
        <f>HYPERLINK("http://compartments.jensenlab.org/Entity?figures=subcell_cell_%&amp;knowledge=10&amp;textmining=10&amp;experiments=10&amp;predictions=10&amp;type1=9606&amp;type2=-22&amp;id1=ENSP00000318684","link")</f>
        <v>link</v>
      </c>
      <c r="AJ2210" t="s">
        <v>51</v>
      </c>
      <c r="AK2210" t="str">
        <f>HYPERLINK("http://www.proteinatlas.org/Q96IQ7","HPA035919")</f>
        <v>HPA035919</v>
      </c>
      <c r="AM2210">
        <v>23584</v>
      </c>
    </row>
    <row r="2211" spans="1:39" x14ac:dyDescent="0.35">
      <c r="A2211" t="s">
        <v>21945</v>
      </c>
      <c r="B2211" t="str">
        <f>HYPERLINK("http://www.uniprot.org/uniprot/Q96J42","Q96J42")</f>
        <v>Q96J42</v>
      </c>
      <c r="C2211" t="s">
        <v>21946</v>
      </c>
      <c r="D2211" t="s">
        <v>21947</v>
      </c>
      <c r="E2211" t="s">
        <v>39</v>
      </c>
      <c r="F2211" t="s">
        <v>40</v>
      </c>
      <c r="H2211">
        <v>360</v>
      </c>
      <c r="I2211">
        <v>1</v>
      </c>
      <c r="J2211">
        <v>1</v>
      </c>
      <c r="K2211" t="s">
        <v>21948</v>
      </c>
      <c r="L2211" t="s">
        <v>101</v>
      </c>
      <c r="N2211">
        <v>0.6946</v>
      </c>
      <c r="O2211" s="1">
        <v>2</v>
      </c>
      <c r="P2211" t="s">
        <v>21949</v>
      </c>
      <c r="Q2211" t="s">
        <v>21950</v>
      </c>
      <c r="S2211" t="s">
        <v>60</v>
      </c>
      <c r="T2211" t="s">
        <v>60</v>
      </c>
      <c r="U2211" t="s">
        <v>21951</v>
      </c>
      <c r="V2211">
        <v>7</v>
      </c>
      <c r="Z2211" t="s">
        <v>107</v>
      </c>
      <c r="AA2211">
        <v>3</v>
      </c>
      <c r="AB2211" t="s">
        <v>21952</v>
      </c>
      <c r="AC2211" t="s">
        <v>21953</v>
      </c>
      <c r="AD2211" t="s">
        <v>21954</v>
      </c>
      <c r="AE2211" t="s">
        <v>144</v>
      </c>
      <c r="AF2211" t="s">
        <v>13398</v>
      </c>
      <c r="AG2211" t="s">
        <v>21955</v>
      </c>
      <c r="AH2211" t="str">
        <f>HYPERLINK("http://compartments.jensenlab.org/Entity?figures=subcell_cell_%&amp;knowledge=10&amp;textmining=10&amp;experiments=10&amp;predictions=10&amp;type1=9606&amp;type2=-22&amp;id1=ENSP00000351157","link")</f>
        <v>link</v>
      </c>
      <c r="AJ2211" t="s">
        <v>51</v>
      </c>
      <c r="AK2211" t="str">
        <f>HYPERLINK("http://www.proteinatlas.org/Q96J42","HPA015483")</f>
        <v>HPA015483</v>
      </c>
      <c r="AM2211">
        <v>79770</v>
      </c>
    </row>
    <row r="2212" spans="1:39" x14ac:dyDescent="0.35">
      <c r="A2212" t="s">
        <v>21956</v>
      </c>
      <c r="B2212" t="str">
        <f>HYPERLINK("http://www.uniprot.org/uniprot/Q96J65","Q96J65")</f>
        <v>Q96J65</v>
      </c>
      <c r="C2212" t="s">
        <v>21957</v>
      </c>
      <c r="D2212" t="s">
        <v>21958</v>
      </c>
      <c r="E2212" t="s">
        <v>39</v>
      </c>
      <c r="F2212" t="s">
        <v>40</v>
      </c>
      <c r="H2212">
        <v>1359</v>
      </c>
      <c r="I2212">
        <v>11</v>
      </c>
      <c r="J2212">
        <v>0</v>
      </c>
      <c r="K2212" t="s">
        <v>21959</v>
      </c>
      <c r="L2212" t="s">
        <v>42</v>
      </c>
      <c r="N2212">
        <v>0.75449999999999995</v>
      </c>
      <c r="O2212" s="1">
        <v>1</v>
      </c>
      <c r="P2212" t="s">
        <v>21960</v>
      </c>
      <c r="Q2212" t="s">
        <v>21961</v>
      </c>
      <c r="S2212" t="s">
        <v>45</v>
      </c>
      <c r="T2212" t="s">
        <v>1583</v>
      </c>
      <c r="U2212" t="s">
        <v>21962</v>
      </c>
      <c r="V2212">
        <v>3</v>
      </c>
      <c r="AE2212" t="s">
        <v>48</v>
      </c>
      <c r="AF2212" t="s">
        <v>1586</v>
      </c>
      <c r="AG2212" t="s">
        <v>21963</v>
      </c>
      <c r="AH2212" t="str">
        <f>HYPERLINK("http://compartments.jensenlab.org/Entity?figures=subcell_cell_%&amp;knowledge=10&amp;textmining=10&amp;experiments=10&amp;predictions=10&amp;type1=9606&amp;type2=-22&amp;id1=ENSP00000311030","link")</f>
        <v>link</v>
      </c>
      <c r="AJ2212" t="s">
        <v>2256</v>
      </c>
      <c r="AK2212" t="str">
        <f>HYPERLINK("http://www.proteinatlas.org/Q96J65","HPA043100")</f>
        <v>HPA043100</v>
      </c>
      <c r="AM2212">
        <v>94160</v>
      </c>
    </row>
    <row r="2213" spans="1:39" x14ac:dyDescent="0.35">
      <c r="A2213" t="s">
        <v>21964</v>
      </c>
      <c r="B2213" t="str">
        <f>HYPERLINK("http://www.uniprot.org/uniprot/Q96J66","Q96J66")</f>
        <v>Q96J66</v>
      </c>
      <c r="C2213" t="s">
        <v>21965</v>
      </c>
      <c r="D2213" t="s">
        <v>21966</v>
      </c>
      <c r="E2213" t="s">
        <v>39</v>
      </c>
      <c r="F2213" t="s">
        <v>40</v>
      </c>
      <c r="H2213">
        <v>1382</v>
      </c>
      <c r="I2213">
        <v>10</v>
      </c>
      <c r="J2213">
        <v>0</v>
      </c>
      <c r="K2213" t="s">
        <v>21967</v>
      </c>
      <c r="L2213" t="s">
        <v>57</v>
      </c>
      <c r="N2213">
        <v>0.67269999999999996</v>
      </c>
      <c r="O2213" s="1">
        <v>2</v>
      </c>
      <c r="P2213" t="s">
        <v>21968</v>
      </c>
      <c r="Q2213" t="s">
        <v>21969</v>
      </c>
      <c r="S2213" t="s">
        <v>45</v>
      </c>
      <c r="T2213" t="s">
        <v>1583</v>
      </c>
      <c r="U2213" t="s">
        <v>21970</v>
      </c>
      <c r="V2213">
        <v>3</v>
      </c>
      <c r="AE2213" t="s">
        <v>48</v>
      </c>
      <c r="AF2213" t="s">
        <v>1586</v>
      </c>
      <c r="AG2213" t="s">
        <v>21971</v>
      </c>
      <c r="AH2213" t="str">
        <f>HYPERLINK("http://compartments.jensenlab.org/Entity?figures=subcell_cell_%&amp;knowledge=10&amp;textmining=10&amp;experiments=10&amp;predictions=10&amp;type1=9606&amp;type2=-22&amp;id1=ENSP00000349017","link")</f>
        <v>link</v>
      </c>
      <c r="AJ2213" t="s">
        <v>51</v>
      </c>
      <c r="AK2213" t="str">
        <f>HYPERLINK("http://www.proteinatlas.org/Q96J66","HPA031980;HPA031981;HPA031982;CAB032513")</f>
        <v>HPA031980;HPA031981;HPA031982;CAB032513</v>
      </c>
      <c r="AM2213">
        <v>85320</v>
      </c>
    </row>
    <row r="2214" spans="1:39" x14ac:dyDescent="0.35">
      <c r="A2214" t="s">
        <v>21972</v>
      </c>
      <c r="B2214" t="str">
        <f>HYPERLINK("http://www.uniprot.org/uniprot/Q96J84","Q96J84")</f>
        <v>Q96J84</v>
      </c>
      <c r="C2214" t="s">
        <v>21973</v>
      </c>
      <c r="D2214" t="s">
        <v>21974</v>
      </c>
      <c r="E2214" t="s">
        <v>39</v>
      </c>
      <c r="F2214" t="s">
        <v>55</v>
      </c>
      <c r="H2214">
        <v>757</v>
      </c>
      <c r="I2214">
        <v>1</v>
      </c>
      <c r="J2214">
        <v>1</v>
      </c>
      <c r="K2214" t="s">
        <v>21975</v>
      </c>
      <c r="L2214" t="s">
        <v>101</v>
      </c>
      <c r="M2214" t="s">
        <v>39</v>
      </c>
      <c r="N2214">
        <v>0.90639999999999998</v>
      </c>
      <c r="O2214" s="1">
        <v>1</v>
      </c>
      <c r="P2214" t="s">
        <v>21976</v>
      </c>
      <c r="Q2214" t="s">
        <v>21977</v>
      </c>
      <c r="S2214" t="s">
        <v>91</v>
      </c>
      <c r="T2214" t="s">
        <v>14321</v>
      </c>
      <c r="U2214" t="s">
        <v>21978</v>
      </c>
      <c r="V2214">
        <v>4</v>
      </c>
      <c r="Z2214" t="s">
        <v>107</v>
      </c>
      <c r="AA2214">
        <v>6</v>
      </c>
      <c r="AB2214" t="s">
        <v>21979</v>
      </c>
      <c r="AC2214" t="s">
        <v>21980</v>
      </c>
      <c r="AD2214" t="s">
        <v>21981</v>
      </c>
      <c r="AE2214" t="s">
        <v>332</v>
      </c>
      <c r="AF2214" t="s">
        <v>20840</v>
      </c>
      <c r="AG2214" t="s">
        <v>21982</v>
      </c>
      <c r="AH2214" t="str">
        <f>HYPERLINK("http://compartments.jensenlab.org/Entity?figures=subcell_cell_%&amp;knowledge=10&amp;textmining=10&amp;experiments=10&amp;predictions=10&amp;type1=9606&amp;type2=-22&amp;id1=ENSP00000352138","link")</f>
        <v>link</v>
      </c>
      <c r="AI2214" t="s">
        <v>65</v>
      </c>
      <c r="AJ2214" t="s">
        <v>51</v>
      </c>
      <c r="AK2214" t="str">
        <f>HYPERLINK("http://www.proteinatlas.org/Q96J84","HPA003501;HPA030458")</f>
        <v>HPA003501;HPA030458</v>
      </c>
      <c r="AM2214">
        <v>55243</v>
      </c>
    </row>
    <row r="2215" spans="1:39" x14ac:dyDescent="0.35">
      <c r="A2215" t="s">
        <v>21983</v>
      </c>
      <c r="B2215" t="str">
        <f>HYPERLINK("http://www.uniprot.org/uniprot/Q96JA1","Q96JA1")</f>
        <v>Q96JA1</v>
      </c>
      <c r="C2215" t="s">
        <v>21984</v>
      </c>
      <c r="D2215" t="s">
        <v>21985</v>
      </c>
      <c r="E2215" t="s">
        <v>39</v>
      </c>
      <c r="F2215" t="s">
        <v>40</v>
      </c>
      <c r="H2215">
        <v>1093</v>
      </c>
      <c r="I2215">
        <v>1</v>
      </c>
      <c r="J2215">
        <v>1</v>
      </c>
      <c r="K2215" t="s">
        <v>21986</v>
      </c>
      <c r="L2215" t="s">
        <v>57</v>
      </c>
      <c r="N2215">
        <v>0.96009999999999995</v>
      </c>
      <c r="O2215" s="1">
        <v>1</v>
      </c>
      <c r="P2215" t="s">
        <v>21987</v>
      </c>
      <c r="Q2215" t="s">
        <v>21988</v>
      </c>
      <c r="S2215" t="s">
        <v>91</v>
      </c>
      <c r="T2215" t="s">
        <v>260</v>
      </c>
      <c r="U2215" t="s">
        <v>21989</v>
      </c>
      <c r="V2215">
        <v>6</v>
      </c>
      <c r="AE2215" t="s">
        <v>144</v>
      </c>
      <c r="AF2215" t="s">
        <v>262</v>
      </c>
      <c r="AG2215" t="s">
        <v>21990</v>
      </c>
      <c r="AH2215" t="str">
        <f>HYPERLINK("http://compartments.jensenlab.org/Entity?figures=subcell_cell_%&amp;knowledge=10&amp;textmining=10&amp;experiments=10&amp;predictions=10&amp;type1=9606&amp;type2=-22&amp;id1=ENSP00000273261","link")</f>
        <v>link</v>
      </c>
      <c r="AJ2215" t="s">
        <v>51</v>
      </c>
      <c r="AK2215" t="str">
        <f>HYPERLINK("http://www.proteinatlas.org/Q96JA1","HPA011846")</f>
        <v>HPA011846</v>
      </c>
      <c r="AM2215">
        <v>26018</v>
      </c>
    </row>
    <row r="2216" spans="1:39" x14ac:dyDescent="0.35">
      <c r="A2216" t="s">
        <v>21991</v>
      </c>
      <c r="B2216" t="str">
        <f>HYPERLINK("http://www.uniprot.org/uniprot/Q96JJ7","Q96JJ7")</f>
        <v>Q96JJ7</v>
      </c>
      <c r="C2216" t="s">
        <v>21992</v>
      </c>
      <c r="D2216" t="s">
        <v>21993</v>
      </c>
      <c r="E2216" t="s">
        <v>39</v>
      </c>
      <c r="F2216" t="s">
        <v>40</v>
      </c>
      <c r="H2216">
        <v>454</v>
      </c>
      <c r="I2216">
        <v>1</v>
      </c>
      <c r="J2216">
        <v>1</v>
      </c>
      <c r="K2216" t="s">
        <v>21994</v>
      </c>
      <c r="L2216" t="s">
        <v>101</v>
      </c>
      <c r="N2216">
        <v>0.81040000000000001</v>
      </c>
      <c r="O2216" s="1">
        <v>1</v>
      </c>
      <c r="P2216" t="s">
        <v>21995</v>
      </c>
      <c r="Q2216" t="s">
        <v>21996</v>
      </c>
      <c r="S2216" t="s">
        <v>947</v>
      </c>
      <c r="T2216" t="s">
        <v>21997</v>
      </c>
      <c r="U2216" t="s">
        <v>21998</v>
      </c>
      <c r="V2216">
        <v>2</v>
      </c>
      <c r="W2216" t="s">
        <v>21998</v>
      </c>
      <c r="Y2216">
        <v>4</v>
      </c>
      <c r="Z2216" t="s">
        <v>107</v>
      </c>
      <c r="AA2216">
        <v>3</v>
      </c>
      <c r="AB2216" t="s">
        <v>21999</v>
      </c>
      <c r="AC2216">
        <v>258</v>
      </c>
      <c r="AD2216" t="s">
        <v>22000</v>
      </c>
      <c r="AE2216" t="s">
        <v>14293</v>
      </c>
      <c r="AF2216" t="s">
        <v>22001</v>
      </c>
      <c r="AG2216" t="s">
        <v>22002</v>
      </c>
      <c r="AH2216" t="str">
        <f>HYPERLINK("http://compartments.jensenlab.org/Entity?figures=subcell_cell_%&amp;knowledge=10&amp;textmining=10&amp;experiments=10&amp;predictions=10&amp;type1=9606&amp;type2=-22&amp;id1=ENSP00000299608","link")</f>
        <v>link</v>
      </c>
      <c r="AI2216" t="s">
        <v>980</v>
      </c>
      <c r="AJ2216" t="s">
        <v>3965</v>
      </c>
      <c r="AK2216" t="str">
        <f>HYPERLINK("http://www.proteinatlas.org/Q96JJ7","HPA014157")</f>
        <v>HPA014157</v>
      </c>
      <c r="AM2216">
        <v>54495</v>
      </c>
    </row>
    <row r="2217" spans="1:39" x14ac:dyDescent="0.35">
      <c r="A2217" t="s">
        <v>22003</v>
      </c>
      <c r="B2217" t="str">
        <f>HYPERLINK("http://www.uniprot.org/uniprot/Q96JP9","Q96JP9")</f>
        <v>Q96JP9</v>
      </c>
      <c r="C2217" t="s">
        <v>22004</v>
      </c>
      <c r="D2217" t="s">
        <v>22005</v>
      </c>
      <c r="E2217" t="s">
        <v>39</v>
      </c>
      <c r="F2217" t="s">
        <v>40</v>
      </c>
      <c r="H2217">
        <v>859</v>
      </c>
      <c r="I2217">
        <v>1</v>
      </c>
      <c r="J2217">
        <v>1</v>
      </c>
      <c r="K2217" t="s">
        <v>22006</v>
      </c>
      <c r="L2217" t="s">
        <v>57</v>
      </c>
      <c r="N2217">
        <v>0.85429999999999995</v>
      </c>
      <c r="O2217" s="1">
        <v>1</v>
      </c>
      <c r="P2217" t="s">
        <v>22007</v>
      </c>
      <c r="Q2217" t="s">
        <v>22008</v>
      </c>
      <c r="S2217" t="s">
        <v>91</v>
      </c>
      <c r="T2217" t="s">
        <v>216</v>
      </c>
      <c r="U2217" t="s">
        <v>22009</v>
      </c>
      <c r="V2217">
        <v>5</v>
      </c>
      <c r="W2217" t="s">
        <v>22010</v>
      </c>
      <c r="AE2217" t="s">
        <v>3665</v>
      </c>
      <c r="AF2217" t="s">
        <v>22011</v>
      </c>
      <c r="AG2217" t="s">
        <v>22012</v>
      </c>
      <c r="AH2217" t="str">
        <f>HYPERLINK("http://compartments.jensenlab.org/Entity?figures=subcell_cell_%&amp;knowledge=10&amp;textmining=10&amp;experiments=10&amp;predictions=10&amp;type1=9606&amp;type2=-22&amp;id1=ENSP00000485478","link")</f>
        <v>link</v>
      </c>
      <c r="AK2217" t="str">
        <f>HYPERLINK("http://www.proteinatlas.org/Q96JP9","HPA036819;HPA036820")</f>
        <v>HPA036819;HPA036820</v>
      </c>
      <c r="AM2217">
        <v>92211</v>
      </c>
    </row>
    <row r="2218" spans="1:39" x14ac:dyDescent="0.35">
      <c r="A2218" t="s">
        <v>22013</v>
      </c>
      <c r="B2218" t="str">
        <f>HYPERLINK("http://www.uniprot.org/uniprot/Q96JQ0","Q96JQ0")</f>
        <v>Q96JQ0</v>
      </c>
      <c r="C2218" t="s">
        <v>22014</v>
      </c>
      <c r="D2218" t="s">
        <v>22015</v>
      </c>
      <c r="E2218" t="s">
        <v>39</v>
      </c>
      <c r="F2218" t="s">
        <v>55</v>
      </c>
      <c r="H2218">
        <v>3298</v>
      </c>
      <c r="I2218">
        <v>1</v>
      </c>
      <c r="J2218">
        <v>1</v>
      </c>
      <c r="K2218" t="s">
        <v>22016</v>
      </c>
      <c r="L2218" t="s">
        <v>101</v>
      </c>
      <c r="M2218" t="s">
        <v>39</v>
      </c>
      <c r="N2218">
        <v>0.81869999999999998</v>
      </c>
      <c r="O2218" s="1">
        <v>1</v>
      </c>
      <c r="P2218" t="s">
        <v>22017</v>
      </c>
      <c r="Q2218" t="s">
        <v>22018</v>
      </c>
      <c r="S2218" t="s">
        <v>91</v>
      </c>
      <c r="T2218" t="s">
        <v>216</v>
      </c>
      <c r="U2218" t="s">
        <v>22019</v>
      </c>
      <c r="V2218">
        <v>14</v>
      </c>
      <c r="Z2218" t="s">
        <v>107</v>
      </c>
      <c r="AA2218">
        <v>8</v>
      </c>
      <c r="AB2218" t="s">
        <v>22020</v>
      </c>
      <c r="AC2218" t="s">
        <v>22021</v>
      </c>
      <c r="AD2218" t="s">
        <v>22022</v>
      </c>
      <c r="AE2218" t="s">
        <v>332</v>
      </c>
      <c r="AF2218" t="s">
        <v>22023</v>
      </c>
      <c r="AG2218" t="s">
        <v>22024</v>
      </c>
      <c r="AH2218" t="str">
        <f>HYPERLINK("http://compartments.jensenlab.org/Entity?figures=subcell_cell_%&amp;knowledge=10&amp;textmining=10&amp;experiments=10&amp;predictions=10&amp;type1=9606&amp;type2=-22&amp;id1=ENSP00000299441","link")</f>
        <v>link</v>
      </c>
      <c r="AI2218" t="s">
        <v>65</v>
      </c>
      <c r="AJ2218" t="s">
        <v>51</v>
      </c>
      <c r="AK2218" t="str">
        <f>HYPERLINK("http://www.proteinatlas.org/Q96JQ0","HPA017970;HPA050246")</f>
        <v>HPA017970;HPA050246</v>
      </c>
      <c r="AM2218">
        <v>8642</v>
      </c>
    </row>
    <row r="2219" spans="1:39" x14ac:dyDescent="0.35">
      <c r="A2219" t="s">
        <v>22025</v>
      </c>
      <c r="B2219" t="str">
        <f>HYPERLINK("http://www.uniprot.org/uniprot/Q96JW4","Q96JW4")</f>
        <v>Q96JW4</v>
      </c>
      <c r="C2219" t="s">
        <v>22026</v>
      </c>
      <c r="D2219" t="s">
        <v>22027</v>
      </c>
      <c r="E2219" t="s">
        <v>39</v>
      </c>
      <c r="F2219" t="s">
        <v>40</v>
      </c>
      <c r="H2219">
        <v>573</v>
      </c>
      <c r="I2219">
        <v>11</v>
      </c>
      <c r="J2219">
        <v>0</v>
      </c>
      <c r="K2219" t="s">
        <v>22028</v>
      </c>
      <c r="L2219" t="s">
        <v>57</v>
      </c>
      <c r="N2219">
        <v>0.74050000000000005</v>
      </c>
      <c r="O2219" s="1">
        <v>2</v>
      </c>
      <c r="P2219" t="s">
        <v>22029</v>
      </c>
      <c r="Q2219" t="s">
        <v>22030</v>
      </c>
      <c r="S2219" t="s">
        <v>45</v>
      </c>
      <c r="T2219" t="s">
        <v>17293</v>
      </c>
      <c r="U2219" t="s">
        <v>22031</v>
      </c>
      <c r="V2219">
        <v>2</v>
      </c>
      <c r="AE2219" t="s">
        <v>74</v>
      </c>
      <c r="AF2219" t="s">
        <v>17295</v>
      </c>
      <c r="AG2219" t="s">
        <v>22032</v>
      </c>
      <c r="AH2219" t="str">
        <f>HYPERLINK("http://compartments.jensenlab.org/Entity?figures=subcell_cell_%&amp;knowledge=10&amp;textmining=10&amp;experiments=10&amp;predictions=10&amp;type1=9606&amp;type2=-22&amp;id1=ENSP00000258538","link")</f>
        <v>link</v>
      </c>
      <c r="AI2219" t="s">
        <v>65</v>
      </c>
      <c r="AJ2219" t="s">
        <v>51</v>
      </c>
      <c r="AK2219" t="str">
        <f>HYPERLINK("http://www.proteinatlas.org/Q96JW4","HPA038658")</f>
        <v>HPA038658</v>
      </c>
      <c r="AM2219">
        <v>84102</v>
      </c>
    </row>
    <row r="2220" spans="1:39" x14ac:dyDescent="0.35">
      <c r="A2220" t="s">
        <v>22033</v>
      </c>
      <c r="B2220" t="str">
        <f>HYPERLINK("http://www.uniprot.org/uniprot/Q96K49","Q96K49")</f>
        <v>Q96K49</v>
      </c>
      <c r="C2220" t="s">
        <v>22034</v>
      </c>
      <c r="D2220" t="s">
        <v>22035</v>
      </c>
      <c r="E2220" t="s">
        <v>39</v>
      </c>
      <c r="F2220" t="s">
        <v>40</v>
      </c>
      <c r="H2220">
        <v>555</v>
      </c>
      <c r="I2220">
        <v>7</v>
      </c>
      <c r="J2220">
        <v>1</v>
      </c>
      <c r="K2220" t="s">
        <v>22036</v>
      </c>
      <c r="L2220" t="s">
        <v>1592</v>
      </c>
      <c r="N2220">
        <v>0.65669999999999995</v>
      </c>
      <c r="O2220" s="1">
        <v>2</v>
      </c>
      <c r="P2220" t="s">
        <v>22037</v>
      </c>
      <c r="Q2220" t="s">
        <v>22038</v>
      </c>
      <c r="S2220" t="s">
        <v>60</v>
      </c>
      <c r="T2220" t="s">
        <v>60</v>
      </c>
      <c r="U2220" t="s">
        <v>22039</v>
      </c>
      <c r="V2220">
        <v>4</v>
      </c>
      <c r="Y2220">
        <v>234</v>
      </c>
      <c r="Z2220" t="s">
        <v>107</v>
      </c>
      <c r="AA2220">
        <v>1</v>
      </c>
      <c r="AB2220" t="s">
        <v>22040</v>
      </c>
      <c r="AC2220">
        <v>68</v>
      </c>
      <c r="AD2220" t="s">
        <v>22041</v>
      </c>
      <c r="AE2220" t="s">
        <v>48</v>
      </c>
      <c r="AF2220" t="s">
        <v>16178</v>
      </c>
      <c r="AG2220" t="s">
        <v>22042</v>
      </c>
      <c r="AH2220" t="str">
        <f>HYPERLINK("http://compartments.jensenlab.org/Entity?figures=subcell_cell_%&amp;knowledge=10&amp;textmining=10&amp;experiments=10&amp;predictions=10&amp;type1=9606&amp;type2=-22&amp;id1=ENSP00000283206","link")</f>
        <v>link</v>
      </c>
      <c r="AJ2220" t="s">
        <v>51</v>
      </c>
      <c r="AK2220" t="str">
        <f>HYPERLINK("http://www.proteinatlas.org/Q96K49","HPA035183")</f>
        <v>HPA035183</v>
      </c>
      <c r="AM2220">
        <v>84910</v>
      </c>
    </row>
    <row r="2221" spans="1:39" x14ac:dyDescent="0.35">
      <c r="A2221" t="s">
        <v>22043</v>
      </c>
      <c r="B2221" t="str">
        <f>HYPERLINK("http://www.uniprot.org/uniprot/Q96K78","Q96K78")</f>
        <v>Q96K78</v>
      </c>
      <c r="C2221" t="s">
        <v>22044</v>
      </c>
      <c r="D2221" t="s">
        <v>22045</v>
      </c>
      <c r="E2221" t="s">
        <v>39</v>
      </c>
      <c r="F2221" t="s">
        <v>55</v>
      </c>
      <c r="H2221">
        <v>797</v>
      </c>
      <c r="I2221">
        <v>7</v>
      </c>
      <c r="J2221">
        <v>1</v>
      </c>
      <c r="K2221" t="s">
        <v>22046</v>
      </c>
      <c r="L2221" t="s">
        <v>57</v>
      </c>
      <c r="M2221" t="s">
        <v>39</v>
      </c>
      <c r="N2221">
        <v>0.95140000000000002</v>
      </c>
      <c r="O2221" s="1">
        <v>1</v>
      </c>
      <c r="P2221" t="s">
        <v>22047</v>
      </c>
      <c r="Q2221" t="s">
        <v>22048</v>
      </c>
      <c r="S2221" t="s">
        <v>166</v>
      </c>
      <c r="T2221" t="s">
        <v>1149</v>
      </c>
      <c r="U2221" t="s">
        <v>22049</v>
      </c>
      <c r="V2221">
        <v>11</v>
      </c>
      <c r="AE2221" t="s">
        <v>74</v>
      </c>
      <c r="AF2221" t="s">
        <v>9746</v>
      </c>
      <c r="AG2221" t="s">
        <v>22050</v>
      </c>
      <c r="AH2221" t="str">
        <f>HYPERLINK("http://compartments.jensenlab.org/Entity?figures=subcell_cell_%&amp;knowledge=10&amp;textmining=10&amp;experiments=10&amp;predictions=10&amp;type1=9606&amp;type2=-22&amp;id1=ENSP00000273352","link")</f>
        <v>link</v>
      </c>
      <c r="AI2221" t="s">
        <v>65</v>
      </c>
      <c r="AJ2221" t="s">
        <v>51</v>
      </c>
      <c r="AK2221" t="str">
        <f>HYPERLINK("http://www.proteinatlas.org/Q96K78","HPA021135")</f>
        <v>HPA021135</v>
      </c>
      <c r="AM2221">
        <v>84873</v>
      </c>
    </row>
    <row r="2222" spans="1:39" x14ac:dyDescent="0.35">
      <c r="A2222" t="s">
        <v>22051</v>
      </c>
      <c r="B2222" t="str">
        <f>HYPERLINK("http://www.uniprot.org/uniprot/Q96KG7","Q96KG7")</f>
        <v>Q96KG7</v>
      </c>
      <c r="C2222" t="s">
        <v>22052</v>
      </c>
      <c r="D2222" t="s">
        <v>22053</v>
      </c>
      <c r="E2222" t="s">
        <v>39</v>
      </c>
      <c r="F2222" t="s">
        <v>55</v>
      </c>
      <c r="H2222">
        <v>1140</v>
      </c>
      <c r="I2222">
        <v>1</v>
      </c>
      <c r="J2222">
        <v>1</v>
      </c>
      <c r="K2222" t="s">
        <v>22054</v>
      </c>
      <c r="L2222" t="s">
        <v>57</v>
      </c>
      <c r="M2222" t="s">
        <v>39</v>
      </c>
      <c r="N2222">
        <v>1</v>
      </c>
      <c r="O2222" s="1">
        <v>1</v>
      </c>
      <c r="P2222" t="s">
        <v>22055</v>
      </c>
      <c r="Q2222" t="s">
        <v>22056</v>
      </c>
      <c r="S2222" t="s">
        <v>166</v>
      </c>
      <c r="T2222" t="s">
        <v>205</v>
      </c>
      <c r="U2222" t="s">
        <v>22057</v>
      </c>
      <c r="V2222">
        <v>9</v>
      </c>
      <c r="AE2222" t="s">
        <v>22058</v>
      </c>
      <c r="AF2222" t="s">
        <v>22059</v>
      </c>
      <c r="AG2222" t="s">
        <v>22060</v>
      </c>
      <c r="AH2222" t="str">
        <f>HYPERLINK("http://compartments.jensenlab.org/Entity?figures=subcell_cell_%&amp;knowledge=10&amp;textmining=10&amp;experiments=10&amp;predictions=10&amp;type1=9606&amp;type2=-22&amp;id1=ENSP00000274473","link")</f>
        <v>link</v>
      </c>
      <c r="AI2222" t="s">
        <v>65</v>
      </c>
      <c r="AJ2222" t="s">
        <v>51</v>
      </c>
      <c r="AK2222" t="str">
        <f>HYPERLINK("http://www.proteinatlas.org/Q96KG7","HPA026876")</f>
        <v>HPA026876</v>
      </c>
      <c r="AM2222">
        <v>84466</v>
      </c>
    </row>
    <row r="2223" spans="1:39" x14ac:dyDescent="0.35">
      <c r="A2223" t="s">
        <v>22061</v>
      </c>
      <c r="B2223" t="str">
        <f>HYPERLINK("http://www.uniprot.org/uniprot/Q96KJ4","Q96KJ4")</f>
        <v>Q96KJ4</v>
      </c>
      <c r="C2223" t="s">
        <v>22062</v>
      </c>
      <c r="D2223" t="s">
        <v>22063</v>
      </c>
      <c r="E2223" t="s">
        <v>39</v>
      </c>
      <c r="F2223" t="s">
        <v>40</v>
      </c>
      <c r="H2223">
        <v>702</v>
      </c>
      <c r="I2223">
        <v>1</v>
      </c>
      <c r="J2223">
        <v>1</v>
      </c>
      <c r="K2223" t="s">
        <v>22064</v>
      </c>
      <c r="L2223" t="s">
        <v>57</v>
      </c>
      <c r="N2223">
        <v>0.77639999999999998</v>
      </c>
      <c r="O2223" s="1">
        <v>1</v>
      </c>
      <c r="P2223" t="s">
        <v>22065</v>
      </c>
      <c r="Q2223" t="s">
        <v>22066</v>
      </c>
      <c r="U2223" t="s">
        <v>22067</v>
      </c>
      <c r="V2223">
        <v>8</v>
      </c>
      <c r="AE2223" t="s">
        <v>144</v>
      </c>
      <c r="AF2223" t="s">
        <v>22068</v>
      </c>
      <c r="AG2223" t="s">
        <v>22069</v>
      </c>
      <c r="AH2223" t="str">
        <f>HYPERLINK("http://compartments.jensenlab.org/Entity?figures=subcell_cell_%&amp;knowledge=10&amp;textmining=10&amp;experiments=10&amp;predictions=10&amp;type1=9606&amp;type2=-22&amp;id1=ENSP00000415767","link")</f>
        <v>link</v>
      </c>
      <c r="AK2223" t="str">
        <f>HYPERLINK("http://www.proteinatlas.org/Q96KJ4","no")</f>
        <v>no</v>
      </c>
    </row>
    <row r="2224" spans="1:39" x14ac:dyDescent="0.35">
      <c r="A2224" t="s">
        <v>22070</v>
      </c>
      <c r="B2224" t="str">
        <f>HYPERLINK("http://www.uniprot.org/uniprot/Q96KK3","Q96KK3")</f>
        <v>Q96KK3</v>
      </c>
      <c r="C2224" t="s">
        <v>22071</v>
      </c>
      <c r="D2224" t="s">
        <v>22072</v>
      </c>
      <c r="E2224" t="s">
        <v>39</v>
      </c>
      <c r="F2224" t="s">
        <v>55</v>
      </c>
      <c r="H2224">
        <v>526</v>
      </c>
      <c r="I2224">
        <v>6</v>
      </c>
      <c r="J2224">
        <v>0</v>
      </c>
      <c r="K2224" t="s">
        <v>22073</v>
      </c>
      <c r="L2224" t="s">
        <v>57</v>
      </c>
      <c r="M2224" t="s">
        <v>39</v>
      </c>
      <c r="N2224">
        <v>0.31680000000000003</v>
      </c>
      <c r="O2224" s="1"/>
      <c r="P2224" t="s">
        <v>22074</v>
      </c>
      <c r="Q2224" t="s">
        <v>22075</v>
      </c>
      <c r="S2224" t="s">
        <v>45</v>
      </c>
      <c r="T2224" t="s">
        <v>6713</v>
      </c>
      <c r="V2224">
        <v>0</v>
      </c>
      <c r="AE2224" t="s">
        <v>74</v>
      </c>
      <c r="AF2224" t="s">
        <v>22076</v>
      </c>
      <c r="AG2224" t="s">
        <v>22077</v>
      </c>
      <c r="AH2224" t="str">
        <f>HYPERLINK("http://compartments.jensenlab.org/Entity?figures=subcell_cell_%&amp;knowledge=10&amp;textmining=10&amp;experiments=10&amp;predictions=10&amp;type1=9606&amp;type2=-22&amp;id1=ENSP00000307694","link")</f>
        <v>link</v>
      </c>
      <c r="AI2224" t="s">
        <v>65</v>
      </c>
      <c r="AJ2224" t="s">
        <v>51</v>
      </c>
      <c r="AK2224" t="str">
        <f>HYPERLINK("http://www.proteinatlas.org/Q96KK3","no")</f>
        <v>no</v>
      </c>
      <c r="AM2224">
        <v>3787</v>
      </c>
    </row>
    <row r="2225" spans="1:39" x14ac:dyDescent="0.35">
      <c r="A2225" t="s">
        <v>22078</v>
      </c>
      <c r="B2225" t="str">
        <f>HYPERLINK("http://www.uniprot.org/uniprot/Q96KK4","Q96KK4")</f>
        <v>Q96KK4</v>
      </c>
      <c r="C2225" t="s">
        <v>22079</v>
      </c>
      <c r="D2225" t="s">
        <v>22080</v>
      </c>
      <c r="E2225" t="s">
        <v>39</v>
      </c>
      <c r="F2225" t="s">
        <v>55</v>
      </c>
      <c r="H2225">
        <v>312</v>
      </c>
      <c r="I2225">
        <v>7</v>
      </c>
      <c r="J2225">
        <v>0</v>
      </c>
      <c r="K2225" t="s">
        <v>22081</v>
      </c>
      <c r="L2225" t="s">
        <v>57</v>
      </c>
      <c r="M2225" t="s">
        <v>39</v>
      </c>
      <c r="N2225">
        <v>0.99060000000000004</v>
      </c>
      <c r="O2225" s="1">
        <v>1</v>
      </c>
      <c r="P2225" t="s">
        <v>22082</v>
      </c>
      <c r="Q2225" t="s">
        <v>22083</v>
      </c>
      <c r="S2225" t="s">
        <v>166</v>
      </c>
      <c r="T2225" t="s">
        <v>167</v>
      </c>
      <c r="U2225">
        <v>4</v>
      </c>
      <c r="V2225">
        <v>1</v>
      </c>
      <c r="AE2225" t="s">
        <v>74</v>
      </c>
      <c r="AF2225" t="s">
        <v>169</v>
      </c>
      <c r="AG2225" t="s">
        <v>22084</v>
      </c>
      <c r="AH2225" t="str">
        <f>HYPERLINK("http://compartments.jensenlab.org/Entity?figures=subcell_cell_%&amp;knowledge=10&amp;textmining=10&amp;experiments=10&amp;predictions=10&amp;type1=9606&amp;type2=-22&amp;id1=ENSP00000366343","link")</f>
        <v>link</v>
      </c>
      <c r="AI2225" t="s">
        <v>2883</v>
      </c>
      <c r="AJ2225" t="s">
        <v>2884</v>
      </c>
      <c r="AK2225" t="str">
        <f>HYPERLINK("http://www.proteinatlas.org/Q96KK4","HPA049336")</f>
        <v>HPA049336</v>
      </c>
      <c r="AM2225">
        <v>442194</v>
      </c>
    </row>
    <row r="2226" spans="1:39" x14ac:dyDescent="0.35">
      <c r="A2226" t="s">
        <v>22085</v>
      </c>
      <c r="B2226" t="str">
        <f>HYPERLINK("http://www.uniprot.org/uniprot/Q96KV6","Q96KV6")</f>
        <v>Q96KV6</v>
      </c>
      <c r="C2226" t="s">
        <v>22086</v>
      </c>
      <c r="D2226" t="s">
        <v>22087</v>
      </c>
      <c r="E2226" t="s">
        <v>39</v>
      </c>
      <c r="F2226" t="s">
        <v>40</v>
      </c>
      <c r="H2226">
        <v>586</v>
      </c>
      <c r="I2226">
        <v>1</v>
      </c>
      <c r="J2226">
        <v>1</v>
      </c>
      <c r="K2226" t="s">
        <v>22088</v>
      </c>
      <c r="L2226" t="s">
        <v>57</v>
      </c>
      <c r="N2226">
        <v>0.82240000000000002</v>
      </c>
      <c r="O2226" s="1">
        <v>1</v>
      </c>
      <c r="S2226" t="s">
        <v>91</v>
      </c>
      <c r="T2226" t="s">
        <v>1012</v>
      </c>
      <c r="U2226" t="s">
        <v>22089</v>
      </c>
      <c r="V2226">
        <v>4</v>
      </c>
      <c r="AE2226" t="s">
        <v>144</v>
      </c>
      <c r="AF2226" t="s">
        <v>22090</v>
      </c>
      <c r="AG2226" t="s">
        <v>22091</v>
      </c>
      <c r="AK2226" t="str">
        <f>HYPERLINK("http://www.proteinatlas.org/Q96KV6","no")</f>
        <v>no</v>
      </c>
    </row>
    <row r="2227" spans="1:39" x14ac:dyDescent="0.35">
      <c r="A2227" t="s">
        <v>22092</v>
      </c>
      <c r="B2227" t="str">
        <f>HYPERLINK("http://www.uniprot.org/uniprot/Q96L08","Q96L08")</f>
        <v>Q96L08</v>
      </c>
      <c r="C2227" t="s">
        <v>22093</v>
      </c>
      <c r="D2227" t="s">
        <v>22094</v>
      </c>
      <c r="E2227" t="s">
        <v>39</v>
      </c>
      <c r="F2227" t="s">
        <v>40</v>
      </c>
      <c r="H2227">
        <v>255</v>
      </c>
      <c r="I2227">
        <v>1</v>
      </c>
      <c r="J2227">
        <v>0</v>
      </c>
      <c r="K2227" t="s">
        <v>22095</v>
      </c>
      <c r="L2227" t="s">
        <v>57</v>
      </c>
      <c r="N2227">
        <v>0.62670000000000003</v>
      </c>
      <c r="O2227" s="1">
        <v>2</v>
      </c>
      <c r="P2227" t="s">
        <v>22096</v>
      </c>
      <c r="Q2227" t="s">
        <v>22097</v>
      </c>
      <c r="S2227" t="s">
        <v>60</v>
      </c>
      <c r="T2227" t="s">
        <v>60</v>
      </c>
      <c r="U2227" t="s">
        <v>22098</v>
      </c>
      <c r="V2227">
        <v>1</v>
      </c>
      <c r="AE2227" t="s">
        <v>94</v>
      </c>
      <c r="AF2227" t="s">
        <v>22099</v>
      </c>
      <c r="AG2227" t="s">
        <v>22100</v>
      </c>
      <c r="AH2227" t="str">
        <f>HYPERLINK("http://compartments.jensenlab.org/Entity?figures=subcell_cell_%&amp;knowledge=10&amp;textmining=10&amp;experiments=10&amp;predictions=10&amp;type1=9606&amp;type2=-22&amp;id1=ENSP00000364621","link")</f>
        <v>link</v>
      </c>
      <c r="AJ2227" t="s">
        <v>51</v>
      </c>
      <c r="AK2227" t="str">
        <f>HYPERLINK("http://www.proteinatlas.org/Q96L08","HPA042310")</f>
        <v>HPA042310</v>
      </c>
      <c r="AM2227">
        <v>203328</v>
      </c>
    </row>
    <row r="2228" spans="1:39" x14ac:dyDescent="0.35">
      <c r="A2228" t="s">
        <v>22101</v>
      </c>
      <c r="B2228" t="str">
        <f>HYPERLINK("http://www.uniprot.org/uniprot/Q96LA5","Q96LA5")</f>
        <v>Q96LA5</v>
      </c>
      <c r="C2228" t="s">
        <v>22102</v>
      </c>
      <c r="D2228" t="s">
        <v>22103</v>
      </c>
      <c r="E2228" t="s">
        <v>39</v>
      </c>
      <c r="F2228" t="s">
        <v>55</v>
      </c>
      <c r="H2228">
        <v>508</v>
      </c>
      <c r="I2228">
        <v>1</v>
      </c>
      <c r="J2228">
        <v>1</v>
      </c>
      <c r="K2228" t="s">
        <v>22104</v>
      </c>
      <c r="L2228" t="s">
        <v>101</v>
      </c>
      <c r="M2228" t="s">
        <v>39</v>
      </c>
      <c r="N2228">
        <v>0.90710000000000002</v>
      </c>
      <c r="O2228" s="1">
        <v>1</v>
      </c>
      <c r="P2228" t="s">
        <v>22105</v>
      </c>
      <c r="Q2228" t="s">
        <v>22106</v>
      </c>
      <c r="R2228" t="s">
        <v>22107</v>
      </c>
      <c r="S2228" t="s">
        <v>166</v>
      </c>
      <c r="T2228" t="s">
        <v>478</v>
      </c>
      <c r="U2228" t="s">
        <v>22108</v>
      </c>
      <c r="V2228">
        <v>5</v>
      </c>
      <c r="Z2228" t="s">
        <v>107</v>
      </c>
      <c r="AA2228">
        <v>1</v>
      </c>
      <c r="AB2228" t="s">
        <v>22109</v>
      </c>
      <c r="AC2228">
        <v>204</v>
      </c>
      <c r="AD2228" t="s">
        <v>22110</v>
      </c>
      <c r="AE2228" t="s">
        <v>332</v>
      </c>
      <c r="AF2228" t="s">
        <v>22111</v>
      </c>
      <c r="AG2228" t="s">
        <v>22112</v>
      </c>
      <c r="AH2228" t="str">
        <f>HYPERLINK("http://compartments.jensenlab.org/Entity?figures=subcell_cell_%&amp;knowledge=10&amp;textmining=10&amp;experiments=10&amp;predictions=10&amp;type1=9606&amp;type2=-22&amp;id1=ENSP00000355157","link")</f>
        <v>link</v>
      </c>
      <c r="AI2228" t="s">
        <v>65</v>
      </c>
      <c r="AJ2228" t="s">
        <v>51</v>
      </c>
      <c r="AK2228" t="str">
        <f>HYPERLINK("http://www.proteinatlas.org/Q96LA5","CAB017619;HPA041426")</f>
        <v>CAB017619;HPA041426</v>
      </c>
      <c r="AM2228">
        <v>79368</v>
      </c>
    </row>
    <row r="2229" spans="1:39" x14ac:dyDescent="0.35">
      <c r="A2229" t="s">
        <v>22113</v>
      </c>
      <c r="B2229" t="str">
        <f>HYPERLINK("http://www.uniprot.org/uniprot/Q96LA6","Q96LA6")</f>
        <v>Q96LA6</v>
      </c>
      <c r="C2229" t="s">
        <v>22114</v>
      </c>
      <c r="D2229" t="s">
        <v>22115</v>
      </c>
      <c r="E2229" t="s">
        <v>39</v>
      </c>
      <c r="F2229" t="s">
        <v>40</v>
      </c>
      <c r="H2229">
        <v>429</v>
      </c>
      <c r="I2229">
        <v>1</v>
      </c>
      <c r="J2229">
        <v>1</v>
      </c>
      <c r="K2229" t="s">
        <v>22116</v>
      </c>
      <c r="L2229" t="s">
        <v>57</v>
      </c>
      <c r="N2229">
        <v>0.8044</v>
      </c>
      <c r="O2229" s="1">
        <v>1</v>
      </c>
      <c r="P2229" t="s">
        <v>22117</v>
      </c>
      <c r="Q2229" t="s">
        <v>22118</v>
      </c>
      <c r="R2229" t="s">
        <v>22119</v>
      </c>
      <c r="S2229" t="s">
        <v>166</v>
      </c>
      <c r="T2229" t="s">
        <v>478</v>
      </c>
      <c r="U2229" t="s">
        <v>22120</v>
      </c>
      <c r="V2229">
        <v>3</v>
      </c>
      <c r="AE2229" t="s">
        <v>332</v>
      </c>
      <c r="AF2229" t="s">
        <v>22121</v>
      </c>
      <c r="AG2229" t="s">
        <v>22122</v>
      </c>
      <c r="AH2229" t="str">
        <f>HYPERLINK("http://compartments.jensenlab.org/Entity?figures=subcell_cell_%&amp;knowledge=10&amp;textmining=10&amp;experiments=10&amp;predictions=10&amp;type1=9606&amp;type2=-22&amp;id1=ENSP00000357158","link")</f>
        <v>link</v>
      </c>
      <c r="AI2229" t="s">
        <v>65</v>
      </c>
      <c r="AJ2229" t="s">
        <v>51</v>
      </c>
      <c r="AK2229" t="str">
        <f>HYPERLINK("http://www.proteinatlas.org/Q96LA6","HPA013323")</f>
        <v>HPA013323</v>
      </c>
      <c r="AM2229">
        <v>115350</v>
      </c>
    </row>
    <row r="2230" spans="1:39" x14ac:dyDescent="0.35">
      <c r="A2230" t="s">
        <v>22123</v>
      </c>
      <c r="B2230" t="str">
        <f>HYPERLINK("http://www.uniprot.org/uniprot/Q96LA9","Q96LA9")</f>
        <v>Q96LA9</v>
      </c>
      <c r="C2230" t="s">
        <v>22124</v>
      </c>
      <c r="D2230" t="s">
        <v>22125</v>
      </c>
      <c r="E2230" t="s">
        <v>39</v>
      </c>
      <c r="F2230" t="s">
        <v>55</v>
      </c>
      <c r="H2230">
        <v>322</v>
      </c>
      <c r="I2230">
        <v>7</v>
      </c>
      <c r="J2230">
        <v>0</v>
      </c>
      <c r="K2230" t="s">
        <v>22126</v>
      </c>
      <c r="L2230" t="s">
        <v>57</v>
      </c>
      <c r="M2230" t="s">
        <v>39</v>
      </c>
      <c r="N2230">
        <v>0.93679999999999997</v>
      </c>
      <c r="O2230" s="1">
        <v>1</v>
      </c>
      <c r="P2230" t="s">
        <v>22127</v>
      </c>
      <c r="Q2230" t="s">
        <v>22128</v>
      </c>
      <c r="S2230" t="s">
        <v>166</v>
      </c>
      <c r="T2230" t="s">
        <v>838</v>
      </c>
      <c r="U2230" t="s">
        <v>22129</v>
      </c>
      <c r="V2230">
        <v>2</v>
      </c>
      <c r="Y2230">
        <v>126</v>
      </c>
      <c r="AE2230" t="s">
        <v>74</v>
      </c>
      <c r="AF2230" t="s">
        <v>910</v>
      </c>
      <c r="AG2230" t="s">
        <v>22130</v>
      </c>
      <c r="AH2230" t="str">
        <f>HYPERLINK("http://compartments.jensenlab.org/Entity?figures=subcell_cell_%&amp;knowledge=10&amp;textmining=10&amp;experiments=10&amp;predictions=10&amp;type1=9606&amp;type2=-22&amp;id1=ENSP00000314042","link")</f>
        <v>link</v>
      </c>
      <c r="AI2230" t="s">
        <v>65</v>
      </c>
      <c r="AJ2230" t="s">
        <v>51</v>
      </c>
      <c r="AK2230" t="str">
        <f>HYPERLINK("http://www.proteinatlas.org/Q96LA9","no")</f>
        <v>no</v>
      </c>
      <c r="AM2230">
        <v>117196</v>
      </c>
    </row>
    <row r="2231" spans="1:39" x14ac:dyDescent="0.35">
      <c r="A2231" t="s">
        <v>22131</v>
      </c>
      <c r="B2231" t="str">
        <f>HYPERLINK("http://www.uniprot.org/uniprot/Q96LB0","Q96LB0")</f>
        <v>Q96LB0</v>
      </c>
      <c r="C2231" t="s">
        <v>22132</v>
      </c>
      <c r="D2231" t="s">
        <v>22133</v>
      </c>
      <c r="E2231" t="s">
        <v>39</v>
      </c>
      <c r="F2231" t="s">
        <v>40</v>
      </c>
      <c r="H2231">
        <v>322</v>
      </c>
      <c r="I2231">
        <v>7</v>
      </c>
      <c r="J2231">
        <v>0</v>
      </c>
      <c r="K2231" t="s">
        <v>22134</v>
      </c>
      <c r="L2231" t="s">
        <v>57</v>
      </c>
      <c r="N2231">
        <v>0.81640000000000001</v>
      </c>
      <c r="O2231" s="1">
        <v>1</v>
      </c>
      <c r="P2231" t="s">
        <v>22135</v>
      </c>
      <c r="Q2231" t="s">
        <v>22136</v>
      </c>
      <c r="S2231" t="s">
        <v>166</v>
      </c>
      <c r="T2231" t="s">
        <v>838</v>
      </c>
      <c r="U2231">
        <v>264</v>
      </c>
      <c r="V2231">
        <v>0</v>
      </c>
      <c r="Y2231">
        <v>126</v>
      </c>
      <c r="AE2231" t="s">
        <v>74</v>
      </c>
      <c r="AF2231" t="s">
        <v>10163</v>
      </c>
      <c r="AG2231" t="s">
        <v>22137</v>
      </c>
      <c r="AH2231" t="str">
        <f>HYPERLINK("http://compartments.jensenlab.org/Entity?figures=subcell_cell_%&amp;knowledge=10&amp;textmining=10&amp;experiments=10&amp;predictions=10&amp;type1=9606&amp;type2=-22&amp;id1=ENSP00000379571","link")</f>
        <v>link</v>
      </c>
      <c r="AK2231" t="str">
        <f>HYPERLINK("http://www.proteinatlas.org/Q96LB0","no")</f>
        <v>no</v>
      </c>
      <c r="AM2231">
        <v>117195</v>
      </c>
    </row>
    <row r="2232" spans="1:39" x14ac:dyDescent="0.35">
      <c r="A2232" t="s">
        <v>22138</v>
      </c>
      <c r="B2232" t="str">
        <f>HYPERLINK("http://www.uniprot.org/uniprot/Q96LB1","Q96LB1")</f>
        <v>Q96LB1</v>
      </c>
      <c r="C2232" t="s">
        <v>22139</v>
      </c>
      <c r="D2232" t="s">
        <v>22140</v>
      </c>
      <c r="E2232" t="s">
        <v>39</v>
      </c>
      <c r="F2232" t="s">
        <v>55</v>
      </c>
      <c r="H2232">
        <v>330</v>
      </c>
      <c r="I2232">
        <v>7</v>
      </c>
      <c r="J2232">
        <v>0</v>
      </c>
      <c r="K2232" t="s">
        <v>22141</v>
      </c>
      <c r="L2232" t="s">
        <v>57</v>
      </c>
      <c r="M2232" t="s">
        <v>39</v>
      </c>
      <c r="N2232">
        <v>0.73480000000000001</v>
      </c>
      <c r="O2232" s="1">
        <v>2</v>
      </c>
      <c r="P2232" t="s">
        <v>22142</v>
      </c>
      <c r="Q2232" t="s">
        <v>22143</v>
      </c>
      <c r="S2232" t="s">
        <v>166</v>
      </c>
      <c r="T2232" t="s">
        <v>838</v>
      </c>
      <c r="U2232">
        <v>271</v>
      </c>
      <c r="V2232">
        <v>0</v>
      </c>
      <c r="Y2232">
        <v>133</v>
      </c>
      <c r="AE2232" t="s">
        <v>74</v>
      </c>
      <c r="AF2232" t="s">
        <v>10163</v>
      </c>
      <c r="AG2232" t="s">
        <v>22144</v>
      </c>
      <c r="AH2232" t="str">
        <f>HYPERLINK("http://compartments.jensenlab.org/Entity?figures=subcell_cell_%&amp;knowledge=10&amp;textmining=10&amp;experiments=10&amp;predictions=10&amp;type1=9606&amp;type2=-22&amp;id1=ENSP00000333800","link")</f>
        <v>link</v>
      </c>
      <c r="AI2232" t="s">
        <v>65</v>
      </c>
      <c r="AJ2232" t="s">
        <v>51</v>
      </c>
      <c r="AK2232" t="str">
        <f>HYPERLINK("http://www.proteinatlas.org/Q96LB1","HPA055220")</f>
        <v>HPA055220</v>
      </c>
      <c r="AM2232">
        <v>117194</v>
      </c>
    </row>
    <row r="2233" spans="1:39" x14ac:dyDescent="0.35">
      <c r="A2233" t="s">
        <v>22145</v>
      </c>
      <c r="B2233" t="str">
        <f>HYPERLINK("http://www.uniprot.org/uniprot/Q96LB2","Q96LB2")</f>
        <v>Q96LB2</v>
      </c>
      <c r="C2233" t="s">
        <v>22146</v>
      </c>
      <c r="D2233" t="s">
        <v>22147</v>
      </c>
      <c r="E2233" t="s">
        <v>39</v>
      </c>
      <c r="F2233" t="s">
        <v>55</v>
      </c>
      <c r="H2233">
        <v>322</v>
      </c>
      <c r="I2233">
        <v>7</v>
      </c>
      <c r="J2233">
        <v>0</v>
      </c>
      <c r="K2233" t="s">
        <v>22148</v>
      </c>
      <c r="L2233" t="s">
        <v>57</v>
      </c>
      <c r="N2233">
        <v>0.85429999999999995</v>
      </c>
      <c r="O2233" s="1">
        <v>1</v>
      </c>
      <c r="P2233" t="s">
        <v>22149</v>
      </c>
      <c r="Q2233" t="s">
        <v>22150</v>
      </c>
      <c r="S2233" t="s">
        <v>166</v>
      </c>
      <c r="T2233" t="s">
        <v>838</v>
      </c>
      <c r="U2233" t="s">
        <v>22151</v>
      </c>
      <c r="V2233">
        <v>1</v>
      </c>
      <c r="Y2233">
        <v>126</v>
      </c>
      <c r="AE2233" t="s">
        <v>74</v>
      </c>
      <c r="AF2233" t="s">
        <v>22152</v>
      </c>
      <c r="AG2233" t="s">
        <v>22153</v>
      </c>
      <c r="AH2233" t="str">
        <f>HYPERLINK("http://compartments.jensenlab.org/Entity?figures=subcell_cell_%&amp;knowledge=10&amp;textmining=10&amp;experiments=10&amp;predictions=10&amp;type1=9606&amp;type2=-22&amp;id1=ENSP00000305766","link")</f>
        <v>link</v>
      </c>
      <c r="AI2233" t="s">
        <v>65</v>
      </c>
      <c r="AJ2233" t="s">
        <v>51</v>
      </c>
      <c r="AK2233" t="str">
        <f>HYPERLINK("http://www.proteinatlas.org/Q96LB2","no")</f>
        <v>no</v>
      </c>
      <c r="AM2233">
        <v>259249</v>
      </c>
    </row>
    <row r="2234" spans="1:39" x14ac:dyDescent="0.35">
      <c r="A2234" t="s">
        <v>22154</v>
      </c>
      <c r="B2234" t="str">
        <f>HYPERLINK("http://www.uniprot.org/uniprot/Q96LC7","Q96LC7")</f>
        <v>Q96LC7</v>
      </c>
      <c r="C2234" t="s">
        <v>22155</v>
      </c>
      <c r="D2234" t="s">
        <v>22156</v>
      </c>
      <c r="E2234" t="s">
        <v>39</v>
      </c>
      <c r="F2234" t="s">
        <v>55</v>
      </c>
      <c r="H2234">
        <v>697</v>
      </c>
      <c r="I2234">
        <v>1</v>
      </c>
      <c r="J2234">
        <v>1</v>
      </c>
      <c r="K2234" t="s">
        <v>22157</v>
      </c>
      <c r="L2234" t="s">
        <v>101</v>
      </c>
      <c r="M2234" t="s">
        <v>39</v>
      </c>
      <c r="N2234">
        <v>0.95</v>
      </c>
      <c r="O2234" s="1">
        <v>1</v>
      </c>
      <c r="P2234" t="s">
        <v>22158</v>
      </c>
      <c r="Q2234" t="s">
        <v>22159</v>
      </c>
      <c r="S2234" t="s">
        <v>91</v>
      </c>
      <c r="T2234" t="s">
        <v>555</v>
      </c>
      <c r="U2234" t="s">
        <v>22160</v>
      </c>
      <c r="V2234">
        <v>5</v>
      </c>
      <c r="W2234" t="s">
        <v>22160</v>
      </c>
      <c r="Z2234" t="s">
        <v>107</v>
      </c>
      <c r="AA2234">
        <v>1</v>
      </c>
      <c r="AB2234" t="s">
        <v>22161</v>
      </c>
      <c r="AC2234">
        <v>100</v>
      </c>
      <c r="AD2234" t="s">
        <v>22162</v>
      </c>
      <c r="AE2234" t="s">
        <v>22163</v>
      </c>
      <c r="AF2234" t="s">
        <v>22164</v>
      </c>
      <c r="AG2234" t="s">
        <v>22165</v>
      </c>
      <c r="AH2234" t="str">
        <f>HYPERLINK("http://compartments.jensenlab.org/Entity?figures=subcell_cell_%&amp;knowledge=10&amp;textmining=10&amp;experiments=10&amp;predictions=10&amp;type1=9606&amp;type2=-22&amp;id1=ENSP00000345243","link")</f>
        <v>link</v>
      </c>
      <c r="AI2234" t="s">
        <v>1058</v>
      </c>
      <c r="AJ2234" t="s">
        <v>902</v>
      </c>
      <c r="AK2234" t="str">
        <f>HYPERLINK("http://www.proteinatlas.org/Q96LC7","CAB025807;HPA027093")</f>
        <v>CAB025807;HPA027093</v>
      </c>
      <c r="AM2234">
        <v>89790</v>
      </c>
    </row>
    <row r="2235" spans="1:39" x14ac:dyDescent="0.35">
      <c r="A2235" t="s">
        <v>22166</v>
      </c>
      <c r="B2235" t="str">
        <f>HYPERLINK("http://www.uniprot.org/uniprot/Q96LD1","Q96LD1")</f>
        <v>Q96LD1</v>
      </c>
      <c r="C2235" t="s">
        <v>22167</v>
      </c>
      <c r="D2235" t="s">
        <v>22168</v>
      </c>
      <c r="E2235" t="s">
        <v>39</v>
      </c>
      <c r="F2235" t="s">
        <v>55</v>
      </c>
      <c r="H2235">
        <v>299</v>
      </c>
      <c r="I2235">
        <v>1</v>
      </c>
      <c r="J2235">
        <v>0</v>
      </c>
      <c r="K2235" t="s">
        <v>22169</v>
      </c>
      <c r="L2235" t="s">
        <v>101</v>
      </c>
      <c r="M2235" t="s">
        <v>39</v>
      </c>
      <c r="N2235">
        <v>0.5595</v>
      </c>
      <c r="O2235" s="1">
        <v>3</v>
      </c>
      <c r="P2235" t="s">
        <v>22170</v>
      </c>
      <c r="S2235" t="s">
        <v>91</v>
      </c>
      <c r="T2235" t="s">
        <v>1872</v>
      </c>
      <c r="U2235" t="s">
        <v>22171</v>
      </c>
      <c r="V2235">
        <v>2</v>
      </c>
      <c r="Z2235" t="s">
        <v>107</v>
      </c>
      <c r="AA2235">
        <v>3</v>
      </c>
      <c r="AB2235" t="s">
        <v>22172</v>
      </c>
      <c r="AC2235">
        <v>110</v>
      </c>
      <c r="AD2235" t="s">
        <v>22173</v>
      </c>
      <c r="AE2235" t="s">
        <v>13866</v>
      </c>
      <c r="AF2235" t="s">
        <v>22174</v>
      </c>
      <c r="AG2235" t="s">
        <v>22175</v>
      </c>
      <c r="AK2235" t="str">
        <f>HYPERLINK("http://www.proteinatlas.org/Q96LD1","HPA017585")</f>
        <v>HPA017585</v>
      </c>
      <c r="AM2235">
        <v>137868</v>
      </c>
    </row>
    <row r="2236" spans="1:39" x14ac:dyDescent="0.35">
      <c r="A2236" t="s">
        <v>22176</v>
      </c>
      <c r="B2236" t="str">
        <f>HYPERLINK("http://www.uniprot.org/uniprot/Q96MC6","Q96MC6")</f>
        <v>Q96MC6</v>
      </c>
      <c r="C2236" t="s">
        <v>22177</v>
      </c>
      <c r="D2236" t="s">
        <v>22178</v>
      </c>
      <c r="E2236" t="s">
        <v>39</v>
      </c>
      <c r="F2236" t="s">
        <v>40</v>
      </c>
      <c r="H2236">
        <v>490</v>
      </c>
      <c r="I2236">
        <v>12</v>
      </c>
      <c r="J2236">
        <v>0</v>
      </c>
      <c r="K2236" t="s">
        <v>22179</v>
      </c>
      <c r="L2236" t="s">
        <v>57</v>
      </c>
      <c r="N2236">
        <v>0.62670000000000003</v>
      </c>
      <c r="O2236" s="1">
        <v>2</v>
      </c>
      <c r="P2236" t="s">
        <v>22180</v>
      </c>
      <c r="Q2236" t="s">
        <v>22181</v>
      </c>
      <c r="S2236" t="s">
        <v>45</v>
      </c>
      <c r="T2236" t="s">
        <v>22182</v>
      </c>
      <c r="U2236" t="s">
        <v>22183</v>
      </c>
      <c r="V2236">
        <v>2</v>
      </c>
      <c r="Y2236">
        <v>335</v>
      </c>
      <c r="AE2236" t="s">
        <v>48</v>
      </c>
      <c r="AF2236" t="s">
        <v>22184</v>
      </c>
      <c r="AG2236" t="s">
        <v>22185</v>
      </c>
      <c r="AH2236" t="str">
        <f>HYPERLINK("http://compartments.jensenlab.org/Entity?figures=subcell_cell_%&amp;knowledge=10&amp;textmining=10&amp;experiments=10&amp;predictions=10&amp;type1=9606&amp;type2=-22&amp;id1=ENSP00000359171","link")</f>
        <v>link</v>
      </c>
      <c r="AJ2236" t="s">
        <v>51</v>
      </c>
      <c r="AK2236" t="str">
        <f>HYPERLINK("http://www.proteinatlas.org/Q96MC6","no")</f>
        <v>no</v>
      </c>
      <c r="AM2236">
        <v>64645</v>
      </c>
    </row>
    <row r="2237" spans="1:39" x14ac:dyDescent="0.35">
      <c r="A2237" t="s">
        <v>22186</v>
      </c>
      <c r="B2237" t="str">
        <f>HYPERLINK("http://www.uniprot.org/uniprot/Q96MS0","Q96MS0")</f>
        <v>Q96MS0</v>
      </c>
      <c r="C2237" t="s">
        <v>22187</v>
      </c>
      <c r="D2237" t="s">
        <v>22188</v>
      </c>
      <c r="E2237" t="s">
        <v>39</v>
      </c>
      <c r="F2237" t="s">
        <v>40</v>
      </c>
      <c r="H2237">
        <v>1386</v>
      </c>
      <c r="I2237">
        <v>1</v>
      </c>
      <c r="J2237">
        <v>1</v>
      </c>
      <c r="K2237" t="s">
        <v>22189</v>
      </c>
      <c r="L2237" t="s">
        <v>57</v>
      </c>
      <c r="N2237">
        <v>0.86029999999999995</v>
      </c>
      <c r="O2237" s="1">
        <v>1</v>
      </c>
      <c r="P2237" t="s">
        <v>22190</v>
      </c>
      <c r="Q2237" t="s">
        <v>22191</v>
      </c>
      <c r="S2237" t="s">
        <v>166</v>
      </c>
      <c r="T2237" t="s">
        <v>22192</v>
      </c>
      <c r="U2237" t="s">
        <v>22193</v>
      </c>
      <c r="V2237">
        <v>11</v>
      </c>
      <c r="Y2237">
        <v>532</v>
      </c>
      <c r="AE2237" t="s">
        <v>144</v>
      </c>
      <c r="AF2237" t="s">
        <v>22194</v>
      </c>
      <c r="AG2237" t="s">
        <v>22195</v>
      </c>
      <c r="AH2237" t="str">
        <f>HYPERLINK("http://compartments.jensenlab.org/Entity?figures=subcell_cell_%&amp;knowledge=10&amp;textmining=10&amp;experiments=10&amp;predictions=10&amp;type1=9606&amp;type2=-22&amp;id1=ENSP00000380903","link")</f>
        <v>link</v>
      </c>
      <c r="AJ2237" t="s">
        <v>51</v>
      </c>
      <c r="AK2237" t="str">
        <f>HYPERLINK("http://www.proteinatlas.org/Q96MS0","HPA011310")</f>
        <v>HPA011310</v>
      </c>
      <c r="AM2237">
        <v>64221</v>
      </c>
    </row>
    <row r="2238" spans="1:39" x14ac:dyDescent="0.35">
      <c r="A2238" t="s">
        <v>22196</v>
      </c>
      <c r="B2238" t="str">
        <f>HYPERLINK("http://www.uniprot.org/uniprot/Q96MU8","Q96MU8")</f>
        <v>Q96MU8</v>
      </c>
      <c r="C2238" t="s">
        <v>22197</v>
      </c>
      <c r="D2238" t="s">
        <v>22198</v>
      </c>
      <c r="E2238" t="s">
        <v>39</v>
      </c>
      <c r="F2238" t="s">
        <v>40</v>
      </c>
      <c r="H2238">
        <v>473</v>
      </c>
      <c r="I2238">
        <v>1</v>
      </c>
      <c r="J2238">
        <v>1</v>
      </c>
      <c r="K2238" t="s">
        <v>22199</v>
      </c>
      <c r="L2238" t="s">
        <v>57</v>
      </c>
      <c r="N2238">
        <v>0.76049999999999995</v>
      </c>
      <c r="O2238" s="1">
        <v>1</v>
      </c>
      <c r="P2238" t="s">
        <v>22200</v>
      </c>
      <c r="Q2238" t="s">
        <v>22201</v>
      </c>
      <c r="S2238" t="s">
        <v>60</v>
      </c>
      <c r="T2238" t="s">
        <v>60</v>
      </c>
      <c r="U2238" t="s">
        <v>22202</v>
      </c>
      <c r="V2238">
        <v>6</v>
      </c>
      <c r="AE2238" t="s">
        <v>144</v>
      </c>
      <c r="AF2238" t="s">
        <v>22203</v>
      </c>
      <c r="AG2238" t="s">
        <v>22204</v>
      </c>
      <c r="AH2238" t="str">
        <f>HYPERLINK("http://compartments.jensenlab.org/Entity?figures=subcell_cell_%&amp;knowledge=10&amp;textmining=10&amp;experiments=10&amp;predictions=10&amp;type1=9606&amp;type2=-22&amp;id1=ENSP00000385431","link")</f>
        <v>link</v>
      </c>
      <c r="AK2238" t="str">
        <f>HYPERLINK("http://www.proteinatlas.org/Q96MU8","HPA055946")</f>
        <v>HPA055946</v>
      </c>
      <c r="AM2238">
        <v>83999</v>
      </c>
    </row>
    <row r="2239" spans="1:39" x14ac:dyDescent="0.35">
      <c r="A2239" t="s">
        <v>22205</v>
      </c>
      <c r="B2239" t="str">
        <f>HYPERLINK("http://www.uniprot.org/uniprot/Q96N19","Q96N19")</f>
        <v>Q96N19</v>
      </c>
      <c r="C2239" t="s">
        <v>22206</v>
      </c>
      <c r="D2239" t="s">
        <v>22207</v>
      </c>
      <c r="E2239" t="s">
        <v>39</v>
      </c>
      <c r="F2239" t="s">
        <v>40</v>
      </c>
      <c r="H2239">
        <v>417</v>
      </c>
      <c r="I2239">
        <v>7</v>
      </c>
      <c r="J2239">
        <v>0</v>
      </c>
      <c r="K2239" t="s">
        <v>22208</v>
      </c>
      <c r="L2239" t="s">
        <v>57</v>
      </c>
      <c r="N2239">
        <v>0.6986</v>
      </c>
      <c r="O2239" s="1">
        <v>2</v>
      </c>
      <c r="P2239" t="s">
        <v>22209</v>
      </c>
      <c r="Q2239" t="s">
        <v>22210</v>
      </c>
      <c r="S2239" t="s">
        <v>60</v>
      </c>
      <c r="T2239" t="s">
        <v>60</v>
      </c>
      <c r="U2239" t="s">
        <v>22211</v>
      </c>
      <c r="V2239">
        <v>2</v>
      </c>
      <c r="AE2239" t="s">
        <v>48</v>
      </c>
      <c r="AF2239" t="s">
        <v>2332</v>
      </c>
      <c r="AG2239" t="s">
        <v>22212</v>
      </c>
      <c r="AH2239" t="str">
        <f>HYPERLINK("http://compartments.jensenlab.org/Entity?figures=subcell_cell_%&amp;knowledge=10&amp;textmining=10&amp;experiments=10&amp;predictions=10&amp;type1=9606&amp;type2=-22&amp;id1=ENSP00000321698","link")</f>
        <v>link</v>
      </c>
      <c r="AJ2239" t="s">
        <v>51</v>
      </c>
      <c r="AK2239" t="str">
        <f>HYPERLINK("http://www.proteinatlas.org/Q96N19","HPA062871")</f>
        <v>HPA062871</v>
      </c>
      <c r="AM2239">
        <v>56834</v>
      </c>
    </row>
    <row r="2240" spans="1:39" x14ac:dyDescent="0.35">
      <c r="A2240" t="s">
        <v>22213</v>
      </c>
      <c r="B2240" t="str">
        <f>HYPERLINK("http://www.uniprot.org/uniprot/Q96N87","Q96N87")</f>
        <v>Q96N87</v>
      </c>
      <c r="C2240" t="s">
        <v>22214</v>
      </c>
      <c r="D2240" t="s">
        <v>22215</v>
      </c>
      <c r="E2240" t="s">
        <v>39</v>
      </c>
      <c r="F2240" t="s">
        <v>40</v>
      </c>
      <c r="H2240">
        <v>628</v>
      </c>
      <c r="I2240">
        <v>12</v>
      </c>
      <c r="J2240">
        <v>0</v>
      </c>
      <c r="K2240" t="s">
        <v>22216</v>
      </c>
      <c r="L2240" t="s">
        <v>57</v>
      </c>
      <c r="N2240">
        <v>0.86229999999999996</v>
      </c>
      <c r="O2240" s="1">
        <v>1</v>
      </c>
      <c r="P2240" t="s">
        <v>22217</v>
      </c>
      <c r="Q2240" t="s">
        <v>22218</v>
      </c>
      <c r="S2240" t="s">
        <v>45</v>
      </c>
      <c r="T2240" t="s">
        <v>6998</v>
      </c>
      <c r="U2240" t="s">
        <v>22219</v>
      </c>
      <c r="V2240">
        <v>4</v>
      </c>
      <c r="W2240" t="s">
        <v>22219</v>
      </c>
      <c r="Y2240">
        <v>121</v>
      </c>
      <c r="AE2240" t="s">
        <v>48</v>
      </c>
      <c r="AF2240" t="s">
        <v>22220</v>
      </c>
      <c r="AG2240" t="s">
        <v>22221</v>
      </c>
      <c r="AH2240" t="str">
        <f>HYPERLINK("http://compartments.jensenlab.org/Entity?figures=subcell_cell_%&amp;knowledge=10&amp;textmining=10&amp;experiments=10&amp;predictions=10&amp;type1=9606&amp;type2=-22&amp;id1=ENSP00000323549","link")</f>
        <v>link</v>
      </c>
      <c r="AJ2240" t="s">
        <v>51</v>
      </c>
      <c r="AK2240" t="str">
        <f>HYPERLINK("http://www.proteinatlas.org/Q96N87","HPA011885")</f>
        <v>HPA011885</v>
      </c>
      <c r="AM2240">
        <v>348932</v>
      </c>
    </row>
    <row r="2241" spans="1:39" x14ac:dyDescent="0.35">
      <c r="A2241" t="s">
        <v>22222</v>
      </c>
      <c r="B2241" t="str">
        <f>HYPERLINK("http://www.uniprot.org/uniprot/Q96NI6","Q96NI6")</f>
        <v>Q96NI6</v>
      </c>
      <c r="C2241" t="s">
        <v>22223</v>
      </c>
      <c r="D2241" t="s">
        <v>22224</v>
      </c>
      <c r="E2241" t="s">
        <v>39</v>
      </c>
      <c r="F2241" t="s">
        <v>40</v>
      </c>
      <c r="H2241">
        <v>719</v>
      </c>
      <c r="I2241">
        <v>1</v>
      </c>
      <c r="J2241">
        <v>1</v>
      </c>
      <c r="K2241" t="s">
        <v>22225</v>
      </c>
      <c r="L2241" t="s">
        <v>57</v>
      </c>
      <c r="N2241">
        <v>0.90820000000000001</v>
      </c>
      <c r="O2241" s="1">
        <v>1</v>
      </c>
      <c r="P2241" t="s">
        <v>22226</v>
      </c>
      <c r="Q2241" t="s">
        <v>22227</v>
      </c>
      <c r="S2241" t="s">
        <v>91</v>
      </c>
      <c r="T2241" t="s">
        <v>260</v>
      </c>
      <c r="U2241" t="s">
        <v>22228</v>
      </c>
      <c r="V2241">
        <v>6</v>
      </c>
      <c r="AE2241" t="s">
        <v>144</v>
      </c>
      <c r="AF2241" t="s">
        <v>14465</v>
      </c>
      <c r="AG2241" t="s">
        <v>22229</v>
      </c>
      <c r="AH2241" t="str">
        <f>HYPERLINK("http://compartments.jensenlab.org/Entity?figures=subcell_cell_%&amp;knowledge=10&amp;textmining=10&amp;experiments=10&amp;predictions=10&amp;type1=9606&amp;type2=-22&amp;id1=ENSP00000298119","link")</f>
        <v>link</v>
      </c>
      <c r="AK2241" t="str">
        <f>HYPERLINK("http://www.proteinatlas.org/Q96NI6","HPA001177")</f>
        <v>HPA001177</v>
      </c>
      <c r="AM2241">
        <v>145581</v>
      </c>
    </row>
    <row r="2242" spans="1:39" x14ac:dyDescent="0.35">
      <c r="A2242" t="s">
        <v>22230</v>
      </c>
      <c r="B2242" t="str">
        <f>HYPERLINK("http://www.uniprot.org/uniprot/Q96NR3","Q96NR3")</f>
        <v>Q96NR3</v>
      </c>
      <c r="C2242" t="s">
        <v>22231</v>
      </c>
      <c r="D2242" t="s">
        <v>22232</v>
      </c>
      <c r="E2242" t="s">
        <v>39</v>
      </c>
      <c r="F2242" t="s">
        <v>55</v>
      </c>
      <c r="H2242">
        <v>888</v>
      </c>
      <c r="I2242">
        <v>11</v>
      </c>
      <c r="J2242">
        <v>0</v>
      </c>
      <c r="K2242" t="s">
        <v>22233</v>
      </c>
      <c r="L2242" t="s">
        <v>42</v>
      </c>
      <c r="M2242" t="s">
        <v>39</v>
      </c>
      <c r="N2242">
        <v>0.70830000000000004</v>
      </c>
      <c r="O2242" s="1">
        <v>2</v>
      </c>
      <c r="P2242" t="s">
        <v>22234</v>
      </c>
      <c r="Q2242" t="s">
        <v>22235</v>
      </c>
      <c r="S2242" t="s">
        <v>60</v>
      </c>
      <c r="T2242" t="s">
        <v>60</v>
      </c>
      <c r="U2242" t="s">
        <v>22236</v>
      </c>
      <c r="V2242">
        <v>1</v>
      </c>
      <c r="AE2242" t="s">
        <v>74</v>
      </c>
      <c r="AF2242" t="s">
        <v>12816</v>
      </c>
      <c r="AG2242" t="s">
        <v>22237</v>
      </c>
      <c r="AH2242" t="str">
        <f>HYPERLINK("http://compartments.jensenlab.org/Entity?figures=subcell_cell_%&amp;knowledge=10&amp;textmining=10&amp;experiments=10&amp;predictions=10&amp;type1=9606&amp;type2=-22&amp;id1=ENSP00000368666","link")</f>
        <v>link</v>
      </c>
      <c r="AI2242" t="s">
        <v>65</v>
      </c>
      <c r="AJ2242" t="s">
        <v>51</v>
      </c>
      <c r="AK2242" t="str">
        <f>HYPERLINK("http://www.proteinatlas.org/Q96NR3","HPA046110")</f>
        <v>HPA046110</v>
      </c>
      <c r="AM2242">
        <v>139411</v>
      </c>
    </row>
    <row r="2243" spans="1:39" x14ac:dyDescent="0.35">
      <c r="A2243" t="s">
        <v>22238</v>
      </c>
      <c r="B2243" t="str">
        <f>HYPERLINK("http://www.uniprot.org/uniprot/Q96NT5","Q96NT5")</f>
        <v>Q96NT5</v>
      </c>
      <c r="C2243" t="s">
        <v>22239</v>
      </c>
      <c r="D2243" t="s">
        <v>22240</v>
      </c>
      <c r="E2243" t="s">
        <v>39</v>
      </c>
      <c r="F2243" t="s">
        <v>55</v>
      </c>
      <c r="H2243">
        <v>459</v>
      </c>
      <c r="I2243">
        <v>12</v>
      </c>
      <c r="J2243">
        <v>0</v>
      </c>
      <c r="K2243" t="s">
        <v>22241</v>
      </c>
      <c r="L2243" t="s">
        <v>101</v>
      </c>
      <c r="M2243" t="s">
        <v>39</v>
      </c>
      <c r="N2243">
        <v>0.7641</v>
      </c>
      <c r="O2243" s="1">
        <v>1</v>
      </c>
      <c r="P2243" t="s">
        <v>22242</v>
      </c>
      <c r="Q2243" t="s">
        <v>22243</v>
      </c>
      <c r="S2243" t="s">
        <v>45</v>
      </c>
      <c r="T2243" t="s">
        <v>16493</v>
      </c>
      <c r="U2243" t="s">
        <v>22244</v>
      </c>
      <c r="V2243">
        <v>2</v>
      </c>
      <c r="Z2243" t="s">
        <v>107</v>
      </c>
      <c r="AA2243">
        <v>1</v>
      </c>
      <c r="AB2243" t="s">
        <v>22245</v>
      </c>
      <c r="AC2243">
        <v>58</v>
      </c>
      <c r="AD2243" t="s">
        <v>22246</v>
      </c>
      <c r="AE2243" t="s">
        <v>22247</v>
      </c>
      <c r="AF2243" t="s">
        <v>22248</v>
      </c>
      <c r="AG2243" t="s">
        <v>22249</v>
      </c>
      <c r="AH2243" t="str">
        <f>HYPERLINK("http://compartments.jensenlab.org/Entity?figures=subcell_cell_%&amp;knowledge=10&amp;textmining=10&amp;experiments=10&amp;predictions=10&amp;type1=9606&amp;type2=-22&amp;id1=ENSP00000480703","link")</f>
        <v>link</v>
      </c>
      <c r="AK2243" t="str">
        <f>HYPERLINK("http://www.proteinatlas.org/Q96NT5","CAB011614")</f>
        <v>CAB011614</v>
      </c>
      <c r="AM2243">
        <v>113235</v>
      </c>
    </row>
    <row r="2244" spans="1:39" x14ac:dyDescent="0.35">
      <c r="A2244" t="s">
        <v>22250</v>
      </c>
      <c r="B2244" t="str">
        <f>HYPERLINK("http://www.uniprot.org/uniprot/Q96NU0","Q96NU0")</f>
        <v>Q96NU0</v>
      </c>
      <c r="C2244" t="s">
        <v>22251</v>
      </c>
      <c r="D2244" t="s">
        <v>22252</v>
      </c>
      <c r="E2244" t="s">
        <v>39</v>
      </c>
      <c r="F2244" t="s">
        <v>40</v>
      </c>
      <c r="H2244">
        <v>1288</v>
      </c>
      <c r="I2244">
        <v>1</v>
      </c>
      <c r="J2244">
        <v>1</v>
      </c>
      <c r="K2244" t="s">
        <v>22253</v>
      </c>
      <c r="L2244" t="s">
        <v>57</v>
      </c>
      <c r="N2244">
        <v>0.78239999999999998</v>
      </c>
      <c r="O2244" s="1">
        <v>1</v>
      </c>
      <c r="P2244" t="s">
        <v>22254</v>
      </c>
      <c r="S2244" t="s">
        <v>166</v>
      </c>
      <c r="T2244" t="s">
        <v>11402</v>
      </c>
      <c r="U2244" t="s">
        <v>22255</v>
      </c>
      <c r="V2244">
        <v>9</v>
      </c>
      <c r="AE2244" t="s">
        <v>144</v>
      </c>
      <c r="AF2244" t="s">
        <v>22256</v>
      </c>
      <c r="AG2244" t="s">
        <v>22257</v>
      </c>
      <c r="AK2244" t="str">
        <f>HYPERLINK("http://www.proteinatlas.org/Q96NU0","HPA015604;HPA047731")</f>
        <v>HPA015604;HPA047731</v>
      </c>
    </row>
    <row r="2245" spans="1:39" x14ac:dyDescent="0.35">
      <c r="A2245" t="s">
        <v>22258</v>
      </c>
      <c r="B2245" t="str">
        <f>HYPERLINK("http://www.uniprot.org/uniprot/Q96NY8","Q96NY8")</f>
        <v>Q96NY8</v>
      </c>
      <c r="C2245" t="s">
        <v>22259</v>
      </c>
      <c r="D2245" t="s">
        <v>22260</v>
      </c>
      <c r="E2245" t="s">
        <v>39</v>
      </c>
      <c r="F2245" t="s">
        <v>40</v>
      </c>
      <c r="H2245">
        <v>510</v>
      </c>
      <c r="I2245">
        <v>1</v>
      </c>
      <c r="J2245">
        <v>1</v>
      </c>
      <c r="K2245" t="s">
        <v>22261</v>
      </c>
      <c r="L2245" t="s">
        <v>57</v>
      </c>
      <c r="N2245">
        <v>0.93810000000000004</v>
      </c>
      <c r="O2245" s="1">
        <v>1</v>
      </c>
      <c r="P2245" t="s">
        <v>22262</v>
      </c>
      <c r="Q2245" t="s">
        <v>22263</v>
      </c>
      <c r="S2245" t="s">
        <v>166</v>
      </c>
      <c r="T2245" t="s">
        <v>5627</v>
      </c>
      <c r="U2245" t="s">
        <v>22264</v>
      </c>
      <c r="V2245">
        <v>1</v>
      </c>
      <c r="W2245" t="s">
        <v>22264</v>
      </c>
      <c r="X2245" t="s">
        <v>22265</v>
      </c>
      <c r="AE2245" t="s">
        <v>22266</v>
      </c>
      <c r="AF2245" t="s">
        <v>22267</v>
      </c>
      <c r="AG2245" t="s">
        <v>22268</v>
      </c>
      <c r="AH2245" t="str">
        <f>HYPERLINK("http://compartments.jensenlab.org/Entity?figures=subcell_cell_%&amp;knowledge=10&amp;textmining=10&amp;experiments=10&amp;predictions=10&amp;type1=9606&amp;type2=-22&amp;id1=ENSP00000356991","link")</f>
        <v>link</v>
      </c>
      <c r="AI2245" t="s">
        <v>1058</v>
      </c>
      <c r="AJ2245" t="s">
        <v>902</v>
      </c>
      <c r="AK2245" t="str">
        <f>HYPERLINK("http://www.proteinatlas.org/Q96NY8","HPA010775")</f>
        <v>HPA010775</v>
      </c>
      <c r="AM2245">
        <v>81607</v>
      </c>
    </row>
    <row r="2246" spans="1:39" x14ac:dyDescent="0.35">
      <c r="A2246" t="s">
        <v>22269</v>
      </c>
      <c r="B2246" t="str">
        <f>HYPERLINK("http://www.uniprot.org/uniprot/Q96P31","Q96P31")</f>
        <v>Q96P31</v>
      </c>
      <c r="C2246" t="s">
        <v>22270</v>
      </c>
      <c r="D2246" t="s">
        <v>22271</v>
      </c>
      <c r="E2246" t="s">
        <v>39</v>
      </c>
      <c r="F2246" t="s">
        <v>55</v>
      </c>
      <c r="H2246">
        <v>734</v>
      </c>
      <c r="I2246">
        <v>1</v>
      </c>
      <c r="J2246">
        <v>1</v>
      </c>
      <c r="K2246" t="s">
        <v>22272</v>
      </c>
      <c r="L2246" t="s">
        <v>101</v>
      </c>
      <c r="M2246" t="s">
        <v>39</v>
      </c>
      <c r="N2246">
        <v>0.93089999999999995</v>
      </c>
      <c r="O2246" s="1">
        <v>1</v>
      </c>
      <c r="P2246" t="s">
        <v>22273</v>
      </c>
      <c r="Q2246" t="s">
        <v>22274</v>
      </c>
      <c r="R2246" t="s">
        <v>22275</v>
      </c>
      <c r="S2246" t="s">
        <v>166</v>
      </c>
      <c r="T2246" t="s">
        <v>478</v>
      </c>
      <c r="U2246" t="s">
        <v>22276</v>
      </c>
      <c r="V2246">
        <v>8</v>
      </c>
      <c r="Z2246" t="s">
        <v>107</v>
      </c>
      <c r="AA2246">
        <v>1</v>
      </c>
      <c r="AB2246" t="s">
        <v>22277</v>
      </c>
      <c r="AC2246">
        <v>561</v>
      </c>
      <c r="AD2246" t="s">
        <v>22278</v>
      </c>
      <c r="AE2246" t="s">
        <v>332</v>
      </c>
      <c r="AF2246" t="s">
        <v>22121</v>
      </c>
      <c r="AG2246" t="s">
        <v>22279</v>
      </c>
      <c r="AH2246" t="str">
        <f>HYPERLINK("http://compartments.jensenlab.org/Entity?figures=subcell_cell_%&amp;knowledge=10&amp;textmining=10&amp;experiments=10&amp;predictions=10&amp;type1=9606&amp;type2=-22&amp;id1=ENSP00000357167","link")</f>
        <v>link</v>
      </c>
      <c r="AI2246" t="s">
        <v>65</v>
      </c>
      <c r="AJ2246" t="s">
        <v>51</v>
      </c>
      <c r="AK2246" t="str">
        <f>HYPERLINK("http://www.proteinatlas.org/Q96P31","HPA015508")</f>
        <v>HPA015508</v>
      </c>
      <c r="AM2246">
        <v>115352</v>
      </c>
    </row>
    <row r="2247" spans="1:39" x14ac:dyDescent="0.35">
      <c r="A2247" t="s">
        <v>22280</v>
      </c>
      <c r="B2247" t="str">
        <f>HYPERLINK("http://www.uniprot.org/uniprot/Q96P65","Q96P65")</f>
        <v>Q96P65</v>
      </c>
      <c r="C2247" t="s">
        <v>22281</v>
      </c>
      <c r="D2247" t="s">
        <v>22282</v>
      </c>
      <c r="E2247" t="s">
        <v>39</v>
      </c>
      <c r="F2247" t="s">
        <v>40</v>
      </c>
      <c r="H2247">
        <v>431</v>
      </c>
      <c r="I2247">
        <v>7</v>
      </c>
      <c r="J2247">
        <v>0</v>
      </c>
      <c r="K2247" t="s">
        <v>22283</v>
      </c>
      <c r="L2247" t="s">
        <v>57</v>
      </c>
      <c r="N2247">
        <v>0.87619999999999998</v>
      </c>
      <c r="O2247" s="1">
        <v>1</v>
      </c>
      <c r="P2247" t="s">
        <v>22284</v>
      </c>
      <c r="Q2247" t="s">
        <v>22285</v>
      </c>
      <c r="S2247" t="s">
        <v>166</v>
      </c>
      <c r="T2247" t="s">
        <v>838</v>
      </c>
      <c r="U2247" t="s">
        <v>22286</v>
      </c>
      <c r="V2247">
        <v>3</v>
      </c>
      <c r="AE2247" t="s">
        <v>74</v>
      </c>
      <c r="AF2247" t="s">
        <v>910</v>
      </c>
      <c r="AG2247" t="s">
        <v>22287</v>
      </c>
      <c r="AH2247" t="str">
        <f>HYPERLINK("http://compartments.jensenlab.org/Entity?figures=subcell_cell_%&amp;knowledge=10&amp;textmining=10&amp;experiments=10&amp;predictions=10&amp;type1=9606&amp;type2=-22&amp;id1=ENSP00000377948","link")</f>
        <v>link</v>
      </c>
      <c r="AK2247" t="str">
        <f>HYPERLINK("http://www.proteinatlas.org/Q96P65","HPA014300")</f>
        <v>HPA014300</v>
      </c>
      <c r="AM2247">
        <v>84109</v>
      </c>
    </row>
    <row r="2248" spans="1:39" x14ac:dyDescent="0.35">
      <c r="A2248" t="s">
        <v>22288</v>
      </c>
      <c r="B2248" t="str">
        <f>HYPERLINK("http://www.uniprot.org/uniprot/Q96P66","Q96P66")</f>
        <v>Q96P66</v>
      </c>
      <c r="C2248" t="s">
        <v>22289</v>
      </c>
      <c r="D2248" t="s">
        <v>22290</v>
      </c>
      <c r="E2248" t="s">
        <v>39</v>
      </c>
      <c r="F2248" t="s">
        <v>55</v>
      </c>
      <c r="H2248">
        <v>508</v>
      </c>
      <c r="I2248">
        <v>7</v>
      </c>
      <c r="J2248">
        <v>0</v>
      </c>
      <c r="K2248" t="s">
        <v>22291</v>
      </c>
      <c r="L2248" t="s">
        <v>57</v>
      </c>
      <c r="M2248" t="s">
        <v>39</v>
      </c>
      <c r="N2248">
        <v>0.86670000000000003</v>
      </c>
      <c r="O2248" s="1">
        <v>1</v>
      </c>
      <c r="P2248" t="s">
        <v>22292</v>
      </c>
      <c r="Q2248" t="s">
        <v>22293</v>
      </c>
      <c r="S2248" t="s">
        <v>166</v>
      </c>
      <c r="T2248" t="s">
        <v>838</v>
      </c>
      <c r="U2248" t="s">
        <v>22294</v>
      </c>
      <c r="V2248">
        <v>2</v>
      </c>
      <c r="AE2248" t="s">
        <v>74</v>
      </c>
      <c r="AF2248" t="s">
        <v>967</v>
      </c>
      <c r="AG2248" t="s">
        <v>22295</v>
      </c>
      <c r="AH2248" t="str">
        <f>HYPERLINK("http://compartments.jensenlab.org/Entity?figures=subcell_cell_%&amp;knowledge=10&amp;textmining=10&amp;experiments=10&amp;predictions=10&amp;type1=9606&amp;type2=-22&amp;id1=ENSP00000298110","link")</f>
        <v>link</v>
      </c>
      <c r="AI2248" t="s">
        <v>65</v>
      </c>
      <c r="AJ2248" t="s">
        <v>51</v>
      </c>
      <c r="AK2248" t="str">
        <f>HYPERLINK("http://www.proteinatlas.org/Q96P66","HPA001084")</f>
        <v>HPA001084</v>
      </c>
      <c r="AM2248">
        <v>83550</v>
      </c>
    </row>
    <row r="2249" spans="1:39" x14ac:dyDescent="0.35">
      <c r="A2249" t="s">
        <v>22296</v>
      </c>
      <c r="B2249" t="str">
        <f>HYPERLINK("http://www.uniprot.org/uniprot/Q96P67","Q96P67")</f>
        <v>Q96P67</v>
      </c>
      <c r="C2249" t="s">
        <v>22297</v>
      </c>
      <c r="D2249" t="s">
        <v>22298</v>
      </c>
      <c r="E2249" t="s">
        <v>39</v>
      </c>
      <c r="F2249" t="s">
        <v>55</v>
      </c>
      <c r="H2249">
        <v>336</v>
      </c>
      <c r="I2249">
        <v>6</v>
      </c>
      <c r="J2249">
        <v>0</v>
      </c>
      <c r="K2249" t="s">
        <v>22299</v>
      </c>
      <c r="L2249" t="s">
        <v>57</v>
      </c>
      <c r="M2249" t="s">
        <v>39</v>
      </c>
      <c r="N2249">
        <v>0.84899999999999998</v>
      </c>
      <c r="O2249" s="1">
        <v>1</v>
      </c>
      <c r="P2249" t="s">
        <v>22300</v>
      </c>
      <c r="Q2249" t="s">
        <v>22301</v>
      </c>
      <c r="S2249" t="s">
        <v>166</v>
      </c>
      <c r="T2249" t="s">
        <v>838</v>
      </c>
      <c r="U2249" t="s">
        <v>22302</v>
      </c>
      <c r="V2249">
        <v>2</v>
      </c>
      <c r="AE2249" t="s">
        <v>74</v>
      </c>
      <c r="AF2249" t="s">
        <v>13176</v>
      </c>
      <c r="AG2249" t="s">
        <v>22303</v>
      </c>
      <c r="AH2249" t="str">
        <f>HYPERLINK("http://compartments.jensenlab.org/Entity?figures=subcell_cell_%&amp;knowledge=10&amp;textmining=10&amp;experiments=10&amp;predictions=10&amp;type1=9606&amp;type2=-22&amp;id1=ENSP00000303549","link")</f>
        <v>link</v>
      </c>
      <c r="AI2249" t="s">
        <v>65</v>
      </c>
      <c r="AJ2249" t="s">
        <v>51</v>
      </c>
      <c r="AK2249" t="str">
        <f>HYPERLINK("http://www.proteinatlas.org/Q96P67","HPA035914")</f>
        <v>HPA035914</v>
      </c>
      <c r="AM2249">
        <v>27197</v>
      </c>
    </row>
    <row r="2250" spans="1:39" x14ac:dyDescent="0.35">
      <c r="A2250" t="s">
        <v>22304</v>
      </c>
      <c r="B2250" t="str">
        <f>HYPERLINK("http://www.uniprot.org/uniprot/Q96P68","Q96P68")</f>
        <v>Q96P68</v>
      </c>
      <c r="C2250" t="s">
        <v>22305</v>
      </c>
      <c r="D2250" t="s">
        <v>22306</v>
      </c>
      <c r="E2250" t="s">
        <v>39</v>
      </c>
      <c r="F2250" t="s">
        <v>55</v>
      </c>
      <c r="H2250">
        <v>337</v>
      </c>
      <c r="I2250">
        <v>7</v>
      </c>
      <c r="J2250">
        <v>0</v>
      </c>
      <c r="K2250" t="s">
        <v>22307</v>
      </c>
      <c r="L2250" t="s">
        <v>57</v>
      </c>
      <c r="M2250" t="s">
        <v>39</v>
      </c>
      <c r="N2250">
        <v>0.91279999999999994</v>
      </c>
      <c r="O2250" s="1">
        <v>1</v>
      </c>
      <c r="P2250" t="s">
        <v>22308</v>
      </c>
      <c r="Q2250" t="s">
        <v>22309</v>
      </c>
      <c r="S2250" t="s">
        <v>166</v>
      </c>
      <c r="T2250" t="s">
        <v>838</v>
      </c>
      <c r="U2250" t="s">
        <v>22310</v>
      </c>
      <c r="V2250">
        <v>4</v>
      </c>
      <c r="AE2250" t="s">
        <v>74</v>
      </c>
      <c r="AF2250" t="s">
        <v>1913</v>
      </c>
      <c r="AG2250" t="s">
        <v>22311</v>
      </c>
      <c r="AH2250" t="str">
        <f>HYPERLINK("http://compartments.jensenlab.org/Entity?figures=subcell_cell_%&amp;knowledge=10&amp;textmining=10&amp;experiments=10&amp;predictions=10&amp;type1=9606&amp;type2=-22&amp;id1=ENSP00000298440","link")</f>
        <v>link</v>
      </c>
      <c r="AI2250" t="s">
        <v>65</v>
      </c>
      <c r="AJ2250" t="s">
        <v>51</v>
      </c>
      <c r="AK2250" t="str">
        <f>HYPERLINK("http://www.proteinatlas.org/Q96P68","no")</f>
        <v>no</v>
      </c>
      <c r="AM2250">
        <v>27199</v>
      </c>
    </row>
    <row r="2251" spans="1:39" x14ac:dyDescent="0.35">
      <c r="A2251" t="s">
        <v>22312</v>
      </c>
      <c r="B2251" t="str">
        <f>HYPERLINK("http://www.uniprot.org/uniprot/Q96P69","Q96P69")</f>
        <v>Q96P69</v>
      </c>
      <c r="C2251" t="s">
        <v>22313</v>
      </c>
      <c r="D2251" t="s">
        <v>22314</v>
      </c>
      <c r="E2251" t="s">
        <v>39</v>
      </c>
      <c r="F2251" t="s">
        <v>55</v>
      </c>
      <c r="H2251">
        <v>363</v>
      </c>
      <c r="I2251">
        <v>7</v>
      </c>
      <c r="J2251">
        <v>0</v>
      </c>
      <c r="K2251" t="s">
        <v>22315</v>
      </c>
      <c r="L2251" t="s">
        <v>57</v>
      </c>
      <c r="M2251" t="s">
        <v>39</v>
      </c>
      <c r="N2251">
        <v>0.59179999999999999</v>
      </c>
      <c r="O2251" s="1">
        <v>2</v>
      </c>
      <c r="P2251" t="s">
        <v>22316</v>
      </c>
      <c r="Q2251" t="s">
        <v>22317</v>
      </c>
      <c r="S2251" t="s">
        <v>166</v>
      </c>
      <c r="T2251" t="s">
        <v>838</v>
      </c>
      <c r="U2251" t="s">
        <v>22318</v>
      </c>
      <c r="V2251">
        <v>0</v>
      </c>
      <c r="AE2251" t="s">
        <v>74</v>
      </c>
      <c r="AF2251" t="s">
        <v>10070</v>
      </c>
      <c r="AG2251" t="s">
        <v>22319</v>
      </c>
      <c r="AH2251" t="str">
        <f>HYPERLINK("http://compartments.jensenlab.org/Entity?figures=subcell_cell_%&amp;knowledge=10&amp;textmining=10&amp;experiments=10&amp;predictions=10&amp;type1=9606&amp;type2=-22&amp;id1=ENSP00000371927","link")</f>
        <v>link</v>
      </c>
      <c r="AI2251" t="s">
        <v>65</v>
      </c>
      <c r="AJ2251" t="s">
        <v>51</v>
      </c>
      <c r="AK2251" t="str">
        <f>HYPERLINK("http://www.proteinatlas.org/Q96P69","HPA013209")</f>
        <v>HPA013209</v>
      </c>
      <c r="AM2251">
        <v>27201</v>
      </c>
    </row>
    <row r="2252" spans="1:39" x14ac:dyDescent="0.35">
      <c r="A2252" t="s">
        <v>22320</v>
      </c>
      <c r="B2252" t="str">
        <f>HYPERLINK("http://www.uniprot.org/uniprot/Q96P88","Q96P88")</f>
        <v>Q96P88</v>
      </c>
      <c r="C2252" t="s">
        <v>22321</v>
      </c>
      <c r="D2252" t="s">
        <v>22322</v>
      </c>
      <c r="E2252" t="s">
        <v>39</v>
      </c>
      <c r="F2252" t="s">
        <v>55</v>
      </c>
      <c r="H2252">
        <v>292</v>
      </c>
      <c r="I2252">
        <v>5</v>
      </c>
      <c r="J2252">
        <v>0</v>
      </c>
      <c r="K2252" t="s">
        <v>22323</v>
      </c>
      <c r="L2252" t="s">
        <v>57</v>
      </c>
      <c r="M2252" t="s">
        <v>39</v>
      </c>
      <c r="N2252">
        <v>0.70050000000000001</v>
      </c>
      <c r="O2252" s="1">
        <v>2</v>
      </c>
      <c r="P2252" t="s">
        <v>22324</v>
      </c>
      <c r="Q2252" t="s">
        <v>22325</v>
      </c>
      <c r="S2252" t="s">
        <v>166</v>
      </c>
      <c r="T2252" t="s">
        <v>838</v>
      </c>
      <c r="U2252" t="s">
        <v>22326</v>
      </c>
      <c r="V2252">
        <v>2</v>
      </c>
      <c r="AE2252" t="s">
        <v>74</v>
      </c>
      <c r="AF2252" t="s">
        <v>22327</v>
      </c>
      <c r="AG2252" t="s">
        <v>22328</v>
      </c>
      <c r="AH2252" t="str">
        <f>HYPERLINK("http://compartments.jensenlab.org/Entity?figures=subcell_cell_%&amp;knowledge=10&amp;textmining=10&amp;experiments=10&amp;predictions=10&amp;type1=9606&amp;type2=-22&amp;id1=ENSP00000354569","link")</f>
        <v>link</v>
      </c>
      <c r="AI2252" t="s">
        <v>65</v>
      </c>
      <c r="AJ2252" t="s">
        <v>51</v>
      </c>
      <c r="AK2252" t="str">
        <f>HYPERLINK("http://www.proteinatlas.org/Q96P88","no")</f>
        <v>no</v>
      </c>
      <c r="AL2252" t="s">
        <v>22329</v>
      </c>
    </row>
    <row r="2253" spans="1:39" x14ac:dyDescent="0.35">
      <c r="A2253" t="s">
        <v>22330</v>
      </c>
      <c r="B2253" t="str">
        <f>HYPERLINK("http://www.uniprot.org/uniprot/Q96PB1","Q96PB1")</f>
        <v>Q96PB1</v>
      </c>
      <c r="C2253" t="s">
        <v>22331</v>
      </c>
      <c r="D2253" t="s">
        <v>22332</v>
      </c>
      <c r="E2253" t="s">
        <v>39</v>
      </c>
      <c r="F2253" t="s">
        <v>40</v>
      </c>
      <c r="H2253">
        <v>797</v>
      </c>
      <c r="I2253">
        <v>14</v>
      </c>
      <c r="J2253">
        <v>1</v>
      </c>
      <c r="K2253" t="s">
        <v>22333</v>
      </c>
      <c r="L2253" t="s">
        <v>118</v>
      </c>
      <c r="N2253">
        <v>0.63870000000000005</v>
      </c>
      <c r="O2253" s="1">
        <v>2</v>
      </c>
      <c r="P2253" t="s">
        <v>22334</v>
      </c>
      <c r="Q2253" t="s">
        <v>22335</v>
      </c>
      <c r="S2253" t="s">
        <v>60</v>
      </c>
      <c r="T2253" t="s">
        <v>60</v>
      </c>
      <c r="U2253" t="s">
        <v>22336</v>
      </c>
      <c r="V2253">
        <v>5</v>
      </c>
      <c r="Y2253" t="s">
        <v>22337</v>
      </c>
      <c r="Z2253" t="s">
        <v>107</v>
      </c>
      <c r="AA2253">
        <v>3</v>
      </c>
      <c r="AB2253" t="s">
        <v>22338</v>
      </c>
      <c r="AC2253" t="s">
        <v>22339</v>
      </c>
      <c r="AD2253" t="s">
        <v>22340</v>
      </c>
      <c r="AE2253" t="s">
        <v>48</v>
      </c>
      <c r="AF2253" t="s">
        <v>18363</v>
      </c>
      <c r="AG2253" t="s">
        <v>22341</v>
      </c>
      <c r="AH2253" t="str">
        <f>HYPERLINK("http://compartments.jensenlab.org/Entity?figures=subcell_cell_%&amp;knowledge=10&amp;textmining=10&amp;experiments=10&amp;predictions=10&amp;type1=9606&amp;type2=-22&amp;id1=ENSP00000297273","link")</f>
        <v>link</v>
      </c>
      <c r="AJ2253" t="s">
        <v>51</v>
      </c>
      <c r="AK2253" t="str">
        <f>HYPERLINK("http://www.proteinatlas.org/Q96PB1","HPA044404")</f>
        <v>HPA044404</v>
      </c>
      <c r="AM2253">
        <v>64921</v>
      </c>
    </row>
    <row r="2254" spans="1:39" x14ac:dyDescent="0.35">
      <c r="A2254" t="s">
        <v>22342</v>
      </c>
      <c r="B2254" t="str">
        <f>HYPERLINK("http://www.uniprot.org/uniprot/Q96PB8","Q96PB8")</f>
        <v>Q96PB8</v>
      </c>
      <c r="C2254" t="s">
        <v>22343</v>
      </c>
      <c r="D2254" t="s">
        <v>22344</v>
      </c>
      <c r="E2254" t="s">
        <v>39</v>
      </c>
      <c r="F2254" t="s">
        <v>40</v>
      </c>
      <c r="H2254">
        <v>259</v>
      </c>
      <c r="I2254">
        <v>1</v>
      </c>
      <c r="J2254">
        <v>1</v>
      </c>
      <c r="K2254" t="s">
        <v>22345</v>
      </c>
      <c r="L2254" t="s">
        <v>42</v>
      </c>
      <c r="N2254">
        <v>0.7964</v>
      </c>
      <c r="O2254" s="1">
        <v>1</v>
      </c>
      <c r="P2254" t="s">
        <v>22346</v>
      </c>
      <c r="Q2254" t="s">
        <v>22347</v>
      </c>
      <c r="S2254" t="s">
        <v>91</v>
      </c>
      <c r="T2254" t="s">
        <v>260</v>
      </c>
      <c r="U2254" t="s">
        <v>22348</v>
      </c>
      <c r="V2254">
        <v>2</v>
      </c>
      <c r="AE2254" t="s">
        <v>94</v>
      </c>
      <c r="AF2254" t="s">
        <v>571</v>
      </c>
      <c r="AG2254" t="s">
        <v>22349</v>
      </c>
      <c r="AH2254" t="str">
        <f>HYPERLINK("http://compartments.jensenlab.org/Entity?figures=subcell_cell_%&amp;knowledge=10&amp;textmining=10&amp;experiments=10&amp;predictions=10&amp;type1=9606&amp;type2=-22&amp;id1=ENSP00000379880","link")</f>
        <v>link</v>
      </c>
      <c r="AK2254" t="str">
        <f>HYPERLINK("http://www.proteinatlas.org/Q96PB8","HPA015568")</f>
        <v>HPA015568</v>
      </c>
      <c r="AM2254">
        <v>116135</v>
      </c>
    </row>
    <row r="2255" spans="1:39" x14ac:dyDescent="0.35">
      <c r="A2255" t="s">
        <v>22350</v>
      </c>
      <c r="B2255" t="str">
        <f>HYPERLINK("http://www.uniprot.org/uniprot/Q96PD2","Q96PD2")</f>
        <v>Q96PD2</v>
      </c>
      <c r="C2255" t="s">
        <v>22351</v>
      </c>
      <c r="D2255" t="s">
        <v>22352</v>
      </c>
      <c r="E2255" t="s">
        <v>39</v>
      </c>
      <c r="F2255" t="s">
        <v>55</v>
      </c>
      <c r="H2255">
        <v>775</v>
      </c>
      <c r="I2255">
        <v>1</v>
      </c>
      <c r="J2255">
        <v>1</v>
      </c>
      <c r="K2255" t="s">
        <v>22353</v>
      </c>
      <c r="L2255" t="s">
        <v>101</v>
      </c>
      <c r="M2255" t="s">
        <v>39</v>
      </c>
      <c r="N2255">
        <v>0.99439999999999995</v>
      </c>
      <c r="O2255" s="1">
        <v>1</v>
      </c>
      <c r="P2255" t="s">
        <v>22354</v>
      </c>
      <c r="Q2255" t="s">
        <v>22355</v>
      </c>
      <c r="S2255" t="s">
        <v>60</v>
      </c>
      <c r="T2255" t="s">
        <v>60</v>
      </c>
      <c r="U2255" t="s">
        <v>22356</v>
      </c>
      <c r="V2255">
        <v>6</v>
      </c>
      <c r="W2255" t="s">
        <v>22357</v>
      </c>
      <c r="Z2255" t="s">
        <v>107</v>
      </c>
      <c r="AA2255">
        <v>5</v>
      </c>
      <c r="AB2255" t="s">
        <v>22358</v>
      </c>
      <c r="AC2255" t="s">
        <v>22359</v>
      </c>
      <c r="AD2255" t="s">
        <v>22360</v>
      </c>
      <c r="AE2255" t="s">
        <v>144</v>
      </c>
      <c r="AF2255" t="s">
        <v>22361</v>
      </c>
      <c r="AG2255" t="s">
        <v>22362</v>
      </c>
      <c r="AH2255" t="str">
        <f>HYPERLINK("http://compartments.jensenlab.org/Entity?figures=subcell_cell_%&amp;knowledge=10&amp;textmining=10&amp;experiments=10&amp;predictions=10&amp;type1=9606&amp;type2=-22&amp;id1=ENSP00000321573","link")</f>
        <v>link</v>
      </c>
      <c r="AI2255" t="s">
        <v>65</v>
      </c>
      <c r="AJ2255" t="s">
        <v>51</v>
      </c>
      <c r="AK2255" t="str">
        <f>HYPERLINK("http://www.proteinatlas.org/Q96PD2","HPA016909")</f>
        <v>HPA016909</v>
      </c>
      <c r="AM2255">
        <v>131566</v>
      </c>
    </row>
    <row r="2256" spans="1:39" x14ac:dyDescent="0.35">
      <c r="A2256" t="s">
        <v>22363</v>
      </c>
      <c r="B2256" t="str">
        <f>HYPERLINK("http://www.uniprot.org/uniprot/Q96PE1","Q96PE1")</f>
        <v>Q96PE1</v>
      </c>
      <c r="C2256" t="s">
        <v>22364</v>
      </c>
      <c r="D2256" t="s">
        <v>22365</v>
      </c>
      <c r="E2256" t="s">
        <v>39</v>
      </c>
      <c r="F2256" t="s">
        <v>55</v>
      </c>
      <c r="H2256">
        <v>1338</v>
      </c>
      <c r="I2256">
        <v>7</v>
      </c>
      <c r="J2256">
        <v>1</v>
      </c>
      <c r="K2256" t="s">
        <v>22366</v>
      </c>
      <c r="L2256" t="s">
        <v>101</v>
      </c>
      <c r="M2256" t="s">
        <v>39</v>
      </c>
      <c r="N2256">
        <v>0.94410000000000005</v>
      </c>
      <c r="O2256" s="1">
        <v>1</v>
      </c>
      <c r="P2256" t="s">
        <v>22367</v>
      </c>
      <c r="Q2256" t="s">
        <v>22368</v>
      </c>
      <c r="S2256" t="s">
        <v>166</v>
      </c>
      <c r="T2256" t="s">
        <v>1149</v>
      </c>
      <c r="U2256" t="s">
        <v>22369</v>
      </c>
      <c r="V2256">
        <v>11</v>
      </c>
      <c r="Y2256">
        <v>918</v>
      </c>
      <c r="Z2256" t="s">
        <v>107</v>
      </c>
      <c r="AA2256">
        <v>5</v>
      </c>
      <c r="AB2256" t="s">
        <v>22370</v>
      </c>
      <c r="AC2256" t="s">
        <v>22371</v>
      </c>
      <c r="AD2256" t="s">
        <v>22372</v>
      </c>
      <c r="AE2256" t="s">
        <v>74</v>
      </c>
      <c r="AF2256" t="s">
        <v>22373</v>
      </c>
      <c r="AG2256" t="s">
        <v>22374</v>
      </c>
      <c r="AH2256" t="str">
        <f>HYPERLINK("http://compartments.jensenlab.org/Entity?figures=subcell_cell_%&amp;knowledge=10&amp;textmining=10&amp;experiments=10&amp;predictions=10&amp;type1=9606&amp;type2=-22&amp;id1=ENSP00000406367","link")</f>
        <v>link</v>
      </c>
      <c r="AI2256" t="s">
        <v>65</v>
      </c>
      <c r="AJ2256" t="s">
        <v>51</v>
      </c>
      <c r="AK2256" t="str">
        <f>HYPERLINK("http://www.proteinatlas.org/Q96PE1","HPA012393")</f>
        <v>HPA012393</v>
      </c>
      <c r="AM2256">
        <v>25960</v>
      </c>
    </row>
    <row r="2257" spans="1:39" x14ac:dyDescent="0.35">
      <c r="A2257" t="s">
        <v>22375</v>
      </c>
      <c r="B2257" t="str">
        <f>HYPERLINK("http://www.uniprot.org/uniprot/Q96PE5","Q96PE5")</f>
        <v>Q96PE5</v>
      </c>
      <c r="C2257" t="s">
        <v>22376</v>
      </c>
      <c r="D2257" t="s">
        <v>22377</v>
      </c>
      <c r="E2257" t="s">
        <v>39</v>
      </c>
      <c r="F2257" t="s">
        <v>40</v>
      </c>
      <c r="H2257">
        <v>141</v>
      </c>
      <c r="I2257">
        <v>1</v>
      </c>
      <c r="J2257">
        <v>0</v>
      </c>
      <c r="K2257" t="s">
        <v>22378</v>
      </c>
      <c r="L2257" t="s">
        <v>57</v>
      </c>
      <c r="N2257">
        <v>0.61480000000000001</v>
      </c>
      <c r="O2257" s="1">
        <v>2</v>
      </c>
      <c r="P2257" t="s">
        <v>22379</v>
      </c>
      <c r="Q2257" t="s">
        <v>22380</v>
      </c>
      <c r="S2257" t="s">
        <v>60</v>
      </c>
      <c r="T2257" t="s">
        <v>60</v>
      </c>
      <c r="U2257" t="s">
        <v>22381</v>
      </c>
      <c r="V2257">
        <v>2</v>
      </c>
      <c r="AE2257" t="s">
        <v>332</v>
      </c>
      <c r="AF2257" t="s">
        <v>22382</v>
      </c>
      <c r="AG2257" t="s">
        <v>22383</v>
      </c>
      <c r="AH2257" t="str">
        <f>HYPERLINK("http://compartments.jensenlab.org/Entity?figures=subcell_cell_%&amp;knowledge=10&amp;textmining=10&amp;experiments=10&amp;predictions=10&amp;type1=9606&amp;type2=-22&amp;id1=ENSP00000360214","link")</f>
        <v>link</v>
      </c>
      <c r="AI2257" t="s">
        <v>65</v>
      </c>
      <c r="AJ2257" t="s">
        <v>3228</v>
      </c>
      <c r="AK2257" t="str">
        <f>HYPERLINK("http://www.proteinatlas.org/Q96PE5","HPA014372")</f>
        <v>HPA014372</v>
      </c>
      <c r="AM2257">
        <v>93377</v>
      </c>
    </row>
    <row r="2258" spans="1:39" x14ac:dyDescent="0.35">
      <c r="A2258" t="s">
        <v>22384</v>
      </c>
      <c r="B2258" t="str">
        <f>HYPERLINK("http://www.uniprot.org/uniprot/Q96PJ5","Q96PJ5")</f>
        <v>Q96PJ5</v>
      </c>
      <c r="C2258" t="s">
        <v>22385</v>
      </c>
      <c r="D2258" t="s">
        <v>22386</v>
      </c>
      <c r="E2258" t="s">
        <v>39</v>
      </c>
      <c r="F2258" t="s">
        <v>40</v>
      </c>
      <c r="H2258">
        <v>515</v>
      </c>
      <c r="I2258">
        <v>1</v>
      </c>
      <c r="J2258">
        <v>1</v>
      </c>
      <c r="K2258" t="s">
        <v>22387</v>
      </c>
      <c r="L2258" t="s">
        <v>57</v>
      </c>
      <c r="N2258">
        <v>0.94010000000000005</v>
      </c>
      <c r="O2258" s="1">
        <v>1</v>
      </c>
      <c r="P2258" t="s">
        <v>22388</v>
      </c>
      <c r="Q2258" t="s">
        <v>22389</v>
      </c>
      <c r="R2258" t="s">
        <v>22390</v>
      </c>
      <c r="S2258" t="s">
        <v>60</v>
      </c>
      <c r="T2258" t="s">
        <v>60</v>
      </c>
      <c r="U2258" t="s">
        <v>22391</v>
      </c>
      <c r="V2258">
        <v>3</v>
      </c>
      <c r="AE2258" t="s">
        <v>332</v>
      </c>
      <c r="AF2258" t="s">
        <v>22392</v>
      </c>
      <c r="AG2258" t="s">
        <v>22393</v>
      </c>
      <c r="AH2258" t="str">
        <f>HYPERLINK("http://compartments.jensenlab.org/Entity?figures=subcell_cell_%&amp;knowledge=10&amp;textmining=10&amp;experiments=10&amp;predictions=10&amp;type1=9606&amp;type2=-22&amp;id1=ENSP00000271532","link")</f>
        <v>link</v>
      </c>
      <c r="AI2258" t="s">
        <v>65</v>
      </c>
      <c r="AJ2258" t="s">
        <v>51</v>
      </c>
      <c r="AK2258" t="str">
        <f>HYPERLINK("http://www.proteinatlas.org/Q96PJ5","HPA054030")</f>
        <v>HPA054030</v>
      </c>
      <c r="AM2258">
        <v>83417</v>
      </c>
    </row>
    <row r="2259" spans="1:39" x14ac:dyDescent="0.35">
      <c r="A2259" t="s">
        <v>22394</v>
      </c>
      <c r="B2259" t="str">
        <f>HYPERLINK("http://www.uniprot.org/uniprot/Q96PL2","Q96PL2")</f>
        <v>Q96PL2</v>
      </c>
      <c r="C2259" t="s">
        <v>22395</v>
      </c>
      <c r="D2259" t="s">
        <v>22396</v>
      </c>
      <c r="E2259" t="s">
        <v>39</v>
      </c>
      <c r="F2259" t="s">
        <v>239</v>
      </c>
      <c r="H2259">
        <v>329</v>
      </c>
      <c r="I2259">
        <v>0</v>
      </c>
      <c r="J2259">
        <v>1</v>
      </c>
      <c r="K2259" t="s">
        <v>22397</v>
      </c>
      <c r="L2259" t="s">
        <v>57</v>
      </c>
      <c r="N2259">
        <v>0.6986</v>
      </c>
      <c r="O2259" s="1" t="s">
        <v>241</v>
      </c>
      <c r="P2259" t="s">
        <v>22398</v>
      </c>
      <c r="Q2259" t="s">
        <v>22399</v>
      </c>
      <c r="U2259" t="s">
        <v>22400</v>
      </c>
      <c r="V2259">
        <v>4</v>
      </c>
      <c r="W2259" t="s">
        <v>22400</v>
      </c>
      <c r="AE2259" t="s">
        <v>2699</v>
      </c>
      <c r="AF2259" t="s">
        <v>22401</v>
      </c>
      <c r="AG2259" t="s">
        <v>22402</v>
      </c>
      <c r="AH2259" t="str">
        <f>HYPERLINK("http://compartments.jensenlab.org/Entity?figures=subcell_cell_%&amp;knowledge=10&amp;textmining=10&amp;experiments=10&amp;predictions=10&amp;type1=9606&amp;type2=-22&amp;id1=ENSP00000358430","link")</f>
        <v>link</v>
      </c>
      <c r="AI2259" t="s">
        <v>1058</v>
      </c>
      <c r="AJ2259" t="s">
        <v>902</v>
      </c>
      <c r="AK2259" t="str">
        <f>HYPERLINK("http://www.proteinatlas.org/Q96PL2","no")</f>
        <v>no</v>
      </c>
      <c r="AM2259">
        <v>6975</v>
      </c>
    </row>
    <row r="2260" spans="1:39" x14ac:dyDescent="0.35">
      <c r="A2260" t="s">
        <v>22403</v>
      </c>
      <c r="B2260" t="str">
        <f>HYPERLINK("http://www.uniprot.org/uniprot/Q96PL5","Q96PL5")</f>
        <v>Q96PL5</v>
      </c>
      <c r="C2260" t="s">
        <v>22404</v>
      </c>
      <c r="D2260" t="s">
        <v>22405</v>
      </c>
      <c r="E2260" t="s">
        <v>39</v>
      </c>
      <c r="F2260" t="s">
        <v>40</v>
      </c>
      <c r="H2260">
        <v>475</v>
      </c>
      <c r="I2260">
        <v>1</v>
      </c>
      <c r="J2260">
        <v>1</v>
      </c>
      <c r="K2260" t="s">
        <v>22406</v>
      </c>
      <c r="L2260" t="s">
        <v>57</v>
      </c>
      <c r="N2260">
        <v>0.81440000000000001</v>
      </c>
      <c r="O2260" s="1">
        <v>1</v>
      </c>
      <c r="P2260" t="s">
        <v>22407</v>
      </c>
      <c r="Q2260" t="s">
        <v>22408</v>
      </c>
      <c r="S2260" t="s">
        <v>91</v>
      </c>
      <c r="T2260" t="s">
        <v>1012</v>
      </c>
      <c r="U2260" t="s">
        <v>22409</v>
      </c>
      <c r="V2260">
        <v>1</v>
      </c>
      <c r="AE2260" t="s">
        <v>2994</v>
      </c>
      <c r="AF2260" t="s">
        <v>22410</v>
      </c>
      <c r="AG2260" t="s">
        <v>22411</v>
      </c>
      <c r="AH2260" t="str">
        <f>HYPERLINK("http://compartments.jensenlab.org/Entity?figures=subcell_cell_%&amp;knowledge=10&amp;textmining=10&amp;experiments=10&amp;predictions=10&amp;type1=9606&amp;type2=-22&amp;id1=ENSP00000361592","link")</f>
        <v>link</v>
      </c>
      <c r="AI2260" t="s">
        <v>65</v>
      </c>
      <c r="AJ2260" t="s">
        <v>2124</v>
      </c>
      <c r="AK2260" t="str">
        <f>HYPERLINK("http://www.proteinatlas.org/Q96PL5","HPA042573")</f>
        <v>HPA042573</v>
      </c>
      <c r="AM2260">
        <v>114625</v>
      </c>
    </row>
    <row r="2261" spans="1:39" x14ac:dyDescent="0.35">
      <c r="A2261" t="s">
        <v>22412</v>
      </c>
      <c r="B2261" t="str">
        <f>HYPERLINK("http://www.uniprot.org/uniprot/Q96PQ0","Q96PQ0")</f>
        <v>Q96PQ0</v>
      </c>
      <c r="C2261" t="s">
        <v>22413</v>
      </c>
      <c r="D2261" t="s">
        <v>22414</v>
      </c>
      <c r="E2261" t="s">
        <v>39</v>
      </c>
      <c r="F2261" t="s">
        <v>40</v>
      </c>
      <c r="H2261">
        <v>1159</v>
      </c>
      <c r="I2261">
        <v>1</v>
      </c>
      <c r="J2261">
        <v>1</v>
      </c>
      <c r="K2261" t="s">
        <v>22415</v>
      </c>
      <c r="L2261" t="s">
        <v>101</v>
      </c>
      <c r="N2261">
        <v>0.86229999999999996</v>
      </c>
      <c r="O2261" s="1">
        <v>1</v>
      </c>
      <c r="P2261" t="s">
        <v>22416</v>
      </c>
      <c r="Q2261" t="s">
        <v>22417</v>
      </c>
      <c r="S2261" t="s">
        <v>166</v>
      </c>
      <c r="T2261" t="s">
        <v>21189</v>
      </c>
      <c r="U2261" t="s">
        <v>22418</v>
      </c>
      <c r="V2261">
        <v>7</v>
      </c>
      <c r="Z2261" t="s">
        <v>107</v>
      </c>
      <c r="AA2261">
        <v>2</v>
      </c>
      <c r="AB2261" t="s">
        <v>22419</v>
      </c>
      <c r="AC2261" t="s">
        <v>22420</v>
      </c>
      <c r="AD2261" t="s">
        <v>22421</v>
      </c>
      <c r="AE2261" t="s">
        <v>144</v>
      </c>
      <c r="AF2261" t="s">
        <v>22422</v>
      </c>
      <c r="AG2261" t="s">
        <v>22423</v>
      </c>
      <c r="AH2261" t="str">
        <f>HYPERLINK("http://compartments.jensenlab.org/Entity?figures=subcell_cell_%&amp;knowledge=10&amp;textmining=10&amp;experiments=10&amp;predictions=10&amp;type1=9606&amp;type2=-22&amp;id1=ENSP00000422185","link")</f>
        <v>link</v>
      </c>
      <c r="AK2261" t="str">
        <f>HYPERLINK("http://www.proteinatlas.org/Q96PQ0","no")</f>
        <v>no</v>
      </c>
      <c r="AM2261">
        <v>57537</v>
      </c>
    </row>
    <row r="2262" spans="1:39" x14ac:dyDescent="0.35">
      <c r="A2262" t="s">
        <v>22424</v>
      </c>
      <c r="B2262" t="str">
        <f>HYPERLINK("http://www.uniprot.org/uniprot/Q96PQ1","Q96PQ1")</f>
        <v>Q96PQ1</v>
      </c>
      <c r="C2262" t="s">
        <v>22425</v>
      </c>
      <c r="D2262" t="s">
        <v>22426</v>
      </c>
      <c r="E2262" t="s">
        <v>39</v>
      </c>
      <c r="F2262" t="s">
        <v>40</v>
      </c>
      <c r="H2262">
        <v>595</v>
      </c>
      <c r="I2262">
        <v>1</v>
      </c>
      <c r="J2262">
        <v>1</v>
      </c>
      <c r="K2262" t="s">
        <v>22427</v>
      </c>
      <c r="L2262" t="s">
        <v>101</v>
      </c>
      <c r="N2262">
        <v>0.96809999999999996</v>
      </c>
      <c r="O2262" s="1">
        <v>1</v>
      </c>
      <c r="P2262" t="s">
        <v>22428</v>
      </c>
      <c r="Q2262" t="s">
        <v>22429</v>
      </c>
      <c r="S2262" t="s">
        <v>91</v>
      </c>
      <c r="T2262" t="s">
        <v>555</v>
      </c>
      <c r="U2262" t="s">
        <v>22430</v>
      </c>
      <c r="V2262">
        <v>7</v>
      </c>
      <c r="Z2262" t="s">
        <v>107</v>
      </c>
      <c r="AA2262">
        <v>1</v>
      </c>
      <c r="AB2262" t="s">
        <v>22431</v>
      </c>
      <c r="AC2262">
        <v>230</v>
      </c>
      <c r="AD2262" t="s">
        <v>22432</v>
      </c>
      <c r="AE2262" t="s">
        <v>144</v>
      </c>
      <c r="AF2262" t="s">
        <v>22433</v>
      </c>
      <c r="AG2262" t="s">
        <v>22434</v>
      </c>
      <c r="AH2262" t="str">
        <f>HYPERLINK("http://compartments.jensenlab.org/Entity?figures=subcell_cell_%&amp;knowledge=10&amp;textmining=10&amp;experiments=10&amp;predictions=10&amp;type1=9606&amp;type2=-22&amp;id1=ENSP00000291707","link")</f>
        <v>link</v>
      </c>
      <c r="AK2262" t="str">
        <f>HYPERLINK("http://www.proteinatlas.org/Q96PQ1","no")</f>
        <v>no</v>
      </c>
      <c r="AM2262">
        <v>89858</v>
      </c>
    </row>
    <row r="2263" spans="1:39" x14ac:dyDescent="0.35">
      <c r="A2263" t="s">
        <v>22435</v>
      </c>
      <c r="B2263" t="str">
        <f>HYPERLINK("http://www.uniprot.org/uniprot/Q96PS8","Q96PS8")</f>
        <v>Q96PS8</v>
      </c>
      <c r="C2263" t="s">
        <v>22436</v>
      </c>
      <c r="D2263" t="s">
        <v>22437</v>
      </c>
      <c r="E2263" t="s">
        <v>39</v>
      </c>
      <c r="F2263" t="s">
        <v>40</v>
      </c>
      <c r="H2263">
        <v>301</v>
      </c>
      <c r="I2263">
        <v>5</v>
      </c>
      <c r="J2263">
        <v>0</v>
      </c>
      <c r="K2263" t="s">
        <v>22438</v>
      </c>
      <c r="L2263" t="s">
        <v>57</v>
      </c>
      <c r="N2263">
        <v>0.64070000000000005</v>
      </c>
      <c r="O2263" s="1">
        <v>2</v>
      </c>
      <c r="P2263" t="s">
        <v>22439</v>
      </c>
      <c r="Q2263" t="s">
        <v>22440</v>
      </c>
      <c r="S2263" t="s">
        <v>45</v>
      </c>
      <c r="T2263" t="s">
        <v>1798</v>
      </c>
      <c r="U2263" t="s">
        <v>22441</v>
      </c>
      <c r="V2263">
        <v>2</v>
      </c>
      <c r="AE2263" t="s">
        <v>48</v>
      </c>
      <c r="AF2263" t="s">
        <v>22442</v>
      </c>
      <c r="AG2263" t="s">
        <v>22443</v>
      </c>
      <c r="AH2263" t="str">
        <f>HYPERLINK("http://compartments.jensenlab.org/Entity?figures=subcell_cell_%&amp;knowledge=10&amp;textmining=10&amp;experiments=10&amp;predictions=10&amp;type1=9606&amp;type2=-22&amp;id1=ENSP00000318355","link")</f>
        <v>link</v>
      </c>
      <c r="AJ2263" t="s">
        <v>51</v>
      </c>
      <c r="AK2263" t="str">
        <f>HYPERLINK("http://www.proteinatlas.org/Q96PS8","no")</f>
        <v>no</v>
      </c>
      <c r="AM2263">
        <v>89872</v>
      </c>
    </row>
    <row r="2264" spans="1:39" x14ac:dyDescent="0.35">
      <c r="A2264" t="s">
        <v>22444</v>
      </c>
      <c r="B2264" t="str">
        <f>HYPERLINK("http://www.uniprot.org/uniprot/Q96PX8","Q96PX8")</f>
        <v>Q96PX8</v>
      </c>
      <c r="C2264" t="s">
        <v>22445</v>
      </c>
      <c r="D2264" t="s">
        <v>22446</v>
      </c>
      <c r="E2264" t="s">
        <v>39</v>
      </c>
      <c r="F2264" t="s">
        <v>40</v>
      </c>
      <c r="H2264">
        <v>696</v>
      </c>
      <c r="I2264">
        <v>1</v>
      </c>
      <c r="J2264">
        <v>1</v>
      </c>
      <c r="K2264" t="s">
        <v>22447</v>
      </c>
      <c r="L2264" t="s">
        <v>57</v>
      </c>
      <c r="N2264">
        <v>0.93810000000000004</v>
      </c>
      <c r="O2264" s="1">
        <v>1</v>
      </c>
      <c r="S2264" t="s">
        <v>91</v>
      </c>
      <c r="T2264" t="s">
        <v>260</v>
      </c>
      <c r="U2264" t="s">
        <v>22448</v>
      </c>
      <c r="V2264">
        <v>4</v>
      </c>
      <c r="AE2264" t="s">
        <v>144</v>
      </c>
      <c r="AF2264" t="s">
        <v>22449</v>
      </c>
      <c r="AG2264" t="s">
        <v>22450</v>
      </c>
      <c r="AK2264" t="str">
        <f>HYPERLINK("http://www.proteinatlas.org/Q96PX8","no")</f>
        <v>no</v>
      </c>
      <c r="AM2264">
        <v>114798</v>
      </c>
    </row>
    <row r="2265" spans="1:39" x14ac:dyDescent="0.35">
      <c r="A2265" t="s">
        <v>22451</v>
      </c>
      <c r="B2265" t="str">
        <f>HYPERLINK("http://www.uniprot.org/uniprot/Q96PZ7","Q96PZ7")</f>
        <v>Q96PZ7</v>
      </c>
      <c r="C2265" t="s">
        <v>22452</v>
      </c>
      <c r="D2265" t="s">
        <v>22453</v>
      </c>
      <c r="E2265" t="s">
        <v>39</v>
      </c>
      <c r="F2265" t="s">
        <v>40</v>
      </c>
      <c r="H2265">
        <v>3565</v>
      </c>
      <c r="I2265">
        <v>1</v>
      </c>
      <c r="J2265">
        <v>1</v>
      </c>
      <c r="K2265" t="s">
        <v>22454</v>
      </c>
      <c r="L2265" t="s">
        <v>57</v>
      </c>
      <c r="N2265">
        <v>0.90620000000000001</v>
      </c>
      <c r="O2265" s="1">
        <v>1</v>
      </c>
      <c r="S2265" t="s">
        <v>91</v>
      </c>
      <c r="T2265" t="s">
        <v>16521</v>
      </c>
      <c r="U2265" t="s">
        <v>22455</v>
      </c>
      <c r="V2265">
        <v>40</v>
      </c>
      <c r="AE2265" t="s">
        <v>144</v>
      </c>
      <c r="AF2265" t="s">
        <v>22456</v>
      </c>
      <c r="AG2265" t="s">
        <v>22457</v>
      </c>
      <c r="AK2265" t="str">
        <f>HYPERLINK("http://www.proteinatlas.org/Q96PZ7","no")</f>
        <v>no</v>
      </c>
      <c r="AM2265">
        <v>64478</v>
      </c>
    </row>
    <row r="2266" spans="1:39" x14ac:dyDescent="0.35">
      <c r="A2266" t="s">
        <v>22458</v>
      </c>
      <c r="B2266" t="str">
        <f>HYPERLINK("http://www.uniprot.org/uniprot/Q96QD8","Q96QD8")</f>
        <v>Q96QD8</v>
      </c>
      <c r="C2266" t="s">
        <v>22459</v>
      </c>
      <c r="D2266" t="s">
        <v>22460</v>
      </c>
      <c r="E2266" t="s">
        <v>39</v>
      </c>
      <c r="F2266" t="s">
        <v>40</v>
      </c>
      <c r="H2266">
        <v>506</v>
      </c>
      <c r="I2266">
        <v>11</v>
      </c>
      <c r="J2266">
        <v>0</v>
      </c>
      <c r="K2266" t="s">
        <v>22461</v>
      </c>
      <c r="L2266" t="s">
        <v>57</v>
      </c>
      <c r="N2266">
        <v>0.83830000000000005</v>
      </c>
      <c r="O2266" s="1">
        <v>1</v>
      </c>
      <c r="P2266" t="s">
        <v>22462</v>
      </c>
      <c r="Q2266" t="s">
        <v>22463</v>
      </c>
      <c r="S2266" t="s">
        <v>45</v>
      </c>
      <c r="T2266" t="s">
        <v>598</v>
      </c>
      <c r="U2266" t="s">
        <v>22464</v>
      </c>
      <c r="V2266">
        <v>4</v>
      </c>
      <c r="AE2266" t="s">
        <v>74</v>
      </c>
      <c r="AF2266" t="s">
        <v>22465</v>
      </c>
      <c r="AG2266" t="s">
        <v>22466</v>
      </c>
      <c r="AH2266" t="str">
        <f>HYPERLINK("http://compartments.jensenlab.org/Entity?figures=subcell_cell_%&amp;knowledge=10&amp;textmining=10&amp;experiments=10&amp;predictions=10&amp;type1=9606&amp;type2=-22&amp;id1=ENSP00000256689","link")</f>
        <v>link</v>
      </c>
      <c r="AI2266" t="s">
        <v>65</v>
      </c>
      <c r="AJ2266" t="s">
        <v>51</v>
      </c>
      <c r="AK2266" t="str">
        <f>HYPERLINK("http://www.proteinatlas.org/Q96QD8","HPA035180")</f>
        <v>HPA035180</v>
      </c>
      <c r="AM2266">
        <v>54407</v>
      </c>
    </row>
    <row r="2267" spans="1:39" x14ac:dyDescent="0.35">
      <c r="A2267" t="s">
        <v>22467</v>
      </c>
      <c r="B2267" t="str">
        <f>HYPERLINK("http://www.uniprot.org/uniprot/Q96QE2","Q96QE2")</f>
        <v>Q96QE2</v>
      </c>
      <c r="C2267" t="s">
        <v>22468</v>
      </c>
      <c r="D2267" t="s">
        <v>22469</v>
      </c>
      <c r="E2267" t="s">
        <v>39</v>
      </c>
      <c r="F2267" t="s">
        <v>40</v>
      </c>
      <c r="H2267">
        <v>648</v>
      </c>
      <c r="I2267">
        <v>12</v>
      </c>
      <c r="J2267">
        <v>0</v>
      </c>
      <c r="K2267" t="s">
        <v>22470</v>
      </c>
      <c r="L2267" t="s">
        <v>101</v>
      </c>
      <c r="N2267">
        <v>0.89019999999999999</v>
      </c>
      <c r="O2267" s="1">
        <v>1</v>
      </c>
      <c r="P2267" t="s">
        <v>22471</v>
      </c>
      <c r="Q2267" t="s">
        <v>22472</v>
      </c>
      <c r="S2267" t="s">
        <v>45</v>
      </c>
      <c r="T2267" t="s">
        <v>3338</v>
      </c>
      <c r="U2267" t="s">
        <v>22473</v>
      </c>
      <c r="V2267">
        <v>3</v>
      </c>
      <c r="Z2267" t="s">
        <v>123</v>
      </c>
      <c r="AA2267">
        <v>2</v>
      </c>
      <c r="AB2267" t="s">
        <v>22474</v>
      </c>
      <c r="AC2267">
        <v>433</v>
      </c>
      <c r="AD2267" t="s">
        <v>22475</v>
      </c>
      <c r="AE2267" t="s">
        <v>48</v>
      </c>
      <c r="AF2267" t="s">
        <v>22476</v>
      </c>
      <c r="AG2267" t="s">
        <v>22477</v>
      </c>
      <c r="AH2267" t="str">
        <f>HYPERLINK("http://compartments.jensenlab.org/Entity?figures=subcell_cell_%&amp;knowledge=10&amp;textmining=10&amp;experiments=10&amp;predictions=10&amp;type1=9606&amp;type2=-22&amp;id1=ENSP00000280871","link")</f>
        <v>link</v>
      </c>
      <c r="AJ2267" t="s">
        <v>51</v>
      </c>
      <c r="AK2267" t="str">
        <f>HYPERLINK("http://www.proteinatlas.org/Q96QE2","HPA006584")</f>
        <v>HPA006584</v>
      </c>
      <c r="AM2267">
        <v>114134</v>
      </c>
    </row>
    <row r="2268" spans="1:39" x14ac:dyDescent="0.35">
      <c r="A2268" t="s">
        <v>22478</v>
      </c>
      <c r="B2268" t="str">
        <f>HYPERLINK("http://www.uniprot.org/uniprot/Q96QE4","Q96QE4")</f>
        <v>Q96QE4</v>
      </c>
      <c r="C2268" t="s">
        <v>22479</v>
      </c>
      <c r="D2268" t="s">
        <v>22480</v>
      </c>
      <c r="E2268" t="s">
        <v>39</v>
      </c>
      <c r="F2268" t="s">
        <v>40</v>
      </c>
      <c r="H2268">
        <v>947</v>
      </c>
      <c r="I2268">
        <v>1</v>
      </c>
      <c r="J2268">
        <v>1</v>
      </c>
      <c r="K2268" t="s">
        <v>22481</v>
      </c>
      <c r="L2268" t="s">
        <v>57</v>
      </c>
      <c r="N2268">
        <v>0.5988</v>
      </c>
      <c r="O2268" s="1">
        <v>2</v>
      </c>
      <c r="P2268" t="s">
        <v>22482</v>
      </c>
      <c r="Q2268" t="s">
        <v>22483</v>
      </c>
      <c r="S2268" t="s">
        <v>91</v>
      </c>
      <c r="T2268" t="s">
        <v>527</v>
      </c>
      <c r="U2268" t="s">
        <v>22484</v>
      </c>
      <c r="V2268">
        <v>2</v>
      </c>
      <c r="Y2268">
        <v>7</v>
      </c>
      <c r="AE2268" t="s">
        <v>144</v>
      </c>
      <c r="AF2268" t="s">
        <v>22485</v>
      </c>
      <c r="AG2268" t="s">
        <v>22486</v>
      </c>
      <c r="AH2268" t="str">
        <f>HYPERLINK("http://compartments.jensenlab.org/Entity?figures=subcell_cell_%&amp;knowledge=10&amp;textmining=10&amp;experiments=10&amp;predictions=10&amp;type1=9606&amp;type2=-22&amp;id1=ENSP00000340519","link")</f>
        <v>link</v>
      </c>
      <c r="AJ2268" t="s">
        <v>2124</v>
      </c>
      <c r="AK2268" t="str">
        <f>HYPERLINK("http://www.proteinatlas.org/Q96QE4","HPA015134;HPA015135")</f>
        <v>HPA015134;HPA015135</v>
      </c>
      <c r="AM2268">
        <v>114659</v>
      </c>
    </row>
    <row r="2269" spans="1:39" x14ac:dyDescent="0.35">
      <c r="A2269" t="s">
        <v>22487</v>
      </c>
      <c r="B2269" t="str">
        <f>HYPERLINK("http://www.uniprot.org/uniprot/Q96QU1","Q96QU1")</f>
        <v>Q96QU1</v>
      </c>
      <c r="C2269" t="s">
        <v>22488</v>
      </c>
      <c r="D2269" t="s">
        <v>22489</v>
      </c>
      <c r="E2269" t="s">
        <v>39</v>
      </c>
      <c r="F2269" t="s">
        <v>55</v>
      </c>
      <c r="H2269">
        <v>1955</v>
      </c>
      <c r="I2269">
        <v>1</v>
      </c>
      <c r="J2269">
        <v>1</v>
      </c>
      <c r="K2269" t="s">
        <v>22490</v>
      </c>
      <c r="L2269" t="s">
        <v>101</v>
      </c>
      <c r="M2269" t="s">
        <v>39</v>
      </c>
      <c r="N2269">
        <v>0.94889999999999997</v>
      </c>
      <c r="O2269" s="1">
        <v>1</v>
      </c>
      <c r="P2269" t="s">
        <v>22491</v>
      </c>
      <c r="Q2269" t="s">
        <v>22492</v>
      </c>
      <c r="S2269" t="s">
        <v>91</v>
      </c>
      <c r="T2269" t="s">
        <v>216</v>
      </c>
      <c r="U2269" t="s">
        <v>22493</v>
      </c>
      <c r="V2269">
        <v>15</v>
      </c>
      <c r="W2269" t="s">
        <v>22493</v>
      </c>
      <c r="Z2269" t="s">
        <v>107</v>
      </c>
      <c r="AA2269">
        <v>1</v>
      </c>
      <c r="AB2269" t="s">
        <v>22494</v>
      </c>
      <c r="AC2269">
        <v>724</v>
      </c>
      <c r="AD2269" t="s">
        <v>22495</v>
      </c>
      <c r="AE2269" t="s">
        <v>1250</v>
      </c>
      <c r="AF2269" t="s">
        <v>22496</v>
      </c>
      <c r="AG2269" t="s">
        <v>22497</v>
      </c>
      <c r="AH2269" t="str">
        <f>HYPERLINK("http://compartments.jensenlab.org/Entity?figures=subcell_cell_%&amp;knowledge=10&amp;textmining=10&amp;experiments=10&amp;predictions=10&amp;type1=9606&amp;type2=-22&amp;id1=ENSP00000322604","link")</f>
        <v>link</v>
      </c>
      <c r="AK2269" t="str">
        <f>HYPERLINK("http://www.proteinatlas.org/Q96QU1","no")</f>
        <v>no</v>
      </c>
      <c r="AM2269">
        <v>65217</v>
      </c>
    </row>
    <row r="2270" spans="1:39" x14ac:dyDescent="0.35">
      <c r="A2270" t="s">
        <v>22498</v>
      </c>
      <c r="B2270" t="str">
        <f>HYPERLINK("http://www.uniprot.org/uniprot/Q96R08","Q96R08")</f>
        <v>Q96R08</v>
      </c>
      <c r="C2270" t="s">
        <v>22499</v>
      </c>
      <c r="D2270" t="s">
        <v>22500</v>
      </c>
      <c r="E2270" t="s">
        <v>39</v>
      </c>
      <c r="F2270" t="s">
        <v>55</v>
      </c>
      <c r="H2270">
        <v>314</v>
      </c>
      <c r="I2270">
        <v>7</v>
      </c>
      <c r="J2270">
        <v>0</v>
      </c>
      <c r="K2270" t="s">
        <v>22501</v>
      </c>
      <c r="L2270" t="s">
        <v>57</v>
      </c>
      <c r="M2270" t="s">
        <v>39</v>
      </c>
      <c r="N2270">
        <v>0.98850000000000005</v>
      </c>
      <c r="O2270" s="1">
        <v>1</v>
      </c>
      <c r="P2270" t="s">
        <v>22502</v>
      </c>
      <c r="Q2270" t="s">
        <v>22503</v>
      </c>
      <c r="S2270" t="s">
        <v>166</v>
      </c>
      <c r="T2270" t="s">
        <v>167</v>
      </c>
      <c r="U2270" t="s">
        <v>22504</v>
      </c>
      <c r="V2270">
        <v>2</v>
      </c>
      <c r="AE2270" t="s">
        <v>74</v>
      </c>
      <c r="AF2270" t="s">
        <v>169</v>
      </c>
      <c r="AG2270" t="s">
        <v>22505</v>
      </c>
      <c r="AH2270" t="str">
        <f>HYPERLINK("http://compartments.jensenlab.org/Entity?figures=subcell_cell_%&amp;knowledge=10&amp;textmining=10&amp;experiments=10&amp;predictions=10&amp;type1=9606&amp;type2=-22&amp;id1=ENSP00000306657","link")</f>
        <v>link</v>
      </c>
      <c r="AI2270" t="s">
        <v>65</v>
      </c>
      <c r="AJ2270" t="s">
        <v>51</v>
      </c>
      <c r="AK2270" t="str">
        <f>HYPERLINK("http://www.proteinatlas.org/Q96R08","no")</f>
        <v>no</v>
      </c>
      <c r="AM2270">
        <v>390191</v>
      </c>
    </row>
    <row r="2271" spans="1:39" x14ac:dyDescent="0.35">
      <c r="A2271" t="s">
        <v>22506</v>
      </c>
      <c r="B2271" t="str">
        <f>HYPERLINK("http://www.uniprot.org/uniprot/Q96R09","Q96R09")</f>
        <v>Q96R09</v>
      </c>
      <c r="C2271" t="s">
        <v>22507</v>
      </c>
      <c r="D2271" t="s">
        <v>22508</v>
      </c>
      <c r="E2271" t="s">
        <v>39</v>
      </c>
      <c r="F2271" t="s">
        <v>55</v>
      </c>
      <c r="H2271">
        <v>309</v>
      </c>
      <c r="I2271">
        <v>7</v>
      </c>
      <c r="J2271">
        <v>0</v>
      </c>
      <c r="K2271" t="s">
        <v>22509</v>
      </c>
      <c r="L2271" t="s">
        <v>57</v>
      </c>
      <c r="N2271">
        <v>0.97009999999999996</v>
      </c>
      <c r="O2271" s="1">
        <v>1</v>
      </c>
      <c r="P2271" t="s">
        <v>22510</v>
      </c>
      <c r="Q2271" t="s">
        <v>22511</v>
      </c>
      <c r="S2271" t="s">
        <v>166</v>
      </c>
      <c r="T2271" t="s">
        <v>167</v>
      </c>
      <c r="U2271" t="s">
        <v>18962</v>
      </c>
      <c r="V2271">
        <v>1</v>
      </c>
      <c r="AE2271" t="s">
        <v>74</v>
      </c>
      <c r="AF2271" t="s">
        <v>169</v>
      </c>
      <c r="AG2271" t="s">
        <v>22512</v>
      </c>
      <c r="AH2271" t="str">
        <f>HYPERLINK("http://compartments.jensenlab.org/Entity?figures=subcell_cell_%&amp;knowledge=10&amp;textmining=10&amp;experiments=10&amp;predictions=10&amp;type1=9606&amp;type2=-22&amp;id1=ENSP00000303076","link")</f>
        <v>link</v>
      </c>
      <c r="AI2271" t="s">
        <v>65</v>
      </c>
      <c r="AJ2271" t="s">
        <v>51</v>
      </c>
      <c r="AK2271" t="str">
        <f>HYPERLINK("http://www.proteinatlas.org/Q96R09","no")</f>
        <v>no</v>
      </c>
      <c r="AM2271">
        <v>390190</v>
      </c>
    </row>
    <row r="2272" spans="1:39" x14ac:dyDescent="0.35">
      <c r="A2272" t="s">
        <v>22513</v>
      </c>
      <c r="B2272" t="str">
        <f>HYPERLINK("http://www.uniprot.org/uniprot/Q96R27","Q96R27")</f>
        <v>Q96R27</v>
      </c>
      <c r="C2272" t="s">
        <v>22514</v>
      </c>
      <c r="D2272" t="s">
        <v>22515</v>
      </c>
      <c r="E2272" t="s">
        <v>39</v>
      </c>
      <c r="F2272" t="s">
        <v>55</v>
      </c>
      <c r="H2272">
        <v>311</v>
      </c>
      <c r="I2272">
        <v>7</v>
      </c>
      <c r="J2272">
        <v>0</v>
      </c>
      <c r="K2272" t="s">
        <v>22516</v>
      </c>
      <c r="L2272" t="s">
        <v>57</v>
      </c>
      <c r="M2272" t="s">
        <v>39</v>
      </c>
      <c r="N2272">
        <v>1</v>
      </c>
      <c r="O2272" s="1">
        <v>1</v>
      </c>
      <c r="P2272" t="s">
        <v>22517</v>
      </c>
      <c r="Q2272" t="s">
        <v>22518</v>
      </c>
      <c r="S2272" t="s">
        <v>166</v>
      </c>
      <c r="T2272" t="s">
        <v>167</v>
      </c>
      <c r="U2272" t="s">
        <v>22519</v>
      </c>
      <c r="V2272">
        <v>2</v>
      </c>
      <c r="AE2272" t="s">
        <v>74</v>
      </c>
      <c r="AF2272" t="s">
        <v>549</v>
      </c>
      <c r="AG2272" t="s">
        <v>22520</v>
      </c>
      <c r="AH2272" t="str">
        <f>HYPERLINK("http://compartments.jensenlab.org/Entity?figures=subcell_cell_%&amp;knowledge=10&amp;textmining=10&amp;experiments=10&amp;predictions=10&amp;type1=9606&amp;type2=-22&amp;id1=ENSP00000306688","link")</f>
        <v>link</v>
      </c>
      <c r="AI2272" t="s">
        <v>65</v>
      </c>
      <c r="AJ2272" t="s">
        <v>51</v>
      </c>
      <c r="AK2272" t="str">
        <f>HYPERLINK("http://www.proteinatlas.org/Q96R27","HPA051308")</f>
        <v>HPA051308</v>
      </c>
      <c r="AM2272">
        <v>26245</v>
      </c>
    </row>
    <row r="2273" spans="1:39" x14ac:dyDescent="0.35">
      <c r="A2273" t="s">
        <v>22521</v>
      </c>
      <c r="B2273" t="str">
        <f>HYPERLINK("http://www.uniprot.org/uniprot/Q96R28","Q96R28")</f>
        <v>Q96R28</v>
      </c>
      <c r="C2273" t="s">
        <v>22522</v>
      </c>
      <c r="D2273" t="s">
        <v>22523</v>
      </c>
      <c r="E2273" t="s">
        <v>39</v>
      </c>
      <c r="F2273" t="s">
        <v>55</v>
      </c>
      <c r="H2273">
        <v>347</v>
      </c>
      <c r="I2273">
        <v>7</v>
      </c>
      <c r="J2273">
        <v>0</v>
      </c>
      <c r="K2273" t="s">
        <v>22524</v>
      </c>
      <c r="L2273" t="s">
        <v>57</v>
      </c>
      <c r="N2273">
        <v>0.95609999999999995</v>
      </c>
      <c r="O2273" s="1">
        <v>1</v>
      </c>
      <c r="P2273" t="s">
        <v>22525</v>
      </c>
      <c r="Q2273" t="s">
        <v>22526</v>
      </c>
      <c r="S2273" t="s">
        <v>166</v>
      </c>
      <c r="T2273" t="s">
        <v>167</v>
      </c>
      <c r="U2273" t="s">
        <v>168</v>
      </c>
      <c r="V2273">
        <v>3</v>
      </c>
      <c r="AE2273" t="s">
        <v>74</v>
      </c>
      <c r="AF2273" t="s">
        <v>169</v>
      </c>
      <c r="AG2273" t="s">
        <v>22527</v>
      </c>
      <c r="AH2273" t="str">
        <f>HYPERLINK("http://compartments.jensenlab.org/Entity?figures=subcell_cell_%&amp;knowledge=10&amp;textmining=10&amp;experiments=10&amp;predictions=10&amp;type1=9606&amp;type2=-22&amp;id1=ENSP00000352710","link")</f>
        <v>link</v>
      </c>
      <c r="AI2273" t="s">
        <v>65</v>
      </c>
      <c r="AJ2273" t="s">
        <v>51</v>
      </c>
      <c r="AK2273" t="str">
        <f>HYPERLINK("http://www.proteinatlas.org/Q96R28","no")</f>
        <v>no</v>
      </c>
      <c r="AM2273">
        <v>391194</v>
      </c>
    </row>
    <row r="2274" spans="1:39" x14ac:dyDescent="0.35">
      <c r="A2274" t="s">
        <v>22528</v>
      </c>
      <c r="B2274" t="str">
        <f>HYPERLINK("http://www.uniprot.org/uniprot/Q96R30","Q96R30")</f>
        <v>Q96R30</v>
      </c>
      <c r="C2274" t="s">
        <v>22529</v>
      </c>
      <c r="D2274" t="s">
        <v>22530</v>
      </c>
      <c r="E2274" t="s">
        <v>39</v>
      </c>
      <c r="F2274" t="s">
        <v>55</v>
      </c>
      <c r="H2274">
        <v>315</v>
      </c>
      <c r="I2274">
        <v>7</v>
      </c>
      <c r="J2274">
        <v>0</v>
      </c>
      <c r="K2274" t="s">
        <v>22531</v>
      </c>
      <c r="L2274" t="s">
        <v>57</v>
      </c>
      <c r="N2274">
        <v>0.98799999999999999</v>
      </c>
      <c r="O2274" s="1">
        <v>1</v>
      </c>
      <c r="P2274" t="s">
        <v>22532</v>
      </c>
      <c r="Q2274" t="s">
        <v>22533</v>
      </c>
      <c r="S2274" t="s">
        <v>166</v>
      </c>
      <c r="T2274" t="s">
        <v>167</v>
      </c>
      <c r="U2274">
        <v>6</v>
      </c>
      <c r="V2274">
        <v>1</v>
      </c>
      <c r="AE2274" t="s">
        <v>74</v>
      </c>
      <c r="AF2274" t="s">
        <v>169</v>
      </c>
      <c r="AG2274" t="s">
        <v>22534</v>
      </c>
      <c r="AH2274" t="str">
        <f>HYPERLINK("http://compartments.jensenlab.org/Entity?figures=subcell_cell_%&amp;knowledge=10&amp;textmining=10&amp;experiments=10&amp;predictions=10&amp;type1=9606&amp;type2=-22&amp;id1=ENSP00000332185","link")</f>
        <v>link</v>
      </c>
      <c r="AI2274" t="s">
        <v>65</v>
      </c>
      <c r="AJ2274" t="s">
        <v>51</v>
      </c>
      <c r="AK2274" t="str">
        <f>HYPERLINK("http://www.proteinatlas.org/Q96R30","HPA049953")</f>
        <v>HPA049953</v>
      </c>
      <c r="AM2274">
        <v>285659</v>
      </c>
    </row>
    <row r="2275" spans="1:39" x14ac:dyDescent="0.35">
      <c r="A2275" t="s">
        <v>22535</v>
      </c>
      <c r="B2275" t="str">
        <f>HYPERLINK("http://www.uniprot.org/uniprot/Q96R45","Q96R45")</f>
        <v>Q96R45</v>
      </c>
      <c r="C2275" t="s">
        <v>22536</v>
      </c>
      <c r="D2275" t="s">
        <v>22537</v>
      </c>
      <c r="E2275" t="s">
        <v>39</v>
      </c>
      <c r="F2275" t="s">
        <v>55</v>
      </c>
      <c r="H2275">
        <v>310</v>
      </c>
      <c r="I2275">
        <v>7</v>
      </c>
      <c r="J2275">
        <v>0</v>
      </c>
      <c r="K2275" t="s">
        <v>3088</v>
      </c>
      <c r="L2275" t="s">
        <v>57</v>
      </c>
      <c r="N2275">
        <v>0.94210000000000005</v>
      </c>
      <c r="O2275" s="1">
        <v>1</v>
      </c>
      <c r="P2275" t="s">
        <v>22538</v>
      </c>
      <c r="Q2275" t="s">
        <v>22539</v>
      </c>
      <c r="S2275" t="s">
        <v>166</v>
      </c>
      <c r="T2275" t="s">
        <v>167</v>
      </c>
      <c r="U2275" t="s">
        <v>177</v>
      </c>
      <c r="V2275">
        <v>1</v>
      </c>
      <c r="AE2275" t="s">
        <v>74</v>
      </c>
      <c r="AF2275" t="s">
        <v>3091</v>
      </c>
      <c r="AG2275" t="s">
        <v>22540</v>
      </c>
      <c r="AH2275" t="str">
        <f>HYPERLINK("http://compartments.jensenlab.org/Entity?figures=subcell_cell_%&amp;knowledge=10&amp;textmining=10&amp;experiments=10&amp;predictions=10&amp;type1=9606&amp;type2=-22&amp;id1=ENSP00000420502","link")</f>
        <v>link</v>
      </c>
      <c r="AI2275" t="s">
        <v>65</v>
      </c>
      <c r="AJ2275" t="s">
        <v>51</v>
      </c>
      <c r="AK2275" t="str">
        <f>HYPERLINK("http://www.proteinatlas.org/Q96R45","HPA058272")</f>
        <v>HPA058272</v>
      </c>
      <c r="AM2275" t="s">
        <v>22541</v>
      </c>
    </row>
    <row r="2276" spans="1:39" x14ac:dyDescent="0.35">
      <c r="A2276" t="s">
        <v>22542</v>
      </c>
      <c r="B2276" t="str">
        <f>HYPERLINK("http://www.uniprot.org/uniprot/Q96R47","Q96R47")</f>
        <v>Q96R47</v>
      </c>
      <c r="C2276" t="s">
        <v>22543</v>
      </c>
      <c r="D2276" t="s">
        <v>22544</v>
      </c>
      <c r="E2276" t="s">
        <v>39</v>
      </c>
      <c r="F2276" t="s">
        <v>55</v>
      </c>
      <c r="H2276">
        <v>310</v>
      </c>
      <c r="I2276">
        <v>7</v>
      </c>
      <c r="J2276">
        <v>0</v>
      </c>
      <c r="K2276" t="s">
        <v>22545</v>
      </c>
      <c r="L2276" t="s">
        <v>57</v>
      </c>
      <c r="M2276" t="s">
        <v>39</v>
      </c>
      <c r="N2276">
        <v>0.98409999999999997</v>
      </c>
      <c r="O2276" s="1">
        <v>1</v>
      </c>
      <c r="P2276" t="s">
        <v>22546</v>
      </c>
      <c r="Q2276" t="s">
        <v>22547</v>
      </c>
      <c r="S2276" t="s">
        <v>166</v>
      </c>
      <c r="T2276" t="s">
        <v>167</v>
      </c>
      <c r="U2276">
        <v>4</v>
      </c>
      <c r="V2276">
        <v>1</v>
      </c>
      <c r="AE2276" t="s">
        <v>74</v>
      </c>
      <c r="AF2276" t="s">
        <v>169</v>
      </c>
      <c r="AG2276" t="s">
        <v>22548</v>
      </c>
      <c r="AH2276" t="str">
        <f>HYPERLINK("http://compartments.jensenlab.org/Entity?figures=subcell_cell_%&amp;knowledge=10&amp;textmining=10&amp;experiments=10&amp;predictions=10&amp;type1=9606&amp;type2=-22&amp;id1=ENSP00000386137","link")</f>
        <v>link</v>
      </c>
      <c r="AI2276" t="s">
        <v>65</v>
      </c>
      <c r="AJ2276" t="s">
        <v>51</v>
      </c>
      <c r="AK2276" t="str">
        <f>HYPERLINK("http://www.proteinatlas.org/Q96R47","no")</f>
        <v>no</v>
      </c>
      <c r="AM2276">
        <v>135941</v>
      </c>
    </row>
    <row r="2277" spans="1:39" x14ac:dyDescent="0.35">
      <c r="A2277" t="s">
        <v>22549</v>
      </c>
      <c r="B2277" t="str">
        <f>HYPERLINK("http://www.uniprot.org/uniprot/Q96R48","Q96R48")</f>
        <v>Q96R48</v>
      </c>
      <c r="C2277" t="s">
        <v>22550</v>
      </c>
      <c r="D2277" t="s">
        <v>22551</v>
      </c>
      <c r="E2277" t="s">
        <v>39</v>
      </c>
      <c r="F2277" t="s">
        <v>55</v>
      </c>
      <c r="H2277">
        <v>311</v>
      </c>
      <c r="I2277">
        <v>7</v>
      </c>
      <c r="J2277">
        <v>0</v>
      </c>
      <c r="K2277" t="s">
        <v>22552</v>
      </c>
      <c r="L2277" t="s">
        <v>57</v>
      </c>
      <c r="N2277">
        <v>0.96409999999999996</v>
      </c>
      <c r="O2277" s="1">
        <v>1</v>
      </c>
      <c r="P2277" t="s">
        <v>22553</v>
      </c>
      <c r="Q2277" t="s">
        <v>22554</v>
      </c>
      <c r="S2277" t="s">
        <v>166</v>
      </c>
      <c r="T2277" t="s">
        <v>167</v>
      </c>
      <c r="U2277">
        <v>4</v>
      </c>
      <c r="V2277">
        <v>1</v>
      </c>
      <c r="AE2277" t="s">
        <v>74</v>
      </c>
      <c r="AF2277" t="s">
        <v>169</v>
      </c>
      <c r="AG2277" t="s">
        <v>22555</v>
      </c>
      <c r="AH2277" t="str">
        <f>HYPERLINK("http://compartments.jensenlab.org/Entity?figures=subcell_cell_%&amp;knowledge=10&amp;textmining=10&amp;experiments=10&amp;predictions=10&amp;type1=9606&amp;type2=-22&amp;id1=ENSP00000386208","link")</f>
        <v>link</v>
      </c>
      <c r="AI2277" t="s">
        <v>65</v>
      </c>
      <c r="AJ2277" t="s">
        <v>51</v>
      </c>
      <c r="AK2277" t="str">
        <f>HYPERLINK("http://www.proteinatlas.org/Q96R48","no")</f>
        <v>no</v>
      </c>
      <c r="AM2277">
        <v>393046</v>
      </c>
    </row>
    <row r="2278" spans="1:39" x14ac:dyDescent="0.35">
      <c r="A2278" t="s">
        <v>22556</v>
      </c>
      <c r="B2278" t="str">
        <f>HYPERLINK("http://www.uniprot.org/uniprot/Q96R54","Q96R54")</f>
        <v>Q96R54</v>
      </c>
      <c r="C2278" t="s">
        <v>22557</v>
      </c>
      <c r="D2278" t="s">
        <v>22558</v>
      </c>
      <c r="E2278" t="s">
        <v>39</v>
      </c>
      <c r="F2278" t="s">
        <v>55</v>
      </c>
      <c r="H2278">
        <v>314</v>
      </c>
      <c r="I2278">
        <v>7</v>
      </c>
      <c r="J2278">
        <v>0</v>
      </c>
      <c r="K2278" t="s">
        <v>22559</v>
      </c>
      <c r="L2278" t="s">
        <v>57</v>
      </c>
      <c r="N2278">
        <v>0.95409999999999995</v>
      </c>
      <c r="O2278" s="1">
        <v>1</v>
      </c>
      <c r="P2278" t="s">
        <v>22560</v>
      </c>
      <c r="Q2278" t="s">
        <v>22561</v>
      </c>
      <c r="S2278" t="s">
        <v>166</v>
      </c>
      <c r="T2278" t="s">
        <v>167</v>
      </c>
      <c r="U2278" t="s">
        <v>22562</v>
      </c>
      <c r="V2278">
        <v>3</v>
      </c>
      <c r="AE2278" t="s">
        <v>74</v>
      </c>
      <c r="AF2278" t="s">
        <v>549</v>
      </c>
      <c r="AG2278" t="s">
        <v>22563</v>
      </c>
      <c r="AH2278" t="str">
        <f>HYPERLINK("http://compartments.jensenlab.org/Entity?figures=subcell_cell_%&amp;knowledge=10&amp;textmining=10&amp;experiments=10&amp;predictions=10&amp;type1=9606&amp;type2=-22&amp;id1=ENSP00000355441","link")</f>
        <v>link</v>
      </c>
      <c r="AI2278" t="s">
        <v>65</v>
      </c>
      <c r="AJ2278" t="s">
        <v>51</v>
      </c>
      <c r="AK2278" t="str">
        <f>HYPERLINK("http://www.proteinatlas.org/Q96R54","HPA052685")</f>
        <v>HPA052685</v>
      </c>
    </row>
    <row r="2279" spans="1:39" x14ac:dyDescent="0.35">
      <c r="A2279" t="s">
        <v>22564</v>
      </c>
      <c r="B2279" t="str">
        <f>HYPERLINK("http://www.uniprot.org/uniprot/Q96R67","Q96R67")</f>
        <v>Q96R67</v>
      </c>
      <c r="C2279" t="s">
        <v>22565</v>
      </c>
      <c r="D2279" t="s">
        <v>22566</v>
      </c>
      <c r="E2279" t="s">
        <v>39</v>
      </c>
      <c r="F2279" t="s">
        <v>55</v>
      </c>
      <c r="H2279">
        <v>309</v>
      </c>
      <c r="I2279">
        <v>7</v>
      </c>
      <c r="J2279">
        <v>0</v>
      </c>
      <c r="K2279" t="s">
        <v>22567</v>
      </c>
      <c r="L2279" t="s">
        <v>57</v>
      </c>
      <c r="N2279">
        <v>0.94810000000000005</v>
      </c>
      <c r="O2279" s="1">
        <v>1</v>
      </c>
      <c r="P2279" t="s">
        <v>22568</v>
      </c>
      <c r="Q2279" t="s">
        <v>22569</v>
      </c>
      <c r="S2279" t="s">
        <v>166</v>
      </c>
      <c r="T2279" t="s">
        <v>167</v>
      </c>
      <c r="U2279" t="s">
        <v>22570</v>
      </c>
      <c r="V2279">
        <v>1</v>
      </c>
      <c r="AE2279" t="s">
        <v>74</v>
      </c>
      <c r="AF2279" t="s">
        <v>169</v>
      </c>
      <c r="AG2279" t="s">
        <v>22571</v>
      </c>
      <c r="AH2279" t="str">
        <f>HYPERLINK("http://compartments.jensenlab.org/Entity?figures=subcell_cell_%&amp;knowledge=10&amp;textmining=10&amp;experiments=10&amp;predictions=10&amp;type1=9606&amp;type2=-22&amp;id1=ENSP00000334418","link")</f>
        <v>link</v>
      </c>
      <c r="AI2279" t="s">
        <v>65</v>
      </c>
      <c r="AJ2279" t="s">
        <v>51</v>
      </c>
      <c r="AK2279" t="str">
        <f>HYPERLINK("http://www.proteinatlas.org/Q96R67","no")</f>
        <v>no</v>
      </c>
      <c r="AM2279">
        <v>283093</v>
      </c>
    </row>
    <row r="2280" spans="1:39" x14ac:dyDescent="0.35">
      <c r="A2280" t="s">
        <v>22572</v>
      </c>
      <c r="B2280" t="str">
        <f>HYPERLINK("http://www.uniprot.org/uniprot/Q96R69","Q96R69")</f>
        <v>Q96R69</v>
      </c>
      <c r="C2280" t="s">
        <v>22573</v>
      </c>
      <c r="D2280" t="s">
        <v>22574</v>
      </c>
      <c r="E2280" t="s">
        <v>39</v>
      </c>
      <c r="F2280" t="s">
        <v>55</v>
      </c>
      <c r="H2280">
        <v>305</v>
      </c>
      <c r="I2280">
        <v>7</v>
      </c>
      <c r="J2280">
        <v>0</v>
      </c>
      <c r="K2280" t="s">
        <v>22575</v>
      </c>
      <c r="L2280" t="s">
        <v>57</v>
      </c>
      <c r="N2280">
        <v>0.7984</v>
      </c>
      <c r="O2280" s="1">
        <v>1</v>
      </c>
      <c r="P2280" t="s">
        <v>22576</v>
      </c>
      <c r="Q2280" t="s">
        <v>22577</v>
      </c>
      <c r="S2280" t="s">
        <v>166</v>
      </c>
      <c r="T2280" t="s">
        <v>167</v>
      </c>
      <c r="U2280">
        <v>58</v>
      </c>
      <c r="V2280">
        <v>0</v>
      </c>
      <c r="AE2280" t="s">
        <v>74</v>
      </c>
      <c r="AF2280" t="s">
        <v>277</v>
      </c>
      <c r="AG2280" t="s">
        <v>22578</v>
      </c>
      <c r="AH2280" t="str">
        <f>HYPERLINK("http://compartments.jensenlab.org/Entity?figures=subcell_cell_%&amp;knowledge=10&amp;textmining=10&amp;experiments=10&amp;predictions=10&amp;type1=9606&amp;type2=-22&amp;id1=ENSP00000317482","link")</f>
        <v>link</v>
      </c>
      <c r="AI2280" t="s">
        <v>65</v>
      </c>
      <c r="AJ2280" t="s">
        <v>51</v>
      </c>
      <c r="AK2280" t="str">
        <f>HYPERLINK("http://www.proteinatlas.org/Q96R69","no")</f>
        <v>no</v>
      </c>
      <c r="AM2280">
        <v>26682</v>
      </c>
    </row>
    <row r="2281" spans="1:39" x14ac:dyDescent="0.35">
      <c r="A2281" t="s">
        <v>22579</v>
      </c>
      <c r="B2281" t="str">
        <f>HYPERLINK("http://www.uniprot.org/uniprot/Q96R72","Q96R72")</f>
        <v>Q96R72</v>
      </c>
      <c r="C2281" t="s">
        <v>22580</v>
      </c>
      <c r="D2281" t="s">
        <v>22581</v>
      </c>
      <c r="E2281" t="s">
        <v>39</v>
      </c>
      <c r="F2281" t="s">
        <v>40</v>
      </c>
      <c r="H2281">
        <v>315</v>
      </c>
      <c r="I2281">
        <v>7</v>
      </c>
      <c r="J2281">
        <v>0</v>
      </c>
      <c r="K2281" t="s">
        <v>22582</v>
      </c>
      <c r="L2281" t="s">
        <v>57</v>
      </c>
      <c r="N2281">
        <v>1</v>
      </c>
      <c r="O2281" s="1">
        <v>1</v>
      </c>
      <c r="S2281" t="s">
        <v>166</v>
      </c>
      <c r="T2281" t="s">
        <v>167</v>
      </c>
      <c r="U2281" t="s">
        <v>1191</v>
      </c>
      <c r="V2281">
        <v>1</v>
      </c>
      <c r="AE2281" t="s">
        <v>74</v>
      </c>
      <c r="AF2281" t="s">
        <v>169</v>
      </c>
      <c r="AG2281" t="s">
        <v>22583</v>
      </c>
      <c r="AK2281" t="str">
        <f>HYPERLINK("http://www.proteinatlas.org/Q96R72","no")</f>
        <v>no</v>
      </c>
    </row>
    <row r="2282" spans="1:39" x14ac:dyDescent="0.35">
      <c r="A2282" t="s">
        <v>22584</v>
      </c>
      <c r="B2282" t="str">
        <f>HYPERLINK("http://www.uniprot.org/uniprot/Q96R84","Q96R84")</f>
        <v>Q96R84</v>
      </c>
      <c r="C2282" t="s">
        <v>22585</v>
      </c>
      <c r="D2282" t="s">
        <v>22586</v>
      </c>
      <c r="E2282" t="s">
        <v>39</v>
      </c>
      <c r="F2282" t="s">
        <v>40</v>
      </c>
      <c r="H2282">
        <v>312</v>
      </c>
      <c r="I2282">
        <v>7</v>
      </c>
      <c r="J2282">
        <v>0</v>
      </c>
      <c r="K2282" t="s">
        <v>22587</v>
      </c>
      <c r="L2282" t="s">
        <v>57</v>
      </c>
      <c r="N2282">
        <v>0.65069999999999995</v>
      </c>
      <c r="O2282" s="1">
        <v>2</v>
      </c>
      <c r="S2282" t="s">
        <v>166</v>
      </c>
      <c r="T2282" t="s">
        <v>2880</v>
      </c>
      <c r="U2282">
        <v>65</v>
      </c>
      <c r="V2282">
        <v>0</v>
      </c>
      <c r="AE2282" t="s">
        <v>74</v>
      </c>
      <c r="AF2282" t="s">
        <v>277</v>
      </c>
      <c r="AG2282" t="s">
        <v>22588</v>
      </c>
      <c r="AK2282" t="str">
        <f>HYPERLINK("http://www.proteinatlas.org/Q96R84","no")</f>
        <v>no</v>
      </c>
    </row>
    <row r="2283" spans="1:39" x14ac:dyDescent="0.35">
      <c r="A2283" t="s">
        <v>22589</v>
      </c>
      <c r="B2283" t="str">
        <f>HYPERLINK("http://www.uniprot.org/uniprot/Q96RA2","Q96RA2")</f>
        <v>Q96RA2</v>
      </c>
      <c r="C2283" t="s">
        <v>22590</v>
      </c>
      <c r="D2283" t="s">
        <v>22591</v>
      </c>
      <c r="E2283" t="s">
        <v>39</v>
      </c>
      <c r="F2283" t="s">
        <v>55</v>
      </c>
      <c r="H2283">
        <v>312</v>
      </c>
      <c r="I2283">
        <v>7</v>
      </c>
      <c r="J2283">
        <v>0</v>
      </c>
      <c r="K2283" t="s">
        <v>22592</v>
      </c>
      <c r="L2283" t="s">
        <v>57</v>
      </c>
      <c r="M2283" t="s">
        <v>39</v>
      </c>
      <c r="N2283">
        <v>0.97650000000000003</v>
      </c>
      <c r="O2283" s="1">
        <v>1</v>
      </c>
      <c r="P2283" t="s">
        <v>22593</v>
      </c>
      <c r="Q2283" t="s">
        <v>22594</v>
      </c>
      <c r="S2283" t="s">
        <v>166</v>
      </c>
      <c r="T2283" t="s">
        <v>167</v>
      </c>
      <c r="U2283" t="s">
        <v>8573</v>
      </c>
      <c r="V2283">
        <v>2</v>
      </c>
      <c r="AE2283" t="s">
        <v>74</v>
      </c>
      <c r="AF2283" t="s">
        <v>169</v>
      </c>
      <c r="AG2283" t="s">
        <v>22595</v>
      </c>
      <c r="AH2283" t="str">
        <f>HYPERLINK("http://compartments.jensenlab.org/Entity?figures=subcell_cell_%&amp;knowledge=10&amp;textmining=10&amp;experiments=10&amp;predictions=10&amp;type1=9606&amp;type2=-22&amp;id1=ENSP00000345563","link")</f>
        <v>link</v>
      </c>
      <c r="AI2283" t="s">
        <v>65</v>
      </c>
      <c r="AJ2283" t="s">
        <v>51</v>
      </c>
      <c r="AK2283" t="str">
        <f>HYPERLINK("http://www.proteinatlas.org/Q96RA2","no")</f>
        <v>no</v>
      </c>
      <c r="AM2283">
        <v>162998</v>
      </c>
    </row>
    <row r="2284" spans="1:39" x14ac:dyDescent="0.35">
      <c r="A2284" t="s">
        <v>22596</v>
      </c>
      <c r="B2284" t="str">
        <f>HYPERLINK("http://www.uniprot.org/uniprot/Q96RB7","Q96RB7")</f>
        <v>Q96RB7</v>
      </c>
      <c r="C2284" t="s">
        <v>22597</v>
      </c>
      <c r="D2284" t="s">
        <v>22598</v>
      </c>
      <c r="E2284" t="s">
        <v>39</v>
      </c>
      <c r="F2284" t="s">
        <v>40</v>
      </c>
      <c r="H2284">
        <v>305</v>
      </c>
      <c r="I2284">
        <v>7</v>
      </c>
      <c r="J2284">
        <v>0</v>
      </c>
      <c r="K2284" t="s">
        <v>22599</v>
      </c>
      <c r="L2284" t="s">
        <v>57</v>
      </c>
      <c r="N2284">
        <v>0.996</v>
      </c>
      <c r="O2284" s="1">
        <v>1</v>
      </c>
      <c r="P2284" t="s">
        <v>22600</v>
      </c>
      <c r="Q2284" t="s">
        <v>22601</v>
      </c>
      <c r="S2284" t="s">
        <v>166</v>
      </c>
      <c r="T2284" t="s">
        <v>167</v>
      </c>
      <c r="U2284" t="s">
        <v>22602</v>
      </c>
      <c r="V2284">
        <v>1</v>
      </c>
      <c r="AE2284" t="s">
        <v>74</v>
      </c>
      <c r="AF2284" t="s">
        <v>169</v>
      </c>
      <c r="AG2284" t="s">
        <v>22603</v>
      </c>
      <c r="AH2284" t="str">
        <f>HYPERLINK("http://compartments.jensenlab.org/Entity?figures=subcell_cell_%&amp;knowledge=10&amp;textmining=10&amp;experiments=10&amp;predictions=10&amp;type1=9606&amp;type2=-22&amp;id1=ENSP00000432417","link")</f>
        <v>link</v>
      </c>
      <c r="AK2284" t="str">
        <f>HYPERLINK("http://www.proteinatlas.org/Q96RB7","no")</f>
        <v>no</v>
      </c>
      <c r="AM2284">
        <v>219487</v>
      </c>
    </row>
    <row r="2285" spans="1:39" x14ac:dyDescent="0.35">
      <c r="A2285" t="s">
        <v>22604</v>
      </c>
      <c r="B2285" t="str">
        <f>HYPERLINK("http://www.uniprot.org/uniprot/Q96RC9","Q96RC9")</f>
        <v>Q96RC9</v>
      </c>
      <c r="C2285" t="s">
        <v>22605</v>
      </c>
      <c r="D2285" t="s">
        <v>22606</v>
      </c>
      <c r="E2285" t="s">
        <v>39</v>
      </c>
      <c r="F2285" t="s">
        <v>55</v>
      </c>
      <c r="H2285">
        <v>309</v>
      </c>
      <c r="I2285">
        <v>7</v>
      </c>
      <c r="J2285">
        <v>0</v>
      </c>
      <c r="K2285" t="s">
        <v>22607</v>
      </c>
      <c r="L2285" t="s">
        <v>57</v>
      </c>
      <c r="M2285" t="s">
        <v>39</v>
      </c>
      <c r="N2285">
        <v>0.91190000000000004</v>
      </c>
      <c r="O2285" s="1">
        <v>1</v>
      </c>
      <c r="P2285" t="s">
        <v>22608</v>
      </c>
      <c r="Q2285" t="s">
        <v>22609</v>
      </c>
      <c r="S2285" t="s">
        <v>166</v>
      </c>
      <c r="T2285" t="s">
        <v>167</v>
      </c>
      <c r="U2285" t="s">
        <v>1191</v>
      </c>
      <c r="V2285">
        <v>1</v>
      </c>
      <c r="AE2285" t="s">
        <v>74</v>
      </c>
      <c r="AF2285" t="s">
        <v>169</v>
      </c>
      <c r="AG2285" t="s">
        <v>22610</v>
      </c>
      <c r="AH2285" t="str">
        <f>HYPERLINK("http://compartments.jensenlab.org/Entity?figures=subcell_cell_%&amp;knowledge=10&amp;textmining=10&amp;experiments=10&amp;predictions=10&amp;type1=9606&amp;type2=-22&amp;id1=ENSP00000348449","link")</f>
        <v>link</v>
      </c>
      <c r="AI2285" t="s">
        <v>65</v>
      </c>
      <c r="AJ2285" t="s">
        <v>51</v>
      </c>
      <c r="AK2285" t="str">
        <f>HYPERLINK("http://www.proteinatlas.org/Q96RC9","HPA049884")</f>
        <v>HPA049884</v>
      </c>
      <c r="AM2285">
        <v>283162</v>
      </c>
    </row>
    <row r="2286" spans="1:39" x14ac:dyDescent="0.35">
      <c r="A2286" t="s">
        <v>22611</v>
      </c>
      <c r="B2286" t="str">
        <f>HYPERLINK("http://www.uniprot.org/uniprot/Q96RD0","Q96RD0")</f>
        <v>Q96RD0</v>
      </c>
      <c r="C2286" t="s">
        <v>22612</v>
      </c>
      <c r="D2286" t="s">
        <v>22613</v>
      </c>
      <c r="E2286" t="s">
        <v>39</v>
      </c>
      <c r="F2286" t="s">
        <v>55</v>
      </c>
      <c r="H2286">
        <v>313</v>
      </c>
      <c r="I2286">
        <v>7</v>
      </c>
      <c r="J2286">
        <v>0</v>
      </c>
      <c r="K2286" t="s">
        <v>22614</v>
      </c>
      <c r="L2286" t="s">
        <v>57</v>
      </c>
      <c r="M2286" t="s">
        <v>39</v>
      </c>
      <c r="N2286">
        <v>0.80359999999999998</v>
      </c>
      <c r="O2286" s="1">
        <v>1</v>
      </c>
      <c r="P2286" t="s">
        <v>22615</v>
      </c>
      <c r="Q2286" t="s">
        <v>22616</v>
      </c>
      <c r="S2286" t="s">
        <v>166</v>
      </c>
      <c r="T2286" t="s">
        <v>167</v>
      </c>
      <c r="U2286" t="s">
        <v>22617</v>
      </c>
      <c r="V2286">
        <v>1</v>
      </c>
      <c r="AE2286" t="s">
        <v>74</v>
      </c>
      <c r="AF2286" t="s">
        <v>169</v>
      </c>
      <c r="AG2286" t="s">
        <v>22618</v>
      </c>
      <c r="AH2286" t="str">
        <f>HYPERLINK("http://compartments.jensenlab.org/Entity?figures=subcell_cell_%&amp;knowledge=10&amp;textmining=10&amp;experiments=10&amp;predictions=10&amp;type1=9606&amp;type2=-22&amp;id1=ENSP00000364152","link")</f>
        <v>link</v>
      </c>
      <c r="AI2286" t="s">
        <v>65</v>
      </c>
      <c r="AJ2286" t="s">
        <v>51</v>
      </c>
      <c r="AK2286" t="str">
        <f>HYPERLINK("http://www.proteinatlas.org/Q96RD0","no")</f>
        <v>no</v>
      </c>
      <c r="AM2286">
        <v>26595</v>
      </c>
    </row>
    <row r="2287" spans="1:39" x14ac:dyDescent="0.35">
      <c r="A2287" t="s">
        <v>22619</v>
      </c>
      <c r="B2287" t="str">
        <f>HYPERLINK("http://www.uniprot.org/uniprot/Q96RD1","Q96RD1")</f>
        <v>Q96RD1</v>
      </c>
      <c r="C2287" t="s">
        <v>22620</v>
      </c>
      <c r="D2287" t="s">
        <v>22621</v>
      </c>
      <c r="E2287" t="s">
        <v>39</v>
      </c>
      <c r="F2287" t="s">
        <v>55</v>
      </c>
      <c r="H2287">
        <v>312</v>
      </c>
      <c r="I2287">
        <v>7</v>
      </c>
      <c r="J2287">
        <v>0</v>
      </c>
      <c r="K2287" t="s">
        <v>22622</v>
      </c>
      <c r="L2287" t="s">
        <v>57</v>
      </c>
      <c r="N2287">
        <v>0.99</v>
      </c>
      <c r="O2287" s="1">
        <v>1</v>
      </c>
      <c r="P2287" t="s">
        <v>22623</v>
      </c>
      <c r="Q2287" t="s">
        <v>22624</v>
      </c>
      <c r="S2287" t="s">
        <v>166</v>
      </c>
      <c r="T2287" t="s">
        <v>167</v>
      </c>
      <c r="U2287" t="s">
        <v>432</v>
      </c>
      <c r="V2287">
        <v>1</v>
      </c>
      <c r="AE2287" t="s">
        <v>74</v>
      </c>
      <c r="AF2287" t="s">
        <v>169</v>
      </c>
      <c r="AG2287" t="s">
        <v>22625</v>
      </c>
      <c r="AH2287" t="str">
        <f>HYPERLINK("http://compartments.jensenlab.org/Entity?figures=subcell_cell_%&amp;knowledge=10&amp;textmining=10&amp;experiments=10&amp;predictions=10&amp;type1=9606&amp;type2=-22&amp;id1=ENSP00000368990","link")</f>
        <v>link</v>
      </c>
      <c r="AI2287" t="s">
        <v>65</v>
      </c>
      <c r="AJ2287" t="s">
        <v>51</v>
      </c>
      <c r="AK2287" t="str">
        <f>HYPERLINK("http://www.proteinatlas.org/Q96RD1","no")</f>
        <v>no</v>
      </c>
      <c r="AM2287">
        <v>390321</v>
      </c>
    </row>
    <row r="2288" spans="1:39" x14ac:dyDescent="0.35">
      <c r="A2288" t="s">
        <v>22626</v>
      </c>
      <c r="B2288" t="str">
        <f>HYPERLINK("http://www.uniprot.org/uniprot/Q96RD2","Q96RD2")</f>
        <v>Q96RD2</v>
      </c>
      <c r="C2288" t="s">
        <v>22627</v>
      </c>
      <c r="D2288" t="s">
        <v>22628</v>
      </c>
      <c r="E2288" t="s">
        <v>39</v>
      </c>
      <c r="F2288" t="s">
        <v>40</v>
      </c>
      <c r="H2288">
        <v>323</v>
      </c>
      <c r="I2288">
        <v>7</v>
      </c>
      <c r="J2288">
        <v>0</v>
      </c>
      <c r="K2288" t="s">
        <v>22629</v>
      </c>
      <c r="L2288" t="s">
        <v>57</v>
      </c>
      <c r="N2288">
        <v>0.97409999999999997</v>
      </c>
      <c r="O2288" s="1">
        <v>1</v>
      </c>
      <c r="P2288" t="s">
        <v>22630</v>
      </c>
      <c r="Q2288" t="s">
        <v>22631</v>
      </c>
      <c r="S2288" t="s">
        <v>166</v>
      </c>
      <c r="T2288" t="s">
        <v>167</v>
      </c>
      <c r="U2288">
        <v>5</v>
      </c>
      <c r="V2288">
        <v>1</v>
      </c>
      <c r="AE2288" t="s">
        <v>74</v>
      </c>
      <c r="AF2288" t="s">
        <v>169</v>
      </c>
      <c r="AG2288" t="s">
        <v>22632</v>
      </c>
      <c r="AH2288" t="str">
        <f>HYPERLINK("http://compartments.jensenlab.org/Entity?figures=subcell_cell_%&amp;knowledge=10&amp;textmining=10&amp;experiments=10&amp;predictions=10&amp;type1=9606&amp;type2=-22&amp;id1=ENSP00000432011","link")</f>
        <v>link</v>
      </c>
      <c r="AK2288" t="str">
        <f>HYPERLINK("http://www.proteinatlas.org/Q96RD2","no")</f>
        <v>no</v>
      </c>
      <c r="AM2288">
        <v>255725</v>
      </c>
    </row>
    <row r="2289" spans="1:39" x14ac:dyDescent="0.35">
      <c r="A2289" t="s">
        <v>22633</v>
      </c>
      <c r="B2289" t="str">
        <f>HYPERLINK("http://www.uniprot.org/uniprot/Q96RD3","Q96RD3")</f>
        <v>Q96RD3</v>
      </c>
      <c r="C2289" t="s">
        <v>22634</v>
      </c>
      <c r="D2289" t="s">
        <v>22635</v>
      </c>
      <c r="E2289" t="s">
        <v>39</v>
      </c>
      <c r="F2289" t="s">
        <v>55</v>
      </c>
      <c r="H2289">
        <v>313</v>
      </c>
      <c r="I2289">
        <v>7</v>
      </c>
      <c r="J2289">
        <v>0</v>
      </c>
      <c r="K2289" t="s">
        <v>22636</v>
      </c>
      <c r="L2289" t="s">
        <v>57</v>
      </c>
      <c r="N2289">
        <v>0.92020000000000002</v>
      </c>
      <c r="O2289" s="1">
        <v>1</v>
      </c>
      <c r="P2289" t="s">
        <v>22637</v>
      </c>
      <c r="Q2289" t="s">
        <v>22638</v>
      </c>
      <c r="S2289" t="s">
        <v>166</v>
      </c>
      <c r="T2289" t="s">
        <v>167</v>
      </c>
      <c r="U2289">
        <v>5</v>
      </c>
      <c r="V2289">
        <v>1</v>
      </c>
      <c r="AE2289" t="s">
        <v>74</v>
      </c>
      <c r="AF2289" t="s">
        <v>455</v>
      </c>
      <c r="AG2289" t="s">
        <v>22639</v>
      </c>
      <c r="AH2289" t="str">
        <f>HYPERLINK("http://compartments.jensenlab.org/Entity?figures=subcell_cell_%&amp;knowledge=10&amp;textmining=10&amp;experiments=10&amp;predictions=10&amp;type1=9606&amp;type2=-22&amp;id1=ENSP00000328878","link")</f>
        <v>link</v>
      </c>
      <c r="AI2289" t="s">
        <v>65</v>
      </c>
      <c r="AJ2289" t="s">
        <v>51</v>
      </c>
      <c r="AK2289" t="str">
        <f>HYPERLINK("http://www.proteinatlas.org/Q96RD3","no")</f>
        <v>no</v>
      </c>
      <c r="AM2289">
        <v>390078</v>
      </c>
    </row>
    <row r="2290" spans="1:39" x14ac:dyDescent="0.35">
      <c r="A2290" t="s">
        <v>22640</v>
      </c>
      <c r="B2290" t="str">
        <f>HYPERLINK("http://www.uniprot.org/uniprot/Q96RD6","Q96RD6")</f>
        <v>Q96RD6</v>
      </c>
      <c r="C2290" t="s">
        <v>22641</v>
      </c>
      <c r="D2290" t="s">
        <v>22642</v>
      </c>
      <c r="E2290" t="s">
        <v>39</v>
      </c>
      <c r="F2290" t="s">
        <v>40</v>
      </c>
      <c r="H2290">
        <v>677</v>
      </c>
      <c r="I2290">
        <v>4</v>
      </c>
      <c r="J2290">
        <v>0</v>
      </c>
      <c r="K2290" t="s">
        <v>22643</v>
      </c>
      <c r="L2290" t="s">
        <v>57</v>
      </c>
      <c r="N2290">
        <v>0.66469999999999996</v>
      </c>
      <c r="O2290" s="1">
        <v>2</v>
      </c>
      <c r="P2290" t="s">
        <v>22644</v>
      </c>
      <c r="Q2290" t="s">
        <v>22645</v>
      </c>
      <c r="S2290" t="s">
        <v>60</v>
      </c>
      <c r="T2290" t="s">
        <v>60</v>
      </c>
      <c r="U2290" t="s">
        <v>22646</v>
      </c>
      <c r="V2290">
        <v>1</v>
      </c>
      <c r="AE2290" t="s">
        <v>2798</v>
      </c>
      <c r="AF2290" t="s">
        <v>22647</v>
      </c>
      <c r="AG2290" t="s">
        <v>22648</v>
      </c>
      <c r="AH2290" t="str">
        <f>HYPERLINK("http://compartments.jensenlab.org/Entity?figures=subcell_cell_%&amp;knowledge=10&amp;textmining=10&amp;experiments=10&amp;predictions=10&amp;type1=9606&amp;type2=-22&amp;id1=ENSP00000159647","link")</f>
        <v>link</v>
      </c>
      <c r="AK2290" t="str">
        <f>HYPERLINK("http://www.proteinatlas.org/Q96RD6","HPA039117")</f>
        <v>HPA039117</v>
      </c>
      <c r="AM2290">
        <v>56666</v>
      </c>
    </row>
    <row r="2291" spans="1:39" x14ac:dyDescent="0.35">
      <c r="A2291" t="s">
        <v>22649</v>
      </c>
      <c r="B2291" t="str">
        <f>HYPERLINK("http://www.uniprot.org/uniprot/Q96RD7","Q96RD7")</f>
        <v>Q96RD7</v>
      </c>
      <c r="C2291" t="s">
        <v>22650</v>
      </c>
      <c r="D2291" t="s">
        <v>22651</v>
      </c>
      <c r="E2291" t="s">
        <v>39</v>
      </c>
      <c r="F2291" t="s">
        <v>55</v>
      </c>
      <c r="H2291">
        <v>426</v>
      </c>
      <c r="I2291">
        <v>4</v>
      </c>
      <c r="J2291">
        <v>0</v>
      </c>
      <c r="K2291" t="s">
        <v>22652</v>
      </c>
      <c r="L2291" t="s">
        <v>101</v>
      </c>
      <c r="M2291" t="s">
        <v>39</v>
      </c>
      <c r="N2291">
        <v>0.63160000000000005</v>
      </c>
      <c r="O2291" s="1">
        <v>2</v>
      </c>
      <c r="P2291" t="s">
        <v>22653</v>
      </c>
      <c r="Q2291" t="s">
        <v>22654</v>
      </c>
      <c r="S2291" t="s">
        <v>60</v>
      </c>
      <c r="T2291" t="s">
        <v>60</v>
      </c>
      <c r="U2291" t="s">
        <v>22655</v>
      </c>
      <c r="V2291">
        <v>1</v>
      </c>
      <c r="Z2291" t="s">
        <v>107</v>
      </c>
      <c r="AA2291">
        <v>1</v>
      </c>
      <c r="AB2291" t="s">
        <v>22656</v>
      </c>
      <c r="AC2291">
        <v>255</v>
      </c>
      <c r="AD2291" t="s">
        <v>22657</v>
      </c>
      <c r="AE2291" t="s">
        <v>22658</v>
      </c>
      <c r="AF2291" t="s">
        <v>22659</v>
      </c>
      <c r="AG2291" t="s">
        <v>22660</v>
      </c>
      <c r="AH2291" t="str">
        <f>HYPERLINK("http://compartments.jensenlab.org/Entity?figures=subcell_cell_%&amp;knowledge=10&amp;textmining=10&amp;experiments=10&amp;predictions=10&amp;type1=9606&amp;type2=-22&amp;id1=ENSP00000227638","link")</f>
        <v>link</v>
      </c>
      <c r="AI2291" t="s">
        <v>1500</v>
      </c>
      <c r="AJ2291" t="s">
        <v>345</v>
      </c>
      <c r="AK2291" t="str">
        <f>HYPERLINK("http://www.proteinatlas.org/Q96RD7","HPA016930")</f>
        <v>HPA016930</v>
      </c>
      <c r="AL2291" t="s">
        <v>14439</v>
      </c>
      <c r="AM2291">
        <v>24145</v>
      </c>
    </row>
    <row r="2292" spans="1:39" x14ac:dyDescent="0.35">
      <c r="A2292" t="s">
        <v>22661</v>
      </c>
      <c r="B2292" t="str">
        <f>HYPERLINK("http://www.uniprot.org/uniprot/Q96RD9","Q96RD9")</f>
        <v>Q96RD9</v>
      </c>
      <c r="C2292" t="s">
        <v>22662</v>
      </c>
      <c r="D2292" t="s">
        <v>22663</v>
      </c>
      <c r="E2292" t="s">
        <v>39</v>
      </c>
      <c r="F2292" t="s">
        <v>55</v>
      </c>
      <c r="H2292">
        <v>977</v>
      </c>
      <c r="I2292">
        <v>1</v>
      </c>
      <c r="J2292">
        <v>1</v>
      </c>
      <c r="K2292" t="s">
        <v>22664</v>
      </c>
      <c r="L2292" t="s">
        <v>101</v>
      </c>
      <c r="M2292" t="s">
        <v>39</v>
      </c>
      <c r="N2292">
        <v>0.84819999999999995</v>
      </c>
      <c r="O2292" s="1">
        <v>1</v>
      </c>
      <c r="P2292" t="s">
        <v>22665</v>
      </c>
      <c r="Q2292" t="s">
        <v>22666</v>
      </c>
      <c r="R2292" t="s">
        <v>22667</v>
      </c>
      <c r="S2292" t="s">
        <v>60</v>
      </c>
      <c r="T2292" t="s">
        <v>60</v>
      </c>
      <c r="U2292" t="s">
        <v>22668</v>
      </c>
      <c r="V2292">
        <v>9</v>
      </c>
      <c r="Z2292" t="s">
        <v>107</v>
      </c>
      <c r="AA2292">
        <v>1</v>
      </c>
      <c r="AB2292" t="s">
        <v>22669</v>
      </c>
      <c r="AC2292">
        <v>132</v>
      </c>
      <c r="AD2292" t="s">
        <v>22670</v>
      </c>
      <c r="AE2292" t="s">
        <v>332</v>
      </c>
      <c r="AF2292" t="s">
        <v>9532</v>
      </c>
      <c r="AG2292" t="s">
        <v>22671</v>
      </c>
      <c r="AH2292" t="str">
        <f>HYPERLINK("http://compartments.jensenlab.org/Entity?figures=subcell_cell_%&amp;knowledge=10&amp;textmining=10&amp;experiments=10&amp;predictions=10&amp;type1=9606&amp;type2=-22&amp;id1=ENSP00000354691","link")</f>
        <v>link</v>
      </c>
      <c r="AI2292" t="s">
        <v>65</v>
      </c>
      <c r="AJ2292" t="s">
        <v>51</v>
      </c>
      <c r="AK2292" t="str">
        <f>HYPERLINK("http://www.proteinatlas.org/Q96RD9","HPA039942;HPA039998")</f>
        <v>HPA039942;HPA039998</v>
      </c>
      <c r="AM2292">
        <v>83416</v>
      </c>
    </row>
    <row r="2293" spans="1:39" x14ac:dyDescent="0.35">
      <c r="A2293" t="s">
        <v>22672</v>
      </c>
      <c r="B2293" t="str">
        <f>HYPERLINK("http://www.uniprot.org/uniprot/Q96RI0","Q96RI0")</f>
        <v>Q96RI0</v>
      </c>
      <c r="C2293" t="s">
        <v>22673</v>
      </c>
      <c r="D2293" t="s">
        <v>22674</v>
      </c>
      <c r="E2293" t="s">
        <v>39</v>
      </c>
      <c r="F2293" t="s">
        <v>55</v>
      </c>
      <c r="H2293">
        <v>385</v>
      </c>
      <c r="I2293">
        <v>7</v>
      </c>
      <c r="J2293">
        <v>1</v>
      </c>
      <c r="K2293" t="s">
        <v>22675</v>
      </c>
      <c r="L2293" t="s">
        <v>101</v>
      </c>
      <c r="M2293" t="s">
        <v>39</v>
      </c>
      <c r="N2293">
        <v>0.86809999999999998</v>
      </c>
      <c r="O2293" s="1">
        <v>1</v>
      </c>
      <c r="P2293" t="s">
        <v>22676</v>
      </c>
      <c r="Q2293" t="s">
        <v>22677</v>
      </c>
      <c r="S2293" t="s">
        <v>166</v>
      </c>
      <c r="T2293" t="s">
        <v>838</v>
      </c>
      <c r="U2293">
        <v>56</v>
      </c>
      <c r="V2293">
        <v>1</v>
      </c>
      <c r="W2293">
        <v>56</v>
      </c>
      <c r="X2293">
        <v>41</v>
      </c>
      <c r="Z2293" t="s">
        <v>107</v>
      </c>
      <c r="AA2293">
        <v>1</v>
      </c>
      <c r="AB2293" t="s">
        <v>22678</v>
      </c>
      <c r="AC2293">
        <v>56</v>
      </c>
      <c r="AD2293" t="s">
        <v>22679</v>
      </c>
      <c r="AE2293" t="s">
        <v>74</v>
      </c>
      <c r="AF2293" t="s">
        <v>22680</v>
      </c>
      <c r="AG2293" t="s">
        <v>22681</v>
      </c>
      <c r="AH2293" t="str">
        <f>HYPERLINK("http://compartments.jensenlab.org/Entity?figures=subcell_cell_%&amp;knowledge=10&amp;textmining=10&amp;experiments=10&amp;predictions=10&amp;type1=9606&amp;type2=-22&amp;id1=ENSP00000248076","link")</f>
        <v>link</v>
      </c>
      <c r="AI2293" t="s">
        <v>65</v>
      </c>
      <c r="AJ2293" t="s">
        <v>902</v>
      </c>
      <c r="AK2293" t="str">
        <f>HYPERLINK("http://www.proteinatlas.org/Q96RI0","no")</f>
        <v>no</v>
      </c>
      <c r="AM2293">
        <v>9002</v>
      </c>
    </row>
    <row r="2294" spans="1:39" x14ac:dyDescent="0.35">
      <c r="A2294" t="s">
        <v>22682</v>
      </c>
      <c r="B2294" t="str">
        <f>HYPERLINK("http://www.uniprot.org/uniprot/Q96RI8","Q96RI8")</f>
        <v>Q96RI8</v>
      </c>
      <c r="C2294" t="s">
        <v>22683</v>
      </c>
      <c r="D2294" t="s">
        <v>22684</v>
      </c>
      <c r="E2294" t="s">
        <v>39</v>
      </c>
      <c r="F2294" t="s">
        <v>55</v>
      </c>
      <c r="H2294">
        <v>345</v>
      </c>
      <c r="I2294">
        <v>7</v>
      </c>
      <c r="J2294">
        <v>0</v>
      </c>
      <c r="K2294" t="s">
        <v>22685</v>
      </c>
      <c r="L2294" t="s">
        <v>57</v>
      </c>
      <c r="M2294" t="s">
        <v>39</v>
      </c>
      <c r="N2294">
        <v>0.94899999999999995</v>
      </c>
      <c r="O2294" s="1">
        <v>1</v>
      </c>
      <c r="P2294" t="s">
        <v>22686</v>
      </c>
      <c r="Q2294" t="s">
        <v>22687</v>
      </c>
      <c r="S2294" t="s">
        <v>166</v>
      </c>
      <c r="T2294" t="s">
        <v>838</v>
      </c>
      <c r="U2294" t="s">
        <v>22688</v>
      </c>
      <c r="V2294">
        <v>2</v>
      </c>
      <c r="AE2294" t="s">
        <v>74</v>
      </c>
      <c r="AF2294" t="s">
        <v>967</v>
      </c>
      <c r="AG2294" t="s">
        <v>22689</v>
      </c>
      <c r="AH2294" t="str">
        <f>HYPERLINK("http://compartments.jensenlab.org/Entity?figures=subcell_cell_%&amp;knowledge=10&amp;textmining=10&amp;experiments=10&amp;predictions=10&amp;type1=9606&amp;type2=-22&amp;id1=ENSP00000275198","link")</f>
        <v>link</v>
      </c>
      <c r="AI2294" t="s">
        <v>65</v>
      </c>
      <c r="AJ2294" t="s">
        <v>51</v>
      </c>
      <c r="AK2294" t="str">
        <f>HYPERLINK("http://www.proteinatlas.org/Q96RI8","no")</f>
        <v>no</v>
      </c>
      <c r="AM2294">
        <v>319100</v>
      </c>
    </row>
    <row r="2295" spans="1:39" x14ac:dyDescent="0.35">
      <c r="A2295" t="s">
        <v>22690</v>
      </c>
      <c r="B2295" t="str">
        <f>HYPERLINK("http://www.uniprot.org/uniprot/Q96RI9","Q96RI9")</f>
        <v>Q96RI9</v>
      </c>
      <c r="C2295" t="s">
        <v>22691</v>
      </c>
      <c r="D2295" t="s">
        <v>22692</v>
      </c>
      <c r="E2295" t="s">
        <v>39</v>
      </c>
      <c r="F2295" t="s">
        <v>40</v>
      </c>
      <c r="H2295">
        <v>348</v>
      </c>
      <c r="I2295">
        <v>7</v>
      </c>
      <c r="J2295">
        <v>0</v>
      </c>
      <c r="K2295" t="s">
        <v>22693</v>
      </c>
      <c r="L2295" t="s">
        <v>57</v>
      </c>
      <c r="N2295">
        <v>0.93210000000000004</v>
      </c>
      <c r="O2295" s="1">
        <v>1</v>
      </c>
      <c r="P2295" t="s">
        <v>22694</v>
      </c>
      <c r="Q2295" t="s">
        <v>22695</v>
      </c>
      <c r="S2295" t="s">
        <v>166</v>
      </c>
      <c r="T2295" t="s">
        <v>838</v>
      </c>
      <c r="U2295" t="s">
        <v>22696</v>
      </c>
      <c r="V2295">
        <v>2</v>
      </c>
      <c r="AE2295" t="s">
        <v>74</v>
      </c>
      <c r="AF2295" t="s">
        <v>967</v>
      </c>
      <c r="AG2295" t="s">
        <v>22697</v>
      </c>
      <c r="AH2295" t="str">
        <f>HYPERLINK("http://compartments.jensenlab.org/Entity?figures=subcell_cell_%&amp;knowledge=10&amp;textmining=10&amp;experiments=10&amp;predictions=10&amp;type1=9606&amp;type2=-22&amp;id1=ENSP00000424607","link")</f>
        <v>link</v>
      </c>
      <c r="AK2295" t="str">
        <f>HYPERLINK("http://www.proteinatlas.org/Q96RI9","no")</f>
        <v>no</v>
      </c>
      <c r="AM2295">
        <v>134860</v>
      </c>
    </row>
    <row r="2296" spans="1:39" x14ac:dyDescent="0.35">
      <c r="A2296" t="s">
        <v>22698</v>
      </c>
      <c r="B2296" t="str">
        <f>HYPERLINK("http://www.uniprot.org/uniprot/Q96RJ0","Q96RJ0")</f>
        <v>Q96RJ0</v>
      </c>
      <c r="C2296" t="s">
        <v>22699</v>
      </c>
      <c r="D2296" t="s">
        <v>22700</v>
      </c>
      <c r="E2296" t="s">
        <v>39</v>
      </c>
      <c r="F2296" t="s">
        <v>55</v>
      </c>
      <c r="H2296">
        <v>339</v>
      </c>
      <c r="I2296">
        <v>7</v>
      </c>
      <c r="J2296">
        <v>0</v>
      </c>
      <c r="K2296" t="s">
        <v>22701</v>
      </c>
      <c r="L2296" t="s">
        <v>57</v>
      </c>
      <c r="M2296" t="s">
        <v>39</v>
      </c>
      <c r="N2296">
        <v>0.93910000000000005</v>
      </c>
      <c r="O2296" s="1">
        <v>1</v>
      </c>
      <c r="P2296" t="s">
        <v>22702</v>
      </c>
      <c r="Q2296" t="s">
        <v>22703</v>
      </c>
      <c r="S2296" t="s">
        <v>166</v>
      </c>
      <c r="T2296" t="s">
        <v>838</v>
      </c>
      <c r="U2296" t="s">
        <v>22704</v>
      </c>
      <c r="V2296">
        <v>2</v>
      </c>
      <c r="AE2296" t="s">
        <v>74</v>
      </c>
      <c r="AF2296" t="s">
        <v>967</v>
      </c>
      <c r="AG2296" t="s">
        <v>22705</v>
      </c>
      <c r="AH2296" t="str">
        <f>HYPERLINK("http://compartments.jensenlab.org/Entity?figures=subcell_cell_%&amp;knowledge=10&amp;textmining=10&amp;experiments=10&amp;predictions=10&amp;type1=9606&amp;type2=-22&amp;id1=ENSP00000275216","link")</f>
        <v>link</v>
      </c>
      <c r="AI2296" t="s">
        <v>65</v>
      </c>
      <c r="AJ2296" t="s">
        <v>51</v>
      </c>
      <c r="AK2296" t="str">
        <f>HYPERLINK("http://www.proteinatlas.org/Q96RJ0","HPA055614")</f>
        <v>HPA055614</v>
      </c>
      <c r="AL2296" t="s">
        <v>22706</v>
      </c>
      <c r="AM2296">
        <v>134864</v>
      </c>
    </row>
    <row r="2297" spans="1:39" x14ac:dyDescent="0.35">
      <c r="A2297" t="s">
        <v>22707</v>
      </c>
      <c r="B2297" t="str">
        <f>HYPERLINK("http://www.uniprot.org/uniprot/Q96RL6","Q96RL6")</f>
        <v>Q96RL6</v>
      </c>
      <c r="C2297" t="s">
        <v>22708</v>
      </c>
      <c r="D2297" t="s">
        <v>22709</v>
      </c>
      <c r="E2297" t="s">
        <v>39</v>
      </c>
      <c r="F2297" t="s">
        <v>40</v>
      </c>
      <c r="H2297">
        <v>698</v>
      </c>
      <c r="I2297">
        <v>1</v>
      </c>
      <c r="J2297">
        <v>1</v>
      </c>
      <c r="K2297" t="s">
        <v>22710</v>
      </c>
      <c r="L2297" t="s">
        <v>57</v>
      </c>
      <c r="N2297">
        <v>0.85829999999999995</v>
      </c>
      <c r="O2297" s="1">
        <v>1</v>
      </c>
      <c r="P2297" t="s">
        <v>22711</v>
      </c>
      <c r="Q2297" t="s">
        <v>22712</v>
      </c>
      <c r="S2297" t="s">
        <v>91</v>
      </c>
      <c r="T2297" t="s">
        <v>555</v>
      </c>
      <c r="U2297" t="s">
        <v>22713</v>
      </c>
      <c r="V2297">
        <v>7</v>
      </c>
      <c r="Y2297">
        <v>403</v>
      </c>
      <c r="AE2297" t="s">
        <v>144</v>
      </c>
      <c r="AF2297" t="s">
        <v>22714</v>
      </c>
      <c r="AG2297" t="s">
        <v>22715</v>
      </c>
      <c r="AH2297" t="str">
        <f>HYPERLINK("http://compartments.jensenlab.org/Entity?figures=subcell_cell_%&amp;knowledge=10&amp;textmining=10&amp;experiments=10&amp;predictions=10&amp;type1=9606&amp;type2=-22&amp;id1=ENSP00000412361","link")</f>
        <v>link</v>
      </c>
      <c r="AJ2297" t="s">
        <v>51</v>
      </c>
      <c r="AK2297" t="str">
        <f>HYPERLINK("http://www.proteinatlas.org/Q96RL6","HPA060278")</f>
        <v>HPA060278</v>
      </c>
      <c r="AM2297">
        <v>114132</v>
      </c>
    </row>
    <row r="2298" spans="1:39" x14ac:dyDescent="0.35">
      <c r="A2298" t="s">
        <v>22716</v>
      </c>
      <c r="B2298" t="str">
        <f>HYPERLINK("http://www.uniprot.org/uniprot/Q96RN1","Q96RN1")</f>
        <v>Q96RN1</v>
      </c>
      <c r="C2298" t="s">
        <v>22717</v>
      </c>
      <c r="D2298" t="s">
        <v>22718</v>
      </c>
      <c r="E2298" t="s">
        <v>39</v>
      </c>
      <c r="F2298" t="s">
        <v>40</v>
      </c>
      <c r="H2298">
        <v>970</v>
      </c>
      <c r="I2298">
        <v>12</v>
      </c>
      <c r="J2298">
        <v>0</v>
      </c>
      <c r="K2298" t="s">
        <v>22719</v>
      </c>
      <c r="L2298" t="s">
        <v>57</v>
      </c>
      <c r="N2298">
        <v>0.66669999999999996</v>
      </c>
      <c r="O2298" s="1">
        <v>2</v>
      </c>
      <c r="P2298" t="s">
        <v>22720</v>
      </c>
      <c r="Q2298" t="s">
        <v>22721</v>
      </c>
      <c r="S2298" t="s">
        <v>45</v>
      </c>
      <c r="T2298" t="s">
        <v>1861</v>
      </c>
      <c r="U2298" t="s">
        <v>22722</v>
      </c>
      <c r="V2298">
        <v>1</v>
      </c>
      <c r="AE2298" t="s">
        <v>48</v>
      </c>
      <c r="AF2298" t="s">
        <v>22723</v>
      </c>
      <c r="AG2298" t="s">
        <v>22724</v>
      </c>
      <c r="AH2298" t="str">
        <f>HYPERLINK("http://compartments.jensenlab.org/Entity?figures=subcell_cell_%&amp;knowledge=10&amp;textmining=10&amp;experiments=10&amp;predictions=10&amp;type1=9606&amp;type2=-22&amp;id1=ENSP00000347778","link")</f>
        <v>link</v>
      </c>
      <c r="AI2298" t="s">
        <v>65</v>
      </c>
      <c r="AJ2298" t="s">
        <v>51</v>
      </c>
      <c r="AK2298" t="str">
        <f>HYPERLINK("http://www.proteinatlas.org/Q96RN1","HPA038080;HPA038081")</f>
        <v>HPA038080;HPA038081</v>
      </c>
      <c r="AM2298">
        <v>116369</v>
      </c>
    </row>
    <row r="2299" spans="1:39" x14ac:dyDescent="0.35">
      <c r="A2299" t="s">
        <v>22725</v>
      </c>
      <c r="B2299" t="str">
        <f>HYPERLINK("http://www.uniprot.org/uniprot/Q96RV3","Q96RV3")</f>
        <v>Q96RV3</v>
      </c>
      <c r="C2299" t="s">
        <v>22726</v>
      </c>
      <c r="D2299" t="s">
        <v>22727</v>
      </c>
      <c r="E2299" t="s">
        <v>39</v>
      </c>
      <c r="F2299" t="s">
        <v>40</v>
      </c>
      <c r="H2299">
        <v>2341</v>
      </c>
      <c r="I2299">
        <v>15</v>
      </c>
      <c r="J2299">
        <v>0</v>
      </c>
      <c r="K2299" t="s">
        <v>22728</v>
      </c>
      <c r="L2299" t="s">
        <v>42</v>
      </c>
      <c r="N2299">
        <v>0.71660000000000001</v>
      </c>
      <c r="O2299" s="1">
        <v>2</v>
      </c>
      <c r="P2299" t="s">
        <v>22729</v>
      </c>
      <c r="Q2299" t="s">
        <v>22730</v>
      </c>
      <c r="S2299" t="s">
        <v>60</v>
      </c>
      <c r="T2299" t="s">
        <v>60</v>
      </c>
      <c r="U2299" t="s">
        <v>22731</v>
      </c>
      <c r="V2299">
        <v>8</v>
      </c>
      <c r="Y2299" t="s">
        <v>22732</v>
      </c>
      <c r="AE2299" t="s">
        <v>48</v>
      </c>
      <c r="AF2299" t="s">
        <v>472</v>
      </c>
      <c r="AG2299" t="s">
        <v>22733</v>
      </c>
      <c r="AH2299" t="str">
        <f>HYPERLINK("http://compartments.jensenlab.org/Entity?figures=subcell_cell_%&amp;knowledge=10&amp;textmining=10&amp;experiments=10&amp;predictions=10&amp;type1=9606&amp;type2=-22&amp;id1=ENSP00000304192","link")</f>
        <v>link</v>
      </c>
      <c r="AJ2299" t="s">
        <v>51</v>
      </c>
      <c r="AK2299" t="str">
        <f>HYPERLINK("http://www.proteinatlas.org/Q96RV3","HPA053532")</f>
        <v>HPA053532</v>
      </c>
      <c r="AM2299">
        <v>22990</v>
      </c>
    </row>
    <row r="2300" spans="1:39" x14ac:dyDescent="0.35">
      <c r="A2300" t="s">
        <v>22734</v>
      </c>
      <c r="B2300" t="str">
        <f>HYPERLINK("http://www.uniprot.org/uniprot/Q96S37","Q96S37")</f>
        <v>Q96S37</v>
      </c>
      <c r="C2300" t="s">
        <v>22735</v>
      </c>
      <c r="D2300" t="s">
        <v>22736</v>
      </c>
      <c r="E2300" t="s">
        <v>39</v>
      </c>
      <c r="F2300" t="s">
        <v>55</v>
      </c>
      <c r="H2300">
        <v>553</v>
      </c>
      <c r="I2300">
        <v>11</v>
      </c>
      <c r="J2300">
        <v>0</v>
      </c>
      <c r="K2300" t="s">
        <v>22737</v>
      </c>
      <c r="L2300" t="s">
        <v>42</v>
      </c>
      <c r="M2300" t="s">
        <v>39</v>
      </c>
      <c r="N2300">
        <v>0.26369999999999999</v>
      </c>
      <c r="O2300" s="1"/>
      <c r="P2300" t="s">
        <v>22738</v>
      </c>
      <c r="Q2300" t="s">
        <v>22739</v>
      </c>
      <c r="S2300" t="s">
        <v>45</v>
      </c>
      <c r="T2300" t="s">
        <v>121</v>
      </c>
      <c r="U2300" t="s">
        <v>22740</v>
      </c>
      <c r="V2300">
        <v>0</v>
      </c>
      <c r="AE2300" t="s">
        <v>74</v>
      </c>
      <c r="AF2300" t="s">
        <v>22741</v>
      </c>
      <c r="AG2300" t="s">
        <v>22742</v>
      </c>
      <c r="AH2300" t="str">
        <f>HYPERLINK("http://compartments.jensenlab.org/Entity?figures=subcell_cell_%&amp;knowledge=10&amp;textmining=10&amp;experiments=10&amp;predictions=10&amp;type1=9606&amp;type2=-22&amp;id1=ENSP00000366797","link")</f>
        <v>link</v>
      </c>
      <c r="AI2300" t="s">
        <v>65</v>
      </c>
      <c r="AJ2300" t="s">
        <v>51</v>
      </c>
      <c r="AK2300" t="str">
        <f>HYPERLINK("http://www.proteinatlas.org/Q96S37","HPA024575")</f>
        <v>HPA024575</v>
      </c>
      <c r="AM2300">
        <v>116085</v>
      </c>
    </row>
    <row r="2301" spans="1:39" x14ac:dyDescent="0.35">
      <c r="A2301" t="s">
        <v>22743</v>
      </c>
      <c r="B2301" t="str">
        <f>HYPERLINK("http://www.uniprot.org/uniprot/Q96S97","Q96S97")</f>
        <v>Q96S97</v>
      </c>
      <c r="C2301" t="s">
        <v>22744</v>
      </c>
      <c r="D2301" t="s">
        <v>22745</v>
      </c>
      <c r="E2301" t="s">
        <v>39</v>
      </c>
      <c r="F2301" t="s">
        <v>40</v>
      </c>
      <c r="H2301">
        <v>322</v>
      </c>
      <c r="I2301">
        <v>8</v>
      </c>
      <c r="J2301">
        <v>0</v>
      </c>
      <c r="K2301" t="s">
        <v>22746</v>
      </c>
      <c r="L2301" t="s">
        <v>42</v>
      </c>
      <c r="N2301">
        <v>0.63870000000000005</v>
      </c>
      <c r="O2301" s="1">
        <v>2</v>
      </c>
      <c r="P2301" t="s">
        <v>22747</v>
      </c>
      <c r="Q2301" t="s">
        <v>22748</v>
      </c>
      <c r="S2301" t="s">
        <v>91</v>
      </c>
      <c r="T2301" t="s">
        <v>22749</v>
      </c>
      <c r="U2301">
        <v>66</v>
      </c>
      <c r="V2301">
        <v>1</v>
      </c>
      <c r="AE2301" t="s">
        <v>48</v>
      </c>
      <c r="AF2301" t="s">
        <v>22750</v>
      </c>
      <c r="AG2301" t="s">
        <v>22751</v>
      </c>
      <c r="AH2301" t="str">
        <f>HYPERLINK("http://compartments.jensenlab.org/Entity?figures=subcell_cell_%&amp;knowledge=10&amp;textmining=10&amp;experiments=10&amp;predictions=10&amp;type1=9606&amp;type2=-22&amp;id1=ENSP00000337222","link")</f>
        <v>link</v>
      </c>
      <c r="AJ2301" t="s">
        <v>51</v>
      </c>
      <c r="AK2301" t="str">
        <f>HYPERLINK("http://www.proteinatlas.org/Q96S97","HPA056301")</f>
        <v>HPA056301</v>
      </c>
      <c r="AM2301">
        <v>91663</v>
      </c>
    </row>
    <row r="2302" spans="1:39" x14ac:dyDescent="0.35">
      <c r="A2302" t="s">
        <v>22752</v>
      </c>
      <c r="B2302" t="str">
        <f>HYPERLINK("http://www.uniprot.org/uniprot/Q96SA4","Q96SA4")</f>
        <v>Q96SA4</v>
      </c>
      <c r="C2302" t="s">
        <v>22753</v>
      </c>
      <c r="D2302" t="s">
        <v>22754</v>
      </c>
      <c r="E2302" t="s">
        <v>39</v>
      </c>
      <c r="F2302" t="s">
        <v>40</v>
      </c>
      <c r="H2302">
        <v>455</v>
      </c>
      <c r="I2302">
        <v>10</v>
      </c>
      <c r="J2302">
        <v>1</v>
      </c>
      <c r="K2302" t="s">
        <v>22755</v>
      </c>
      <c r="L2302" t="s">
        <v>42</v>
      </c>
      <c r="N2302">
        <v>0.76249999999999996</v>
      </c>
      <c r="O2302" s="1">
        <v>1</v>
      </c>
      <c r="P2302" t="s">
        <v>22756</v>
      </c>
      <c r="Q2302" t="s">
        <v>22757</v>
      </c>
      <c r="S2302" t="s">
        <v>45</v>
      </c>
      <c r="T2302" t="s">
        <v>384</v>
      </c>
      <c r="U2302" t="s">
        <v>22758</v>
      </c>
      <c r="V2302">
        <v>1</v>
      </c>
      <c r="AE2302" t="s">
        <v>48</v>
      </c>
      <c r="AF2302" t="s">
        <v>14609</v>
      </c>
      <c r="AG2302" t="s">
        <v>22759</v>
      </c>
      <c r="AH2302" t="str">
        <f>HYPERLINK("http://compartments.jensenlab.org/Entity?figures=subcell_cell_%&amp;knowledge=10&amp;textmining=10&amp;experiments=10&amp;predictions=10&amp;type1=9606&amp;type2=-22&amp;id1=ENSP00000362813","link")</f>
        <v>link</v>
      </c>
      <c r="AJ2302" t="s">
        <v>51</v>
      </c>
      <c r="AK2302" t="str">
        <f>HYPERLINK("http://www.proteinatlas.org/Q96SA4","HPA005974")</f>
        <v>HPA005974</v>
      </c>
      <c r="AM2302">
        <v>347735</v>
      </c>
    </row>
    <row r="2303" spans="1:39" x14ac:dyDescent="0.35">
      <c r="A2303" t="s">
        <v>22760</v>
      </c>
      <c r="B2303" t="str">
        <f>HYPERLINK("http://www.uniprot.org/uniprot/Q96SJ8","Q96SJ8")</f>
        <v>Q96SJ8</v>
      </c>
      <c r="C2303" t="s">
        <v>22761</v>
      </c>
      <c r="D2303" t="s">
        <v>22762</v>
      </c>
      <c r="E2303" t="s">
        <v>39</v>
      </c>
      <c r="F2303" t="s">
        <v>40</v>
      </c>
      <c r="H2303">
        <v>248</v>
      </c>
      <c r="I2303">
        <v>4</v>
      </c>
      <c r="J2303">
        <v>0</v>
      </c>
      <c r="K2303" t="s">
        <v>22763</v>
      </c>
      <c r="L2303" t="s">
        <v>101</v>
      </c>
      <c r="N2303">
        <v>0.7026</v>
      </c>
      <c r="O2303" s="1">
        <v>2</v>
      </c>
      <c r="P2303" t="s">
        <v>22764</v>
      </c>
      <c r="Q2303" t="s">
        <v>22765</v>
      </c>
      <c r="S2303" t="s">
        <v>91</v>
      </c>
      <c r="T2303" t="s">
        <v>135</v>
      </c>
      <c r="U2303" t="s">
        <v>22766</v>
      </c>
      <c r="V2303">
        <v>2</v>
      </c>
      <c r="Z2303" t="s">
        <v>123</v>
      </c>
      <c r="AA2303">
        <v>1</v>
      </c>
      <c r="AB2303" t="s">
        <v>22767</v>
      </c>
      <c r="AC2303">
        <v>129</v>
      </c>
      <c r="AD2303" t="s">
        <v>22768</v>
      </c>
      <c r="AE2303" t="s">
        <v>48</v>
      </c>
      <c r="AF2303" t="s">
        <v>83</v>
      </c>
      <c r="AG2303" t="s">
        <v>22769</v>
      </c>
      <c r="AH2303" t="str">
        <f>HYPERLINK("http://compartments.jensenlab.org/Entity?figures=subcell_cell_%&amp;knowledge=10&amp;textmining=10&amp;experiments=10&amp;predictions=10&amp;type1=9606&amp;type2=-22&amp;id1=ENSP00000339820","link")</f>
        <v>link</v>
      </c>
      <c r="AK2303" t="str">
        <f>HYPERLINK("http://www.proteinatlas.org/Q96SJ8","HPA065453")</f>
        <v>HPA065453</v>
      </c>
      <c r="AM2303">
        <v>90139</v>
      </c>
    </row>
    <row r="2304" spans="1:39" x14ac:dyDescent="0.35">
      <c r="A2304" t="s">
        <v>22770</v>
      </c>
      <c r="B2304" t="str">
        <f>HYPERLINK("http://www.uniprot.org/uniprot/Q96SL1","Q96SL1")</f>
        <v>Q96SL1</v>
      </c>
      <c r="C2304" t="s">
        <v>22771</v>
      </c>
      <c r="D2304" t="s">
        <v>22772</v>
      </c>
      <c r="E2304" t="s">
        <v>39</v>
      </c>
      <c r="F2304" t="s">
        <v>40</v>
      </c>
      <c r="H2304">
        <v>478</v>
      </c>
      <c r="I2304">
        <v>12</v>
      </c>
      <c r="J2304">
        <v>0</v>
      </c>
      <c r="K2304" t="s">
        <v>22773</v>
      </c>
      <c r="L2304" t="s">
        <v>57</v>
      </c>
      <c r="N2304">
        <v>0.70660000000000001</v>
      </c>
      <c r="O2304" s="1">
        <v>2</v>
      </c>
      <c r="P2304" t="s">
        <v>22774</v>
      </c>
      <c r="Q2304" t="s">
        <v>22775</v>
      </c>
      <c r="S2304" t="s">
        <v>60</v>
      </c>
      <c r="T2304" t="s">
        <v>60</v>
      </c>
      <c r="U2304" t="s">
        <v>22776</v>
      </c>
      <c r="V2304">
        <v>1</v>
      </c>
      <c r="Y2304" t="s">
        <v>22777</v>
      </c>
      <c r="AE2304" t="s">
        <v>2218</v>
      </c>
      <c r="AF2304" t="s">
        <v>22778</v>
      </c>
      <c r="AG2304" t="s">
        <v>22779</v>
      </c>
      <c r="AH2304" t="str">
        <f>HYPERLINK("http://compartments.jensenlab.org/Entity?figures=subcell_cell_%&amp;knowledge=10&amp;textmining=10&amp;experiments=10&amp;predictions=10&amp;type1=9606&amp;type2=-22&amp;id1=ENSP00000261038","link")</f>
        <v>link</v>
      </c>
      <c r="AJ2304" t="s">
        <v>51</v>
      </c>
      <c r="AK2304" t="str">
        <f>HYPERLINK("http://www.proteinatlas.org/Q96SL1","no")</f>
        <v>no</v>
      </c>
      <c r="AM2304">
        <v>84925</v>
      </c>
    </row>
    <row r="2305" spans="1:39" x14ac:dyDescent="0.35">
      <c r="A2305" t="s">
        <v>22780</v>
      </c>
      <c r="B2305" t="str">
        <f>HYPERLINK("http://www.uniprot.org/uniprot/Q96T83","Q96T83")</f>
        <v>Q96T83</v>
      </c>
      <c r="C2305" t="s">
        <v>22781</v>
      </c>
      <c r="D2305" t="s">
        <v>22782</v>
      </c>
      <c r="E2305" t="s">
        <v>39</v>
      </c>
      <c r="F2305" t="s">
        <v>40</v>
      </c>
      <c r="H2305">
        <v>725</v>
      </c>
      <c r="I2305">
        <v>13</v>
      </c>
      <c r="J2305">
        <v>0</v>
      </c>
      <c r="K2305" t="s">
        <v>22783</v>
      </c>
      <c r="L2305" t="s">
        <v>118</v>
      </c>
      <c r="N2305">
        <v>0.77639999999999998</v>
      </c>
      <c r="O2305" s="1">
        <v>1</v>
      </c>
      <c r="P2305" t="s">
        <v>22784</v>
      </c>
      <c r="Q2305" t="s">
        <v>22785</v>
      </c>
      <c r="S2305" t="s">
        <v>45</v>
      </c>
      <c r="T2305" t="s">
        <v>6330</v>
      </c>
      <c r="U2305" t="s">
        <v>22786</v>
      </c>
      <c r="V2305">
        <v>3</v>
      </c>
      <c r="Z2305" t="s">
        <v>123</v>
      </c>
      <c r="AA2305">
        <v>1</v>
      </c>
      <c r="AB2305" t="s">
        <v>22787</v>
      </c>
      <c r="AC2305">
        <v>145</v>
      </c>
      <c r="AD2305" t="s">
        <v>22788</v>
      </c>
      <c r="AE2305" t="s">
        <v>22789</v>
      </c>
      <c r="AF2305" t="s">
        <v>22790</v>
      </c>
      <c r="AG2305" t="s">
        <v>22791</v>
      </c>
      <c r="AH2305" t="str">
        <f>HYPERLINK("http://compartments.jensenlab.org/Entity?figures=subcell_cell_%&amp;knowledge=10&amp;textmining=10&amp;experiments=10&amp;predictions=10&amp;type1=9606&amp;type2=-22&amp;id1=ENSP00000330320","link")</f>
        <v>link</v>
      </c>
      <c r="AI2305" t="s">
        <v>6033</v>
      </c>
      <c r="AJ2305" t="s">
        <v>16467</v>
      </c>
      <c r="AK2305" t="str">
        <f>HYPERLINK("http://www.proteinatlas.org/Q96T83","HPA048938")</f>
        <v>HPA048938</v>
      </c>
      <c r="AM2305">
        <v>84679</v>
      </c>
    </row>
    <row r="2306" spans="1:39" x14ac:dyDescent="0.35">
      <c r="A2306" t="s">
        <v>22792</v>
      </c>
      <c r="B2306" t="str">
        <f>HYPERLINK("http://www.uniprot.org/uniprot/Q99062","Q99062")</f>
        <v>Q99062</v>
      </c>
      <c r="C2306" t="s">
        <v>22793</v>
      </c>
      <c r="D2306" t="s">
        <v>22794</v>
      </c>
      <c r="E2306" t="s">
        <v>39</v>
      </c>
      <c r="F2306" t="s">
        <v>40</v>
      </c>
      <c r="H2306">
        <v>836</v>
      </c>
      <c r="I2306">
        <v>1</v>
      </c>
      <c r="J2306">
        <v>1</v>
      </c>
      <c r="K2306" t="s">
        <v>22795</v>
      </c>
      <c r="L2306" t="s">
        <v>57</v>
      </c>
      <c r="N2306">
        <v>0.95609999999999995</v>
      </c>
      <c r="O2306" s="1">
        <v>1</v>
      </c>
      <c r="P2306" t="s">
        <v>22796</v>
      </c>
      <c r="Q2306" t="s">
        <v>22797</v>
      </c>
      <c r="R2306" t="s">
        <v>22798</v>
      </c>
      <c r="S2306" t="s">
        <v>166</v>
      </c>
      <c r="T2306" t="s">
        <v>3171</v>
      </c>
      <c r="U2306" t="s">
        <v>22799</v>
      </c>
      <c r="V2306">
        <v>9</v>
      </c>
      <c r="W2306" t="s">
        <v>22799</v>
      </c>
      <c r="X2306" t="s">
        <v>22800</v>
      </c>
      <c r="Y2306" t="s">
        <v>22801</v>
      </c>
      <c r="AE2306" t="s">
        <v>1250</v>
      </c>
      <c r="AF2306" t="s">
        <v>22802</v>
      </c>
      <c r="AG2306" t="s">
        <v>22803</v>
      </c>
      <c r="AH2306" t="str">
        <f>HYPERLINK("http://compartments.jensenlab.org/Entity?figures=subcell_cell_%&amp;knowledge=10&amp;textmining=10&amp;experiments=10&amp;predictions=10&amp;type1=9606&amp;type2=-22&amp;id1=ENSP00000355406","link")</f>
        <v>link</v>
      </c>
      <c r="AK2306" t="str">
        <f>HYPERLINK("http://www.proteinatlas.org/Q99062","CAB017116;HPA048086")</f>
        <v>CAB017116;HPA048086</v>
      </c>
      <c r="AL2306" t="s">
        <v>22804</v>
      </c>
      <c r="AM2306">
        <v>1441</v>
      </c>
    </row>
    <row r="2307" spans="1:39" x14ac:dyDescent="0.35">
      <c r="A2307" t="s">
        <v>22805</v>
      </c>
      <c r="B2307" t="str">
        <f>HYPERLINK("http://www.uniprot.org/uniprot/Q99075","Q99075")</f>
        <v>Q99075</v>
      </c>
      <c r="C2307" t="s">
        <v>22806</v>
      </c>
      <c r="D2307" t="s">
        <v>22807</v>
      </c>
      <c r="E2307" t="s">
        <v>39</v>
      </c>
      <c r="F2307" t="s">
        <v>55</v>
      </c>
      <c r="H2307">
        <v>208</v>
      </c>
      <c r="I2307">
        <v>1</v>
      </c>
      <c r="J2307">
        <v>1</v>
      </c>
      <c r="K2307" t="s">
        <v>22808</v>
      </c>
      <c r="L2307" t="s">
        <v>57</v>
      </c>
      <c r="M2307" t="s">
        <v>39</v>
      </c>
      <c r="N2307">
        <v>0.58640000000000003</v>
      </c>
      <c r="O2307" s="1">
        <v>2</v>
      </c>
      <c r="P2307" t="s">
        <v>22809</v>
      </c>
      <c r="Q2307" t="s">
        <v>22810</v>
      </c>
      <c r="S2307" t="s">
        <v>60</v>
      </c>
      <c r="T2307" t="s">
        <v>60</v>
      </c>
      <c r="V2307">
        <v>0</v>
      </c>
      <c r="X2307" t="s">
        <v>22811</v>
      </c>
      <c r="AE2307" t="s">
        <v>1373</v>
      </c>
      <c r="AF2307" t="s">
        <v>22812</v>
      </c>
      <c r="AG2307" t="s">
        <v>22813</v>
      </c>
      <c r="AH2307" t="str">
        <f>HYPERLINK("http://compartments.jensenlab.org/Entity?figures=subcell_cell_%&amp;knowledge=10&amp;textmining=10&amp;experiments=10&amp;predictions=10&amp;type1=9606&amp;type2=-22&amp;id1=ENSP00000230990","link")</f>
        <v>link</v>
      </c>
      <c r="AI2307" t="s">
        <v>1058</v>
      </c>
      <c r="AJ2307" t="s">
        <v>902</v>
      </c>
      <c r="AK2307" t="str">
        <f>HYPERLINK("http://www.proteinatlas.org/Q99075","HPA053243")</f>
        <v>HPA053243</v>
      </c>
      <c r="AM2307">
        <v>1839</v>
      </c>
    </row>
    <row r="2308" spans="1:39" x14ac:dyDescent="0.35">
      <c r="A2308" t="s">
        <v>22814</v>
      </c>
      <c r="B2308" t="str">
        <f>HYPERLINK("http://www.uniprot.org/uniprot/Q99102","Q99102")</f>
        <v>Q99102</v>
      </c>
      <c r="C2308" t="s">
        <v>22815</v>
      </c>
      <c r="D2308" t="s">
        <v>22816</v>
      </c>
      <c r="E2308" t="s">
        <v>39</v>
      </c>
      <c r="F2308" t="s">
        <v>55</v>
      </c>
      <c r="H2308">
        <v>2169</v>
      </c>
      <c r="I2308">
        <v>1</v>
      </c>
      <c r="J2308">
        <v>1</v>
      </c>
      <c r="K2308" t="s">
        <v>22817</v>
      </c>
      <c r="L2308" t="s">
        <v>118</v>
      </c>
      <c r="M2308" t="s">
        <v>39</v>
      </c>
      <c r="N2308">
        <v>0.81220000000000003</v>
      </c>
      <c r="O2308" s="1">
        <v>1</v>
      </c>
      <c r="P2308" t="s">
        <v>22818</v>
      </c>
      <c r="S2308" t="s">
        <v>60</v>
      </c>
      <c r="T2308" t="s">
        <v>60</v>
      </c>
      <c r="U2308" t="s">
        <v>22819</v>
      </c>
      <c r="V2308">
        <v>25</v>
      </c>
      <c r="W2308" t="s">
        <v>22820</v>
      </c>
      <c r="X2308" t="s">
        <v>22821</v>
      </c>
      <c r="Y2308" t="s">
        <v>22822</v>
      </c>
      <c r="Z2308" t="s">
        <v>107</v>
      </c>
      <c r="AA2308">
        <v>11</v>
      </c>
      <c r="AB2308" t="s">
        <v>22823</v>
      </c>
      <c r="AC2308" t="s">
        <v>22824</v>
      </c>
      <c r="AD2308" t="s">
        <v>22825</v>
      </c>
      <c r="AE2308" t="s">
        <v>22826</v>
      </c>
      <c r="AF2308" t="s">
        <v>22827</v>
      </c>
      <c r="AG2308" t="s">
        <v>22828</v>
      </c>
      <c r="AK2308" t="str">
        <f>HYPERLINK("http://www.proteinatlas.org/Q99102","HPA005895;CAB013536")</f>
        <v>HPA005895;CAB013536</v>
      </c>
      <c r="AM2308">
        <v>4585</v>
      </c>
    </row>
    <row r="2309" spans="1:39" x14ac:dyDescent="0.35">
      <c r="A2309" t="s">
        <v>22829</v>
      </c>
      <c r="B2309" t="str">
        <f>HYPERLINK("http://www.uniprot.org/uniprot/Q99250","Q99250")</f>
        <v>Q99250</v>
      </c>
      <c r="C2309" t="s">
        <v>22830</v>
      </c>
      <c r="D2309" t="s">
        <v>22831</v>
      </c>
      <c r="E2309" t="s">
        <v>39</v>
      </c>
      <c r="F2309" t="s">
        <v>40</v>
      </c>
      <c r="H2309">
        <v>2005</v>
      </c>
      <c r="I2309">
        <v>24</v>
      </c>
      <c r="J2309">
        <v>0</v>
      </c>
      <c r="K2309" t="s">
        <v>22832</v>
      </c>
      <c r="L2309" t="s">
        <v>101</v>
      </c>
      <c r="N2309">
        <v>0.74050000000000005</v>
      </c>
      <c r="O2309" s="1">
        <v>2</v>
      </c>
      <c r="P2309" t="s">
        <v>22833</v>
      </c>
      <c r="Q2309" t="s">
        <v>22834</v>
      </c>
      <c r="S2309" t="s">
        <v>45</v>
      </c>
      <c r="T2309" t="s">
        <v>8727</v>
      </c>
      <c r="U2309" t="s">
        <v>22835</v>
      </c>
      <c r="V2309">
        <v>10</v>
      </c>
      <c r="W2309" t="s">
        <v>22836</v>
      </c>
      <c r="Z2309" t="s">
        <v>123</v>
      </c>
      <c r="AA2309">
        <v>1</v>
      </c>
      <c r="AB2309" t="s">
        <v>22837</v>
      </c>
      <c r="AC2309">
        <v>1393</v>
      </c>
      <c r="AD2309" t="s">
        <v>22838</v>
      </c>
      <c r="AE2309" t="s">
        <v>74</v>
      </c>
      <c r="AF2309" t="s">
        <v>22839</v>
      </c>
      <c r="AG2309" t="s">
        <v>22840</v>
      </c>
      <c r="AH2309" t="str">
        <f>HYPERLINK("http://compartments.jensenlab.org/Entity?figures=subcell_cell_%&amp;knowledge=10&amp;textmining=10&amp;experiments=10&amp;predictions=10&amp;type1=9606&amp;type2=-22&amp;id1=ENSP00000283256","link")</f>
        <v>link</v>
      </c>
      <c r="AJ2309" t="s">
        <v>51</v>
      </c>
      <c r="AK2309" t="str">
        <f>HYPERLINK("http://www.proteinatlas.org/Q99250","CAB022567")</f>
        <v>CAB022567</v>
      </c>
      <c r="AL2309" t="s">
        <v>22841</v>
      </c>
      <c r="AM2309">
        <v>6326</v>
      </c>
    </row>
    <row r="2310" spans="1:39" x14ac:dyDescent="0.35">
      <c r="A2310" t="s">
        <v>22842</v>
      </c>
      <c r="B2310" t="str">
        <f>HYPERLINK("http://www.uniprot.org/uniprot/Q99445","Q99445")</f>
        <v>Q99445</v>
      </c>
      <c r="C2310" t="s">
        <v>22843</v>
      </c>
      <c r="D2310" t="s">
        <v>22844</v>
      </c>
      <c r="E2310" t="s">
        <v>39</v>
      </c>
      <c r="F2310" t="s">
        <v>239</v>
      </c>
      <c r="H2310">
        <v>158</v>
      </c>
      <c r="I2310">
        <v>0</v>
      </c>
      <c r="J2310">
        <v>1</v>
      </c>
      <c r="K2310" t="s">
        <v>22845</v>
      </c>
      <c r="L2310" t="s">
        <v>57</v>
      </c>
      <c r="N2310">
        <v>0.71260000000000001</v>
      </c>
      <c r="O2310" s="1" t="s">
        <v>241</v>
      </c>
      <c r="P2310" t="s">
        <v>22846</v>
      </c>
      <c r="Q2310" t="s">
        <v>22847</v>
      </c>
      <c r="U2310" t="s">
        <v>22848</v>
      </c>
      <c r="V2310">
        <v>2</v>
      </c>
      <c r="W2310" t="s">
        <v>22848</v>
      </c>
      <c r="AE2310" t="s">
        <v>243</v>
      </c>
      <c r="AF2310" t="s">
        <v>3453</v>
      </c>
      <c r="AG2310" t="s">
        <v>22849</v>
      </c>
      <c r="AH2310" t="str">
        <f>HYPERLINK("http://compartments.jensenlab.org/Entity?figures=subcell_cell_%&amp;knowledge=10&amp;textmining=10&amp;experiments=10&amp;predictions=10&amp;type1=9606&amp;type2=-22&amp;id1=ENSP00000220940","link")</f>
        <v>link</v>
      </c>
      <c r="AI2310" t="s">
        <v>65</v>
      </c>
      <c r="AJ2310" t="s">
        <v>51</v>
      </c>
      <c r="AK2310" t="str">
        <f>HYPERLINK("http://www.proteinatlas.org/Q99445","no")</f>
        <v>no</v>
      </c>
      <c r="AM2310">
        <v>2765</v>
      </c>
    </row>
    <row r="2311" spans="1:39" x14ac:dyDescent="0.35">
      <c r="A2311" t="s">
        <v>22850</v>
      </c>
      <c r="B2311" t="str">
        <f>HYPERLINK("http://www.uniprot.org/uniprot/Q99463","Q99463")</f>
        <v>Q99463</v>
      </c>
      <c r="C2311" t="s">
        <v>22851</v>
      </c>
      <c r="D2311" t="s">
        <v>22852</v>
      </c>
      <c r="E2311" t="s">
        <v>39</v>
      </c>
      <c r="F2311" t="s">
        <v>40</v>
      </c>
      <c r="H2311">
        <v>290</v>
      </c>
      <c r="I2311">
        <v>6</v>
      </c>
      <c r="J2311">
        <v>0</v>
      </c>
      <c r="K2311" t="s">
        <v>22853</v>
      </c>
      <c r="L2311" t="s">
        <v>57</v>
      </c>
      <c r="N2311">
        <v>0.91020000000000001</v>
      </c>
      <c r="O2311" s="1">
        <v>1</v>
      </c>
      <c r="S2311" t="s">
        <v>166</v>
      </c>
      <c r="T2311" t="s">
        <v>838</v>
      </c>
      <c r="U2311" t="s">
        <v>22854</v>
      </c>
      <c r="V2311">
        <v>3</v>
      </c>
      <c r="W2311" t="s">
        <v>22855</v>
      </c>
      <c r="AE2311" t="s">
        <v>48</v>
      </c>
      <c r="AF2311" t="s">
        <v>22856</v>
      </c>
      <c r="AG2311" t="s">
        <v>22857</v>
      </c>
      <c r="AK2311" t="str">
        <f>HYPERLINK("http://www.proteinatlas.org/Q99463","no")</f>
        <v>no</v>
      </c>
    </row>
    <row r="2312" spans="1:39" x14ac:dyDescent="0.35">
      <c r="A2312" t="s">
        <v>22858</v>
      </c>
      <c r="B2312" t="str">
        <f>HYPERLINK("http://www.uniprot.org/uniprot/Q99466","Q99466")</f>
        <v>Q99466</v>
      </c>
      <c r="C2312" t="s">
        <v>22859</v>
      </c>
      <c r="D2312" t="s">
        <v>22860</v>
      </c>
      <c r="E2312" t="s">
        <v>39</v>
      </c>
      <c r="F2312" t="s">
        <v>40</v>
      </c>
      <c r="H2312">
        <v>2003</v>
      </c>
      <c r="I2312">
        <v>1</v>
      </c>
      <c r="J2312">
        <v>1</v>
      </c>
      <c r="K2312" t="s">
        <v>22861</v>
      </c>
      <c r="L2312" t="s">
        <v>57</v>
      </c>
      <c r="N2312">
        <v>0.8004</v>
      </c>
      <c r="O2312" s="1">
        <v>1</v>
      </c>
      <c r="P2312" t="s">
        <v>22862</v>
      </c>
      <c r="Q2312" t="s">
        <v>22863</v>
      </c>
      <c r="S2312" t="s">
        <v>166</v>
      </c>
      <c r="T2312" t="s">
        <v>9652</v>
      </c>
      <c r="U2312" t="s">
        <v>22864</v>
      </c>
      <c r="V2312">
        <v>4</v>
      </c>
      <c r="W2312" t="s">
        <v>22865</v>
      </c>
      <c r="X2312" t="s">
        <v>22866</v>
      </c>
      <c r="Y2312">
        <v>306</v>
      </c>
      <c r="AE2312" t="s">
        <v>9658</v>
      </c>
      <c r="AF2312" t="s">
        <v>22867</v>
      </c>
      <c r="AG2312" t="s">
        <v>22868</v>
      </c>
      <c r="AH2312" t="str">
        <f>HYPERLINK("http://compartments.jensenlab.org/Entity?figures=subcell_cell_%&amp;knowledge=10&amp;textmining=10&amp;experiments=10&amp;predictions=10&amp;type1=9606&amp;type2=-22&amp;id1=ENSP00000364163","link")</f>
        <v>link</v>
      </c>
      <c r="AI2312" t="s">
        <v>7719</v>
      </c>
      <c r="AJ2312" t="s">
        <v>11937</v>
      </c>
      <c r="AK2312" t="str">
        <f>HYPERLINK("http://www.proteinatlas.org/Q99466","no")</f>
        <v>no</v>
      </c>
      <c r="AM2312">
        <v>4855</v>
      </c>
    </row>
    <row r="2313" spans="1:39" x14ac:dyDescent="0.35">
      <c r="A2313" t="s">
        <v>22869</v>
      </c>
      <c r="B2313" t="str">
        <f>HYPERLINK("http://www.uniprot.org/uniprot/Q99467","Q99467")</f>
        <v>Q99467</v>
      </c>
      <c r="C2313" t="s">
        <v>22870</v>
      </c>
      <c r="D2313" t="s">
        <v>22871</v>
      </c>
      <c r="E2313" t="s">
        <v>39</v>
      </c>
      <c r="F2313" t="s">
        <v>55</v>
      </c>
      <c r="H2313">
        <v>661</v>
      </c>
      <c r="I2313">
        <v>1</v>
      </c>
      <c r="J2313">
        <v>1</v>
      </c>
      <c r="K2313" t="s">
        <v>22872</v>
      </c>
      <c r="L2313" t="s">
        <v>101</v>
      </c>
      <c r="M2313" t="s">
        <v>39</v>
      </c>
      <c r="N2313">
        <v>0.64570000000000005</v>
      </c>
      <c r="O2313" s="1">
        <v>2</v>
      </c>
      <c r="P2313" t="s">
        <v>22873</v>
      </c>
      <c r="Q2313" t="s">
        <v>22874</v>
      </c>
      <c r="R2313" t="s">
        <v>22871</v>
      </c>
      <c r="S2313" t="s">
        <v>166</v>
      </c>
      <c r="T2313" t="s">
        <v>848</v>
      </c>
      <c r="U2313" t="s">
        <v>22875</v>
      </c>
      <c r="V2313">
        <v>11</v>
      </c>
      <c r="Z2313" t="s">
        <v>107</v>
      </c>
      <c r="AA2313">
        <v>1</v>
      </c>
      <c r="AB2313" t="s">
        <v>22876</v>
      </c>
      <c r="AC2313">
        <v>78</v>
      </c>
      <c r="AD2313" t="s">
        <v>22877</v>
      </c>
      <c r="AE2313" t="s">
        <v>332</v>
      </c>
      <c r="AF2313" t="s">
        <v>22878</v>
      </c>
      <c r="AG2313" t="s">
        <v>22879</v>
      </c>
      <c r="AH2313" t="str">
        <f>HYPERLINK("http://compartments.jensenlab.org/Entity?figures=subcell_cell_%&amp;knowledge=10&amp;textmining=10&amp;experiments=10&amp;predictions=10&amp;type1=9606&amp;type2=-22&amp;id1=ENSP00000256447","link")</f>
        <v>link</v>
      </c>
      <c r="AI2313" t="s">
        <v>65</v>
      </c>
      <c r="AJ2313" t="s">
        <v>51</v>
      </c>
      <c r="AK2313" t="str">
        <f>HYPERLINK("http://www.proteinatlas.org/Q99467","HPA003740")</f>
        <v>HPA003740</v>
      </c>
      <c r="AM2313">
        <v>4064</v>
      </c>
    </row>
    <row r="2314" spans="1:39" x14ac:dyDescent="0.35">
      <c r="A2314" t="s">
        <v>22880</v>
      </c>
      <c r="B2314" t="str">
        <f>HYPERLINK("http://www.uniprot.org/uniprot/Q99500","Q99500")</f>
        <v>Q99500</v>
      </c>
      <c r="C2314" t="s">
        <v>22881</v>
      </c>
      <c r="D2314" t="s">
        <v>22882</v>
      </c>
      <c r="E2314" t="s">
        <v>39</v>
      </c>
      <c r="F2314" t="s">
        <v>55</v>
      </c>
      <c r="H2314">
        <v>378</v>
      </c>
      <c r="I2314">
        <v>7</v>
      </c>
      <c r="J2314">
        <v>0</v>
      </c>
      <c r="K2314" t="s">
        <v>22883</v>
      </c>
      <c r="L2314" t="s">
        <v>101</v>
      </c>
      <c r="M2314" t="s">
        <v>39</v>
      </c>
      <c r="N2314">
        <v>0.97929999999999995</v>
      </c>
      <c r="O2314" s="1">
        <v>1</v>
      </c>
      <c r="P2314" t="s">
        <v>22884</v>
      </c>
      <c r="Q2314" t="s">
        <v>22885</v>
      </c>
      <c r="S2314" t="s">
        <v>166</v>
      </c>
      <c r="T2314" t="s">
        <v>838</v>
      </c>
      <c r="U2314" t="s">
        <v>22886</v>
      </c>
      <c r="V2314">
        <v>1</v>
      </c>
      <c r="W2314">
        <v>15</v>
      </c>
      <c r="X2314">
        <v>346</v>
      </c>
      <c r="Z2314" t="s">
        <v>107</v>
      </c>
      <c r="AA2314">
        <v>2</v>
      </c>
      <c r="AB2314" t="s">
        <v>22887</v>
      </c>
      <c r="AC2314">
        <v>15</v>
      </c>
      <c r="AD2314" t="s">
        <v>22888</v>
      </c>
      <c r="AE2314" t="s">
        <v>74</v>
      </c>
      <c r="AF2314" t="s">
        <v>910</v>
      </c>
      <c r="AG2314" t="s">
        <v>22889</v>
      </c>
      <c r="AH2314" t="str">
        <f>HYPERLINK("http://compartments.jensenlab.org/Entity?figures=subcell_cell_%&amp;knowledge=10&amp;textmining=10&amp;experiments=10&amp;predictions=10&amp;type1=9606&amp;type2=-22&amp;id1=ENSP00000350878","link")</f>
        <v>link</v>
      </c>
      <c r="AI2314" t="s">
        <v>65</v>
      </c>
      <c r="AJ2314" t="s">
        <v>51</v>
      </c>
      <c r="AK2314" t="str">
        <f>HYPERLINK("http://www.proteinatlas.org/Q99500","HPA059513")</f>
        <v>HPA059513</v>
      </c>
      <c r="AM2314">
        <v>1903</v>
      </c>
    </row>
    <row r="2315" spans="1:39" x14ac:dyDescent="0.35">
      <c r="A2315" t="s">
        <v>22890</v>
      </c>
      <c r="B2315" t="str">
        <f>HYPERLINK("http://www.uniprot.org/uniprot/Q99523","Q99523")</f>
        <v>Q99523</v>
      </c>
      <c r="C2315" t="s">
        <v>22891</v>
      </c>
      <c r="D2315" t="s">
        <v>22892</v>
      </c>
      <c r="E2315" t="s">
        <v>39</v>
      </c>
      <c r="F2315" t="s">
        <v>55</v>
      </c>
      <c r="H2315">
        <v>831</v>
      </c>
      <c r="I2315">
        <v>1</v>
      </c>
      <c r="J2315">
        <v>1</v>
      </c>
      <c r="K2315" t="s">
        <v>22893</v>
      </c>
      <c r="L2315" t="s">
        <v>101</v>
      </c>
      <c r="M2315" t="s">
        <v>39</v>
      </c>
      <c r="N2315">
        <v>0.95879999999999999</v>
      </c>
      <c r="O2315" s="1">
        <v>1</v>
      </c>
      <c r="P2315" t="s">
        <v>22894</v>
      </c>
      <c r="Q2315" t="s">
        <v>22895</v>
      </c>
      <c r="S2315" t="s">
        <v>166</v>
      </c>
      <c r="T2315" t="s">
        <v>21189</v>
      </c>
      <c r="U2315" t="s">
        <v>22896</v>
      </c>
      <c r="V2315">
        <v>6</v>
      </c>
      <c r="W2315" t="s">
        <v>22896</v>
      </c>
      <c r="X2315" t="s">
        <v>22897</v>
      </c>
      <c r="Z2315" t="s">
        <v>107</v>
      </c>
      <c r="AA2315">
        <v>9</v>
      </c>
      <c r="AB2315" t="s">
        <v>22898</v>
      </c>
      <c r="AC2315" t="s">
        <v>22899</v>
      </c>
      <c r="AD2315" t="s">
        <v>22900</v>
      </c>
      <c r="AE2315" t="s">
        <v>22901</v>
      </c>
      <c r="AF2315" t="s">
        <v>22902</v>
      </c>
      <c r="AG2315" t="s">
        <v>22903</v>
      </c>
      <c r="AH2315" t="str">
        <f>HYPERLINK("http://compartments.jensenlab.org/Entity?figures=subcell_cell_%&amp;knowledge=10&amp;textmining=10&amp;experiments=10&amp;predictions=10&amp;type1=9606&amp;type2=-22&amp;id1=ENSP00000256637","link")</f>
        <v>link</v>
      </c>
      <c r="AI2315" t="s">
        <v>22904</v>
      </c>
      <c r="AJ2315" t="s">
        <v>1404</v>
      </c>
      <c r="AK2315" t="str">
        <f>HYPERLINK("http://www.proteinatlas.org/Q99523","HPA006889;CAB011498")</f>
        <v>HPA006889;CAB011498</v>
      </c>
      <c r="AM2315">
        <v>6272</v>
      </c>
    </row>
    <row r="2316" spans="1:39" x14ac:dyDescent="0.35">
      <c r="A2316" t="s">
        <v>22905</v>
      </c>
      <c r="B2316" t="str">
        <f>HYPERLINK("http://www.uniprot.org/uniprot/Q99527","Q99527")</f>
        <v>Q99527</v>
      </c>
      <c r="C2316" t="s">
        <v>22906</v>
      </c>
      <c r="D2316" t="s">
        <v>22907</v>
      </c>
      <c r="E2316" t="s">
        <v>39</v>
      </c>
      <c r="F2316" t="s">
        <v>40</v>
      </c>
      <c r="H2316">
        <v>375</v>
      </c>
      <c r="I2316">
        <v>7</v>
      </c>
      <c r="J2316">
        <v>0</v>
      </c>
      <c r="K2316" t="s">
        <v>22908</v>
      </c>
      <c r="L2316" t="s">
        <v>57</v>
      </c>
      <c r="N2316">
        <v>0.96809999999999996</v>
      </c>
      <c r="O2316" s="1">
        <v>1</v>
      </c>
      <c r="P2316" t="s">
        <v>22909</v>
      </c>
      <c r="Q2316" t="s">
        <v>22910</v>
      </c>
      <c r="S2316" t="s">
        <v>166</v>
      </c>
      <c r="T2316" t="s">
        <v>838</v>
      </c>
      <c r="U2316" t="s">
        <v>22911</v>
      </c>
      <c r="V2316">
        <v>3</v>
      </c>
      <c r="W2316" t="s">
        <v>22912</v>
      </c>
      <c r="AE2316" t="s">
        <v>22913</v>
      </c>
      <c r="AF2316" t="s">
        <v>22914</v>
      </c>
      <c r="AG2316" t="s">
        <v>22915</v>
      </c>
      <c r="AH2316" t="str">
        <f>HYPERLINK("http://compartments.jensenlab.org/Entity?figures=subcell_cell_%&amp;knowledge=10&amp;textmining=10&amp;experiments=10&amp;predictions=10&amp;type1=9606&amp;type2=-22&amp;id1=ENSP00000297469","link")</f>
        <v>link</v>
      </c>
      <c r="AI2316" t="s">
        <v>3445</v>
      </c>
      <c r="AJ2316" t="s">
        <v>981</v>
      </c>
      <c r="AK2316" t="str">
        <f>HYPERLINK("http://www.proteinatlas.org/Q99527","HPA027052")</f>
        <v>HPA027052</v>
      </c>
      <c r="AM2316">
        <v>2852</v>
      </c>
    </row>
    <row r="2317" spans="1:39" x14ac:dyDescent="0.35">
      <c r="A2317" t="s">
        <v>22916</v>
      </c>
      <c r="B2317" t="str">
        <f>HYPERLINK("http://www.uniprot.org/uniprot/Q99571","Q99571")</f>
        <v>Q99571</v>
      </c>
      <c r="C2317" t="s">
        <v>22917</v>
      </c>
      <c r="D2317" t="s">
        <v>22918</v>
      </c>
      <c r="E2317" t="s">
        <v>39</v>
      </c>
      <c r="F2317" t="s">
        <v>40</v>
      </c>
      <c r="H2317">
        <v>388</v>
      </c>
      <c r="I2317">
        <v>2</v>
      </c>
      <c r="J2317">
        <v>0</v>
      </c>
      <c r="K2317" t="s">
        <v>22919</v>
      </c>
      <c r="L2317" t="s">
        <v>101</v>
      </c>
      <c r="N2317">
        <v>0.77449999999999997</v>
      </c>
      <c r="O2317" s="1">
        <v>1</v>
      </c>
      <c r="P2317" t="s">
        <v>22920</v>
      </c>
      <c r="Q2317" t="s">
        <v>22921</v>
      </c>
      <c r="S2317" t="s">
        <v>45</v>
      </c>
      <c r="T2317" t="s">
        <v>1644</v>
      </c>
      <c r="U2317" t="s">
        <v>22922</v>
      </c>
      <c r="V2317">
        <v>7</v>
      </c>
      <c r="W2317" t="s">
        <v>22923</v>
      </c>
      <c r="Z2317" t="s">
        <v>123</v>
      </c>
      <c r="AA2317">
        <v>3</v>
      </c>
      <c r="AB2317" t="s">
        <v>22924</v>
      </c>
      <c r="AC2317" t="s">
        <v>22925</v>
      </c>
      <c r="AD2317" t="s">
        <v>22926</v>
      </c>
      <c r="AE2317" t="s">
        <v>48</v>
      </c>
      <c r="AF2317" t="s">
        <v>22927</v>
      </c>
      <c r="AG2317" t="s">
        <v>22928</v>
      </c>
      <c r="AH2317" t="str">
        <f>HYPERLINK("http://compartments.jensenlab.org/Entity?figures=subcell_cell_%&amp;knowledge=10&amp;textmining=10&amp;experiments=10&amp;predictions=10&amp;type1=9606&amp;type2=-22&amp;id1=ENSP00000336607","link")</f>
        <v>link</v>
      </c>
      <c r="AJ2317" t="s">
        <v>1811</v>
      </c>
      <c r="AK2317" t="str">
        <f>HYPERLINK("http://www.proteinatlas.org/Q99571","HPA039494")</f>
        <v>HPA039494</v>
      </c>
      <c r="AM2317">
        <v>5025</v>
      </c>
    </row>
    <row r="2318" spans="1:39" x14ac:dyDescent="0.35">
      <c r="A2318" t="s">
        <v>22929</v>
      </c>
      <c r="B2318" t="str">
        <f>HYPERLINK("http://www.uniprot.org/uniprot/Q99572","Q99572")</f>
        <v>Q99572</v>
      </c>
      <c r="C2318" t="s">
        <v>22930</v>
      </c>
      <c r="D2318" t="s">
        <v>22931</v>
      </c>
      <c r="E2318" t="s">
        <v>39</v>
      </c>
      <c r="F2318" t="s">
        <v>55</v>
      </c>
      <c r="H2318">
        <v>595</v>
      </c>
      <c r="I2318">
        <v>2</v>
      </c>
      <c r="J2318">
        <v>0</v>
      </c>
      <c r="K2318" t="s">
        <v>22932</v>
      </c>
      <c r="L2318" t="s">
        <v>101</v>
      </c>
      <c r="M2318" t="s">
        <v>39</v>
      </c>
      <c r="N2318">
        <v>0.71589999999999998</v>
      </c>
      <c r="O2318" s="1">
        <v>2</v>
      </c>
      <c r="P2318" t="s">
        <v>22933</v>
      </c>
      <c r="Q2318" t="s">
        <v>22934</v>
      </c>
      <c r="S2318" t="s">
        <v>45</v>
      </c>
      <c r="T2318" t="s">
        <v>1644</v>
      </c>
      <c r="U2318" t="s">
        <v>22935</v>
      </c>
      <c r="V2318">
        <v>5</v>
      </c>
      <c r="W2318" t="s">
        <v>22935</v>
      </c>
      <c r="Z2318" t="s">
        <v>107</v>
      </c>
      <c r="AA2318">
        <v>5</v>
      </c>
      <c r="AB2318" t="s">
        <v>22936</v>
      </c>
      <c r="AC2318" t="s">
        <v>22937</v>
      </c>
      <c r="AD2318" t="s">
        <v>22938</v>
      </c>
      <c r="AE2318" t="s">
        <v>74</v>
      </c>
      <c r="AF2318" t="s">
        <v>22939</v>
      </c>
      <c r="AG2318" t="s">
        <v>22940</v>
      </c>
      <c r="AH2318" t="str">
        <f>HYPERLINK("http://compartments.jensenlab.org/Entity?figures=subcell_cell_%&amp;knowledge=10&amp;textmining=10&amp;experiments=10&amp;predictions=10&amp;type1=9606&amp;type2=-22&amp;id1=ENSP00000330696","link")</f>
        <v>link</v>
      </c>
      <c r="AK2318" t="str">
        <f>HYPERLINK("http://www.proteinatlas.org/Q99572","HPA034968;HPA042013;HPA044141")</f>
        <v>HPA034968;HPA042013;HPA044141</v>
      </c>
      <c r="AM2318">
        <v>5027</v>
      </c>
    </row>
    <row r="2319" spans="1:39" x14ac:dyDescent="0.35">
      <c r="A2319" t="s">
        <v>22941</v>
      </c>
      <c r="B2319" t="str">
        <f>HYPERLINK("http://www.uniprot.org/uniprot/Q99650","Q99650")</f>
        <v>Q99650</v>
      </c>
      <c r="C2319" t="s">
        <v>22942</v>
      </c>
      <c r="D2319" t="s">
        <v>22943</v>
      </c>
      <c r="E2319" t="s">
        <v>39</v>
      </c>
      <c r="F2319" t="s">
        <v>40</v>
      </c>
      <c r="H2319">
        <v>979</v>
      </c>
      <c r="I2319">
        <v>1</v>
      </c>
      <c r="J2319">
        <v>1</v>
      </c>
      <c r="K2319" t="s">
        <v>22944</v>
      </c>
      <c r="L2319" t="s">
        <v>101</v>
      </c>
      <c r="N2319">
        <v>0.86229999999999996</v>
      </c>
      <c r="O2319" s="1">
        <v>1</v>
      </c>
      <c r="P2319" t="s">
        <v>22945</v>
      </c>
      <c r="Q2319" t="s">
        <v>22946</v>
      </c>
      <c r="S2319" t="s">
        <v>166</v>
      </c>
      <c r="T2319" t="s">
        <v>3171</v>
      </c>
      <c r="U2319" t="s">
        <v>22947</v>
      </c>
      <c r="V2319">
        <v>16</v>
      </c>
      <c r="Y2319" t="s">
        <v>22948</v>
      </c>
      <c r="Z2319" t="s">
        <v>107</v>
      </c>
      <c r="AA2319">
        <v>17</v>
      </c>
      <c r="AB2319" t="s">
        <v>22949</v>
      </c>
      <c r="AC2319" t="s">
        <v>22950</v>
      </c>
      <c r="AD2319" t="s">
        <v>22951</v>
      </c>
      <c r="AE2319" t="s">
        <v>144</v>
      </c>
      <c r="AF2319" t="s">
        <v>22952</v>
      </c>
      <c r="AG2319" t="s">
        <v>22953</v>
      </c>
      <c r="AH2319" t="str">
        <f>HYPERLINK("http://compartments.jensenlab.org/Entity?figures=subcell_cell_%&amp;knowledge=10&amp;textmining=10&amp;experiments=10&amp;predictions=10&amp;type1=9606&amp;type2=-22&amp;id1=ENSP00000274276","link")</f>
        <v>link</v>
      </c>
      <c r="AJ2319" t="s">
        <v>51</v>
      </c>
      <c r="AK2319" t="str">
        <f>HYPERLINK("http://www.proteinatlas.org/Q99650","HPA017278")</f>
        <v>HPA017278</v>
      </c>
      <c r="AM2319">
        <v>9180</v>
      </c>
    </row>
    <row r="2320" spans="1:39" x14ac:dyDescent="0.35">
      <c r="A2320" t="s">
        <v>22954</v>
      </c>
      <c r="B2320" t="str">
        <f>HYPERLINK("http://www.uniprot.org/uniprot/Q99665","Q99665")</f>
        <v>Q99665</v>
      </c>
      <c r="C2320" t="s">
        <v>22955</v>
      </c>
      <c r="D2320" t="s">
        <v>22956</v>
      </c>
      <c r="E2320" t="s">
        <v>39</v>
      </c>
      <c r="F2320" t="s">
        <v>40</v>
      </c>
      <c r="H2320">
        <v>862</v>
      </c>
      <c r="I2320">
        <v>1</v>
      </c>
      <c r="J2320">
        <v>1</v>
      </c>
      <c r="K2320" t="s">
        <v>22957</v>
      </c>
      <c r="L2320" t="s">
        <v>57</v>
      </c>
      <c r="N2320">
        <v>0.95609999999999995</v>
      </c>
      <c r="O2320" s="1">
        <v>1</v>
      </c>
      <c r="P2320" t="s">
        <v>22958</v>
      </c>
      <c r="Q2320" t="s">
        <v>22959</v>
      </c>
      <c r="S2320" t="s">
        <v>166</v>
      </c>
      <c r="T2320" t="s">
        <v>3171</v>
      </c>
      <c r="U2320" t="s">
        <v>22960</v>
      </c>
      <c r="V2320">
        <v>9</v>
      </c>
      <c r="W2320" t="s">
        <v>22960</v>
      </c>
      <c r="Y2320">
        <v>305</v>
      </c>
      <c r="AE2320" t="s">
        <v>144</v>
      </c>
      <c r="AF2320" t="s">
        <v>22961</v>
      </c>
      <c r="AG2320" t="s">
        <v>22962</v>
      </c>
      <c r="AH2320" t="str">
        <f>HYPERLINK("http://compartments.jensenlab.org/Entity?figures=subcell_cell_%&amp;knowledge=10&amp;textmining=10&amp;experiments=10&amp;predictions=10&amp;type1=9606&amp;type2=-22&amp;id1=ENSP00000262345","link")</f>
        <v>link</v>
      </c>
      <c r="AJ2320" t="s">
        <v>51</v>
      </c>
      <c r="AK2320" t="str">
        <f>HYPERLINK("http://www.proteinatlas.org/Q99665","HPA024168")</f>
        <v>HPA024168</v>
      </c>
      <c r="AM2320">
        <v>3595</v>
      </c>
    </row>
    <row r="2321" spans="1:39" x14ac:dyDescent="0.35">
      <c r="A2321" t="s">
        <v>22963</v>
      </c>
      <c r="B2321" t="str">
        <f>HYPERLINK("http://www.uniprot.org/uniprot/Q99677","Q99677")</f>
        <v>Q99677</v>
      </c>
      <c r="C2321" t="s">
        <v>22964</v>
      </c>
      <c r="D2321" t="s">
        <v>22965</v>
      </c>
      <c r="E2321" t="s">
        <v>39</v>
      </c>
      <c r="F2321" t="s">
        <v>40</v>
      </c>
      <c r="H2321">
        <v>370</v>
      </c>
      <c r="I2321">
        <v>7</v>
      </c>
      <c r="J2321">
        <v>0</v>
      </c>
      <c r="K2321" t="s">
        <v>22966</v>
      </c>
      <c r="L2321" t="s">
        <v>57</v>
      </c>
      <c r="N2321">
        <v>0.96209999999999996</v>
      </c>
      <c r="O2321" s="1">
        <v>1</v>
      </c>
      <c r="P2321" t="s">
        <v>22967</v>
      </c>
      <c r="Q2321" t="s">
        <v>22968</v>
      </c>
      <c r="S2321" t="s">
        <v>166</v>
      </c>
      <c r="T2321" t="s">
        <v>838</v>
      </c>
      <c r="U2321" t="s">
        <v>22969</v>
      </c>
      <c r="V2321">
        <v>4</v>
      </c>
      <c r="W2321" t="s">
        <v>22970</v>
      </c>
      <c r="AE2321" t="s">
        <v>74</v>
      </c>
      <c r="AF2321" t="s">
        <v>22971</v>
      </c>
      <c r="AG2321" t="s">
        <v>22972</v>
      </c>
      <c r="AH2321" t="str">
        <f>HYPERLINK("http://compartments.jensenlab.org/Entity?figures=subcell_cell_%&amp;knowledge=10&amp;textmining=10&amp;experiments=10&amp;predictions=10&amp;type1=9606&amp;type2=-22&amp;id1=ENSP00000408205","link")</f>
        <v>link</v>
      </c>
      <c r="AK2321" t="str">
        <f>HYPERLINK("http://www.proteinatlas.org/Q99677","HPA054951;HPA055571")</f>
        <v>HPA054951;HPA055571</v>
      </c>
      <c r="AM2321">
        <v>2846</v>
      </c>
    </row>
    <row r="2322" spans="1:39" x14ac:dyDescent="0.35">
      <c r="A2322" t="s">
        <v>22973</v>
      </c>
      <c r="B2322" t="str">
        <f>HYPERLINK("http://www.uniprot.org/uniprot/Q99678","Q99678")</f>
        <v>Q99678</v>
      </c>
      <c r="C2322" t="s">
        <v>22974</v>
      </c>
      <c r="D2322" t="s">
        <v>22975</v>
      </c>
      <c r="E2322" t="s">
        <v>39</v>
      </c>
      <c r="F2322" t="s">
        <v>55</v>
      </c>
      <c r="H2322">
        <v>358</v>
      </c>
      <c r="I2322">
        <v>7</v>
      </c>
      <c r="J2322">
        <v>0</v>
      </c>
      <c r="K2322" t="s">
        <v>22976</v>
      </c>
      <c r="L2322" t="s">
        <v>57</v>
      </c>
      <c r="M2322" t="s">
        <v>39</v>
      </c>
      <c r="N2322">
        <v>0.97350000000000003</v>
      </c>
      <c r="O2322" s="1">
        <v>1</v>
      </c>
      <c r="P2322" t="s">
        <v>22977</v>
      </c>
      <c r="Q2322" t="s">
        <v>22978</v>
      </c>
      <c r="S2322" t="s">
        <v>166</v>
      </c>
      <c r="T2322" t="s">
        <v>838</v>
      </c>
      <c r="U2322" t="s">
        <v>965</v>
      </c>
      <c r="V2322">
        <v>2</v>
      </c>
      <c r="W2322">
        <v>16</v>
      </c>
      <c r="AE2322" t="s">
        <v>74</v>
      </c>
      <c r="AF2322" t="s">
        <v>910</v>
      </c>
      <c r="AG2322" t="s">
        <v>22979</v>
      </c>
      <c r="AH2322" t="str">
        <f>HYPERLINK("http://compartments.jensenlab.org/Entity?figures=subcell_cell_%&amp;knowledge=10&amp;textmining=10&amp;experiments=10&amp;predictions=10&amp;type1=9606&amp;type2=-22&amp;id1=ENSP00000366970","link")</f>
        <v>link</v>
      </c>
      <c r="AI2322" t="s">
        <v>65</v>
      </c>
      <c r="AJ2322" t="s">
        <v>51</v>
      </c>
      <c r="AK2322" t="str">
        <f>HYPERLINK("http://www.proteinatlas.org/Q99678","no")</f>
        <v>no</v>
      </c>
      <c r="AM2322">
        <v>2843</v>
      </c>
    </row>
    <row r="2323" spans="1:39" x14ac:dyDescent="0.35">
      <c r="A2323" t="s">
        <v>22980</v>
      </c>
      <c r="B2323" t="str">
        <f>HYPERLINK("http://www.uniprot.org/uniprot/Q99679","Q99679")</f>
        <v>Q99679</v>
      </c>
      <c r="C2323" t="s">
        <v>22981</v>
      </c>
      <c r="D2323" t="s">
        <v>22982</v>
      </c>
      <c r="E2323" t="s">
        <v>39</v>
      </c>
      <c r="F2323" t="s">
        <v>55</v>
      </c>
      <c r="H2323">
        <v>349</v>
      </c>
      <c r="I2323">
        <v>7</v>
      </c>
      <c r="J2323">
        <v>0</v>
      </c>
      <c r="K2323" t="s">
        <v>22983</v>
      </c>
      <c r="L2323" t="s">
        <v>57</v>
      </c>
      <c r="M2323" t="s">
        <v>39</v>
      </c>
      <c r="N2323">
        <v>0.97709999999999997</v>
      </c>
      <c r="O2323" s="1">
        <v>1</v>
      </c>
      <c r="P2323" t="s">
        <v>22984</v>
      </c>
      <c r="Q2323" t="s">
        <v>22985</v>
      </c>
      <c r="S2323" t="s">
        <v>166</v>
      </c>
      <c r="T2323" t="s">
        <v>838</v>
      </c>
      <c r="U2323" t="s">
        <v>22986</v>
      </c>
      <c r="V2323">
        <v>2</v>
      </c>
      <c r="W2323">
        <v>2</v>
      </c>
      <c r="AE2323" t="s">
        <v>74</v>
      </c>
      <c r="AF2323" t="s">
        <v>13176</v>
      </c>
      <c r="AG2323" t="s">
        <v>22987</v>
      </c>
      <c r="AH2323" t="str">
        <f>HYPERLINK("http://compartments.jensenlab.org/Entity?figures=subcell_cell_%&amp;knowledge=10&amp;textmining=10&amp;experiments=10&amp;predictions=10&amp;type1=9606&amp;type2=-22&amp;id1=ENSP00000362746","link")</f>
        <v>link</v>
      </c>
      <c r="AI2323" t="s">
        <v>65</v>
      </c>
      <c r="AJ2323" t="s">
        <v>51</v>
      </c>
      <c r="AK2323" t="str">
        <f>HYPERLINK("http://www.proteinatlas.org/Q99679","HPA041651")</f>
        <v>HPA041651</v>
      </c>
      <c r="AM2323">
        <v>2844</v>
      </c>
    </row>
    <row r="2324" spans="1:39" x14ac:dyDescent="0.35">
      <c r="A2324" t="s">
        <v>22988</v>
      </c>
      <c r="B2324" t="str">
        <f>HYPERLINK("http://www.uniprot.org/uniprot/Q99680","Q99680")</f>
        <v>Q99680</v>
      </c>
      <c r="C2324" t="s">
        <v>22989</v>
      </c>
      <c r="D2324" t="s">
        <v>22990</v>
      </c>
      <c r="E2324" t="s">
        <v>39</v>
      </c>
      <c r="F2324" t="s">
        <v>55</v>
      </c>
      <c r="H2324">
        <v>433</v>
      </c>
      <c r="I2324">
        <v>7</v>
      </c>
      <c r="J2324">
        <v>0</v>
      </c>
      <c r="K2324" t="s">
        <v>22991</v>
      </c>
      <c r="L2324" t="s">
        <v>57</v>
      </c>
      <c r="M2324" t="s">
        <v>39</v>
      </c>
      <c r="N2324">
        <v>0.96409999999999996</v>
      </c>
      <c r="O2324" s="1">
        <v>1</v>
      </c>
      <c r="P2324" t="s">
        <v>22992</v>
      </c>
      <c r="Q2324" t="s">
        <v>22993</v>
      </c>
      <c r="S2324" t="s">
        <v>166</v>
      </c>
      <c r="T2324" t="s">
        <v>838</v>
      </c>
      <c r="U2324" t="s">
        <v>22994</v>
      </c>
      <c r="V2324">
        <v>3</v>
      </c>
      <c r="W2324" t="s">
        <v>22994</v>
      </c>
      <c r="AE2324" t="s">
        <v>74</v>
      </c>
      <c r="AF2324" t="s">
        <v>13176</v>
      </c>
      <c r="AG2324" t="s">
        <v>22995</v>
      </c>
      <c r="AH2324" t="str">
        <f>HYPERLINK("http://compartments.jensenlab.org/Entity?figures=subcell_cell_%&amp;knowledge=10&amp;textmining=10&amp;experiments=10&amp;predictions=10&amp;type1=9606&amp;type2=-22&amp;id1=ENSP00000302676","link")</f>
        <v>link</v>
      </c>
      <c r="AI2324" t="s">
        <v>65</v>
      </c>
      <c r="AJ2324" t="s">
        <v>51</v>
      </c>
      <c r="AK2324" t="str">
        <f>HYPERLINK("http://www.proteinatlas.org/Q99680","HPA012043")</f>
        <v>HPA012043</v>
      </c>
      <c r="AM2324">
        <v>2845</v>
      </c>
    </row>
    <row r="2325" spans="1:39" x14ac:dyDescent="0.35">
      <c r="A2325" t="s">
        <v>22996</v>
      </c>
      <c r="B2325" t="str">
        <f>HYPERLINK("http://www.uniprot.org/uniprot/Q99705","Q99705")</f>
        <v>Q99705</v>
      </c>
      <c r="C2325" t="s">
        <v>22997</v>
      </c>
      <c r="D2325" t="s">
        <v>22998</v>
      </c>
      <c r="E2325" t="s">
        <v>39</v>
      </c>
      <c r="F2325" t="s">
        <v>55</v>
      </c>
      <c r="H2325">
        <v>422</v>
      </c>
      <c r="I2325">
        <v>7</v>
      </c>
      <c r="J2325">
        <v>0</v>
      </c>
      <c r="K2325" t="s">
        <v>22999</v>
      </c>
      <c r="L2325" t="s">
        <v>57</v>
      </c>
      <c r="M2325" t="s">
        <v>39</v>
      </c>
      <c r="N2325">
        <v>0.99439999999999995</v>
      </c>
      <c r="O2325" s="1">
        <v>1</v>
      </c>
      <c r="P2325" t="s">
        <v>23000</v>
      </c>
      <c r="Q2325" t="s">
        <v>23001</v>
      </c>
      <c r="S2325" t="s">
        <v>166</v>
      </c>
      <c r="T2325" t="s">
        <v>838</v>
      </c>
      <c r="U2325" t="s">
        <v>23002</v>
      </c>
      <c r="V2325">
        <v>3</v>
      </c>
      <c r="W2325" t="s">
        <v>23003</v>
      </c>
      <c r="AE2325" t="s">
        <v>74</v>
      </c>
      <c r="AF2325" t="s">
        <v>910</v>
      </c>
      <c r="AG2325" t="s">
        <v>23004</v>
      </c>
      <c r="AH2325" t="str">
        <f>HYPERLINK("http://compartments.jensenlab.org/Entity?figures=subcell_cell_%&amp;knowledge=10&amp;textmining=10&amp;experiments=10&amp;predictions=10&amp;type1=9606&amp;type2=-22&amp;id1=ENSP00000249016","link")</f>
        <v>link</v>
      </c>
      <c r="AI2325" t="s">
        <v>65</v>
      </c>
      <c r="AJ2325" t="s">
        <v>51</v>
      </c>
      <c r="AK2325" t="str">
        <f>HYPERLINK("http://www.proteinatlas.org/Q99705","HPA004149")</f>
        <v>HPA004149</v>
      </c>
      <c r="AM2325">
        <v>2847</v>
      </c>
    </row>
    <row r="2326" spans="1:39" x14ac:dyDescent="0.35">
      <c r="A2326" t="s">
        <v>23005</v>
      </c>
      <c r="B2326" t="str">
        <f>HYPERLINK("http://www.uniprot.org/uniprot/Q99706","Q99706")</f>
        <v>Q99706</v>
      </c>
      <c r="C2326" t="s">
        <v>23006</v>
      </c>
      <c r="D2326" t="s">
        <v>23007</v>
      </c>
      <c r="E2326" t="s">
        <v>39</v>
      </c>
      <c r="F2326" t="s">
        <v>40</v>
      </c>
      <c r="H2326">
        <v>377</v>
      </c>
      <c r="I2326">
        <v>1</v>
      </c>
      <c r="J2326">
        <v>1</v>
      </c>
      <c r="K2326" t="s">
        <v>23008</v>
      </c>
      <c r="L2326" t="s">
        <v>57</v>
      </c>
      <c r="N2326">
        <v>0.83630000000000004</v>
      </c>
      <c r="O2326" s="1">
        <v>1</v>
      </c>
      <c r="P2326" t="s">
        <v>23009</v>
      </c>
      <c r="Q2326" t="s">
        <v>23010</v>
      </c>
      <c r="R2326" t="s">
        <v>23011</v>
      </c>
      <c r="S2326" t="s">
        <v>166</v>
      </c>
      <c r="T2326" t="s">
        <v>9489</v>
      </c>
      <c r="U2326" t="s">
        <v>23012</v>
      </c>
      <c r="V2326">
        <v>2</v>
      </c>
      <c r="W2326" t="s">
        <v>23012</v>
      </c>
      <c r="AE2326" t="s">
        <v>332</v>
      </c>
      <c r="AF2326" t="s">
        <v>9532</v>
      </c>
      <c r="AG2326" t="s">
        <v>23013</v>
      </c>
      <c r="AH2326" t="str">
        <f>HYPERLINK("http://compartments.jensenlab.org/Entity?figures=subcell_cell_%&amp;knowledge=10&amp;textmining=10&amp;experiments=10&amp;predictions=10&amp;type1=9606&amp;type2=-22&amp;id1=ENSP00000482206","link")</f>
        <v>link</v>
      </c>
      <c r="AK2326" t="str">
        <f>HYPERLINK("http://www.proteinatlas.org/Q99706","no")</f>
        <v>no</v>
      </c>
      <c r="AM2326">
        <v>3805</v>
      </c>
    </row>
    <row r="2327" spans="1:39" x14ac:dyDescent="0.35">
      <c r="A2327" t="s">
        <v>23014</v>
      </c>
      <c r="B2327" t="str">
        <f>HYPERLINK("http://www.uniprot.org/uniprot/Q99758","Q99758")</f>
        <v>Q99758</v>
      </c>
      <c r="C2327" t="s">
        <v>23015</v>
      </c>
      <c r="D2327" t="s">
        <v>23016</v>
      </c>
      <c r="E2327" t="s">
        <v>39</v>
      </c>
      <c r="F2327" t="s">
        <v>40</v>
      </c>
      <c r="H2327">
        <v>1704</v>
      </c>
      <c r="I2327">
        <v>12</v>
      </c>
      <c r="J2327">
        <v>0</v>
      </c>
      <c r="K2327" t="s">
        <v>23017</v>
      </c>
      <c r="L2327" t="s">
        <v>42</v>
      </c>
      <c r="N2327">
        <v>0.5968</v>
      </c>
      <c r="O2327" s="1">
        <v>2</v>
      </c>
      <c r="P2327" t="s">
        <v>23018</v>
      </c>
      <c r="Q2327" t="s">
        <v>23019</v>
      </c>
      <c r="S2327" t="s">
        <v>45</v>
      </c>
      <c r="T2327" t="s">
        <v>3013</v>
      </c>
      <c r="U2327" t="s">
        <v>23020</v>
      </c>
      <c r="V2327">
        <v>5</v>
      </c>
      <c r="Y2327" t="s">
        <v>23021</v>
      </c>
      <c r="AE2327" t="s">
        <v>48</v>
      </c>
      <c r="AF2327" t="s">
        <v>23022</v>
      </c>
      <c r="AG2327" t="s">
        <v>23023</v>
      </c>
      <c r="AH2327" t="str">
        <f>HYPERLINK("http://compartments.jensenlab.org/Entity?figures=subcell_cell_%&amp;knowledge=10&amp;textmining=10&amp;experiments=10&amp;predictions=10&amp;type1=9606&amp;type2=-22&amp;id1=ENSP00000301732","link")</f>
        <v>link</v>
      </c>
      <c r="AI2327" t="s">
        <v>65</v>
      </c>
      <c r="AJ2327" t="s">
        <v>51</v>
      </c>
      <c r="AK2327" t="str">
        <f>HYPERLINK("http://www.proteinatlas.org/Q99758","HPA007884")</f>
        <v>HPA007884</v>
      </c>
      <c r="AM2327">
        <v>21</v>
      </c>
    </row>
    <row r="2328" spans="1:39" x14ac:dyDescent="0.35">
      <c r="A2328" t="s">
        <v>23024</v>
      </c>
      <c r="B2328" t="str">
        <f>HYPERLINK("http://www.uniprot.org/uniprot/Q99788","Q99788")</f>
        <v>Q99788</v>
      </c>
      <c r="C2328" t="s">
        <v>23025</v>
      </c>
      <c r="D2328" t="s">
        <v>23026</v>
      </c>
      <c r="E2328" t="s">
        <v>39</v>
      </c>
      <c r="F2328" t="s">
        <v>55</v>
      </c>
      <c r="H2328">
        <v>373</v>
      </c>
      <c r="I2328">
        <v>7</v>
      </c>
      <c r="J2328">
        <v>0</v>
      </c>
      <c r="K2328" t="s">
        <v>23027</v>
      </c>
      <c r="L2328" t="s">
        <v>101</v>
      </c>
      <c r="M2328" t="s">
        <v>39</v>
      </c>
      <c r="N2328">
        <v>0.88039999999999996</v>
      </c>
      <c r="O2328" s="1">
        <v>1</v>
      </c>
      <c r="P2328" t="s">
        <v>23028</v>
      </c>
      <c r="Q2328" t="s">
        <v>23029</v>
      </c>
      <c r="S2328" t="s">
        <v>166</v>
      </c>
      <c r="T2328" t="s">
        <v>838</v>
      </c>
      <c r="U2328" t="s">
        <v>23030</v>
      </c>
      <c r="V2328">
        <v>2</v>
      </c>
      <c r="X2328" t="s">
        <v>23031</v>
      </c>
      <c r="Z2328" t="s">
        <v>107</v>
      </c>
      <c r="AA2328">
        <v>1</v>
      </c>
      <c r="AB2328" t="s">
        <v>23032</v>
      </c>
      <c r="AC2328">
        <v>192</v>
      </c>
      <c r="AD2328" t="s">
        <v>23033</v>
      </c>
      <c r="AE2328" t="s">
        <v>74</v>
      </c>
      <c r="AF2328" t="s">
        <v>1723</v>
      </c>
      <c r="AG2328" t="s">
        <v>23034</v>
      </c>
      <c r="AH2328" t="str">
        <f>HYPERLINK("http://compartments.jensenlab.org/Entity?figures=subcell_cell_%&amp;knowledge=10&amp;textmining=10&amp;experiments=10&amp;predictions=10&amp;type1=9606&amp;type2=-22&amp;id1=ENSP00000311733","link")</f>
        <v>link</v>
      </c>
      <c r="AI2328" t="s">
        <v>65</v>
      </c>
      <c r="AJ2328" t="s">
        <v>51</v>
      </c>
      <c r="AK2328" t="str">
        <f>HYPERLINK("http://www.proteinatlas.org/Q99788","HPA047865")</f>
        <v>HPA047865</v>
      </c>
      <c r="AM2328">
        <v>1240</v>
      </c>
    </row>
    <row r="2329" spans="1:39" x14ac:dyDescent="0.35">
      <c r="A2329" t="s">
        <v>23035</v>
      </c>
      <c r="B2329" t="str">
        <f>HYPERLINK("http://www.uniprot.org/uniprot/Q99795","Q99795")</f>
        <v>Q99795</v>
      </c>
      <c r="C2329" t="s">
        <v>23036</v>
      </c>
      <c r="D2329" t="s">
        <v>23037</v>
      </c>
      <c r="E2329" t="s">
        <v>39</v>
      </c>
      <c r="F2329" t="s">
        <v>40</v>
      </c>
      <c r="H2329">
        <v>319</v>
      </c>
      <c r="I2329">
        <v>1</v>
      </c>
      <c r="J2329">
        <v>1</v>
      </c>
      <c r="K2329" t="s">
        <v>23038</v>
      </c>
      <c r="L2329" t="s">
        <v>57</v>
      </c>
      <c r="N2329">
        <v>0.91620000000000001</v>
      </c>
      <c r="O2329" s="1">
        <v>1</v>
      </c>
      <c r="P2329" t="s">
        <v>23039</v>
      </c>
      <c r="Q2329" t="s">
        <v>23040</v>
      </c>
      <c r="S2329" t="s">
        <v>166</v>
      </c>
      <c r="T2329" t="s">
        <v>2505</v>
      </c>
      <c r="U2329" t="s">
        <v>23041</v>
      </c>
      <c r="V2329">
        <v>3</v>
      </c>
      <c r="W2329" t="s">
        <v>23042</v>
      </c>
      <c r="AE2329" t="s">
        <v>144</v>
      </c>
      <c r="AF2329" t="s">
        <v>23043</v>
      </c>
      <c r="AG2329" t="s">
        <v>23044</v>
      </c>
      <c r="AH2329" t="str">
        <f>HYPERLINK("http://compartments.jensenlab.org/Entity?figures=subcell_cell_%&amp;knowledge=10&amp;textmining=10&amp;experiments=10&amp;predictions=10&amp;type1=9606&amp;type2=-22&amp;id1=ENSP00000356842","link")</f>
        <v>link</v>
      </c>
      <c r="AJ2329" t="s">
        <v>51</v>
      </c>
      <c r="AK2329" t="str">
        <f>HYPERLINK("http://www.proteinatlas.org/Q99795","HPA018858;CAB025943")</f>
        <v>HPA018858;CAB025943</v>
      </c>
      <c r="AM2329">
        <v>10223</v>
      </c>
    </row>
    <row r="2330" spans="1:39" x14ac:dyDescent="0.35">
      <c r="A2330" t="s">
        <v>23045</v>
      </c>
      <c r="B2330" t="str">
        <f>HYPERLINK("http://www.uniprot.org/uniprot/Q99805","Q99805")</f>
        <v>Q99805</v>
      </c>
      <c r="C2330" t="s">
        <v>23046</v>
      </c>
      <c r="D2330" t="s">
        <v>23047</v>
      </c>
      <c r="E2330" t="s">
        <v>39</v>
      </c>
      <c r="F2330" t="s">
        <v>40</v>
      </c>
      <c r="H2330">
        <v>663</v>
      </c>
      <c r="I2330">
        <v>9</v>
      </c>
      <c r="J2330">
        <v>1</v>
      </c>
      <c r="K2330" t="s">
        <v>23048</v>
      </c>
      <c r="L2330" t="s">
        <v>57</v>
      </c>
      <c r="N2330">
        <v>0.58479999999999999</v>
      </c>
      <c r="O2330" s="1">
        <v>2</v>
      </c>
      <c r="P2330" t="s">
        <v>23049</v>
      </c>
      <c r="Q2330" t="s">
        <v>23050</v>
      </c>
      <c r="S2330" t="s">
        <v>91</v>
      </c>
      <c r="T2330" t="s">
        <v>1480</v>
      </c>
      <c r="V2330">
        <v>0</v>
      </c>
      <c r="AE2330" t="s">
        <v>21310</v>
      </c>
      <c r="AF2330" t="s">
        <v>23051</v>
      </c>
      <c r="AG2330" t="s">
        <v>23052</v>
      </c>
      <c r="AH2330" t="str">
        <f>HYPERLINK("http://compartments.jensenlab.org/Entity?figures=subcell_cell_%&amp;knowledge=10&amp;textmining=10&amp;experiments=10&amp;predictions=10&amp;type1=9606&amp;type2=-22&amp;id1=ENSP00000365567","link")</f>
        <v>link</v>
      </c>
      <c r="AI2330" t="s">
        <v>6033</v>
      </c>
      <c r="AJ2330" t="s">
        <v>1791</v>
      </c>
      <c r="AK2330" t="str">
        <f>HYPERLINK("http://www.proteinatlas.org/Q99805","HPA005657")</f>
        <v>HPA005657</v>
      </c>
      <c r="AM2330">
        <v>9375</v>
      </c>
    </row>
    <row r="2331" spans="1:39" x14ac:dyDescent="0.35">
      <c r="A2331" t="s">
        <v>23053</v>
      </c>
      <c r="B2331" t="str">
        <f>HYPERLINK("http://www.uniprot.org/uniprot/Q99808","Q99808")</f>
        <v>Q99808</v>
      </c>
      <c r="C2331" t="s">
        <v>23054</v>
      </c>
      <c r="D2331" t="s">
        <v>23055</v>
      </c>
      <c r="E2331" t="s">
        <v>39</v>
      </c>
      <c r="F2331" t="s">
        <v>55</v>
      </c>
      <c r="H2331">
        <v>456</v>
      </c>
      <c r="I2331">
        <v>11</v>
      </c>
      <c r="J2331">
        <v>0</v>
      </c>
      <c r="K2331" t="s">
        <v>23056</v>
      </c>
      <c r="L2331" t="s">
        <v>101</v>
      </c>
      <c r="M2331" t="s">
        <v>39</v>
      </c>
      <c r="N2331">
        <v>0.54759999999999998</v>
      </c>
      <c r="O2331" s="1">
        <v>3</v>
      </c>
      <c r="P2331" t="s">
        <v>23057</v>
      </c>
      <c r="Q2331" t="s">
        <v>23058</v>
      </c>
      <c r="S2331" t="s">
        <v>45</v>
      </c>
      <c r="T2331" t="s">
        <v>13218</v>
      </c>
      <c r="U2331" t="s">
        <v>23059</v>
      </c>
      <c r="V2331">
        <v>1</v>
      </c>
      <c r="X2331" t="s">
        <v>23060</v>
      </c>
      <c r="Z2331" t="s">
        <v>107</v>
      </c>
      <c r="AA2331">
        <v>8</v>
      </c>
      <c r="AB2331" t="s">
        <v>23061</v>
      </c>
      <c r="AC2331">
        <v>48</v>
      </c>
      <c r="AD2331" t="s">
        <v>23062</v>
      </c>
      <c r="AE2331" t="s">
        <v>23063</v>
      </c>
      <c r="AF2331" t="s">
        <v>23064</v>
      </c>
      <c r="AG2331" t="s">
        <v>23065</v>
      </c>
      <c r="AH2331" t="str">
        <f>HYPERLINK("http://compartments.jensenlab.org/Entity?figures=subcell_cell_%&amp;knowledge=10&amp;textmining=10&amp;experiments=10&amp;predictions=10&amp;type1=9606&amp;type2=-22&amp;id1=ENSP00000360773","link")</f>
        <v>link</v>
      </c>
      <c r="AI2331" t="s">
        <v>65</v>
      </c>
      <c r="AJ2331" t="s">
        <v>51</v>
      </c>
      <c r="AK2331" t="str">
        <f>HYPERLINK("http://www.proteinatlas.org/Q99808","HPA012383;HPA012384")</f>
        <v>HPA012383;HPA012384</v>
      </c>
      <c r="AM2331">
        <v>2030</v>
      </c>
    </row>
    <row r="2332" spans="1:39" x14ac:dyDescent="0.35">
      <c r="A2332" t="s">
        <v>23066</v>
      </c>
      <c r="B2332" t="str">
        <f>HYPERLINK("http://www.uniprot.org/uniprot/Q99835","Q99835")</f>
        <v>Q99835</v>
      </c>
      <c r="C2332" t="s">
        <v>23067</v>
      </c>
      <c r="D2332" t="s">
        <v>23068</v>
      </c>
      <c r="E2332" t="s">
        <v>39</v>
      </c>
      <c r="F2332" t="s">
        <v>40</v>
      </c>
      <c r="H2332">
        <v>787</v>
      </c>
      <c r="I2332">
        <v>7</v>
      </c>
      <c r="J2332">
        <v>1</v>
      </c>
      <c r="K2332" t="s">
        <v>23069</v>
      </c>
      <c r="L2332" t="s">
        <v>101</v>
      </c>
      <c r="N2332">
        <v>0.94810000000000005</v>
      </c>
      <c r="O2332" s="1">
        <v>1</v>
      </c>
      <c r="P2332" t="s">
        <v>23070</v>
      </c>
      <c r="Q2332" t="s">
        <v>23071</v>
      </c>
      <c r="S2332" t="s">
        <v>166</v>
      </c>
      <c r="T2332" t="s">
        <v>827</v>
      </c>
      <c r="U2332" t="s">
        <v>23072</v>
      </c>
      <c r="V2332">
        <v>4</v>
      </c>
      <c r="X2332" t="s">
        <v>23073</v>
      </c>
      <c r="Z2332" t="s">
        <v>107</v>
      </c>
      <c r="AA2332">
        <v>2</v>
      </c>
      <c r="AB2332" t="s">
        <v>23074</v>
      </c>
      <c r="AC2332" t="s">
        <v>23075</v>
      </c>
      <c r="AD2332" t="s">
        <v>23076</v>
      </c>
      <c r="AE2332" t="s">
        <v>1788</v>
      </c>
      <c r="AF2332" t="s">
        <v>23077</v>
      </c>
      <c r="AG2332" t="s">
        <v>23078</v>
      </c>
      <c r="AH2332" t="str">
        <f>HYPERLINK("http://compartments.jensenlab.org/Entity?figures=subcell_cell_%&amp;knowledge=10&amp;textmining=10&amp;experiments=10&amp;predictions=10&amp;type1=9606&amp;type2=-22&amp;id1=ENSP00000249373","link")</f>
        <v>link</v>
      </c>
      <c r="AI2332" t="s">
        <v>65</v>
      </c>
      <c r="AJ2332" t="s">
        <v>299</v>
      </c>
      <c r="AK2332" t="str">
        <f>HYPERLINK("http://www.proteinatlas.org/Q99835","CAB011446;HPA044232")</f>
        <v>CAB011446;HPA044232</v>
      </c>
      <c r="AL2332" t="s">
        <v>23079</v>
      </c>
      <c r="AM2332">
        <v>6608</v>
      </c>
    </row>
    <row r="2333" spans="1:39" x14ac:dyDescent="0.35">
      <c r="A2333" t="s">
        <v>23080</v>
      </c>
      <c r="B2333" t="str">
        <f>HYPERLINK("http://www.uniprot.org/uniprot/Q99884","Q99884")</f>
        <v>Q99884</v>
      </c>
      <c r="C2333" t="s">
        <v>23081</v>
      </c>
      <c r="D2333" t="s">
        <v>23082</v>
      </c>
      <c r="E2333" t="s">
        <v>39</v>
      </c>
      <c r="F2333" t="s">
        <v>40</v>
      </c>
      <c r="H2333">
        <v>636</v>
      </c>
      <c r="I2333">
        <v>12</v>
      </c>
      <c r="J2333">
        <v>0</v>
      </c>
      <c r="K2333" t="s">
        <v>23083</v>
      </c>
      <c r="L2333" t="s">
        <v>57</v>
      </c>
      <c r="N2333">
        <v>0.78039999999999998</v>
      </c>
      <c r="O2333" s="1">
        <v>1</v>
      </c>
      <c r="P2333" t="s">
        <v>23084</v>
      </c>
      <c r="Q2333" t="s">
        <v>23085</v>
      </c>
      <c r="S2333" t="s">
        <v>45</v>
      </c>
      <c r="T2333" t="s">
        <v>6998</v>
      </c>
      <c r="U2333" t="s">
        <v>23086</v>
      </c>
      <c r="V2333">
        <v>1</v>
      </c>
      <c r="W2333" t="s">
        <v>23086</v>
      </c>
      <c r="AE2333" t="s">
        <v>48</v>
      </c>
      <c r="AF2333" t="s">
        <v>23087</v>
      </c>
      <c r="AG2333" t="s">
        <v>23088</v>
      </c>
      <c r="AH2333" t="str">
        <f>HYPERLINK("http://compartments.jensenlab.org/Entity?figures=subcell_cell_%&amp;knowledge=10&amp;textmining=10&amp;experiments=10&amp;predictions=10&amp;type1=9606&amp;type2=-22&amp;id1=ENSP00000230671","link")</f>
        <v>link</v>
      </c>
      <c r="AJ2333" t="s">
        <v>51</v>
      </c>
      <c r="AK2333" t="str">
        <f>HYPERLINK("http://www.proteinatlas.org/Q99884","HPA028907")</f>
        <v>HPA028907</v>
      </c>
      <c r="AL2333" t="s">
        <v>23089</v>
      </c>
      <c r="AM2333">
        <v>6534</v>
      </c>
    </row>
    <row r="2334" spans="1:39" x14ac:dyDescent="0.35">
      <c r="A2334" t="s">
        <v>23090</v>
      </c>
      <c r="B2334" t="str">
        <f>HYPERLINK("http://www.uniprot.org/uniprot/Q99928","Q99928")</f>
        <v>Q99928</v>
      </c>
      <c r="C2334" t="s">
        <v>23091</v>
      </c>
      <c r="D2334" t="s">
        <v>23092</v>
      </c>
      <c r="E2334" t="s">
        <v>39</v>
      </c>
      <c r="F2334" t="s">
        <v>40</v>
      </c>
      <c r="H2334">
        <v>467</v>
      </c>
      <c r="I2334">
        <v>4</v>
      </c>
      <c r="J2334">
        <v>1</v>
      </c>
      <c r="K2334" t="s">
        <v>23093</v>
      </c>
      <c r="L2334" t="s">
        <v>57</v>
      </c>
      <c r="N2334">
        <v>0.71460000000000001</v>
      </c>
      <c r="O2334" s="1">
        <v>2</v>
      </c>
      <c r="P2334" t="s">
        <v>23094</v>
      </c>
      <c r="Q2334" t="s">
        <v>23095</v>
      </c>
      <c r="S2334" t="s">
        <v>45</v>
      </c>
      <c r="T2334" t="s">
        <v>195</v>
      </c>
      <c r="U2334" t="s">
        <v>23096</v>
      </c>
      <c r="V2334">
        <v>2</v>
      </c>
      <c r="AE2334" t="s">
        <v>619</v>
      </c>
      <c r="AF2334" t="s">
        <v>23097</v>
      </c>
      <c r="AG2334" t="s">
        <v>23098</v>
      </c>
      <c r="AH2334" t="str">
        <f>HYPERLINK("http://compartments.jensenlab.org/Entity?figures=subcell_cell_%&amp;knowledge=10&amp;textmining=10&amp;experiments=10&amp;predictions=10&amp;type1=9606&amp;type2=-22&amp;id1=ENSP00000479113","link")</f>
        <v>link</v>
      </c>
      <c r="AK2334" t="str">
        <f>HYPERLINK("http://www.proteinatlas.org/Q99928","HPA054010")</f>
        <v>HPA054010</v>
      </c>
      <c r="AL2334" t="s">
        <v>1086</v>
      </c>
      <c r="AM2334">
        <v>2567</v>
      </c>
    </row>
    <row r="2335" spans="1:39" x14ac:dyDescent="0.35">
      <c r="A2335" t="s">
        <v>23099</v>
      </c>
      <c r="B2335" t="str">
        <f>HYPERLINK("http://www.uniprot.org/uniprot/Q99965","Q99965")</f>
        <v>Q99965</v>
      </c>
      <c r="C2335" t="s">
        <v>23100</v>
      </c>
      <c r="D2335" t="s">
        <v>23101</v>
      </c>
      <c r="E2335" t="s">
        <v>39</v>
      </c>
      <c r="F2335" t="s">
        <v>40</v>
      </c>
      <c r="H2335">
        <v>735</v>
      </c>
      <c r="I2335">
        <v>1</v>
      </c>
      <c r="J2335">
        <v>1</v>
      </c>
      <c r="K2335" t="s">
        <v>23102</v>
      </c>
      <c r="L2335" t="s">
        <v>57</v>
      </c>
      <c r="N2335">
        <v>0.74650000000000005</v>
      </c>
      <c r="O2335" s="1">
        <v>2</v>
      </c>
      <c r="P2335" t="s">
        <v>23103</v>
      </c>
      <c r="Q2335" t="s">
        <v>23104</v>
      </c>
      <c r="S2335" t="s">
        <v>947</v>
      </c>
      <c r="T2335" t="s">
        <v>1208</v>
      </c>
      <c r="U2335" t="s">
        <v>23105</v>
      </c>
      <c r="V2335">
        <v>5</v>
      </c>
      <c r="W2335">
        <v>220</v>
      </c>
      <c r="AE2335" t="s">
        <v>144</v>
      </c>
      <c r="AF2335" t="s">
        <v>23106</v>
      </c>
      <c r="AG2335" t="s">
        <v>23107</v>
      </c>
      <c r="AH2335" t="str">
        <f>HYPERLINK("http://compartments.jensenlab.org/Entity?figures=subcell_cell_%&amp;knowledge=10&amp;textmining=10&amp;experiments=10&amp;predictions=10&amp;type1=9606&amp;type2=-22&amp;id1=ENSP00000265708","link")</f>
        <v>link</v>
      </c>
      <c r="AJ2335" t="s">
        <v>51</v>
      </c>
      <c r="AK2335" t="str">
        <f>HYPERLINK("http://www.proteinatlas.org/Q99965","CAB022390;HPA024621;HPA026581")</f>
        <v>CAB022390;HPA024621;HPA026581</v>
      </c>
      <c r="AM2335">
        <v>2515</v>
      </c>
    </row>
    <row r="2336" spans="1:39" x14ac:dyDescent="0.35">
      <c r="A2336" t="s">
        <v>23108</v>
      </c>
      <c r="B2336" t="str">
        <f>HYPERLINK("http://www.uniprot.org/uniprot/Q9BPV8","Q9BPV8")</f>
        <v>Q9BPV8</v>
      </c>
      <c r="C2336" t="s">
        <v>23109</v>
      </c>
      <c r="D2336" t="s">
        <v>23110</v>
      </c>
      <c r="E2336" t="s">
        <v>39</v>
      </c>
      <c r="F2336" t="s">
        <v>40</v>
      </c>
      <c r="H2336">
        <v>354</v>
      </c>
      <c r="I2336">
        <v>7</v>
      </c>
      <c r="J2336">
        <v>0</v>
      </c>
      <c r="K2336" t="s">
        <v>23111</v>
      </c>
      <c r="L2336" t="s">
        <v>57</v>
      </c>
      <c r="N2336">
        <v>0.65469999999999995</v>
      </c>
      <c r="O2336" s="1">
        <v>2</v>
      </c>
      <c r="P2336" t="s">
        <v>23112</v>
      </c>
      <c r="Q2336" t="s">
        <v>23113</v>
      </c>
      <c r="S2336" t="s">
        <v>166</v>
      </c>
      <c r="T2336" t="s">
        <v>838</v>
      </c>
      <c r="U2336" t="s">
        <v>23114</v>
      </c>
      <c r="V2336">
        <v>3</v>
      </c>
      <c r="AE2336" t="s">
        <v>74</v>
      </c>
      <c r="AF2336" t="s">
        <v>8718</v>
      </c>
      <c r="AG2336" t="s">
        <v>23115</v>
      </c>
      <c r="AH2336" t="str">
        <f>HYPERLINK("http://compartments.jensenlab.org/Entity?figures=subcell_cell_%&amp;knowledge=10&amp;textmining=10&amp;experiments=10&amp;predictions=10&amp;type1=9606&amp;type2=-22&amp;id1=ENSP00000320376","link")</f>
        <v>link</v>
      </c>
      <c r="AI2336" t="s">
        <v>65</v>
      </c>
      <c r="AJ2336" t="s">
        <v>345</v>
      </c>
      <c r="AK2336" t="str">
        <f>HYPERLINK("http://www.proteinatlas.org/Q9BPV8","HPA049047")</f>
        <v>HPA049047</v>
      </c>
      <c r="AM2336">
        <v>53829</v>
      </c>
    </row>
    <row r="2337" spans="1:39" x14ac:dyDescent="0.35">
      <c r="A2337" t="s">
        <v>23116</v>
      </c>
      <c r="B2337" t="str">
        <f>HYPERLINK("http://www.uniprot.org/uniprot/Q9BQ51","Q9BQ51")</f>
        <v>Q9BQ51</v>
      </c>
      <c r="C2337" t="s">
        <v>23117</v>
      </c>
      <c r="D2337" t="s">
        <v>23118</v>
      </c>
      <c r="E2337" t="s">
        <v>39</v>
      </c>
      <c r="F2337" t="s">
        <v>55</v>
      </c>
      <c r="H2337">
        <v>273</v>
      </c>
      <c r="I2337">
        <v>1</v>
      </c>
      <c r="J2337">
        <v>1</v>
      </c>
      <c r="K2337" t="s">
        <v>23119</v>
      </c>
      <c r="L2337" t="s">
        <v>101</v>
      </c>
      <c r="M2337" t="s">
        <v>39</v>
      </c>
      <c r="N2337">
        <v>0.96760000000000002</v>
      </c>
      <c r="O2337" s="1">
        <v>1</v>
      </c>
      <c r="P2337" t="s">
        <v>23120</v>
      </c>
      <c r="Q2337" t="s">
        <v>23121</v>
      </c>
      <c r="R2337" t="s">
        <v>23122</v>
      </c>
      <c r="S2337" t="s">
        <v>60</v>
      </c>
      <c r="T2337" t="s">
        <v>60</v>
      </c>
      <c r="U2337" t="s">
        <v>23123</v>
      </c>
      <c r="V2337">
        <v>5</v>
      </c>
      <c r="W2337" t="s">
        <v>23123</v>
      </c>
      <c r="X2337">
        <v>165</v>
      </c>
      <c r="Z2337" t="s">
        <v>107</v>
      </c>
      <c r="AA2337">
        <v>3</v>
      </c>
      <c r="AB2337" t="s">
        <v>23124</v>
      </c>
      <c r="AC2337" t="s">
        <v>23125</v>
      </c>
      <c r="AD2337" t="s">
        <v>23126</v>
      </c>
      <c r="AE2337" t="s">
        <v>23127</v>
      </c>
      <c r="AF2337" t="s">
        <v>23128</v>
      </c>
      <c r="AG2337" t="s">
        <v>23129</v>
      </c>
      <c r="AH2337" t="str">
        <f>HYPERLINK("http://compartments.jensenlab.org/Entity?figures=subcell_cell_%&amp;knowledge=10&amp;textmining=10&amp;experiments=10&amp;predictions=10&amp;type1=9606&amp;type2=-22&amp;id1=ENSP00000380855","link")</f>
        <v>link</v>
      </c>
      <c r="AI2337" t="s">
        <v>65</v>
      </c>
      <c r="AJ2337" t="s">
        <v>902</v>
      </c>
      <c r="AK2337" t="str">
        <f>HYPERLINK("http://www.proteinatlas.org/Q9BQ51","HPA013411")</f>
        <v>HPA013411</v>
      </c>
      <c r="AM2337">
        <v>80380</v>
      </c>
    </row>
    <row r="2338" spans="1:39" x14ac:dyDescent="0.35">
      <c r="A2338" t="s">
        <v>23130</v>
      </c>
      <c r="B2338" t="str">
        <f>HYPERLINK("http://www.uniprot.org/uniprot/Q9BQS7","Q9BQS7")</f>
        <v>Q9BQS7</v>
      </c>
      <c r="C2338" t="s">
        <v>23131</v>
      </c>
      <c r="D2338" t="s">
        <v>23132</v>
      </c>
      <c r="E2338" t="s">
        <v>39</v>
      </c>
      <c r="F2338" t="s">
        <v>40</v>
      </c>
      <c r="H2338">
        <v>1158</v>
      </c>
      <c r="I2338">
        <v>1</v>
      </c>
      <c r="J2338">
        <v>1</v>
      </c>
      <c r="K2338" t="s">
        <v>23133</v>
      </c>
      <c r="L2338" t="s">
        <v>57</v>
      </c>
      <c r="N2338">
        <v>0.71860000000000002</v>
      </c>
      <c r="O2338" s="1">
        <v>2</v>
      </c>
      <c r="P2338" t="s">
        <v>23134</v>
      </c>
      <c r="Q2338" t="s">
        <v>23135</v>
      </c>
      <c r="S2338" t="s">
        <v>60</v>
      </c>
      <c r="T2338" t="s">
        <v>60</v>
      </c>
      <c r="U2338" t="s">
        <v>23136</v>
      </c>
      <c r="V2338">
        <v>8</v>
      </c>
      <c r="AE2338" t="s">
        <v>144</v>
      </c>
      <c r="AF2338" t="s">
        <v>23137</v>
      </c>
      <c r="AG2338" t="s">
        <v>23138</v>
      </c>
      <c r="AH2338" t="str">
        <f>HYPERLINK("http://compartments.jensenlab.org/Entity?figures=subcell_cell_%&amp;knowledge=10&amp;textmining=10&amp;experiments=10&amp;predictions=10&amp;type1=9606&amp;type2=-22&amp;id1=ENSP00000343939","link")</f>
        <v>link</v>
      </c>
      <c r="AK2338" t="str">
        <f>HYPERLINK("http://www.proteinatlas.org/Q9BQS7","HPA005824")</f>
        <v>HPA005824</v>
      </c>
      <c r="AM2338">
        <v>9843</v>
      </c>
    </row>
    <row r="2339" spans="1:39" x14ac:dyDescent="0.35">
      <c r="A2339" t="s">
        <v>23139</v>
      </c>
      <c r="B2339" t="str">
        <f>HYPERLINK("http://www.uniprot.org/uniprot/Q9BQT9","Q9BQT9")</f>
        <v>Q9BQT9</v>
      </c>
      <c r="C2339" t="s">
        <v>23140</v>
      </c>
      <c r="D2339" t="s">
        <v>23141</v>
      </c>
      <c r="E2339" t="s">
        <v>39</v>
      </c>
      <c r="F2339" t="s">
        <v>40</v>
      </c>
      <c r="H2339">
        <v>956</v>
      </c>
      <c r="I2339">
        <v>1</v>
      </c>
      <c r="J2339">
        <v>1</v>
      </c>
      <c r="K2339" t="s">
        <v>23142</v>
      </c>
      <c r="L2339" t="s">
        <v>57</v>
      </c>
      <c r="N2339">
        <v>0.92610000000000003</v>
      </c>
      <c r="O2339" s="1">
        <v>1</v>
      </c>
      <c r="P2339" t="s">
        <v>23143</v>
      </c>
      <c r="Q2339" t="s">
        <v>23144</v>
      </c>
      <c r="S2339" t="s">
        <v>91</v>
      </c>
      <c r="T2339" t="s">
        <v>3047</v>
      </c>
      <c r="U2339" t="s">
        <v>23145</v>
      </c>
      <c r="V2339">
        <v>5</v>
      </c>
      <c r="Y2339">
        <v>246</v>
      </c>
      <c r="AE2339" t="s">
        <v>23146</v>
      </c>
      <c r="AF2339" t="s">
        <v>23147</v>
      </c>
      <c r="AG2339" t="s">
        <v>23148</v>
      </c>
      <c r="AH2339" t="str">
        <f>HYPERLINK("http://compartments.jensenlab.org/Entity?figures=subcell_cell_%&amp;knowledge=10&amp;textmining=10&amp;experiments=10&amp;predictions=10&amp;type1=9606&amp;type2=-22&amp;id1=ENSP00000266546","link")</f>
        <v>link</v>
      </c>
      <c r="AI2339" t="s">
        <v>3445</v>
      </c>
      <c r="AJ2339" t="s">
        <v>981</v>
      </c>
      <c r="AK2339" t="str">
        <f>HYPERLINK("http://www.proteinatlas.org/Q9BQT9","HPA046913")</f>
        <v>HPA046913</v>
      </c>
      <c r="AM2339">
        <v>9746</v>
      </c>
    </row>
    <row r="2340" spans="1:39" x14ac:dyDescent="0.35">
      <c r="A2340" t="s">
        <v>23149</v>
      </c>
      <c r="B2340" t="str">
        <f>HYPERLINK("http://www.uniprot.org/uniprot/Q9BRK3","Q9BRK3")</f>
        <v>Q9BRK3</v>
      </c>
      <c r="C2340" t="s">
        <v>23150</v>
      </c>
      <c r="D2340" t="s">
        <v>23151</v>
      </c>
      <c r="E2340" t="s">
        <v>39</v>
      </c>
      <c r="F2340" t="s">
        <v>40</v>
      </c>
      <c r="H2340">
        <v>442</v>
      </c>
      <c r="I2340">
        <v>1</v>
      </c>
      <c r="J2340">
        <v>1</v>
      </c>
      <c r="K2340" t="s">
        <v>23152</v>
      </c>
      <c r="L2340" t="s">
        <v>101</v>
      </c>
      <c r="N2340">
        <v>0.82440000000000002</v>
      </c>
      <c r="O2340" s="1">
        <v>1</v>
      </c>
      <c r="P2340" t="s">
        <v>23153</v>
      </c>
      <c r="Q2340" t="s">
        <v>23154</v>
      </c>
      <c r="S2340" t="s">
        <v>60</v>
      </c>
      <c r="T2340" t="s">
        <v>60</v>
      </c>
      <c r="U2340" t="s">
        <v>23155</v>
      </c>
      <c r="V2340">
        <v>2</v>
      </c>
      <c r="Z2340" t="s">
        <v>107</v>
      </c>
      <c r="AA2340">
        <v>3</v>
      </c>
      <c r="AB2340" t="s">
        <v>23156</v>
      </c>
      <c r="AC2340">
        <v>306</v>
      </c>
      <c r="AD2340" t="s">
        <v>23157</v>
      </c>
      <c r="AE2340" t="s">
        <v>144</v>
      </c>
      <c r="AF2340" t="s">
        <v>730</v>
      </c>
      <c r="AG2340" t="s">
        <v>23158</v>
      </c>
      <c r="AH2340" t="str">
        <f>HYPERLINK("http://compartments.jensenlab.org/Entity?figures=subcell_cell_%&amp;knowledge=10&amp;textmining=10&amp;experiments=10&amp;predictions=10&amp;type1=9606&amp;type2=-22&amp;id1=ENSP00000307887","link")</f>
        <v>link</v>
      </c>
      <c r="AJ2340" t="s">
        <v>51</v>
      </c>
      <c r="AK2340" t="str">
        <f>HYPERLINK("http://www.proteinatlas.org/Q9BRK3","HPA053958;HPA055780")</f>
        <v>HPA053958;HPA055780</v>
      </c>
      <c r="AM2340">
        <v>54587</v>
      </c>
    </row>
    <row r="2341" spans="1:39" x14ac:dyDescent="0.35">
      <c r="A2341" t="s">
        <v>23159</v>
      </c>
      <c r="B2341" t="str">
        <f>HYPERLINK("http://www.uniprot.org/uniprot/Q9BS91","Q9BS91")</f>
        <v>Q9BS91</v>
      </c>
      <c r="C2341" t="s">
        <v>23160</v>
      </c>
      <c r="D2341" t="s">
        <v>23161</v>
      </c>
      <c r="E2341" t="s">
        <v>39</v>
      </c>
      <c r="F2341" t="s">
        <v>40</v>
      </c>
      <c r="H2341">
        <v>424</v>
      </c>
      <c r="I2341">
        <v>10</v>
      </c>
      <c r="J2341">
        <v>0</v>
      </c>
      <c r="K2341" t="s">
        <v>23162</v>
      </c>
      <c r="L2341" t="s">
        <v>42</v>
      </c>
      <c r="N2341">
        <v>0.77839999999999998</v>
      </c>
      <c r="O2341" s="1">
        <v>1</v>
      </c>
      <c r="P2341" t="s">
        <v>23163</v>
      </c>
      <c r="Q2341" t="s">
        <v>23164</v>
      </c>
      <c r="S2341" t="s">
        <v>45</v>
      </c>
      <c r="T2341" t="s">
        <v>185</v>
      </c>
      <c r="U2341" t="s">
        <v>23165</v>
      </c>
      <c r="V2341">
        <v>2</v>
      </c>
      <c r="Y2341">
        <v>148</v>
      </c>
      <c r="AE2341" t="s">
        <v>48</v>
      </c>
      <c r="AF2341" t="s">
        <v>23166</v>
      </c>
      <c r="AG2341" t="s">
        <v>23167</v>
      </c>
      <c r="AH2341" t="str">
        <f>HYPERLINK("http://compartments.jensenlab.org/Entity?figures=subcell_cell_%&amp;knowledge=10&amp;textmining=10&amp;experiments=10&amp;predictions=10&amp;type1=9606&amp;type2=-22&amp;id1=ENSP00000417654","link")</f>
        <v>link</v>
      </c>
      <c r="AJ2341" t="s">
        <v>3228</v>
      </c>
      <c r="AK2341" t="str">
        <f>HYPERLINK("http://www.proteinatlas.org/Q9BS91","HPA035519;HPA057964")</f>
        <v>HPA035519;HPA057964</v>
      </c>
      <c r="AM2341">
        <v>55032</v>
      </c>
    </row>
    <row r="2342" spans="1:39" x14ac:dyDescent="0.35">
      <c r="A2342" t="s">
        <v>23168</v>
      </c>
      <c r="B2342" t="str">
        <f>HYPERLINK("http://www.uniprot.org/uniprot/Q9BSA4","Q9BSA4")</f>
        <v>Q9BSA4</v>
      </c>
      <c r="C2342" t="s">
        <v>23169</v>
      </c>
      <c r="D2342" t="s">
        <v>23170</v>
      </c>
      <c r="E2342" t="s">
        <v>39</v>
      </c>
      <c r="F2342" t="s">
        <v>55</v>
      </c>
      <c r="H2342">
        <v>534</v>
      </c>
      <c r="I2342">
        <v>5</v>
      </c>
      <c r="J2342">
        <v>0</v>
      </c>
      <c r="K2342" t="s">
        <v>23171</v>
      </c>
      <c r="L2342" t="s">
        <v>101</v>
      </c>
      <c r="M2342" t="s">
        <v>39</v>
      </c>
      <c r="N2342">
        <v>0.75129999999999997</v>
      </c>
      <c r="O2342" s="1">
        <v>1</v>
      </c>
      <c r="P2342" t="s">
        <v>23172</v>
      </c>
      <c r="Q2342" t="s">
        <v>23173</v>
      </c>
      <c r="S2342" t="s">
        <v>45</v>
      </c>
      <c r="T2342" t="s">
        <v>23174</v>
      </c>
      <c r="U2342" t="s">
        <v>23175</v>
      </c>
      <c r="V2342">
        <v>4</v>
      </c>
      <c r="Y2342">
        <v>13</v>
      </c>
      <c r="Z2342" t="s">
        <v>107</v>
      </c>
      <c r="AA2342">
        <v>1</v>
      </c>
      <c r="AB2342" t="s">
        <v>23176</v>
      </c>
      <c r="AC2342">
        <v>283</v>
      </c>
      <c r="AD2342" t="s">
        <v>23177</v>
      </c>
      <c r="AE2342" t="s">
        <v>74</v>
      </c>
      <c r="AF2342" t="s">
        <v>23178</v>
      </c>
      <c r="AG2342" t="s">
        <v>23179</v>
      </c>
      <c r="AH2342" t="str">
        <f>HYPERLINK("http://compartments.jensenlab.org/Entity?figures=subcell_cell_%&amp;knowledge=10&amp;textmining=10&amp;experiments=10&amp;predictions=10&amp;type1=9606&amp;type2=-22&amp;id1=ENSP00000269346","link")</f>
        <v>link</v>
      </c>
      <c r="AI2342" t="s">
        <v>65</v>
      </c>
      <c r="AJ2342" t="s">
        <v>51</v>
      </c>
      <c r="AK2342" t="str">
        <f>HYPERLINK("http://www.proteinatlas.org/Q9BSA4","no")</f>
        <v>no</v>
      </c>
      <c r="AM2342">
        <v>94015</v>
      </c>
    </row>
    <row r="2343" spans="1:39" x14ac:dyDescent="0.35">
      <c r="A2343" t="s">
        <v>23180</v>
      </c>
      <c r="B2343" t="str">
        <f>HYPERLINK("http://www.uniprot.org/uniprot/Q9BSN7","Q9BSN7")</f>
        <v>Q9BSN7</v>
      </c>
      <c r="C2343" t="s">
        <v>23181</v>
      </c>
      <c r="D2343" t="s">
        <v>23182</v>
      </c>
      <c r="E2343" t="s">
        <v>39</v>
      </c>
      <c r="F2343" t="s">
        <v>40</v>
      </c>
      <c r="H2343">
        <v>226</v>
      </c>
      <c r="I2343">
        <v>4</v>
      </c>
      <c r="J2343">
        <v>0</v>
      </c>
      <c r="K2343" t="s">
        <v>23183</v>
      </c>
      <c r="L2343" t="s">
        <v>57</v>
      </c>
      <c r="N2343">
        <v>0.6986</v>
      </c>
      <c r="O2343" s="1">
        <v>2</v>
      </c>
      <c r="P2343" t="s">
        <v>23184</v>
      </c>
      <c r="Q2343" t="s">
        <v>23185</v>
      </c>
      <c r="S2343" t="s">
        <v>60</v>
      </c>
      <c r="T2343" t="s">
        <v>60</v>
      </c>
      <c r="U2343">
        <v>164</v>
      </c>
      <c r="V2343">
        <v>1</v>
      </c>
      <c r="AE2343" t="s">
        <v>23186</v>
      </c>
      <c r="AF2343" t="s">
        <v>23187</v>
      </c>
      <c r="AG2343" t="s">
        <v>23188</v>
      </c>
      <c r="AH2343" t="str">
        <f>HYPERLINK("http://compartments.jensenlab.org/Entity?figures=subcell_cell_%&amp;knowledge=10&amp;textmining=10&amp;experiments=10&amp;predictions=10&amp;type1=9606&amp;type2=-22&amp;id1=ENSP00000253934","link")</f>
        <v>link</v>
      </c>
      <c r="AI2343" t="s">
        <v>65</v>
      </c>
      <c r="AJ2343" t="s">
        <v>51</v>
      </c>
      <c r="AK2343" t="str">
        <f>HYPERLINK("http://www.proteinatlas.org/Q9BSN7","HPA014028")</f>
        <v>HPA014028</v>
      </c>
      <c r="AM2343">
        <v>79652</v>
      </c>
    </row>
    <row r="2344" spans="1:39" x14ac:dyDescent="0.35">
      <c r="A2344" t="s">
        <v>23189</v>
      </c>
      <c r="B2344" t="str">
        <f>HYPERLINK("http://www.uniprot.org/uniprot/Q9BT76","Q9BT76")</f>
        <v>Q9BT76</v>
      </c>
      <c r="C2344" t="s">
        <v>23190</v>
      </c>
      <c r="D2344" t="s">
        <v>23191</v>
      </c>
      <c r="E2344" t="s">
        <v>39</v>
      </c>
      <c r="F2344" t="s">
        <v>40</v>
      </c>
      <c r="H2344">
        <v>320</v>
      </c>
      <c r="I2344">
        <v>1</v>
      </c>
      <c r="J2344">
        <v>1</v>
      </c>
      <c r="K2344" t="s">
        <v>23192</v>
      </c>
      <c r="L2344" t="s">
        <v>57</v>
      </c>
      <c r="N2344">
        <v>0.63470000000000004</v>
      </c>
      <c r="O2344" s="1">
        <v>2</v>
      </c>
      <c r="P2344" t="s">
        <v>23193</v>
      </c>
      <c r="Q2344" t="s">
        <v>23194</v>
      </c>
      <c r="S2344" t="s">
        <v>91</v>
      </c>
      <c r="T2344" t="s">
        <v>692</v>
      </c>
      <c r="U2344">
        <v>133</v>
      </c>
      <c r="V2344">
        <v>1</v>
      </c>
      <c r="Y2344">
        <v>31</v>
      </c>
      <c r="AE2344" t="s">
        <v>332</v>
      </c>
      <c r="AF2344" t="s">
        <v>23195</v>
      </c>
      <c r="AG2344" t="s">
        <v>23196</v>
      </c>
      <c r="AH2344" t="str">
        <f>HYPERLINK("http://compartments.jensenlab.org/Entity?figures=subcell_cell_%&amp;knowledge=10&amp;textmining=10&amp;experiments=10&amp;predictions=10&amp;type1=9606&amp;type2=-22&amp;id1=ENSP00000257632","link")</f>
        <v>link</v>
      </c>
      <c r="AI2344" t="s">
        <v>65</v>
      </c>
      <c r="AJ2344" t="s">
        <v>51</v>
      </c>
      <c r="AK2344" t="str">
        <f>HYPERLINK("http://www.proteinatlas.org/Q9BT76","HPA010506")</f>
        <v>HPA010506</v>
      </c>
      <c r="AM2344">
        <v>80761</v>
      </c>
    </row>
    <row r="2345" spans="1:39" x14ac:dyDescent="0.35">
      <c r="A2345" t="s">
        <v>23197</v>
      </c>
      <c r="B2345" t="str">
        <f>HYPERLINK("http://www.uniprot.org/uniprot/Q9BTN0","Q9BTN0")</f>
        <v>Q9BTN0</v>
      </c>
      <c r="C2345" t="s">
        <v>23198</v>
      </c>
      <c r="D2345" t="s">
        <v>23199</v>
      </c>
      <c r="E2345" t="s">
        <v>39</v>
      </c>
      <c r="F2345" t="s">
        <v>40</v>
      </c>
      <c r="H2345">
        <v>628</v>
      </c>
      <c r="I2345">
        <v>1</v>
      </c>
      <c r="J2345">
        <v>1</v>
      </c>
      <c r="K2345" t="s">
        <v>23200</v>
      </c>
      <c r="L2345" t="s">
        <v>57</v>
      </c>
      <c r="N2345">
        <v>0.86829999999999996</v>
      </c>
      <c r="O2345" s="1">
        <v>1</v>
      </c>
      <c r="P2345" t="s">
        <v>23201</v>
      </c>
      <c r="Q2345" t="s">
        <v>23202</v>
      </c>
      <c r="S2345" t="s">
        <v>91</v>
      </c>
      <c r="T2345" t="s">
        <v>260</v>
      </c>
      <c r="U2345" t="s">
        <v>23203</v>
      </c>
      <c r="V2345">
        <v>5</v>
      </c>
      <c r="X2345">
        <v>396</v>
      </c>
      <c r="AE2345" t="s">
        <v>23204</v>
      </c>
      <c r="AF2345" t="s">
        <v>23205</v>
      </c>
      <c r="AG2345" t="s">
        <v>23206</v>
      </c>
      <c r="AH2345" t="str">
        <f>HYPERLINK("http://compartments.jensenlab.org/Entity?figures=subcell_cell_%&amp;knowledge=10&amp;textmining=10&amp;experiments=10&amp;predictions=10&amp;type1=9606&amp;type2=-22&amp;id1=ENSP00000246529","link")</f>
        <v>link</v>
      </c>
      <c r="AI2345" t="s">
        <v>65</v>
      </c>
      <c r="AJ2345" t="s">
        <v>51</v>
      </c>
      <c r="AK2345" t="str">
        <f>HYPERLINK("http://www.proteinatlas.org/Q9BTN0","HPA048923")</f>
        <v>HPA048923</v>
      </c>
      <c r="AM2345">
        <v>79414</v>
      </c>
    </row>
    <row r="2346" spans="1:39" x14ac:dyDescent="0.35">
      <c r="A2346" t="s">
        <v>23207</v>
      </c>
      <c r="B2346" t="str">
        <f>HYPERLINK("http://www.uniprot.org/uniprot/Q9BUF7","Q9BUF7")</f>
        <v>Q9BUF7</v>
      </c>
      <c r="C2346" t="s">
        <v>23208</v>
      </c>
      <c r="D2346" t="s">
        <v>23209</v>
      </c>
      <c r="E2346" t="s">
        <v>39</v>
      </c>
      <c r="F2346" t="s">
        <v>40</v>
      </c>
      <c r="H2346">
        <v>120</v>
      </c>
      <c r="I2346">
        <v>1</v>
      </c>
      <c r="J2346">
        <v>1</v>
      </c>
      <c r="K2346" t="s">
        <v>23210</v>
      </c>
      <c r="L2346" t="s">
        <v>57</v>
      </c>
      <c r="N2346">
        <v>0.71260000000000001</v>
      </c>
      <c r="O2346" s="1">
        <v>2</v>
      </c>
      <c r="P2346" t="s">
        <v>23211</v>
      </c>
      <c r="Q2346" t="s">
        <v>23212</v>
      </c>
      <c r="S2346" t="s">
        <v>91</v>
      </c>
      <c r="T2346" t="s">
        <v>11557</v>
      </c>
      <c r="U2346">
        <v>36</v>
      </c>
      <c r="V2346">
        <v>1</v>
      </c>
      <c r="AE2346" t="s">
        <v>23213</v>
      </c>
      <c r="AF2346" t="s">
        <v>23214</v>
      </c>
      <c r="AG2346" t="s">
        <v>23215</v>
      </c>
      <c r="AH2346" t="str">
        <f>HYPERLINK("http://compartments.jensenlab.org/Entity?figures=subcell_cell_%&amp;knowledge=10&amp;textmining=10&amp;experiments=10&amp;predictions=10&amp;type1=9606&amp;type2=-22&amp;id1=ENSP00000310123","link")</f>
        <v>link</v>
      </c>
      <c r="AK2346" t="str">
        <f>HYPERLINK("http://www.proteinatlas.org/Q9BUF7","HPA013835")</f>
        <v>HPA013835</v>
      </c>
      <c r="AM2346">
        <v>92359</v>
      </c>
    </row>
    <row r="2347" spans="1:39" x14ac:dyDescent="0.35">
      <c r="A2347" t="s">
        <v>23216</v>
      </c>
      <c r="B2347" t="str">
        <f>HYPERLINK("http://www.uniprot.org/uniprot/Q9BWQ8","Q9BWQ8")</f>
        <v>Q9BWQ8</v>
      </c>
      <c r="C2347" t="s">
        <v>23217</v>
      </c>
      <c r="D2347" t="s">
        <v>23218</v>
      </c>
      <c r="E2347" t="s">
        <v>39</v>
      </c>
      <c r="F2347" t="s">
        <v>40</v>
      </c>
      <c r="H2347">
        <v>316</v>
      </c>
      <c r="I2347">
        <v>7</v>
      </c>
      <c r="J2347">
        <v>0</v>
      </c>
      <c r="K2347" t="s">
        <v>23219</v>
      </c>
      <c r="L2347" t="s">
        <v>42</v>
      </c>
      <c r="N2347">
        <v>0.74450000000000005</v>
      </c>
      <c r="O2347" s="1">
        <v>2</v>
      </c>
      <c r="P2347" t="s">
        <v>23220</v>
      </c>
      <c r="Q2347" t="s">
        <v>23221</v>
      </c>
      <c r="S2347" t="s">
        <v>60</v>
      </c>
      <c r="T2347" t="s">
        <v>60</v>
      </c>
      <c r="U2347">
        <v>191</v>
      </c>
      <c r="V2347">
        <v>1</v>
      </c>
      <c r="W2347">
        <v>191</v>
      </c>
      <c r="X2347" t="s">
        <v>23222</v>
      </c>
      <c r="AE2347" t="s">
        <v>23223</v>
      </c>
      <c r="AF2347" t="s">
        <v>23224</v>
      </c>
      <c r="AG2347" t="s">
        <v>23225</v>
      </c>
      <c r="AH2347" t="str">
        <f>HYPERLINK("http://compartments.jensenlab.org/Entity?figures=subcell_cell_%&amp;knowledge=10&amp;textmining=10&amp;experiments=10&amp;predictions=10&amp;type1=9606&amp;type2=-22&amp;id1=ENSP00000321951","link")</f>
        <v>link</v>
      </c>
      <c r="AI2347" t="s">
        <v>65</v>
      </c>
      <c r="AJ2347" t="s">
        <v>51</v>
      </c>
      <c r="AK2347" t="str">
        <f>HYPERLINK("http://www.proteinatlas.org/Q9BWQ8","HPA018790;HPA048800")</f>
        <v>HPA018790;HPA048800</v>
      </c>
      <c r="AM2347">
        <v>23017</v>
      </c>
    </row>
    <row r="2348" spans="1:39" x14ac:dyDescent="0.35">
      <c r="A2348" t="s">
        <v>23226</v>
      </c>
      <c r="B2348" t="str">
        <f>HYPERLINK("http://www.uniprot.org/uniprot/Q9BWV1","Q9BWV1")</f>
        <v>Q9BWV1</v>
      </c>
      <c r="C2348" t="s">
        <v>23227</v>
      </c>
      <c r="D2348" t="s">
        <v>23228</v>
      </c>
      <c r="E2348" t="s">
        <v>39</v>
      </c>
      <c r="F2348" t="s">
        <v>40</v>
      </c>
      <c r="H2348">
        <v>1114</v>
      </c>
      <c r="I2348">
        <v>1</v>
      </c>
      <c r="J2348">
        <v>1</v>
      </c>
      <c r="K2348" t="s">
        <v>23229</v>
      </c>
      <c r="L2348" t="s">
        <v>57</v>
      </c>
      <c r="N2348">
        <v>0.96609999999999996</v>
      </c>
      <c r="O2348" s="1">
        <v>1</v>
      </c>
      <c r="P2348" t="s">
        <v>23230</v>
      </c>
      <c r="Q2348" t="s">
        <v>23231</v>
      </c>
      <c r="S2348" t="s">
        <v>166</v>
      </c>
      <c r="T2348" t="s">
        <v>3120</v>
      </c>
      <c r="U2348" t="s">
        <v>23232</v>
      </c>
      <c r="V2348">
        <v>9</v>
      </c>
      <c r="Y2348">
        <v>878</v>
      </c>
      <c r="AE2348" t="s">
        <v>332</v>
      </c>
      <c r="AF2348" t="s">
        <v>23233</v>
      </c>
      <c r="AG2348" t="s">
        <v>23234</v>
      </c>
      <c r="AH2348" t="str">
        <f>HYPERLINK("http://compartments.jensenlab.org/Entity?figures=subcell_cell_%&amp;knowledge=10&amp;textmining=10&amp;experiments=10&amp;predictions=10&amp;type1=9606&amp;type2=-22&amp;id1=ENSP00000347546","link")</f>
        <v>link</v>
      </c>
      <c r="AI2348" t="s">
        <v>65</v>
      </c>
      <c r="AJ2348" t="s">
        <v>51</v>
      </c>
      <c r="AK2348" t="str">
        <f>HYPERLINK("http://www.proteinatlas.org/Q9BWV1","CAB025806;HPA060778;HPA061787")</f>
        <v>CAB025806;HPA060778;HPA061787</v>
      </c>
      <c r="AM2348">
        <v>91653</v>
      </c>
    </row>
    <row r="2349" spans="1:39" x14ac:dyDescent="0.35">
      <c r="A2349" t="s">
        <v>23235</v>
      </c>
      <c r="B2349" t="str">
        <f>HYPERLINK("http://www.uniprot.org/uniprot/Q9BX67","Q9BX67")</f>
        <v>Q9BX67</v>
      </c>
      <c r="C2349" t="s">
        <v>23236</v>
      </c>
      <c r="D2349" t="s">
        <v>23237</v>
      </c>
      <c r="E2349" t="s">
        <v>39</v>
      </c>
      <c r="F2349" t="s">
        <v>55</v>
      </c>
      <c r="H2349">
        <v>310</v>
      </c>
      <c r="I2349">
        <v>1</v>
      </c>
      <c r="J2349">
        <v>1</v>
      </c>
      <c r="K2349" t="s">
        <v>23238</v>
      </c>
      <c r="L2349" t="s">
        <v>101</v>
      </c>
      <c r="M2349" t="s">
        <v>39</v>
      </c>
      <c r="N2349">
        <v>0.95789999999999997</v>
      </c>
      <c r="O2349" s="1">
        <v>1</v>
      </c>
      <c r="P2349" t="s">
        <v>23239</v>
      </c>
      <c r="Q2349" t="s">
        <v>23240</v>
      </c>
      <c r="S2349" t="s">
        <v>60</v>
      </c>
      <c r="T2349" t="s">
        <v>60</v>
      </c>
      <c r="U2349" t="s">
        <v>23241</v>
      </c>
      <c r="V2349">
        <v>3</v>
      </c>
      <c r="W2349" t="s">
        <v>23241</v>
      </c>
      <c r="X2349">
        <v>296</v>
      </c>
      <c r="Z2349" t="s">
        <v>107</v>
      </c>
      <c r="AA2349">
        <v>5</v>
      </c>
      <c r="AB2349" t="s">
        <v>23242</v>
      </c>
      <c r="AC2349">
        <v>192</v>
      </c>
      <c r="AD2349" t="s">
        <v>23243</v>
      </c>
      <c r="AE2349" t="s">
        <v>23244</v>
      </c>
      <c r="AF2349" t="s">
        <v>23245</v>
      </c>
      <c r="AG2349" t="s">
        <v>23246</v>
      </c>
      <c r="AH2349" t="str">
        <f>HYPERLINK("http://compartments.jensenlab.org/Entity?figures=subcell_cell_%&amp;knowledge=10&amp;textmining=10&amp;experiments=10&amp;predictions=10&amp;type1=9606&amp;type2=-22&amp;id1=ENSP00000299106","link")</f>
        <v>link</v>
      </c>
      <c r="AI2349" t="s">
        <v>1058</v>
      </c>
      <c r="AJ2349" t="s">
        <v>902</v>
      </c>
      <c r="AK2349" t="str">
        <f>HYPERLINK("http://www.proteinatlas.org/Q9BX67","HPA003417;HPA050434")</f>
        <v>HPA003417;HPA050434</v>
      </c>
      <c r="AM2349">
        <v>83700</v>
      </c>
    </row>
    <row r="2350" spans="1:39" x14ac:dyDescent="0.35">
      <c r="A2350" t="s">
        <v>23247</v>
      </c>
      <c r="B2350" t="str">
        <f>HYPERLINK("http://www.uniprot.org/uniprot/Q9BX97","Q9BX97")</f>
        <v>Q9BX97</v>
      </c>
      <c r="C2350" t="s">
        <v>23248</v>
      </c>
      <c r="D2350" t="s">
        <v>23249</v>
      </c>
      <c r="E2350" t="s">
        <v>39</v>
      </c>
      <c r="F2350" t="s">
        <v>55</v>
      </c>
      <c r="H2350">
        <v>442</v>
      </c>
      <c r="I2350">
        <v>1</v>
      </c>
      <c r="J2350">
        <v>0</v>
      </c>
      <c r="K2350" t="s">
        <v>23250</v>
      </c>
      <c r="L2350" t="s">
        <v>101</v>
      </c>
      <c r="M2350" t="s">
        <v>39</v>
      </c>
      <c r="N2350">
        <v>0.34860000000000002</v>
      </c>
      <c r="O2350" s="1"/>
      <c r="P2350" t="s">
        <v>23251</v>
      </c>
      <c r="Q2350" t="s">
        <v>23252</v>
      </c>
      <c r="S2350" t="s">
        <v>60</v>
      </c>
      <c r="T2350" t="s">
        <v>60</v>
      </c>
      <c r="U2350" t="s">
        <v>23253</v>
      </c>
      <c r="V2350">
        <v>4</v>
      </c>
      <c r="Z2350" t="s">
        <v>107</v>
      </c>
      <c r="AA2350">
        <v>2</v>
      </c>
      <c r="AB2350" t="s">
        <v>23254</v>
      </c>
      <c r="AC2350">
        <v>83</v>
      </c>
      <c r="AD2350" t="s">
        <v>23255</v>
      </c>
      <c r="AE2350" t="s">
        <v>23256</v>
      </c>
      <c r="AF2350" t="s">
        <v>23257</v>
      </c>
      <c r="AG2350" t="s">
        <v>23258</v>
      </c>
      <c r="AH2350" t="str">
        <f>HYPERLINK("http://compartments.jensenlab.org/Entity?figures=subcell_cell_%&amp;knowledge=10&amp;textmining=10&amp;experiments=10&amp;predictions=10&amp;type1=9606&amp;type2=-22&amp;id1=ENSP00000252590","link")</f>
        <v>link</v>
      </c>
      <c r="AI2350" t="s">
        <v>65</v>
      </c>
      <c r="AJ2350" t="s">
        <v>2124</v>
      </c>
      <c r="AK2350" t="str">
        <f>HYPERLINK("http://www.proteinatlas.org/Q9BX97","HPA002279")</f>
        <v>HPA002279</v>
      </c>
      <c r="AM2350">
        <v>83483</v>
      </c>
    </row>
    <row r="2351" spans="1:39" x14ac:dyDescent="0.35">
      <c r="A2351" t="s">
        <v>23259</v>
      </c>
      <c r="B2351" t="str">
        <f>HYPERLINK("http://www.uniprot.org/uniprot/Q9BXA5","Q9BXA5")</f>
        <v>Q9BXA5</v>
      </c>
      <c r="C2351" t="s">
        <v>23260</v>
      </c>
      <c r="D2351" t="s">
        <v>23261</v>
      </c>
      <c r="E2351" t="s">
        <v>39</v>
      </c>
      <c r="F2351" t="s">
        <v>55</v>
      </c>
      <c r="H2351">
        <v>334</v>
      </c>
      <c r="I2351">
        <v>7</v>
      </c>
      <c r="J2351">
        <v>0</v>
      </c>
      <c r="K2351" t="s">
        <v>23262</v>
      </c>
      <c r="L2351" t="s">
        <v>101</v>
      </c>
      <c r="M2351" t="s">
        <v>39</v>
      </c>
      <c r="N2351">
        <v>0.76880000000000004</v>
      </c>
      <c r="O2351" s="1">
        <v>1</v>
      </c>
      <c r="P2351" t="s">
        <v>23263</v>
      </c>
      <c r="Q2351" t="s">
        <v>23264</v>
      </c>
      <c r="S2351" t="s">
        <v>166</v>
      </c>
      <c r="T2351" t="s">
        <v>838</v>
      </c>
      <c r="U2351" t="s">
        <v>23265</v>
      </c>
      <c r="V2351">
        <v>2</v>
      </c>
      <c r="Z2351" t="s">
        <v>107</v>
      </c>
      <c r="AA2351">
        <v>1</v>
      </c>
      <c r="AB2351" t="s">
        <v>23266</v>
      </c>
      <c r="AC2351">
        <v>8</v>
      </c>
      <c r="AD2351" t="s">
        <v>23267</v>
      </c>
      <c r="AE2351" t="s">
        <v>74</v>
      </c>
      <c r="AF2351" t="s">
        <v>1913</v>
      </c>
      <c r="AG2351" t="s">
        <v>23268</v>
      </c>
      <c r="AH2351" t="str">
        <f>HYPERLINK("http://compartments.jensenlab.org/Entity?figures=subcell_cell_%&amp;knowledge=10&amp;textmining=10&amp;experiments=10&amp;predictions=10&amp;type1=9606&amp;type2=-22&amp;id1=ENSP00000355156","link")</f>
        <v>link</v>
      </c>
      <c r="AI2351" t="s">
        <v>65</v>
      </c>
      <c r="AJ2351" t="s">
        <v>51</v>
      </c>
      <c r="AK2351" t="str">
        <f>HYPERLINK("http://www.proteinatlas.org/Q9BXA5","CAB022745")</f>
        <v>CAB022745</v>
      </c>
      <c r="AL2351" t="s">
        <v>12544</v>
      </c>
      <c r="AM2351">
        <v>56670</v>
      </c>
    </row>
    <row r="2352" spans="1:39" x14ac:dyDescent="0.35">
      <c r="A2352" t="s">
        <v>23269</v>
      </c>
      <c r="B2352" t="str">
        <f>HYPERLINK("http://www.uniprot.org/uniprot/Q9BXB1","Q9BXB1")</f>
        <v>Q9BXB1</v>
      </c>
      <c r="C2352" t="s">
        <v>23270</v>
      </c>
      <c r="D2352" t="s">
        <v>23271</v>
      </c>
      <c r="E2352" t="s">
        <v>39</v>
      </c>
      <c r="F2352" t="s">
        <v>55</v>
      </c>
      <c r="H2352">
        <v>951</v>
      </c>
      <c r="I2352">
        <v>7</v>
      </c>
      <c r="J2352">
        <v>1</v>
      </c>
      <c r="K2352" t="s">
        <v>23272</v>
      </c>
      <c r="L2352" t="s">
        <v>57</v>
      </c>
      <c r="M2352" t="s">
        <v>39</v>
      </c>
      <c r="N2352">
        <v>0.92510000000000003</v>
      </c>
      <c r="O2352" s="1">
        <v>1</v>
      </c>
      <c r="P2352" t="s">
        <v>23273</v>
      </c>
      <c r="Q2352" t="s">
        <v>23274</v>
      </c>
      <c r="S2352" t="s">
        <v>166</v>
      </c>
      <c r="T2352" t="s">
        <v>838</v>
      </c>
      <c r="U2352" t="s">
        <v>23275</v>
      </c>
      <c r="V2352">
        <v>5</v>
      </c>
      <c r="X2352" t="s">
        <v>23276</v>
      </c>
      <c r="AE2352" t="s">
        <v>74</v>
      </c>
      <c r="AF2352" t="s">
        <v>23277</v>
      </c>
      <c r="AG2352" t="s">
        <v>23278</v>
      </c>
      <c r="AH2352" t="str">
        <f>HYPERLINK("http://compartments.jensenlab.org/Entity?figures=subcell_cell_%&amp;knowledge=10&amp;textmining=10&amp;experiments=10&amp;predictions=10&amp;type1=9606&amp;type2=-22&amp;id1=ENSP00000368516","link")</f>
        <v>link</v>
      </c>
      <c r="AI2352" t="s">
        <v>65</v>
      </c>
      <c r="AJ2352" t="s">
        <v>51</v>
      </c>
      <c r="AK2352" t="str">
        <f>HYPERLINK("http://www.proteinatlas.org/Q9BXB1","HPA030267")</f>
        <v>HPA030267</v>
      </c>
      <c r="AM2352">
        <v>55366</v>
      </c>
    </row>
    <row r="2353" spans="1:39" x14ac:dyDescent="0.35">
      <c r="A2353" t="s">
        <v>23279</v>
      </c>
      <c r="B2353" t="str">
        <f>HYPERLINK("http://www.uniprot.org/uniprot/Q9BXC0","Q9BXC0")</f>
        <v>Q9BXC0</v>
      </c>
      <c r="C2353" t="s">
        <v>23280</v>
      </c>
      <c r="D2353" t="s">
        <v>23281</v>
      </c>
      <c r="E2353" t="s">
        <v>39</v>
      </c>
      <c r="F2353" t="s">
        <v>40</v>
      </c>
      <c r="H2353">
        <v>346</v>
      </c>
      <c r="I2353">
        <v>7</v>
      </c>
      <c r="J2353">
        <v>0</v>
      </c>
      <c r="K2353" t="s">
        <v>23282</v>
      </c>
      <c r="L2353" t="s">
        <v>57</v>
      </c>
      <c r="N2353">
        <v>0.96009999999999995</v>
      </c>
      <c r="O2353" s="1">
        <v>1</v>
      </c>
      <c r="P2353" t="s">
        <v>23283</v>
      </c>
      <c r="Q2353" t="s">
        <v>23284</v>
      </c>
      <c r="S2353" t="s">
        <v>166</v>
      </c>
      <c r="T2353" t="s">
        <v>838</v>
      </c>
      <c r="U2353">
        <v>3</v>
      </c>
      <c r="V2353">
        <v>1</v>
      </c>
      <c r="AE2353" t="s">
        <v>74</v>
      </c>
      <c r="AF2353" t="s">
        <v>967</v>
      </c>
      <c r="AG2353" t="s">
        <v>23285</v>
      </c>
      <c r="AH2353" t="str">
        <f>HYPERLINK("http://compartments.jensenlab.org/Entity?figures=subcell_cell_%&amp;knowledge=10&amp;textmining=10&amp;experiments=10&amp;predictions=10&amp;type1=9606&amp;type2=-22&amp;id1=ENSP00000389255","link")</f>
        <v>link</v>
      </c>
      <c r="AK2353" t="str">
        <f>HYPERLINK("http://www.proteinatlas.org/Q9BXC0","no")</f>
        <v>no</v>
      </c>
      <c r="AM2353">
        <v>27198</v>
      </c>
    </row>
    <row r="2354" spans="1:39" x14ac:dyDescent="0.35">
      <c r="A2354" t="s">
        <v>23286</v>
      </c>
      <c r="B2354" t="str">
        <f>HYPERLINK("http://www.uniprot.org/uniprot/Q9BXC1","Q9BXC1")</f>
        <v>Q9BXC1</v>
      </c>
      <c r="C2354" t="s">
        <v>23287</v>
      </c>
      <c r="D2354" t="s">
        <v>23288</v>
      </c>
      <c r="E2354" t="s">
        <v>39</v>
      </c>
      <c r="F2354" t="s">
        <v>55</v>
      </c>
      <c r="H2354">
        <v>333</v>
      </c>
      <c r="I2354">
        <v>7</v>
      </c>
      <c r="J2354">
        <v>0</v>
      </c>
      <c r="K2354" t="s">
        <v>23289</v>
      </c>
      <c r="L2354" t="s">
        <v>101</v>
      </c>
      <c r="M2354" t="s">
        <v>39</v>
      </c>
      <c r="N2354">
        <v>0.93620000000000003</v>
      </c>
      <c r="O2354" s="1">
        <v>1</v>
      </c>
      <c r="P2354" t="s">
        <v>23290</v>
      </c>
      <c r="Q2354" t="s">
        <v>23291</v>
      </c>
      <c r="S2354" t="s">
        <v>166</v>
      </c>
      <c r="T2354" t="s">
        <v>838</v>
      </c>
      <c r="U2354" t="s">
        <v>23292</v>
      </c>
      <c r="V2354">
        <v>2</v>
      </c>
      <c r="Z2354" t="s">
        <v>107</v>
      </c>
      <c r="AA2354">
        <v>1</v>
      </c>
      <c r="AB2354" t="s">
        <v>23293</v>
      </c>
      <c r="AC2354">
        <v>4</v>
      </c>
      <c r="AD2354" t="s">
        <v>23294</v>
      </c>
      <c r="AE2354" t="s">
        <v>74</v>
      </c>
      <c r="AF2354" t="s">
        <v>967</v>
      </c>
      <c r="AG2354" t="s">
        <v>23295</v>
      </c>
      <c r="AH2354" t="str">
        <f>HYPERLINK("http://compartments.jensenlab.org/Entity?figures=subcell_cell_%&amp;knowledge=10&amp;textmining=10&amp;experiments=10&amp;predictions=10&amp;type1=9606&amp;type2=-22&amp;id1=ENSP00000276077","link")</f>
        <v>link</v>
      </c>
      <c r="AI2354" t="s">
        <v>65</v>
      </c>
      <c r="AJ2354" t="s">
        <v>51</v>
      </c>
      <c r="AK2354" t="str">
        <f>HYPERLINK("http://www.proteinatlas.org/Q9BXC1","HPA041025")</f>
        <v>HPA041025</v>
      </c>
      <c r="AM2354">
        <v>84636</v>
      </c>
    </row>
    <row r="2355" spans="1:39" x14ac:dyDescent="0.35">
      <c r="A2355" t="s">
        <v>23296</v>
      </c>
      <c r="B2355" t="str">
        <f>HYPERLINK("http://www.uniprot.org/uniprot/Q9BXE9","Q9BXE9")</f>
        <v>Q9BXE9</v>
      </c>
      <c r="C2355" t="s">
        <v>23297</v>
      </c>
      <c r="D2355" t="s">
        <v>23298</v>
      </c>
      <c r="E2355" t="s">
        <v>39</v>
      </c>
      <c r="F2355" t="s">
        <v>40</v>
      </c>
      <c r="H2355">
        <v>311</v>
      </c>
      <c r="I2355">
        <v>7</v>
      </c>
      <c r="J2355">
        <v>0</v>
      </c>
      <c r="K2355" t="s">
        <v>23299</v>
      </c>
      <c r="L2355" t="s">
        <v>57</v>
      </c>
      <c r="N2355">
        <v>0.91420000000000001</v>
      </c>
      <c r="O2355" s="1">
        <v>1</v>
      </c>
      <c r="S2355" t="s">
        <v>166</v>
      </c>
      <c r="T2355" t="s">
        <v>16579</v>
      </c>
      <c r="U2355" t="s">
        <v>23300</v>
      </c>
      <c r="V2355">
        <v>1</v>
      </c>
      <c r="AE2355" t="s">
        <v>74</v>
      </c>
      <c r="AF2355" t="s">
        <v>16581</v>
      </c>
      <c r="AG2355" t="s">
        <v>23301</v>
      </c>
      <c r="AK2355" t="str">
        <f>HYPERLINK("http://www.proteinatlas.org/Q9BXE9","no")</f>
        <v>no</v>
      </c>
    </row>
    <row r="2356" spans="1:39" x14ac:dyDescent="0.35">
      <c r="A2356" t="s">
        <v>23302</v>
      </c>
      <c r="B2356" t="str">
        <f>HYPERLINK("http://www.uniprot.org/uniprot/Q9BXJ7","Q9BXJ7")</f>
        <v>Q9BXJ7</v>
      </c>
      <c r="C2356" t="s">
        <v>23303</v>
      </c>
      <c r="D2356" t="s">
        <v>23304</v>
      </c>
      <c r="E2356" t="s">
        <v>39</v>
      </c>
      <c r="F2356" t="s">
        <v>40</v>
      </c>
      <c r="H2356">
        <v>453</v>
      </c>
      <c r="I2356">
        <v>1</v>
      </c>
      <c r="J2356">
        <v>1</v>
      </c>
      <c r="K2356" t="s">
        <v>23305</v>
      </c>
      <c r="L2356" t="s">
        <v>57</v>
      </c>
      <c r="N2356">
        <v>0.76649999999999996</v>
      </c>
      <c r="O2356" s="1">
        <v>1</v>
      </c>
      <c r="P2356" t="s">
        <v>23306</v>
      </c>
      <c r="Q2356" t="s">
        <v>23307</v>
      </c>
      <c r="S2356" t="s">
        <v>60</v>
      </c>
      <c r="T2356" t="s">
        <v>60</v>
      </c>
      <c r="U2356" t="s">
        <v>23308</v>
      </c>
      <c r="V2356">
        <v>2</v>
      </c>
      <c r="AE2356" t="s">
        <v>144</v>
      </c>
      <c r="AF2356" t="s">
        <v>23309</v>
      </c>
      <c r="AG2356" t="s">
        <v>23310</v>
      </c>
      <c r="AH2356" t="str">
        <f>HYPERLINK("http://compartments.jensenlab.org/Entity?figures=subcell_cell_%&amp;knowledge=10&amp;textmining=10&amp;experiments=10&amp;predictions=10&amp;type1=9606&amp;type2=-22&amp;id1=ENSP00000299155","link")</f>
        <v>link</v>
      </c>
      <c r="AJ2356" t="s">
        <v>51</v>
      </c>
      <c r="AK2356" t="str">
        <f>HYPERLINK("http://www.proteinatlas.org/Q9BXJ7","HPA000817")</f>
        <v>HPA000817</v>
      </c>
      <c r="AL2356" t="s">
        <v>23311</v>
      </c>
      <c r="AM2356">
        <v>81693</v>
      </c>
    </row>
    <row r="2357" spans="1:39" x14ac:dyDescent="0.35">
      <c r="A2357" t="s">
        <v>23312</v>
      </c>
      <c r="B2357" t="str">
        <f>HYPERLINK("http://www.uniprot.org/uniprot/Q9BXN2","Q9BXN2")</f>
        <v>Q9BXN2</v>
      </c>
      <c r="C2357" t="s">
        <v>23313</v>
      </c>
      <c r="D2357" t="s">
        <v>23314</v>
      </c>
      <c r="E2357" t="s">
        <v>39</v>
      </c>
      <c r="F2357" t="s">
        <v>40</v>
      </c>
      <c r="H2357">
        <v>247</v>
      </c>
      <c r="I2357">
        <v>1</v>
      </c>
      <c r="J2357">
        <v>0</v>
      </c>
      <c r="K2357" t="s">
        <v>23315</v>
      </c>
      <c r="L2357" t="s">
        <v>57</v>
      </c>
      <c r="N2357">
        <v>0.70860000000000001</v>
      </c>
      <c r="O2357" s="1">
        <v>2</v>
      </c>
      <c r="P2357" t="s">
        <v>23316</v>
      </c>
      <c r="Q2357" t="s">
        <v>23317</v>
      </c>
      <c r="S2357" t="s">
        <v>166</v>
      </c>
      <c r="T2357" t="s">
        <v>4251</v>
      </c>
      <c r="U2357">
        <v>91</v>
      </c>
      <c r="V2357">
        <v>1</v>
      </c>
      <c r="AE2357" t="s">
        <v>23318</v>
      </c>
      <c r="AF2357" t="s">
        <v>23319</v>
      </c>
      <c r="AG2357" t="s">
        <v>23320</v>
      </c>
      <c r="AH2357" t="str">
        <f>HYPERLINK("http://compartments.jensenlab.org/Entity?figures=subcell_cell_%&amp;knowledge=10&amp;textmining=10&amp;experiments=10&amp;predictions=10&amp;type1=9606&amp;type2=-22&amp;id1=ENSP00000302569","link")</f>
        <v>link</v>
      </c>
      <c r="AI2357" t="s">
        <v>65</v>
      </c>
      <c r="AJ2357" t="s">
        <v>2124</v>
      </c>
      <c r="AK2357" t="str">
        <f>HYPERLINK("http://www.proteinatlas.org/Q9BXN2","HPA043244")</f>
        <v>HPA043244</v>
      </c>
      <c r="AM2357">
        <v>64581</v>
      </c>
    </row>
    <row r="2358" spans="1:39" x14ac:dyDescent="0.35">
      <c r="A2358" t="s">
        <v>23321</v>
      </c>
      <c r="B2358" t="str">
        <f>HYPERLINK("http://www.uniprot.org/uniprot/Q9BXP2","Q9BXP2")</f>
        <v>Q9BXP2</v>
      </c>
      <c r="C2358" t="s">
        <v>23322</v>
      </c>
      <c r="D2358" t="s">
        <v>23323</v>
      </c>
      <c r="E2358" t="s">
        <v>39</v>
      </c>
      <c r="F2358" t="s">
        <v>55</v>
      </c>
      <c r="H2358">
        <v>914</v>
      </c>
      <c r="I2358">
        <v>12</v>
      </c>
      <c r="J2358">
        <v>0</v>
      </c>
      <c r="K2358" t="s">
        <v>23324</v>
      </c>
      <c r="L2358" t="s">
        <v>101</v>
      </c>
      <c r="M2358" t="s">
        <v>39</v>
      </c>
      <c r="N2358">
        <v>0.72470000000000001</v>
      </c>
      <c r="O2358" s="1">
        <v>2</v>
      </c>
      <c r="P2358" t="s">
        <v>23325</v>
      </c>
      <c r="Q2358" t="s">
        <v>23326</v>
      </c>
      <c r="S2358" t="s">
        <v>45</v>
      </c>
      <c r="T2358" t="s">
        <v>46</v>
      </c>
      <c r="U2358" t="s">
        <v>23327</v>
      </c>
      <c r="V2358">
        <v>2</v>
      </c>
      <c r="Z2358" t="s">
        <v>107</v>
      </c>
      <c r="AA2358">
        <v>2</v>
      </c>
      <c r="AB2358" t="s">
        <v>23328</v>
      </c>
      <c r="AC2358" t="s">
        <v>23329</v>
      </c>
      <c r="AD2358" t="s">
        <v>23330</v>
      </c>
      <c r="AE2358" t="s">
        <v>74</v>
      </c>
      <c r="AF2358" t="s">
        <v>23331</v>
      </c>
      <c r="AG2358" t="s">
        <v>23332</v>
      </c>
      <c r="AH2358" t="str">
        <f>HYPERLINK("http://compartments.jensenlab.org/Entity?figures=subcell_cell_%&amp;knowledge=10&amp;textmining=10&amp;experiments=10&amp;predictions=10&amp;type1=9606&amp;type2=-22&amp;id1=ENSP00000275730","link")</f>
        <v>link</v>
      </c>
      <c r="AI2358" t="s">
        <v>65</v>
      </c>
      <c r="AJ2358" t="s">
        <v>51</v>
      </c>
      <c r="AK2358" t="str">
        <f>HYPERLINK("http://www.proteinatlas.org/Q9BXP2","no")</f>
        <v>no</v>
      </c>
      <c r="AM2358">
        <v>56996</v>
      </c>
    </row>
    <row r="2359" spans="1:39" x14ac:dyDescent="0.35">
      <c r="A2359" t="s">
        <v>23333</v>
      </c>
      <c r="B2359" t="str">
        <f>HYPERLINK("http://www.uniprot.org/uniprot/Q9BXR5","Q9BXR5")</f>
        <v>Q9BXR5</v>
      </c>
      <c r="C2359" t="s">
        <v>23334</v>
      </c>
      <c r="D2359" t="s">
        <v>23335</v>
      </c>
      <c r="E2359" t="s">
        <v>39</v>
      </c>
      <c r="F2359" t="s">
        <v>40</v>
      </c>
      <c r="H2359">
        <v>811</v>
      </c>
      <c r="I2359">
        <v>1</v>
      </c>
      <c r="J2359">
        <v>1</v>
      </c>
      <c r="K2359" t="s">
        <v>23336</v>
      </c>
      <c r="L2359" t="s">
        <v>57</v>
      </c>
      <c r="N2359">
        <v>0.86429999999999996</v>
      </c>
      <c r="O2359" s="1">
        <v>1</v>
      </c>
      <c r="P2359" t="s">
        <v>23337</v>
      </c>
      <c r="Q2359" t="s">
        <v>23338</v>
      </c>
      <c r="R2359" t="s">
        <v>23339</v>
      </c>
      <c r="S2359" t="s">
        <v>166</v>
      </c>
      <c r="T2359" t="s">
        <v>848</v>
      </c>
      <c r="U2359" t="s">
        <v>23340</v>
      </c>
      <c r="V2359">
        <v>10</v>
      </c>
      <c r="AE2359" t="s">
        <v>144</v>
      </c>
      <c r="AF2359" t="s">
        <v>23341</v>
      </c>
      <c r="AG2359" t="s">
        <v>23342</v>
      </c>
      <c r="AH2359" t="str">
        <f>HYPERLINK("http://compartments.jensenlab.org/Entity?figures=subcell_cell_%&amp;knowledge=10&amp;textmining=10&amp;experiments=10&amp;predictions=10&amp;type1=9606&amp;type2=-22&amp;id1=ENSP00000308925","link")</f>
        <v>link</v>
      </c>
      <c r="AJ2359" t="s">
        <v>113</v>
      </c>
      <c r="AK2359" t="str">
        <f>HYPERLINK("http://www.proteinatlas.org/Q9BXR5","no")</f>
        <v>no</v>
      </c>
      <c r="AM2359">
        <v>81793</v>
      </c>
    </row>
    <row r="2360" spans="1:39" x14ac:dyDescent="0.35">
      <c r="A2360" t="s">
        <v>23343</v>
      </c>
      <c r="B2360" t="str">
        <f>HYPERLINK("http://www.uniprot.org/uniprot/Q9BXS9","Q9BXS9")</f>
        <v>Q9BXS9</v>
      </c>
      <c r="C2360" t="s">
        <v>23344</v>
      </c>
      <c r="D2360" t="s">
        <v>23345</v>
      </c>
      <c r="E2360" t="s">
        <v>39</v>
      </c>
      <c r="F2360" t="s">
        <v>40</v>
      </c>
      <c r="H2360">
        <v>759</v>
      </c>
      <c r="I2360">
        <v>8</v>
      </c>
      <c r="J2360">
        <v>0</v>
      </c>
      <c r="K2360" t="s">
        <v>23346</v>
      </c>
      <c r="L2360" t="s">
        <v>101</v>
      </c>
      <c r="N2360">
        <v>0.70660000000000001</v>
      </c>
      <c r="O2360" s="1">
        <v>2</v>
      </c>
      <c r="P2360" t="s">
        <v>23347</v>
      </c>
      <c r="Q2360" t="s">
        <v>23348</v>
      </c>
      <c r="S2360" t="s">
        <v>45</v>
      </c>
      <c r="T2360" t="s">
        <v>1861</v>
      </c>
      <c r="U2360" t="s">
        <v>23349</v>
      </c>
      <c r="V2360">
        <v>2</v>
      </c>
      <c r="W2360" t="s">
        <v>23349</v>
      </c>
      <c r="Y2360">
        <v>56</v>
      </c>
      <c r="Z2360" t="s">
        <v>123</v>
      </c>
      <c r="AA2360">
        <v>7</v>
      </c>
      <c r="AB2360" t="s">
        <v>23350</v>
      </c>
      <c r="AC2360" t="s">
        <v>23351</v>
      </c>
      <c r="AD2360" t="s">
        <v>23352</v>
      </c>
      <c r="AE2360" t="s">
        <v>23353</v>
      </c>
      <c r="AF2360" t="s">
        <v>23354</v>
      </c>
      <c r="AG2360" t="s">
        <v>23355</v>
      </c>
      <c r="AH2360" t="str">
        <f>HYPERLINK("http://compartments.jensenlab.org/Entity?figures=subcell_cell_%&amp;knowledge=10&amp;textmining=10&amp;experiments=10&amp;predictions=10&amp;type1=9606&amp;type2=-22&amp;id1=ENSP00000351597","link")</f>
        <v>link</v>
      </c>
      <c r="AJ2360" t="s">
        <v>51</v>
      </c>
      <c r="AK2360" t="str">
        <f>HYPERLINK("http://www.proteinatlas.org/Q9BXS9","HPA048363")</f>
        <v>HPA048363</v>
      </c>
      <c r="AM2360">
        <v>65010</v>
      </c>
    </row>
    <row r="2361" spans="1:39" x14ac:dyDescent="0.35">
      <c r="A2361" t="s">
        <v>23356</v>
      </c>
      <c r="B2361" t="str">
        <f>HYPERLINK("http://www.uniprot.org/uniprot/Q9BXT2","Q9BXT2")</f>
        <v>Q9BXT2</v>
      </c>
      <c r="C2361" t="s">
        <v>23357</v>
      </c>
      <c r="D2361" t="s">
        <v>23358</v>
      </c>
      <c r="E2361" t="s">
        <v>39</v>
      </c>
      <c r="F2361" t="s">
        <v>40</v>
      </c>
      <c r="H2361">
        <v>260</v>
      </c>
      <c r="I2361">
        <v>4</v>
      </c>
      <c r="J2361">
        <v>0</v>
      </c>
      <c r="K2361" t="s">
        <v>23359</v>
      </c>
      <c r="L2361" t="s">
        <v>3024</v>
      </c>
      <c r="N2361">
        <v>0.64870000000000005</v>
      </c>
      <c r="O2361" s="1">
        <v>2</v>
      </c>
      <c r="P2361" t="s">
        <v>23360</v>
      </c>
      <c r="Q2361" t="s">
        <v>23361</v>
      </c>
      <c r="S2361" t="s">
        <v>45</v>
      </c>
      <c r="T2361" t="s">
        <v>341</v>
      </c>
      <c r="U2361" t="s">
        <v>23362</v>
      </c>
      <c r="V2361">
        <v>2</v>
      </c>
      <c r="Z2361" t="s">
        <v>123</v>
      </c>
      <c r="AA2361">
        <v>1</v>
      </c>
      <c r="AB2361" t="s">
        <v>23363</v>
      </c>
      <c r="AC2361">
        <v>113</v>
      </c>
      <c r="AD2361" t="s">
        <v>23364</v>
      </c>
      <c r="AE2361" t="s">
        <v>48</v>
      </c>
      <c r="AF2361" t="s">
        <v>23365</v>
      </c>
      <c r="AG2361" t="s">
        <v>23366</v>
      </c>
      <c r="AH2361" t="str">
        <f>HYPERLINK("http://compartments.jensenlab.org/Entity?figures=subcell_cell_%&amp;knowledge=10&amp;textmining=10&amp;experiments=10&amp;predictions=10&amp;type1=9606&amp;type2=-22&amp;id1=ENSP00000252729","link")</f>
        <v>link</v>
      </c>
      <c r="AI2361" t="s">
        <v>65</v>
      </c>
      <c r="AJ2361" t="s">
        <v>51</v>
      </c>
      <c r="AK2361" t="str">
        <f>HYPERLINK("http://www.proteinatlas.org/Q9BXT2","no")</f>
        <v>no</v>
      </c>
      <c r="AM2361">
        <v>59285</v>
      </c>
    </row>
    <row r="2362" spans="1:39" x14ac:dyDescent="0.35">
      <c r="A2362" t="s">
        <v>23367</v>
      </c>
      <c r="B2362" t="str">
        <f>HYPERLINK("http://www.uniprot.org/uniprot/Q9BY07","Q9BY07")</f>
        <v>Q9BY07</v>
      </c>
      <c r="C2362" t="s">
        <v>23368</v>
      </c>
      <c r="D2362" t="s">
        <v>23369</v>
      </c>
      <c r="E2362" t="s">
        <v>39</v>
      </c>
      <c r="F2362" t="s">
        <v>40</v>
      </c>
      <c r="H2362">
        <v>1137</v>
      </c>
      <c r="I2362">
        <v>13</v>
      </c>
      <c r="J2362">
        <v>0</v>
      </c>
      <c r="K2362" t="s">
        <v>23370</v>
      </c>
      <c r="L2362" t="s">
        <v>18901</v>
      </c>
      <c r="N2362">
        <v>0.67659999999999998</v>
      </c>
      <c r="O2362" s="1">
        <v>2</v>
      </c>
      <c r="P2362" t="s">
        <v>23371</v>
      </c>
      <c r="Q2362" t="s">
        <v>23372</v>
      </c>
      <c r="S2362" t="s">
        <v>45</v>
      </c>
      <c r="T2362" t="s">
        <v>3762</v>
      </c>
      <c r="U2362" t="s">
        <v>23373</v>
      </c>
      <c r="V2362">
        <v>6</v>
      </c>
      <c r="AE2362" t="s">
        <v>10045</v>
      </c>
      <c r="AF2362" t="s">
        <v>23374</v>
      </c>
      <c r="AG2362" t="s">
        <v>23375</v>
      </c>
      <c r="AH2362" t="str">
        <f>HYPERLINK("http://compartments.jensenlab.org/Entity?figures=subcell_cell_%&amp;knowledge=10&amp;textmining=10&amp;experiments=10&amp;predictions=10&amp;type1=9606&amp;type2=-22&amp;id1=ENSP00000251768","link")</f>
        <v>link</v>
      </c>
      <c r="AK2362" t="str">
        <f>HYPERLINK("http://www.proteinatlas.org/Q9BY07","HPA036621")</f>
        <v>HPA036621</v>
      </c>
      <c r="AM2362">
        <v>57835</v>
      </c>
    </row>
    <row r="2363" spans="1:39" x14ac:dyDescent="0.35">
      <c r="A2363" t="s">
        <v>23376</v>
      </c>
      <c r="B2363" t="str">
        <f>HYPERLINK("http://www.uniprot.org/uniprot/Q9BY10","Q9BY10")</f>
        <v>Q9BY10</v>
      </c>
      <c r="C2363" t="s">
        <v>23377</v>
      </c>
      <c r="D2363" t="s">
        <v>23378</v>
      </c>
      <c r="E2363" t="s">
        <v>39</v>
      </c>
      <c r="F2363" t="s">
        <v>40</v>
      </c>
      <c r="H2363">
        <v>475</v>
      </c>
      <c r="I2363">
        <v>12</v>
      </c>
      <c r="J2363">
        <v>0</v>
      </c>
      <c r="K2363" t="s">
        <v>23379</v>
      </c>
      <c r="L2363" t="s">
        <v>57</v>
      </c>
      <c r="N2363">
        <v>0.75849999999999995</v>
      </c>
      <c r="O2363" s="1">
        <v>1</v>
      </c>
      <c r="P2363" t="s">
        <v>23380</v>
      </c>
      <c r="Q2363" t="s">
        <v>23381</v>
      </c>
      <c r="S2363" t="s">
        <v>45</v>
      </c>
      <c r="T2363" t="s">
        <v>16493</v>
      </c>
      <c r="U2363">
        <v>55</v>
      </c>
      <c r="V2363">
        <v>1</v>
      </c>
      <c r="W2363">
        <v>55</v>
      </c>
      <c r="AE2363" t="s">
        <v>74</v>
      </c>
      <c r="AF2363" t="s">
        <v>23382</v>
      </c>
      <c r="AG2363" t="s">
        <v>23383</v>
      </c>
      <c r="AH2363" t="str">
        <f>HYPERLINK("http://compartments.jensenlab.org/Entity?figures=subcell_cell_%&amp;knowledge=10&amp;textmining=10&amp;experiments=10&amp;predictions=10&amp;type1=9606&amp;type2=-22&amp;id1=ENSP00000363345","link")</f>
        <v>link</v>
      </c>
      <c r="AI2363" t="s">
        <v>65</v>
      </c>
      <c r="AJ2363" t="s">
        <v>51</v>
      </c>
      <c r="AK2363" t="str">
        <f>HYPERLINK("http://www.proteinatlas.org/Q9BY10","HPA020098;HPA020104")</f>
        <v>HPA020098;HPA020104</v>
      </c>
      <c r="AM2363">
        <v>57864</v>
      </c>
    </row>
    <row r="2364" spans="1:39" x14ac:dyDescent="0.35">
      <c r="A2364" t="s">
        <v>23384</v>
      </c>
      <c r="B2364" t="str">
        <f>HYPERLINK("http://www.uniprot.org/uniprot/Q9BY14","Q9BY14")</f>
        <v>Q9BY14</v>
      </c>
      <c r="C2364" t="s">
        <v>23385</v>
      </c>
      <c r="D2364" t="s">
        <v>23386</v>
      </c>
      <c r="E2364" t="s">
        <v>39</v>
      </c>
      <c r="F2364" t="s">
        <v>239</v>
      </c>
      <c r="H2364">
        <v>249</v>
      </c>
      <c r="I2364">
        <v>0</v>
      </c>
      <c r="J2364">
        <v>1</v>
      </c>
      <c r="K2364" t="s">
        <v>23387</v>
      </c>
      <c r="L2364" t="s">
        <v>57</v>
      </c>
      <c r="N2364">
        <v>0.76049999999999995</v>
      </c>
      <c r="O2364" s="1" t="s">
        <v>997</v>
      </c>
      <c r="P2364" t="s">
        <v>23388</v>
      </c>
      <c r="Q2364" t="s">
        <v>23389</v>
      </c>
      <c r="U2364" t="s">
        <v>23390</v>
      </c>
      <c r="V2364">
        <v>2</v>
      </c>
      <c r="W2364" t="s">
        <v>23390</v>
      </c>
      <c r="AE2364" t="s">
        <v>243</v>
      </c>
      <c r="AF2364" t="s">
        <v>23391</v>
      </c>
      <c r="AG2364" t="s">
        <v>23392</v>
      </c>
      <c r="AH2364" t="str">
        <f>HYPERLINK("http://compartments.jensenlab.org/Entity?figures=subcell_cell_%&amp;knowledge=10&amp;textmining=10&amp;experiments=10&amp;predictions=10&amp;type1=9606&amp;type2=-22&amp;id1=ENSP00000472769","link")</f>
        <v>link</v>
      </c>
      <c r="AK2364" t="str">
        <f>HYPERLINK("http://www.proteinatlas.org/Q9BY14","HPA041915;HPA042513")</f>
        <v>HPA041915;HPA042513</v>
      </c>
      <c r="AM2364">
        <v>83639</v>
      </c>
    </row>
    <row r="2365" spans="1:39" x14ac:dyDescent="0.35">
      <c r="A2365" t="s">
        <v>23393</v>
      </c>
      <c r="B2365" t="str">
        <f>HYPERLINK("http://www.uniprot.org/uniprot/Q9BY15","Q9BY15")</f>
        <v>Q9BY15</v>
      </c>
      <c r="C2365" t="s">
        <v>23394</v>
      </c>
      <c r="D2365" t="s">
        <v>23395</v>
      </c>
      <c r="E2365" t="s">
        <v>39</v>
      </c>
      <c r="F2365" t="s">
        <v>55</v>
      </c>
      <c r="H2365">
        <v>652</v>
      </c>
      <c r="I2365">
        <v>7</v>
      </c>
      <c r="J2365">
        <v>1</v>
      </c>
      <c r="K2365" t="s">
        <v>23396</v>
      </c>
      <c r="L2365" t="s">
        <v>101</v>
      </c>
      <c r="M2365" t="s">
        <v>39</v>
      </c>
      <c r="N2365">
        <v>0.99460000000000004</v>
      </c>
      <c r="O2365" s="1">
        <v>1</v>
      </c>
      <c r="P2365" t="s">
        <v>23397</v>
      </c>
      <c r="Q2365" t="s">
        <v>23398</v>
      </c>
      <c r="S2365" t="s">
        <v>166</v>
      </c>
      <c r="T2365" t="s">
        <v>1149</v>
      </c>
      <c r="U2365" t="s">
        <v>23399</v>
      </c>
      <c r="V2365">
        <v>9</v>
      </c>
      <c r="W2365" t="s">
        <v>23399</v>
      </c>
      <c r="Z2365" t="s">
        <v>107</v>
      </c>
      <c r="AA2365">
        <v>1</v>
      </c>
      <c r="AB2365" t="s">
        <v>23400</v>
      </c>
      <c r="AC2365">
        <v>334</v>
      </c>
      <c r="AD2365" t="s">
        <v>23401</v>
      </c>
      <c r="AE2365" t="s">
        <v>23402</v>
      </c>
      <c r="AF2365" t="s">
        <v>23403</v>
      </c>
      <c r="AG2365" t="s">
        <v>23404</v>
      </c>
      <c r="AH2365" t="str">
        <f>HYPERLINK("http://compartments.jensenlab.org/Entity?figures=subcell_cell_%&amp;knowledge=10&amp;textmining=10&amp;experiments=10&amp;predictions=10&amp;type1=9606&amp;type2=-22&amp;id1=ENSP00000253673","link")</f>
        <v>link</v>
      </c>
      <c r="AI2365" t="s">
        <v>1058</v>
      </c>
      <c r="AJ2365" t="s">
        <v>902</v>
      </c>
      <c r="AK2365" t="str">
        <f>HYPERLINK("http://www.proteinatlas.org/Q9BY15","HPA015638")</f>
        <v>HPA015638</v>
      </c>
      <c r="AM2365">
        <v>84658</v>
      </c>
    </row>
    <row r="2366" spans="1:39" x14ac:dyDescent="0.35">
      <c r="A2366" t="s">
        <v>23405</v>
      </c>
      <c r="B2366" t="str">
        <f>HYPERLINK("http://www.uniprot.org/uniprot/Q9BY21","Q9BY21")</f>
        <v>Q9BY21</v>
      </c>
      <c r="C2366" t="s">
        <v>23406</v>
      </c>
      <c r="D2366" t="s">
        <v>23407</v>
      </c>
      <c r="E2366" t="s">
        <v>39</v>
      </c>
      <c r="F2366" t="s">
        <v>40</v>
      </c>
      <c r="H2366">
        <v>358</v>
      </c>
      <c r="I2366">
        <v>7</v>
      </c>
      <c r="J2366">
        <v>0</v>
      </c>
      <c r="K2366" t="s">
        <v>23408</v>
      </c>
      <c r="L2366" t="s">
        <v>57</v>
      </c>
      <c r="N2366">
        <v>0.62480000000000002</v>
      </c>
      <c r="O2366" s="1">
        <v>2</v>
      </c>
      <c r="P2366" t="s">
        <v>23409</v>
      </c>
      <c r="Q2366" t="s">
        <v>23410</v>
      </c>
      <c r="S2366" t="s">
        <v>166</v>
      </c>
      <c r="T2366" t="s">
        <v>838</v>
      </c>
      <c r="U2366" t="s">
        <v>23411</v>
      </c>
      <c r="V2366">
        <v>3</v>
      </c>
      <c r="AE2366" t="s">
        <v>74</v>
      </c>
      <c r="AF2366" t="s">
        <v>967</v>
      </c>
      <c r="AG2366" t="s">
        <v>23412</v>
      </c>
      <c r="AH2366" t="str">
        <f>HYPERLINK("http://compartments.jensenlab.org/Entity?figures=subcell_cell_%&amp;knowledge=10&amp;textmining=10&amp;experiments=10&amp;predictions=10&amp;type1=9606&amp;type2=-22&amp;id1=ENSP00000260843","link")</f>
        <v>link</v>
      </c>
      <c r="AI2366" t="s">
        <v>65</v>
      </c>
      <c r="AJ2366" t="s">
        <v>51</v>
      </c>
      <c r="AK2366" t="str">
        <f>HYPERLINK("http://www.proteinatlas.org/Q9BY21","no")</f>
        <v>no</v>
      </c>
      <c r="AM2366">
        <v>53836</v>
      </c>
    </row>
    <row r="2367" spans="1:39" x14ac:dyDescent="0.35">
      <c r="A2367" t="s">
        <v>23413</v>
      </c>
      <c r="B2367" t="str">
        <f>HYPERLINK("http://www.uniprot.org/uniprot/Q9BY67","Q9BY67")</f>
        <v>Q9BY67</v>
      </c>
      <c r="C2367" t="s">
        <v>23414</v>
      </c>
      <c r="D2367" t="s">
        <v>23415</v>
      </c>
      <c r="E2367" t="s">
        <v>39</v>
      </c>
      <c r="F2367" t="s">
        <v>55</v>
      </c>
      <c r="H2367">
        <v>442</v>
      </c>
      <c r="I2367">
        <v>1</v>
      </c>
      <c r="J2367">
        <v>1</v>
      </c>
      <c r="K2367" t="s">
        <v>23416</v>
      </c>
      <c r="L2367" t="s">
        <v>101</v>
      </c>
      <c r="M2367" t="s">
        <v>39</v>
      </c>
      <c r="N2367">
        <v>0.8105</v>
      </c>
      <c r="O2367" s="1">
        <v>1</v>
      </c>
      <c r="P2367" t="s">
        <v>23417</v>
      </c>
      <c r="Q2367" t="s">
        <v>23418</v>
      </c>
      <c r="S2367" t="s">
        <v>91</v>
      </c>
      <c r="T2367" t="s">
        <v>555</v>
      </c>
      <c r="U2367" t="s">
        <v>23419</v>
      </c>
      <c r="V2367">
        <v>6</v>
      </c>
      <c r="Z2367" t="s">
        <v>107</v>
      </c>
      <c r="AA2367">
        <v>27</v>
      </c>
      <c r="AB2367" t="s">
        <v>23420</v>
      </c>
      <c r="AC2367" t="s">
        <v>23421</v>
      </c>
      <c r="AD2367" t="s">
        <v>23422</v>
      </c>
      <c r="AE2367" t="s">
        <v>11111</v>
      </c>
      <c r="AF2367" t="s">
        <v>23423</v>
      </c>
      <c r="AG2367" t="s">
        <v>23424</v>
      </c>
      <c r="AH2367" t="str">
        <f>HYPERLINK("http://compartments.jensenlab.org/Entity?figures=subcell_cell_%&amp;knowledge=10&amp;textmining=10&amp;experiments=10&amp;predictions=10&amp;type1=9606&amp;type2=-22&amp;id1=ENSP00000395359","link")</f>
        <v>link</v>
      </c>
      <c r="AK2367" t="str">
        <f>HYPERLINK("http://www.proteinatlas.org/Q9BY67","CAB037266")</f>
        <v>CAB037266</v>
      </c>
      <c r="AM2367">
        <v>23705</v>
      </c>
    </row>
    <row r="2368" spans="1:39" x14ac:dyDescent="0.35">
      <c r="A2368" t="s">
        <v>23425</v>
      </c>
      <c r="B2368" t="str">
        <f>HYPERLINK("http://www.uniprot.org/uniprot/Q9BY79","Q9BY79")</f>
        <v>Q9BY79</v>
      </c>
      <c r="C2368" t="s">
        <v>23426</v>
      </c>
      <c r="D2368" t="s">
        <v>23427</v>
      </c>
      <c r="E2368" t="s">
        <v>39</v>
      </c>
      <c r="F2368" t="s">
        <v>40</v>
      </c>
      <c r="H2368">
        <v>579</v>
      </c>
      <c r="I2368">
        <v>1</v>
      </c>
      <c r="J2368">
        <v>0</v>
      </c>
      <c r="K2368" t="s">
        <v>23428</v>
      </c>
      <c r="L2368" t="s">
        <v>57</v>
      </c>
      <c r="N2368">
        <v>0.75849999999999995</v>
      </c>
      <c r="O2368" s="1">
        <v>1</v>
      </c>
      <c r="P2368" t="s">
        <v>23429</v>
      </c>
      <c r="Q2368" t="s">
        <v>23430</v>
      </c>
      <c r="S2368" t="s">
        <v>60</v>
      </c>
      <c r="T2368" t="s">
        <v>60</v>
      </c>
      <c r="U2368" t="s">
        <v>23431</v>
      </c>
      <c r="V2368">
        <v>7</v>
      </c>
      <c r="Y2368" t="s">
        <v>23432</v>
      </c>
      <c r="AE2368" t="s">
        <v>23433</v>
      </c>
      <c r="AF2368" t="s">
        <v>23434</v>
      </c>
      <c r="AG2368" t="s">
        <v>23435</v>
      </c>
      <c r="AH2368" t="str">
        <f>HYPERLINK("http://compartments.jensenlab.org/Entity?figures=subcell_cell_%&amp;knowledge=10&amp;textmining=10&amp;experiments=10&amp;predictions=10&amp;type1=9606&amp;type2=-22&amp;id1=ENSP00000391664","link")</f>
        <v>link</v>
      </c>
      <c r="AJ2368" t="s">
        <v>902</v>
      </c>
      <c r="AK2368" t="str">
        <f>HYPERLINK("http://www.proteinatlas.org/Q9BY79","HPA042946")</f>
        <v>HPA042946</v>
      </c>
      <c r="AM2368">
        <v>83552</v>
      </c>
    </row>
    <row r="2369" spans="1:39" x14ac:dyDescent="0.35">
      <c r="A2369" t="s">
        <v>23436</v>
      </c>
      <c r="B2369" t="str">
        <f>HYPERLINK("http://www.uniprot.org/uniprot/Q9BYE2","Q9BYE2")</f>
        <v>Q9BYE2</v>
      </c>
      <c r="C2369" t="s">
        <v>23437</v>
      </c>
      <c r="D2369" t="s">
        <v>23438</v>
      </c>
      <c r="E2369" t="s">
        <v>39</v>
      </c>
      <c r="F2369" t="s">
        <v>40</v>
      </c>
      <c r="H2369">
        <v>586</v>
      </c>
      <c r="I2369">
        <v>1</v>
      </c>
      <c r="J2369">
        <v>0</v>
      </c>
      <c r="K2369" t="s">
        <v>23439</v>
      </c>
      <c r="L2369" t="s">
        <v>57</v>
      </c>
      <c r="N2369">
        <v>0.73450000000000004</v>
      </c>
      <c r="O2369" s="1">
        <v>2</v>
      </c>
      <c r="P2369" t="s">
        <v>23440</v>
      </c>
      <c r="S2369" t="s">
        <v>947</v>
      </c>
      <c r="T2369" t="s">
        <v>4787</v>
      </c>
      <c r="U2369" t="s">
        <v>23441</v>
      </c>
      <c r="V2369">
        <v>4</v>
      </c>
      <c r="AE2369" t="s">
        <v>359</v>
      </c>
      <c r="AF2369" t="s">
        <v>23442</v>
      </c>
      <c r="AG2369" t="s">
        <v>23443</v>
      </c>
      <c r="AK2369" t="str">
        <f>HYPERLINK("http://www.proteinatlas.org/Q9BYE2","HPA028947")</f>
        <v>HPA028947</v>
      </c>
      <c r="AM2369">
        <v>84000</v>
      </c>
    </row>
    <row r="2370" spans="1:39" x14ac:dyDescent="0.35">
      <c r="A2370" t="s">
        <v>23444</v>
      </c>
      <c r="B2370" t="str">
        <f>HYPERLINK("http://www.uniprot.org/uniprot/Q9BYE9","Q9BYE9")</f>
        <v>Q9BYE9</v>
      </c>
      <c r="C2370" t="s">
        <v>23445</v>
      </c>
      <c r="D2370" t="s">
        <v>23446</v>
      </c>
      <c r="E2370" t="s">
        <v>39</v>
      </c>
      <c r="F2370" t="s">
        <v>40</v>
      </c>
      <c r="H2370">
        <v>1310</v>
      </c>
      <c r="I2370">
        <v>1</v>
      </c>
      <c r="J2370">
        <v>1</v>
      </c>
      <c r="K2370" t="s">
        <v>23447</v>
      </c>
      <c r="L2370" t="s">
        <v>57</v>
      </c>
      <c r="N2370">
        <v>0.96609999999999996</v>
      </c>
      <c r="O2370" s="1">
        <v>1</v>
      </c>
      <c r="P2370" t="s">
        <v>23448</v>
      </c>
      <c r="Q2370" t="s">
        <v>23449</v>
      </c>
      <c r="S2370" t="s">
        <v>91</v>
      </c>
      <c r="T2370" t="s">
        <v>216</v>
      </c>
      <c r="U2370" t="s">
        <v>23450</v>
      </c>
      <c r="V2370">
        <v>24</v>
      </c>
      <c r="AE2370" t="s">
        <v>23451</v>
      </c>
      <c r="AF2370" t="s">
        <v>23452</v>
      </c>
      <c r="AG2370" t="s">
        <v>23453</v>
      </c>
      <c r="AH2370" t="str">
        <f>HYPERLINK("http://compartments.jensenlab.org/Entity?figures=subcell_cell_%&amp;knowledge=10&amp;textmining=10&amp;experiments=10&amp;predictions=10&amp;type1=9606&amp;type2=-22&amp;id1=ENSP00000261944","link")</f>
        <v>link</v>
      </c>
      <c r="AI2370" t="s">
        <v>65</v>
      </c>
      <c r="AJ2370" t="s">
        <v>51</v>
      </c>
      <c r="AK2370" t="str">
        <f>HYPERLINK("http://www.proteinatlas.org/Q9BYE9","HPA012569;HPA017053")</f>
        <v>HPA012569;HPA017053</v>
      </c>
      <c r="AM2370">
        <v>54825</v>
      </c>
    </row>
    <row r="2371" spans="1:39" x14ac:dyDescent="0.35">
      <c r="A2371" t="s">
        <v>23454</v>
      </c>
      <c r="B2371" t="str">
        <f>HYPERLINK("http://www.uniprot.org/uniprot/Q9BYF1","Q9BYF1")</f>
        <v>Q9BYF1</v>
      </c>
      <c r="C2371" t="s">
        <v>23455</v>
      </c>
      <c r="D2371" t="s">
        <v>23456</v>
      </c>
      <c r="E2371" t="s">
        <v>39</v>
      </c>
      <c r="F2371" t="s">
        <v>55</v>
      </c>
      <c r="H2371">
        <v>805</v>
      </c>
      <c r="I2371">
        <v>1</v>
      </c>
      <c r="J2371">
        <v>1</v>
      </c>
      <c r="K2371" t="s">
        <v>23457</v>
      </c>
      <c r="L2371" t="s">
        <v>57</v>
      </c>
      <c r="M2371" t="s">
        <v>39</v>
      </c>
      <c r="N2371">
        <v>0.93220000000000003</v>
      </c>
      <c r="O2371" s="1">
        <v>1</v>
      </c>
      <c r="P2371" t="s">
        <v>23458</v>
      </c>
      <c r="Q2371" t="s">
        <v>23459</v>
      </c>
      <c r="S2371" t="s">
        <v>60</v>
      </c>
      <c r="T2371" t="s">
        <v>60</v>
      </c>
      <c r="U2371" t="s">
        <v>23460</v>
      </c>
      <c r="V2371">
        <v>7</v>
      </c>
      <c r="W2371" t="s">
        <v>23460</v>
      </c>
      <c r="Y2371">
        <v>165</v>
      </c>
      <c r="AE2371" t="s">
        <v>5244</v>
      </c>
      <c r="AF2371" t="s">
        <v>23461</v>
      </c>
      <c r="AG2371" t="s">
        <v>23462</v>
      </c>
      <c r="AH2371" t="str">
        <f>HYPERLINK("http://compartments.jensenlab.org/Entity?figures=subcell_cell_%&amp;knowledge=10&amp;textmining=10&amp;experiments=10&amp;predictions=10&amp;type1=9606&amp;type2=-22&amp;id1=ENSP00000252519","link")</f>
        <v>link</v>
      </c>
      <c r="AI2371" t="s">
        <v>1058</v>
      </c>
      <c r="AJ2371" t="s">
        <v>902</v>
      </c>
      <c r="AK2371" t="str">
        <f>HYPERLINK("http://www.proteinatlas.org/Q9BYF1","HPA000288;CAB026174")</f>
        <v>HPA000288;CAB026174</v>
      </c>
      <c r="AL2371" t="s">
        <v>23463</v>
      </c>
      <c r="AM2371">
        <v>59272</v>
      </c>
    </row>
    <row r="2372" spans="1:39" x14ac:dyDescent="0.35">
      <c r="A2372" t="s">
        <v>23464</v>
      </c>
      <c r="B2372" t="str">
        <f>HYPERLINK("http://www.uniprot.org/uniprot/Q9BYT1","Q9BYT1")</f>
        <v>Q9BYT1</v>
      </c>
      <c r="C2372" t="s">
        <v>23465</v>
      </c>
      <c r="D2372" t="s">
        <v>23466</v>
      </c>
      <c r="E2372" t="s">
        <v>39</v>
      </c>
      <c r="F2372" t="s">
        <v>40</v>
      </c>
      <c r="H2372">
        <v>436</v>
      </c>
      <c r="I2372">
        <v>10</v>
      </c>
      <c r="J2372">
        <v>0</v>
      </c>
      <c r="K2372" t="s">
        <v>23467</v>
      </c>
      <c r="L2372" t="s">
        <v>42</v>
      </c>
      <c r="N2372">
        <v>0.71660000000000001</v>
      </c>
      <c r="O2372" s="1">
        <v>2</v>
      </c>
      <c r="P2372" t="s">
        <v>23468</v>
      </c>
      <c r="Q2372" t="s">
        <v>23469</v>
      </c>
      <c r="S2372" t="s">
        <v>45</v>
      </c>
      <c r="T2372" t="s">
        <v>13311</v>
      </c>
      <c r="U2372">
        <v>352</v>
      </c>
      <c r="V2372">
        <v>1</v>
      </c>
      <c r="Y2372">
        <v>180</v>
      </c>
      <c r="AE2372" t="s">
        <v>48</v>
      </c>
      <c r="AF2372" t="s">
        <v>23470</v>
      </c>
      <c r="AG2372" t="s">
        <v>23471</v>
      </c>
      <c r="AH2372" t="str">
        <f>HYPERLINK("http://compartments.jensenlab.org/Entity?figures=subcell_cell_%&amp;knowledge=10&amp;textmining=10&amp;experiments=10&amp;predictions=10&amp;type1=9606&amp;type2=-22&amp;id1=ENSP00000359376","link")</f>
        <v>link</v>
      </c>
      <c r="AJ2372" t="s">
        <v>51</v>
      </c>
      <c r="AK2372" t="str">
        <f>HYPERLINK("http://www.proteinatlas.org/Q9BYT1","HPA047470;HPA056499")</f>
        <v>HPA047470;HPA056499</v>
      </c>
      <c r="AM2372">
        <v>63910</v>
      </c>
    </row>
    <row r="2373" spans="1:39" x14ac:dyDescent="0.35">
      <c r="A2373" t="s">
        <v>23472</v>
      </c>
      <c r="B2373" t="str">
        <f>HYPERLINK("http://www.uniprot.org/uniprot/Q9BYT9","Q9BYT9")</f>
        <v>Q9BYT9</v>
      </c>
      <c r="C2373" t="s">
        <v>23473</v>
      </c>
      <c r="D2373" t="s">
        <v>23474</v>
      </c>
      <c r="E2373" t="s">
        <v>39</v>
      </c>
      <c r="F2373" t="s">
        <v>40</v>
      </c>
      <c r="H2373">
        <v>981</v>
      </c>
      <c r="I2373">
        <v>8</v>
      </c>
      <c r="J2373">
        <v>0</v>
      </c>
      <c r="K2373" t="s">
        <v>23475</v>
      </c>
      <c r="L2373" t="s">
        <v>57</v>
      </c>
      <c r="N2373">
        <v>0.7944</v>
      </c>
      <c r="O2373" s="1">
        <v>1</v>
      </c>
      <c r="P2373" t="s">
        <v>23476</v>
      </c>
      <c r="Q2373" t="s">
        <v>23477</v>
      </c>
      <c r="S2373" t="s">
        <v>91</v>
      </c>
      <c r="T2373" t="s">
        <v>104</v>
      </c>
      <c r="U2373" t="s">
        <v>23478</v>
      </c>
      <c r="V2373">
        <v>4</v>
      </c>
      <c r="Y2373" t="s">
        <v>23479</v>
      </c>
      <c r="AE2373" t="s">
        <v>74</v>
      </c>
      <c r="AF2373" t="s">
        <v>23480</v>
      </c>
      <c r="AG2373" t="s">
        <v>23481</v>
      </c>
      <c r="AH2373" t="str">
        <f>HYPERLINK("http://compartments.jensenlab.org/Entity?figures=subcell_cell_%&amp;knowledge=10&amp;textmining=10&amp;experiments=10&amp;predictions=10&amp;type1=9606&amp;type2=-22&amp;id1=ENSP00000256737","link")</f>
        <v>link</v>
      </c>
      <c r="AJ2373" t="s">
        <v>51</v>
      </c>
      <c r="AK2373" t="str">
        <f>HYPERLINK("http://www.proteinatlas.org/Q9BYT9","HPA041629")</f>
        <v>HPA041629</v>
      </c>
      <c r="AM2373">
        <v>63982</v>
      </c>
    </row>
    <row r="2374" spans="1:39" x14ac:dyDescent="0.35">
      <c r="A2374" t="s">
        <v>23482</v>
      </c>
      <c r="B2374" t="str">
        <f>HYPERLINK("http://www.uniprot.org/uniprot/Q9BYW1","Q9BYW1")</f>
        <v>Q9BYW1</v>
      </c>
      <c r="C2374" t="s">
        <v>23483</v>
      </c>
      <c r="D2374" t="s">
        <v>23484</v>
      </c>
      <c r="E2374" t="s">
        <v>39</v>
      </c>
      <c r="F2374" t="s">
        <v>40</v>
      </c>
      <c r="H2374">
        <v>496</v>
      </c>
      <c r="I2374">
        <v>12</v>
      </c>
      <c r="J2374">
        <v>0</v>
      </c>
      <c r="K2374" t="s">
        <v>23485</v>
      </c>
      <c r="L2374" t="s">
        <v>57</v>
      </c>
      <c r="N2374">
        <v>0.75449999999999995</v>
      </c>
      <c r="O2374" s="1">
        <v>1</v>
      </c>
      <c r="P2374" t="s">
        <v>23486</v>
      </c>
      <c r="Q2374" t="s">
        <v>23487</v>
      </c>
      <c r="S2374" t="s">
        <v>45</v>
      </c>
      <c r="T2374" t="s">
        <v>3338</v>
      </c>
      <c r="U2374" t="s">
        <v>23488</v>
      </c>
      <c r="V2374">
        <v>2</v>
      </c>
      <c r="AE2374" t="s">
        <v>74</v>
      </c>
      <c r="AF2374" t="s">
        <v>23489</v>
      </c>
      <c r="AG2374" t="s">
        <v>23490</v>
      </c>
      <c r="AH2374" t="str">
        <f>HYPERLINK("http://compartments.jensenlab.org/Entity?figures=subcell_cell_%&amp;knowledge=10&amp;textmining=10&amp;experiments=10&amp;predictions=10&amp;type1=9606&amp;type2=-22&amp;id1=ENSP00000342542","link")</f>
        <v>link</v>
      </c>
      <c r="AK2374" t="str">
        <f>HYPERLINK("http://www.proteinatlas.org/Q9BYW1","HPA042960")</f>
        <v>HPA042960</v>
      </c>
      <c r="AM2374">
        <v>66035</v>
      </c>
    </row>
    <row r="2375" spans="1:39" x14ac:dyDescent="0.35">
      <c r="A2375" t="s">
        <v>23491</v>
      </c>
      <c r="B2375" t="str">
        <f>HYPERLINK("http://www.uniprot.org/uniprot/Q9BZ11","Q9BZ11")</f>
        <v>Q9BZ11</v>
      </c>
      <c r="C2375" t="s">
        <v>23492</v>
      </c>
      <c r="D2375" t="s">
        <v>23493</v>
      </c>
      <c r="E2375" t="s">
        <v>39</v>
      </c>
      <c r="F2375" t="s">
        <v>40</v>
      </c>
      <c r="H2375">
        <v>813</v>
      </c>
      <c r="I2375">
        <v>1</v>
      </c>
      <c r="J2375">
        <v>1</v>
      </c>
      <c r="K2375" t="s">
        <v>23494</v>
      </c>
      <c r="L2375" t="s">
        <v>57</v>
      </c>
      <c r="N2375">
        <v>0.86229999999999996</v>
      </c>
      <c r="O2375" s="1">
        <v>1</v>
      </c>
      <c r="P2375" t="s">
        <v>23495</v>
      </c>
      <c r="Q2375" t="s">
        <v>23496</v>
      </c>
      <c r="S2375" t="s">
        <v>947</v>
      </c>
      <c r="T2375" t="s">
        <v>1208</v>
      </c>
      <c r="U2375" t="s">
        <v>23497</v>
      </c>
      <c r="V2375">
        <v>5</v>
      </c>
      <c r="AE2375" t="s">
        <v>144</v>
      </c>
      <c r="AF2375" t="s">
        <v>23498</v>
      </c>
      <c r="AG2375" t="s">
        <v>23499</v>
      </c>
      <c r="AH2375" t="str">
        <f>HYPERLINK("http://compartments.jensenlab.org/Entity?figures=subcell_cell_%&amp;knowledge=10&amp;textmining=10&amp;experiments=10&amp;predictions=10&amp;type1=9606&amp;type2=-22&amp;id1=ENSP00000348912","link")</f>
        <v>link</v>
      </c>
      <c r="AJ2375" t="s">
        <v>51</v>
      </c>
      <c r="AK2375" t="str">
        <f>HYPERLINK("http://www.proteinatlas.org/Q9BZ11","no")</f>
        <v>no</v>
      </c>
      <c r="AM2375">
        <v>80332</v>
      </c>
    </row>
    <row r="2376" spans="1:39" x14ac:dyDescent="0.35">
      <c r="A2376" t="s">
        <v>23500</v>
      </c>
      <c r="B2376" t="str">
        <f>HYPERLINK("http://www.uniprot.org/uniprot/Q9BZ76","Q9BZ76")</f>
        <v>Q9BZ76</v>
      </c>
      <c r="C2376" t="s">
        <v>23501</v>
      </c>
      <c r="D2376" t="s">
        <v>23502</v>
      </c>
      <c r="E2376" t="s">
        <v>39</v>
      </c>
      <c r="F2376" t="s">
        <v>40</v>
      </c>
      <c r="H2376">
        <v>1288</v>
      </c>
      <c r="I2376">
        <v>1</v>
      </c>
      <c r="J2376">
        <v>1</v>
      </c>
      <c r="K2376" t="s">
        <v>22253</v>
      </c>
      <c r="L2376" t="s">
        <v>57</v>
      </c>
      <c r="N2376">
        <v>0.88419999999999999</v>
      </c>
      <c r="O2376" s="1">
        <v>1</v>
      </c>
      <c r="P2376" t="s">
        <v>23503</v>
      </c>
      <c r="Q2376" t="s">
        <v>23504</v>
      </c>
      <c r="S2376" t="s">
        <v>166</v>
      </c>
      <c r="T2376" t="s">
        <v>11402</v>
      </c>
      <c r="U2376" t="s">
        <v>22255</v>
      </c>
      <c r="V2376">
        <v>9</v>
      </c>
      <c r="W2376" t="s">
        <v>23505</v>
      </c>
      <c r="AE2376" t="s">
        <v>1250</v>
      </c>
      <c r="AF2376" t="s">
        <v>22827</v>
      </c>
      <c r="AG2376" t="s">
        <v>23506</v>
      </c>
      <c r="AH2376" t="str">
        <f>HYPERLINK("http://compartments.jensenlab.org/Entity?figures=subcell_cell_%&amp;knowledge=10&amp;textmining=10&amp;experiments=10&amp;predictions=10&amp;type1=9606&amp;type2=-22&amp;id1=ENSP00000297668","link")</f>
        <v>link</v>
      </c>
      <c r="AI2376" t="s">
        <v>65</v>
      </c>
      <c r="AJ2376" t="s">
        <v>902</v>
      </c>
      <c r="AK2376" t="str">
        <f>HYPERLINK("http://www.proteinatlas.org/Q9BZ76","HPA015604;HPA047731")</f>
        <v>HPA015604;HPA047731</v>
      </c>
      <c r="AM2376">
        <v>79937</v>
      </c>
    </row>
    <row r="2377" spans="1:39" x14ac:dyDescent="0.35">
      <c r="A2377" t="s">
        <v>23507</v>
      </c>
      <c r="B2377" t="str">
        <f>HYPERLINK("http://www.uniprot.org/uniprot/Q9BZA7","Q9BZA7")</f>
        <v>Q9BZA7</v>
      </c>
      <c r="C2377" t="s">
        <v>23508</v>
      </c>
      <c r="D2377" t="s">
        <v>23509</v>
      </c>
      <c r="E2377" t="s">
        <v>39</v>
      </c>
      <c r="F2377" t="s">
        <v>40</v>
      </c>
      <c r="H2377">
        <v>1347</v>
      </c>
      <c r="I2377">
        <v>1</v>
      </c>
      <c r="J2377">
        <v>1</v>
      </c>
      <c r="K2377" t="s">
        <v>23510</v>
      </c>
      <c r="L2377" t="s">
        <v>57</v>
      </c>
      <c r="N2377">
        <v>0.96409999999999996</v>
      </c>
      <c r="O2377" s="1">
        <v>1</v>
      </c>
      <c r="P2377" t="s">
        <v>23511</v>
      </c>
      <c r="Q2377" t="s">
        <v>23512</v>
      </c>
      <c r="S2377" t="s">
        <v>91</v>
      </c>
      <c r="T2377" t="s">
        <v>216</v>
      </c>
      <c r="U2377" t="s">
        <v>23513</v>
      </c>
      <c r="V2377">
        <v>16</v>
      </c>
      <c r="W2377" t="s">
        <v>23514</v>
      </c>
      <c r="AE2377" t="s">
        <v>332</v>
      </c>
      <c r="AF2377" t="s">
        <v>16205</v>
      </c>
      <c r="AG2377" t="s">
        <v>23515</v>
      </c>
      <c r="AH2377" t="str">
        <f>HYPERLINK("http://compartments.jensenlab.org/Entity?figures=subcell_cell_%&amp;knowledge=10&amp;textmining=10&amp;experiments=10&amp;predictions=10&amp;type1=9606&amp;type2=-22&amp;id1=ENSP00000362186","link")</f>
        <v>link</v>
      </c>
      <c r="AI2377" t="s">
        <v>65</v>
      </c>
      <c r="AJ2377" t="s">
        <v>51</v>
      </c>
      <c r="AK2377" t="str">
        <f>HYPERLINK("http://www.proteinatlas.org/Q9BZA7","HPA000432")</f>
        <v>HPA000432</v>
      </c>
      <c r="AM2377">
        <v>27328</v>
      </c>
    </row>
    <row r="2378" spans="1:39" x14ac:dyDescent="0.35">
      <c r="A2378" t="s">
        <v>23516</v>
      </c>
      <c r="B2378" t="str">
        <f>HYPERLINK("http://www.uniprot.org/uniprot/Q9BZA8","Q9BZA8")</f>
        <v>Q9BZA8</v>
      </c>
      <c r="C2378" t="s">
        <v>23517</v>
      </c>
      <c r="D2378" t="s">
        <v>23518</v>
      </c>
      <c r="E2378" t="s">
        <v>39</v>
      </c>
      <c r="F2378" t="s">
        <v>40</v>
      </c>
      <c r="H2378">
        <v>1340</v>
      </c>
      <c r="I2378">
        <v>1</v>
      </c>
      <c r="J2378">
        <v>1</v>
      </c>
      <c r="K2378" t="s">
        <v>23519</v>
      </c>
      <c r="L2378" t="s">
        <v>57</v>
      </c>
      <c r="N2378">
        <v>0.90820000000000001</v>
      </c>
      <c r="O2378" s="1">
        <v>1</v>
      </c>
      <c r="P2378" t="s">
        <v>23520</v>
      </c>
      <c r="Q2378" t="s">
        <v>23521</v>
      </c>
      <c r="S2378" t="s">
        <v>91</v>
      </c>
      <c r="T2378" t="s">
        <v>216</v>
      </c>
      <c r="U2378" t="s">
        <v>23522</v>
      </c>
      <c r="V2378">
        <v>17</v>
      </c>
      <c r="AE2378" t="s">
        <v>332</v>
      </c>
      <c r="AF2378" t="s">
        <v>23523</v>
      </c>
      <c r="AG2378" t="s">
        <v>23524</v>
      </c>
      <c r="AH2378" t="str">
        <f>HYPERLINK("http://compartments.jensenlab.org/Entity?figures=subcell_cell_%&amp;knowledge=10&amp;textmining=10&amp;experiments=10&amp;predictions=10&amp;type1=9606&amp;type2=-22&amp;id1=ENSP00000383306","link")</f>
        <v>link</v>
      </c>
      <c r="AK2378" t="str">
        <f>HYPERLINK("http://www.proteinatlas.org/Q9BZA8","HPA000432")</f>
        <v>HPA000432</v>
      </c>
      <c r="AM2378">
        <v>83259</v>
      </c>
    </row>
    <row r="2379" spans="1:39" x14ac:dyDescent="0.35">
      <c r="A2379" t="s">
        <v>23525</v>
      </c>
      <c r="B2379" t="str">
        <f>HYPERLINK("http://www.uniprot.org/uniprot/Q9BZC7","Q9BZC7")</f>
        <v>Q9BZC7</v>
      </c>
      <c r="C2379" t="s">
        <v>23526</v>
      </c>
      <c r="D2379" t="s">
        <v>23527</v>
      </c>
      <c r="E2379" t="s">
        <v>39</v>
      </c>
      <c r="F2379" t="s">
        <v>40</v>
      </c>
      <c r="H2379">
        <v>2435</v>
      </c>
      <c r="I2379">
        <v>14</v>
      </c>
      <c r="J2379">
        <v>0</v>
      </c>
      <c r="K2379" t="s">
        <v>23528</v>
      </c>
      <c r="L2379" t="s">
        <v>1592</v>
      </c>
      <c r="N2379">
        <v>0.91020000000000001</v>
      </c>
      <c r="O2379" s="1">
        <v>1</v>
      </c>
      <c r="P2379" t="s">
        <v>23529</v>
      </c>
      <c r="Q2379" t="s">
        <v>23530</v>
      </c>
      <c r="S2379" t="s">
        <v>45</v>
      </c>
      <c r="T2379" t="s">
        <v>3013</v>
      </c>
      <c r="U2379" t="s">
        <v>23531</v>
      </c>
      <c r="V2379">
        <v>24</v>
      </c>
      <c r="W2379" t="s">
        <v>23531</v>
      </c>
      <c r="Y2379">
        <v>749</v>
      </c>
      <c r="Z2379" t="s">
        <v>123</v>
      </c>
      <c r="AA2379">
        <v>1</v>
      </c>
      <c r="AB2379" t="s">
        <v>23532</v>
      </c>
      <c r="AC2379" t="s">
        <v>23533</v>
      </c>
      <c r="AD2379" t="s">
        <v>23534</v>
      </c>
      <c r="AE2379" t="s">
        <v>23535</v>
      </c>
      <c r="AF2379" t="s">
        <v>23536</v>
      </c>
      <c r="AG2379" t="s">
        <v>23537</v>
      </c>
      <c r="AH2379" t="str">
        <f>HYPERLINK("http://compartments.jensenlab.org/Entity?figures=subcell_cell_%&amp;knowledge=10&amp;textmining=10&amp;experiments=10&amp;predictions=10&amp;type1=9606&amp;type2=-22&amp;id1=ENSP00000344155","link")</f>
        <v>link</v>
      </c>
      <c r="AI2379" t="s">
        <v>6445</v>
      </c>
      <c r="AJ2379" t="s">
        <v>23538</v>
      </c>
      <c r="AK2379" t="str">
        <f>HYPERLINK("http://www.proteinatlas.org/Q9BZC7","HPA042886")</f>
        <v>HPA042886</v>
      </c>
      <c r="AM2379">
        <v>20</v>
      </c>
    </row>
    <row r="2380" spans="1:39" x14ac:dyDescent="0.35">
      <c r="A2380" t="s">
        <v>23539</v>
      </c>
      <c r="B2380" t="str">
        <f>HYPERLINK("http://www.uniprot.org/uniprot/Q9BZD2","Q9BZD2")</f>
        <v>Q9BZD2</v>
      </c>
      <c r="C2380" t="s">
        <v>23540</v>
      </c>
      <c r="D2380" t="s">
        <v>23541</v>
      </c>
      <c r="E2380" t="s">
        <v>39</v>
      </c>
      <c r="F2380" t="s">
        <v>40</v>
      </c>
      <c r="H2380">
        <v>475</v>
      </c>
      <c r="I2380">
        <v>11</v>
      </c>
      <c r="J2380">
        <v>0</v>
      </c>
      <c r="K2380" t="s">
        <v>23542</v>
      </c>
      <c r="L2380" t="s">
        <v>57</v>
      </c>
      <c r="N2380">
        <v>0.9042</v>
      </c>
      <c r="O2380" s="1">
        <v>1</v>
      </c>
      <c r="P2380" t="s">
        <v>23543</v>
      </c>
      <c r="Q2380" t="s">
        <v>23544</v>
      </c>
      <c r="S2380" t="s">
        <v>45</v>
      </c>
      <c r="T2380" t="s">
        <v>13218</v>
      </c>
      <c r="U2380" t="s">
        <v>23545</v>
      </c>
      <c r="V2380">
        <v>1</v>
      </c>
      <c r="AE2380" t="s">
        <v>23546</v>
      </c>
      <c r="AF2380" t="s">
        <v>23547</v>
      </c>
      <c r="AG2380" t="s">
        <v>23548</v>
      </c>
      <c r="AH2380" t="str">
        <f>HYPERLINK("http://compartments.jensenlab.org/Entity?figures=subcell_cell_%&amp;knowledge=10&amp;textmining=10&amp;experiments=10&amp;predictions=10&amp;type1=9606&amp;type2=-22&amp;id1=ENSP00000362285","link")</f>
        <v>link</v>
      </c>
      <c r="AI2380" t="s">
        <v>6445</v>
      </c>
      <c r="AJ2380" t="s">
        <v>4662</v>
      </c>
      <c r="AK2380" t="str">
        <f>HYPERLINK("http://www.proteinatlas.org/Q9BZD2","HPA054976")</f>
        <v>HPA054976</v>
      </c>
      <c r="AM2380">
        <v>55315</v>
      </c>
    </row>
    <row r="2381" spans="1:39" x14ac:dyDescent="0.35">
      <c r="A2381" t="s">
        <v>23549</v>
      </c>
      <c r="B2381" t="str">
        <f>HYPERLINK("http://www.uniprot.org/uniprot/Q9BZG2","Q9BZG2")</f>
        <v>Q9BZG2</v>
      </c>
      <c r="C2381" t="s">
        <v>23550</v>
      </c>
      <c r="D2381" t="s">
        <v>23551</v>
      </c>
      <c r="E2381" t="s">
        <v>39</v>
      </c>
      <c r="F2381" t="s">
        <v>40</v>
      </c>
      <c r="H2381">
        <v>426</v>
      </c>
      <c r="I2381">
        <v>1</v>
      </c>
      <c r="J2381">
        <v>1</v>
      </c>
      <c r="K2381" t="s">
        <v>23552</v>
      </c>
      <c r="L2381" t="s">
        <v>57</v>
      </c>
      <c r="N2381">
        <v>0.62870000000000004</v>
      </c>
      <c r="O2381" s="1">
        <v>2</v>
      </c>
      <c r="P2381" t="s">
        <v>23553</v>
      </c>
      <c r="Q2381" t="s">
        <v>23554</v>
      </c>
      <c r="S2381" t="s">
        <v>947</v>
      </c>
      <c r="T2381" t="s">
        <v>1117</v>
      </c>
      <c r="U2381" t="s">
        <v>23555</v>
      </c>
      <c r="V2381">
        <v>4</v>
      </c>
      <c r="AE2381" t="s">
        <v>144</v>
      </c>
      <c r="AF2381" t="s">
        <v>23556</v>
      </c>
      <c r="AG2381" t="s">
        <v>23557</v>
      </c>
      <c r="AH2381" t="str">
        <f>HYPERLINK("http://compartments.jensenlab.org/Entity?figures=subcell_cell_%&amp;knowledge=10&amp;textmining=10&amp;experiments=10&amp;predictions=10&amp;type1=9606&amp;type2=-22&amp;id1=ENSP00000270593","link")</f>
        <v>link</v>
      </c>
      <c r="AJ2381" t="s">
        <v>51</v>
      </c>
      <c r="AK2381" t="str">
        <f>HYPERLINK("http://www.proteinatlas.org/Q9BZG2","no")</f>
        <v>no</v>
      </c>
      <c r="AM2381">
        <v>93650</v>
      </c>
    </row>
    <row r="2382" spans="1:39" x14ac:dyDescent="0.35">
      <c r="A2382" t="s">
        <v>23558</v>
      </c>
      <c r="B2382" t="str">
        <f>HYPERLINK("http://www.uniprot.org/uniprot/Q9BZG9","Q9BZG9")</f>
        <v>Q9BZG9</v>
      </c>
      <c r="C2382" t="s">
        <v>23559</v>
      </c>
      <c r="D2382" t="s">
        <v>23560</v>
      </c>
      <c r="E2382" t="s">
        <v>39</v>
      </c>
      <c r="F2382" t="s">
        <v>239</v>
      </c>
      <c r="H2382">
        <v>131</v>
      </c>
      <c r="I2382">
        <v>0</v>
      </c>
      <c r="J2382">
        <v>1</v>
      </c>
      <c r="K2382" t="s">
        <v>13796</v>
      </c>
      <c r="L2382" t="s">
        <v>57</v>
      </c>
      <c r="N2382">
        <v>0.4012</v>
      </c>
      <c r="O2382" s="1" t="s">
        <v>1752</v>
      </c>
      <c r="P2382" t="s">
        <v>23561</v>
      </c>
      <c r="Q2382" t="s">
        <v>23562</v>
      </c>
      <c r="S2382" t="s">
        <v>60</v>
      </c>
      <c r="T2382" t="s">
        <v>60</v>
      </c>
      <c r="V2382">
        <v>0</v>
      </c>
      <c r="AE2382" t="s">
        <v>23563</v>
      </c>
      <c r="AF2382" t="s">
        <v>23564</v>
      </c>
      <c r="AG2382" t="s">
        <v>23565</v>
      </c>
      <c r="AH2382" t="str">
        <f>HYPERLINK("http://compartments.jensenlab.org/Entity?figures=subcell_cell_%&amp;knowledge=10&amp;textmining=10&amp;experiments=10&amp;predictions=10&amp;type1=9606&amp;type2=-22&amp;id1=ENSP00000479586","link")</f>
        <v>link</v>
      </c>
      <c r="AK2382" t="str">
        <f>HYPERLINK("http://www.proteinatlas.org/Q9BZG9","HPA023711")</f>
        <v>HPA023711</v>
      </c>
      <c r="AM2382">
        <v>66004</v>
      </c>
    </row>
    <row r="2383" spans="1:39" x14ac:dyDescent="0.35">
      <c r="A2383" t="s">
        <v>23566</v>
      </c>
      <c r="B2383" t="str">
        <f>HYPERLINK("http://www.uniprot.org/uniprot/Q9BZJ6","Q9BZJ6")</f>
        <v>Q9BZJ6</v>
      </c>
      <c r="C2383" t="s">
        <v>23567</v>
      </c>
      <c r="D2383" t="s">
        <v>23568</v>
      </c>
      <c r="E2383" t="s">
        <v>39</v>
      </c>
      <c r="F2383" t="s">
        <v>55</v>
      </c>
      <c r="H2383">
        <v>419</v>
      </c>
      <c r="I2383">
        <v>7</v>
      </c>
      <c r="J2383">
        <v>0</v>
      </c>
      <c r="K2383" t="s">
        <v>23569</v>
      </c>
      <c r="L2383" t="s">
        <v>57</v>
      </c>
      <c r="M2383" t="s">
        <v>39</v>
      </c>
      <c r="N2383">
        <v>0.85640000000000005</v>
      </c>
      <c r="O2383" s="1">
        <v>1</v>
      </c>
      <c r="P2383" t="s">
        <v>23570</v>
      </c>
      <c r="Q2383" t="s">
        <v>23571</v>
      </c>
      <c r="S2383" t="s">
        <v>166</v>
      </c>
      <c r="T2383" t="s">
        <v>838</v>
      </c>
      <c r="U2383" t="s">
        <v>23572</v>
      </c>
      <c r="V2383">
        <v>3</v>
      </c>
      <c r="Y2383">
        <v>355</v>
      </c>
      <c r="AE2383" t="s">
        <v>74</v>
      </c>
      <c r="AF2383" t="s">
        <v>910</v>
      </c>
      <c r="AG2383" t="s">
        <v>23573</v>
      </c>
      <c r="AH2383" t="str">
        <f>HYPERLINK("http://compartments.jensenlab.org/Entity?figures=subcell_cell_%&amp;knowledge=10&amp;textmining=10&amp;experiments=10&amp;predictions=10&amp;type1=9606&amp;type2=-22&amp;id1=ENSP00000229955","link")</f>
        <v>link</v>
      </c>
      <c r="AI2383" t="s">
        <v>65</v>
      </c>
      <c r="AJ2383" t="s">
        <v>51</v>
      </c>
      <c r="AK2383" t="str">
        <f>HYPERLINK("http://www.proteinatlas.org/Q9BZJ6","HPA039103")</f>
        <v>HPA039103</v>
      </c>
      <c r="AM2383">
        <v>81491</v>
      </c>
    </row>
    <row r="2384" spans="1:39" x14ac:dyDescent="0.35">
      <c r="A2384" t="s">
        <v>23574</v>
      </c>
      <c r="B2384" t="str">
        <f>HYPERLINK("http://www.uniprot.org/uniprot/Q9BZJ7","Q9BZJ7")</f>
        <v>Q9BZJ7</v>
      </c>
      <c r="C2384" t="s">
        <v>23575</v>
      </c>
      <c r="D2384" t="s">
        <v>23576</v>
      </c>
      <c r="E2384" t="s">
        <v>39</v>
      </c>
      <c r="F2384" t="s">
        <v>55</v>
      </c>
      <c r="H2384">
        <v>368</v>
      </c>
      <c r="I2384">
        <v>7</v>
      </c>
      <c r="J2384">
        <v>0</v>
      </c>
      <c r="K2384" t="s">
        <v>23577</v>
      </c>
      <c r="L2384" t="s">
        <v>57</v>
      </c>
      <c r="M2384" t="s">
        <v>39</v>
      </c>
      <c r="N2384">
        <v>0.84050000000000002</v>
      </c>
      <c r="O2384" s="1">
        <v>1</v>
      </c>
      <c r="P2384" t="s">
        <v>23578</v>
      </c>
      <c r="Q2384" t="s">
        <v>23579</v>
      </c>
      <c r="S2384" t="s">
        <v>166</v>
      </c>
      <c r="T2384" t="s">
        <v>838</v>
      </c>
      <c r="U2384" t="s">
        <v>23580</v>
      </c>
      <c r="V2384">
        <v>2</v>
      </c>
      <c r="AE2384" t="s">
        <v>74</v>
      </c>
      <c r="AF2384" t="s">
        <v>910</v>
      </c>
      <c r="AG2384" t="s">
        <v>23581</v>
      </c>
      <c r="AH2384" t="str">
        <f>HYPERLINK("http://compartments.jensenlab.org/Entity?figures=subcell_cell_%&amp;knowledge=10&amp;textmining=10&amp;experiments=10&amp;predictions=10&amp;type1=9606&amp;type2=-22&amp;id1=ENSP00000319250","link")</f>
        <v>link</v>
      </c>
      <c r="AI2384" t="s">
        <v>65</v>
      </c>
      <c r="AJ2384" t="s">
        <v>51</v>
      </c>
      <c r="AK2384" t="str">
        <f>HYPERLINK("http://www.proteinatlas.org/Q9BZJ7","HPA031309")</f>
        <v>HPA031309</v>
      </c>
      <c r="AM2384">
        <v>118442</v>
      </c>
    </row>
    <row r="2385" spans="1:39" x14ac:dyDescent="0.35">
      <c r="A2385" t="s">
        <v>23582</v>
      </c>
      <c r="B2385" t="str">
        <f>HYPERLINK("http://www.uniprot.org/uniprot/Q9BZJ8","Q9BZJ8")</f>
        <v>Q9BZJ8</v>
      </c>
      <c r="C2385" t="s">
        <v>23583</v>
      </c>
      <c r="D2385" t="s">
        <v>23584</v>
      </c>
      <c r="E2385" t="s">
        <v>39</v>
      </c>
      <c r="F2385" t="s">
        <v>40</v>
      </c>
      <c r="H2385">
        <v>451</v>
      </c>
      <c r="I2385">
        <v>7</v>
      </c>
      <c r="J2385">
        <v>0</v>
      </c>
      <c r="K2385" t="s">
        <v>23585</v>
      </c>
      <c r="L2385" t="s">
        <v>57</v>
      </c>
      <c r="N2385">
        <v>0.88819999999999999</v>
      </c>
      <c r="O2385" s="1">
        <v>1</v>
      </c>
      <c r="P2385" t="s">
        <v>23586</v>
      </c>
      <c r="Q2385" t="s">
        <v>23587</v>
      </c>
      <c r="S2385" t="s">
        <v>166</v>
      </c>
      <c r="T2385" t="s">
        <v>838</v>
      </c>
      <c r="U2385">
        <v>12</v>
      </c>
      <c r="V2385">
        <v>1</v>
      </c>
      <c r="AE2385" t="s">
        <v>74</v>
      </c>
      <c r="AF2385" t="s">
        <v>13176</v>
      </c>
      <c r="AG2385" t="s">
        <v>23588</v>
      </c>
      <c r="AH2385" t="str">
        <f>HYPERLINK("http://compartments.jensenlab.org/Entity?figures=subcell_cell_%&amp;knowledge=10&amp;textmining=10&amp;experiments=10&amp;predictions=10&amp;type1=9606&amp;type2=-22&amp;id1=ENSP00000385422","link")</f>
        <v>link</v>
      </c>
      <c r="AK2385" t="str">
        <f>HYPERLINK("http://www.proteinatlas.org/Q9BZJ8","HPA007326;HPA026088")</f>
        <v>HPA007326;HPA026088</v>
      </c>
      <c r="AM2385">
        <v>83873</v>
      </c>
    </row>
    <row r="2386" spans="1:39" x14ac:dyDescent="0.35">
      <c r="A2386" t="s">
        <v>23589</v>
      </c>
      <c r="B2386" t="str">
        <f>HYPERLINK("http://www.uniprot.org/uniprot/Q9BZM4","Q9BZM4")</f>
        <v>Q9BZM4</v>
      </c>
      <c r="C2386" t="s">
        <v>23590</v>
      </c>
      <c r="D2386" t="s">
        <v>23591</v>
      </c>
      <c r="E2386" t="s">
        <v>39</v>
      </c>
      <c r="F2386" t="s">
        <v>239</v>
      </c>
      <c r="H2386">
        <v>244</v>
      </c>
      <c r="I2386">
        <v>0</v>
      </c>
      <c r="J2386">
        <v>1</v>
      </c>
      <c r="K2386" t="s">
        <v>23592</v>
      </c>
      <c r="L2386" t="s">
        <v>996</v>
      </c>
      <c r="N2386">
        <v>0.57679999999999998</v>
      </c>
      <c r="O2386" s="1" t="s">
        <v>1752</v>
      </c>
      <c r="P2386" t="s">
        <v>23593</v>
      </c>
      <c r="Q2386" t="s">
        <v>23594</v>
      </c>
      <c r="S2386" t="s">
        <v>91</v>
      </c>
      <c r="T2386" t="s">
        <v>14971</v>
      </c>
      <c r="U2386">
        <v>37</v>
      </c>
      <c r="V2386">
        <v>1</v>
      </c>
      <c r="W2386">
        <v>37</v>
      </c>
      <c r="Z2386" t="s">
        <v>107</v>
      </c>
      <c r="AA2386">
        <v>1</v>
      </c>
      <c r="AB2386" t="s">
        <v>23595</v>
      </c>
      <c r="AC2386">
        <v>37</v>
      </c>
      <c r="AD2386" t="s">
        <v>23596</v>
      </c>
      <c r="AE2386" t="s">
        <v>243</v>
      </c>
      <c r="AF2386" t="s">
        <v>23597</v>
      </c>
      <c r="AG2386" t="s">
        <v>23598</v>
      </c>
      <c r="AH2386" t="str">
        <f>HYPERLINK("http://compartments.jensenlab.org/Entity?figures=subcell_cell_%&amp;knowledge=10&amp;textmining=10&amp;experiments=10&amp;predictions=10&amp;type1=9606&amp;type2=-22&amp;id1=ENSP00000356308","link")</f>
        <v>link</v>
      </c>
      <c r="AK2386" t="str">
        <f>HYPERLINK("http://www.proteinatlas.org/Q9BZM4","HPA063007")</f>
        <v>HPA063007</v>
      </c>
      <c r="AM2386">
        <v>79465</v>
      </c>
    </row>
    <row r="2387" spans="1:39" x14ac:dyDescent="0.35">
      <c r="A2387" t="s">
        <v>23599</v>
      </c>
      <c r="B2387" t="str">
        <f>HYPERLINK("http://www.uniprot.org/uniprot/Q9BZM5","Q9BZM5")</f>
        <v>Q9BZM5</v>
      </c>
      <c r="C2387" t="s">
        <v>23600</v>
      </c>
      <c r="D2387" t="s">
        <v>23601</v>
      </c>
      <c r="E2387" t="s">
        <v>39</v>
      </c>
      <c r="F2387" t="s">
        <v>239</v>
      </c>
      <c r="H2387">
        <v>246</v>
      </c>
      <c r="I2387">
        <v>0</v>
      </c>
      <c r="J2387">
        <v>1</v>
      </c>
      <c r="K2387" t="s">
        <v>23602</v>
      </c>
      <c r="L2387" t="s">
        <v>57</v>
      </c>
      <c r="N2387">
        <v>0.73850000000000005</v>
      </c>
      <c r="O2387" s="1" t="s">
        <v>241</v>
      </c>
      <c r="P2387" t="s">
        <v>23603</v>
      </c>
      <c r="Q2387" t="s">
        <v>23604</v>
      </c>
      <c r="S2387" t="s">
        <v>91</v>
      </c>
      <c r="T2387" t="s">
        <v>14971</v>
      </c>
      <c r="U2387" t="s">
        <v>14972</v>
      </c>
      <c r="V2387">
        <v>3</v>
      </c>
      <c r="W2387" t="s">
        <v>14972</v>
      </c>
      <c r="AE2387" t="s">
        <v>2453</v>
      </c>
      <c r="AF2387" t="s">
        <v>23605</v>
      </c>
      <c r="AG2387" t="s">
        <v>23606</v>
      </c>
      <c r="AH2387" t="str">
        <f>HYPERLINK("http://compartments.jensenlab.org/Entity?figures=subcell_cell_%&amp;knowledge=10&amp;textmining=10&amp;experiments=10&amp;predictions=10&amp;type1=9606&amp;type2=-22&amp;id1=ENSP00000356320","link")</f>
        <v>link</v>
      </c>
      <c r="AI2387" t="s">
        <v>1058</v>
      </c>
      <c r="AJ2387" t="s">
        <v>902</v>
      </c>
      <c r="AK2387" t="str">
        <f>HYPERLINK("http://www.proteinatlas.org/Q9BZM5","CAB018974")</f>
        <v>CAB018974</v>
      </c>
      <c r="AM2387">
        <v>80328</v>
      </c>
    </row>
    <row r="2388" spans="1:39" x14ac:dyDescent="0.35">
      <c r="A2388" t="s">
        <v>23607</v>
      </c>
      <c r="B2388" t="str">
        <f>HYPERLINK("http://www.uniprot.org/uniprot/Q9BZM6","Q9BZM6")</f>
        <v>Q9BZM6</v>
      </c>
      <c r="C2388" t="s">
        <v>23608</v>
      </c>
      <c r="D2388" t="s">
        <v>23609</v>
      </c>
      <c r="E2388" t="s">
        <v>39</v>
      </c>
      <c r="F2388" t="s">
        <v>239</v>
      </c>
      <c r="H2388">
        <v>244</v>
      </c>
      <c r="I2388">
        <v>0</v>
      </c>
      <c r="J2388">
        <v>1</v>
      </c>
      <c r="K2388" t="s">
        <v>23610</v>
      </c>
      <c r="L2388" t="s">
        <v>57</v>
      </c>
      <c r="N2388">
        <v>0.58879999999999999</v>
      </c>
      <c r="O2388" s="1" t="s">
        <v>241</v>
      </c>
      <c r="P2388" t="s">
        <v>23611</v>
      </c>
      <c r="Q2388" t="s">
        <v>23612</v>
      </c>
      <c r="S2388" t="s">
        <v>91</v>
      </c>
      <c r="T2388" t="s">
        <v>14971</v>
      </c>
      <c r="U2388">
        <v>82</v>
      </c>
      <c r="V2388">
        <v>1</v>
      </c>
      <c r="W2388">
        <v>82</v>
      </c>
      <c r="AE2388" t="s">
        <v>23613</v>
      </c>
      <c r="AF2388" t="s">
        <v>23614</v>
      </c>
      <c r="AG2388" t="s">
        <v>23615</v>
      </c>
      <c r="AH2388" t="str">
        <f>HYPERLINK("http://compartments.jensenlab.org/Entity?figures=subcell_cell_%&amp;knowledge=10&amp;textmining=10&amp;experiments=10&amp;predictions=10&amp;type1=9606&amp;type2=-22&amp;id1=ENSP00000229708","link")</f>
        <v>link</v>
      </c>
      <c r="AI2388" t="s">
        <v>1500</v>
      </c>
      <c r="AJ2388" t="s">
        <v>345</v>
      </c>
      <c r="AK2388" t="str">
        <f>HYPERLINK("http://www.proteinatlas.org/Q9BZM6","HPA007547")</f>
        <v>HPA007547</v>
      </c>
      <c r="AM2388">
        <v>80329</v>
      </c>
    </row>
    <row r="2389" spans="1:39" x14ac:dyDescent="0.35">
      <c r="A2389" t="s">
        <v>23616</v>
      </c>
      <c r="B2389" t="str">
        <f>HYPERLINK("http://www.uniprot.org/uniprot/Q9BZR6","Q9BZR6")</f>
        <v>Q9BZR6</v>
      </c>
      <c r="C2389" t="s">
        <v>23617</v>
      </c>
      <c r="D2389" t="s">
        <v>23618</v>
      </c>
      <c r="E2389" t="s">
        <v>39</v>
      </c>
      <c r="F2389" t="s">
        <v>239</v>
      </c>
      <c r="H2389">
        <v>473</v>
      </c>
      <c r="I2389">
        <v>0</v>
      </c>
      <c r="J2389">
        <v>1</v>
      </c>
      <c r="K2389" t="s">
        <v>23619</v>
      </c>
      <c r="L2389" t="s">
        <v>996</v>
      </c>
      <c r="N2389">
        <v>0.74250000000000005</v>
      </c>
      <c r="O2389" s="1" t="s">
        <v>241</v>
      </c>
      <c r="P2389" t="s">
        <v>23620</v>
      </c>
      <c r="Q2389" t="s">
        <v>23621</v>
      </c>
      <c r="U2389" t="s">
        <v>23622</v>
      </c>
      <c r="V2389">
        <v>6</v>
      </c>
      <c r="W2389" t="s">
        <v>23622</v>
      </c>
      <c r="Y2389">
        <v>14</v>
      </c>
      <c r="Z2389" t="s">
        <v>107</v>
      </c>
      <c r="AA2389">
        <v>5</v>
      </c>
      <c r="AB2389" t="s">
        <v>23623</v>
      </c>
      <c r="AC2389" t="s">
        <v>23624</v>
      </c>
      <c r="AD2389" t="s">
        <v>23625</v>
      </c>
      <c r="AE2389" t="s">
        <v>243</v>
      </c>
      <c r="AF2389" t="s">
        <v>23626</v>
      </c>
      <c r="AG2389" t="s">
        <v>23627</v>
      </c>
      <c r="AH2389" t="str">
        <f>HYPERLINK("http://compartments.jensenlab.org/Entity?figures=subcell_cell_%&amp;knowledge=10&amp;textmining=10&amp;experiments=10&amp;predictions=10&amp;type1=9606&amp;type2=-22&amp;id1=ENSP00000043402","link")</f>
        <v>link</v>
      </c>
      <c r="AI2389" t="s">
        <v>65</v>
      </c>
      <c r="AJ2389" t="s">
        <v>345</v>
      </c>
      <c r="AK2389" t="str">
        <f>HYPERLINK("http://www.proteinatlas.org/Q9BZR6","CAB012443")</f>
        <v>CAB012443</v>
      </c>
      <c r="AM2389">
        <v>65078</v>
      </c>
    </row>
    <row r="2390" spans="1:39" x14ac:dyDescent="0.35">
      <c r="A2390" t="s">
        <v>23628</v>
      </c>
      <c r="B2390" t="str">
        <f>HYPERLINK("http://www.uniprot.org/uniprot/Q9BZV2","Q9BZV2")</f>
        <v>Q9BZV2</v>
      </c>
      <c r="C2390" t="s">
        <v>23629</v>
      </c>
      <c r="D2390" t="s">
        <v>23630</v>
      </c>
      <c r="E2390" t="s">
        <v>39</v>
      </c>
      <c r="F2390" t="s">
        <v>40</v>
      </c>
      <c r="H2390">
        <v>496</v>
      </c>
      <c r="I2390">
        <v>12</v>
      </c>
      <c r="J2390">
        <v>0</v>
      </c>
      <c r="K2390" t="s">
        <v>23631</v>
      </c>
      <c r="L2390" t="s">
        <v>57</v>
      </c>
      <c r="N2390">
        <v>0.65069999999999995</v>
      </c>
      <c r="O2390" s="1">
        <v>2</v>
      </c>
      <c r="P2390" t="s">
        <v>23632</v>
      </c>
      <c r="Q2390" t="s">
        <v>23633</v>
      </c>
      <c r="S2390" t="s">
        <v>45</v>
      </c>
      <c r="T2390" t="s">
        <v>2367</v>
      </c>
      <c r="U2390" t="s">
        <v>23634</v>
      </c>
      <c r="V2390">
        <v>2</v>
      </c>
      <c r="Y2390">
        <v>281</v>
      </c>
      <c r="AE2390" t="s">
        <v>48</v>
      </c>
      <c r="AF2390" t="s">
        <v>23635</v>
      </c>
      <c r="AG2390" t="s">
        <v>23636</v>
      </c>
      <c r="AH2390" t="str">
        <f>HYPERLINK("http://compartments.jensenlab.org/Entity?figures=subcell_cell_%&amp;knowledge=10&amp;textmining=10&amp;experiments=10&amp;predictions=10&amp;type1=9606&amp;type2=-22&amp;id1=ENSP00000258403","link")</f>
        <v>link</v>
      </c>
      <c r="AJ2390" t="s">
        <v>51</v>
      </c>
      <c r="AK2390" t="str">
        <f>HYPERLINK("http://www.proteinatlas.org/Q9BZV2","HPA038898")</f>
        <v>HPA038898</v>
      </c>
      <c r="AL2390" t="s">
        <v>23637</v>
      </c>
      <c r="AM2390">
        <v>80704</v>
      </c>
    </row>
    <row r="2391" spans="1:39" x14ac:dyDescent="0.35">
      <c r="A2391" t="s">
        <v>23638</v>
      </c>
      <c r="B2391" t="str">
        <f>HYPERLINK("http://www.uniprot.org/uniprot/Q9BZV3","Q9BZV3")</f>
        <v>Q9BZV3</v>
      </c>
      <c r="C2391" t="s">
        <v>23639</v>
      </c>
      <c r="D2391" t="s">
        <v>23640</v>
      </c>
      <c r="E2391" t="s">
        <v>39</v>
      </c>
      <c r="F2391" t="s">
        <v>40</v>
      </c>
      <c r="H2391">
        <v>1241</v>
      </c>
      <c r="I2391">
        <v>1</v>
      </c>
      <c r="J2391">
        <v>1</v>
      </c>
      <c r="K2391" t="s">
        <v>23641</v>
      </c>
      <c r="L2391" t="s">
        <v>57</v>
      </c>
      <c r="N2391">
        <v>0.84430000000000005</v>
      </c>
      <c r="O2391" s="1">
        <v>1</v>
      </c>
      <c r="P2391" t="s">
        <v>23642</v>
      </c>
      <c r="Q2391" t="s">
        <v>23643</v>
      </c>
      <c r="S2391" t="s">
        <v>60</v>
      </c>
      <c r="T2391" t="s">
        <v>60</v>
      </c>
      <c r="U2391" t="s">
        <v>23644</v>
      </c>
      <c r="V2391">
        <v>6</v>
      </c>
      <c r="AE2391" t="s">
        <v>144</v>
      </c>
      <c r="AF2391" t="s">
        <v>23645</v>
      </c>
      <c r="AG2391" t="s">
        <v>23646</v>
      </c>
      <c r="AH2391" t="str">
        <f>HYPERLINK("http://compartments.jensenlab.org/Entity?figures=subcell_cell_%&amp;knowledge=10&amp;textmining=10&amp;experiments=10&amp;predictions=10&amp;type1=9606&amp;type2=-22&amp;id1=ENSP00000193391","link")</f>
        <v>link</v>
      </c>
      <c r="AI2391" t="s">
        <v>113</v>
      </c>
      <c r="AJ2391" t="s">
        <v>902</v>
      </c>
      <c r="AK2391" t="str">
        <f>HYPERLINK("http://www.proteinatlas.org/Q9BZV3","no")</f>
        <v>no</v>
      </c>
      <c r="AM2391">
        <v>50939</v>
      </c>
    </row>
    <row r="2392" spans="1:39" x14ac:dyDescent="0.35">
      <c r="A2392" t="s">
        <v>23647</v>
      </c>
      <c r="B2392" t="str">
        <f>HYPERLINK("http://www.uniprot.org/uniprot/Q9BZW2","Q9BZW2")</f>
        <v>Q9BZW2</v>
      </c>
      <c r="C2392" t="s">
        <v>23648</v>
      </c>
      <c r="D2392" t="s">
        <v>23649</v>
      </c>
      <c r="E2392" t="s">
        <v>39</v>
      </c>
      <c r="F2392" t="s">
        <v>40</v>
      </c>
      <c r="H2392">
        <v>595</v>
      </c>
      <c r="I2392">
        <v>11</v>
      </c>
      <c r="J2392">
        <v>0</v>
      </c>
      <c r="K2392" t="s">
        <v>23650</v>
      </c>
      <c r="L2392" t="s">
        <v>42</v>
      </c>
      <c r="N2392">
        <v>0.75249999999999995</v>
      </c>
      <c r="O2392" s="1">
        <v>1</v>
      </c>
      <c r="P2392" t="s">
        <v>23651</v>
      </c>
      <c r="Q2392" t="s">
        <v>23652</v>
      </c>
      <c r="S2392" t="s">
        <v>45</v>
      </c>
      <c r="T2392" t="s">
        <v>12539</v>
      </c>
      <c r="U2392" t="s">
        <v>23653</v>
      </c>
      <c r="V2392">
        <v>1</v>
      </c>
      <c r="Y2392">
        <v>302</v>
      </c>
      <c r="AE2392" t="s">
        <v>48</v>
      </c>
      <c r="AF2392" t="s">
        <v>23654</v>
      </c>
      <c r="AG2392" t="s">
        <v>23655</v>
      </c>
      <c r="AH2392" t="str">
        <f>HYPERLINK("http://compartments.jensenlab.org/Entity?figures=subcell_cell_%&amp;knowledge=10&amp;textmining=10&amp;experiments=10&amp;predictions=10&amp;type1=9606&amp;type2=-22&amp;id1=ENSP00000194130","link")</f>
        <v>link</v>
      </c>
      <c r="AJ2392" t="s">
        <v>51</v>
      </c>
      <c r="AK2392" t="str">
        <f>HYPERLINK("http://www.proteinatlas.org/Q9BZW2","HPA053615;HPA062714")</f>
        <v>HPA053615;HPA062714</v>
      </c>
      <c r="AL2392" t="s">
        <v>12544</v>
      </c>
      <c r="AM2392">
        <v>6561</v>
      </c>
    </row>
    <row r="2393" spans="1:39" x14ac:dyDescent="0.35">
      <c r="A2393" t="s">
        <v>23656</v>
      </c>
      <c r="B2393" t="str">
        <f>HYPERLINK("http://www.uniprot.org/uniprot/Q9BZW8","Q9BZW8")</f>
        <v>Q9BZW8</v>
      </c>
      <c r="C2393" t="s">
        <v>23657</v>
      </c>
      <c r="D2393" t="s">
        <v>23658</v>
      </c>
      <c r="E2393" t="s">
        <v>39</v>
      </c>
      <c r="F2393" t="s">
        <v>40</v>
      </c>
      <c r="H2393">
        <v>370</v>
      </c>
      <c r="I2393">
        <v>1</v>
      </c>
      <c r="J2393">
        <v>1</v>
      </c>
      <c r="K2393" t="s">
        <v>23659</v>
      </c>
      <c r="L2393" t="s">
        <v>101</v>
      </c>
      <c r="N2393">
        <v>0.95409999999999995</v>
      </c>
      <c r="O2393" s="1">
        <v>1</v>
      </c>
      <c r="P2393" t="s">
        <v>23660</v>
      </c>
      <c r="Q2393" t="s">
        <v>23661</v>
      </c>
      <c r="R2393" t="s">
        <v>23658</v>
      </c>
      <c r="S2393" t="s">
        <v>60</v>
      </c>
      <c r="T2393" t="s">
        <v>60</v>
      </c>
      <c r="U2393" t="s">
        <v>23662</v>
      </c>
      <c r="V2393">
        <v>8</v>
      </c>
      <c r="W2393" t="s">
        <v>23663</v>
      </c>
      <c r="X2393" t="s">
        <v>23664</v>
      </c>
      <c r="Z2393" t="s">
        <v>107</v>
      </c>
      <c r="AA2393">
        <v>6</v>
      </c>
      <c r="AB2393" t="s">
        <v>23665</v>
      </c>
      <c r="AC2393" t="s">
        <v>23666</v>
      </c>
      <c r="AD2393" t="s">
        <v>23667</v>
      </c>
      <c r="AE2393" t="s">
        <v>144</v>
      </c>
      <c r="AF2393" t="s">
        <v>23668</v>
      </c>
      <c r="AG2393" t="s">
        <v>23669</v>
      </c>
      <c r="AH2393" t="str">
        <f>HYPERLINK("http://compartments.jensenlab.org/Entity?figures=subcell_cell_%&amp;knowledge=10&amp;textmining=10&amp;experiments=10&amp;predictions=10&amp;type1=9606&amp;type2=-22&amp;id1=ENSP00000357012","link")</f>
        <v>link</v>
      </c>
      <c r="AK2393" t="str">
        <f>HYPERLINK("http://www.proteinatlas.org/Q9BZW8","HPA010628")</f>
        <v>HPA010628</v>
      </c>
      <c r="AM2393">
        <v>51744</v>
      </c>
    </row>
    <row r="2394" spans="1:39" x14ac:dyDescent="0.35">
      <c r="A2394" t="s">
        <v>23670</v>
      </c>
      <c r="B2394" t="str">
        <f>HYPERLINK("http://www.uniprot.org/uniprot/Q9BZZ2","Q9BZZ2")</f>
        <v>Q9BZZ2</v>
      </c>
      <c r="C2394" t="s">
        <v>23671</v>
      </c>
      <c r="D2394" t="s">
        <v>23672</v>
      </c>
      <c r="E2394" t="s">
        <v>39</v>
      </c>
      <c r="F2394" t="s">
        <v>55</v>
      </c>
      <c r="H2394">
        <v>1709</v>
      </c>
      <c r="I2394">
        <v>1</v>
      </c>
      <c r="J2394">
        <v>1</v>
      </c>
      <c r="K2394" t="s">
        <v>23673</v>
      </c>
      <c r="L2394" t="s">
        <v>101</v>
      </c>
      <c r="M2394" t="s">
        <v>39</v>
      </c>
      <c r="N2394">
        <v>0.92120000000000002</v>
      </c>
      <c r="O2394" s="1">
        <v>1</v>
      </c>
      <c r="P2394" t="s">
        <v>23674</v>
      </c>
      <c r="Q2394" t="s">
        <v>23675</v>
      </c>
      <c r="R2394" t="s">
        <v>23676</v>
      </c>
      <c r="S2394" t="s">
        <v>60</v>
      </c>
      <c r="T2394" t="s">
        <v>60</v>
      </c>
      <c r="U2394" t="s">
        <v>23677</v>
      </c>
      <c r="V2394">
        <v>14</v>
      </c>
      <c r="W2394" t="s">
        <v>23677</v>
      </c>
      <c r="X2394" t="s">
        <v>23678</v>
      </c>
      <c r="Z2394" t="s">
        <v>107</v>
      </c>
      <c r="AA2394">
        <v>2</v>
      </c>
      <c r="AB2394" t="s">
        <v>23679</v>
      </c>
      <c r="AC2394" t="s">
        <v>23680</v>
      </c>
      <c r="AD2394" t="s">
        <v>23681</v>
      </c>
      <c r="AE2394" t="s">
        <v>1250</v>
      </c>
      <c r="AF2394" t="s">
        <v>23682</v>
      </c>
      <c r="AG2394" t="s">
        <v>23683</v>
      </c>
      <c r="AH2394" t="str">
        <f>HYPERLINK("http://compartments.jensenlab.org/Entity?figures=subcell_cell_%&amp;knowledge=10&amp;textmining=10&amp;experiments=10&amp;predictions=10&amp;type1=9606&amp;type2=-22&amp;id1=ENSP00000341141","link")</f>
        <v>link</v>
      </c>
      <c r="AI2394" t="s">
        <v>1058</v>
      </c>
      <c r="AJ2394" t="s">
        <v>902</v>
      </c>
      <c r="AK2394" t="str">
        <f>HYPERLINK("http://www.proteinatlas.org/Q9BZZ2","HPA053457")</f>
        <v>HPA053457</v>
      </c>
      <c r="AM2394">
        <v>6614</v>
      </c>
    </row>
    <row r="2395" spans="1:39" x14ac:dyDescent="0.35">
      <c r="A2395" t="s">
        <v>23684</v>
      </c>
      <c r="B2395" t="str">
        <f>HYPERLINK("http://www.uniprot.org/uniprot/Q9C0A0","Q9C0A0")</f>
        <v>Q9C0A0</v>
      </c>
      <c r="C2395" t="s">
        <v>23685</v>
      </c>
      <c r="D2395" t="s">
        <v>23686</v>
      </c>
      <c r="E2395" t="s">
        <v>39</v>
      </c>
      <c r="F2395" t="s">
        <v>40</v>
      </c>
      <c r="H2395">
        <v>1308</v>
      </c>
      <c r="I2395">
        <v>1</v>
      </c>
      <c r="J2395">
        <v>1</v>
      </c>
      <c r="K2395" t="s">
        <v>23687</v>
      </c>
      <c r="L2395" t="s">
        <v>57</v>
      </c>
      <c r="N2395">
        <v>0.79039999999999999</v>
      </c>
      <c r="O2395" s="1">
        <v>1</v>
      </c>
      <c r="P2395" t="s">
        <v>23688</v>
      </c>
      <c r="Q2395" t="s">
        <v>23689</v>
      </c>
      <c r="S2395" t="s">
        <v>166</v>
      </c>
      <c r="T2395" t="s">
        <v>11402</v>
      </c>
      <c r="U2395" t="s">
        <v>23690</v>
      </c>
      <c r="V2395">
        <v>12</v>
      </c>
      <c r="AE2395" t="s">
        <v>23691</v>
      </c>
      <c r="AF2395" t="s">
        <v>23692</v>
      </c>
      <c r="AG2395" t="s">
        <v>23693</v>
      </c>
      <c r="AH2395" t="str">
        <f>HYPERLINK("http://compartments.jensenlab.org/Entity?figures=subcell_cell_%&amp;knowledge=10&amp;textmining=10&amp;experiments=10&amp;predictions=10&amp;type1=9606&amp;type2=-22&amp;id1=ENSP00000479811","link")</f>
        <v>link</v>
      </c>
      <c r="AK2395" t="str">
        <f>HYPERLINK("http://www.proteinatlas.org/Q9C0A0","HPA031859;HPA057342")</f>
        <v>HPA031859;HPA057342</v>
      </c>
      <c r="AM2395">
        <v>85445</v>
      </c>
    </row>
    <row r="2396" spans="1:39" x14ac:dyDescent="0.35">
      <c r="A2396" t="s">
        <v>23694</v>
      </c>
      <c r="B2396" t="str">
        <f>HYPERLINK("http://www.uniprot.org/uniprot/Q9C0B5","Q9C0B5")</f>
        <v>Q9C0B5</v>
      </c>
      <c r="C2396" t="s">
        <v>23695</v>
      </c>
      <c r="D2396" t="s">
        <v>23696</v>
      </c>
      <c r="E2396" t="s">
        <v>39</v>
      </c>
      <c r="F2396" t="s">
        <v>55</v>
      </c>
      <c r="H2396">
        <v>715</v>
      </c>
      <c r="I2396">
        <v>5</v>
      </c>
      <c r="J2396">
        <v>0</v>
      </c>
      <c r="K2396" t="s">
        <v>23697</v>
      </c>
      <c r="L2396" t="s">
        <v>3024</v>
      </c>
      <c r="M2396" t="s">
        <v>39</v>
      </c>
      <c r="N2396">
        <v>0.60109999999999997</v>
      </c>
      <c r="O2396" s="1">
        <v>2</v>
      </c>
      <c r="P2396" t="s">
        <v>23698</v>
      </c>
      <c r="Q2396" t="s">
        <v>23699</v>
      </c>
      <c r="S2396" t="s">
        <v>947</v>
      </c>
      <c r="T2396" t="s">
        <v>4893</v>
      </c>
      <c r="U2396" t="s">
        <v>23700</v>
      </c>
      <c r="V2396">
        <v>1</v>
      </c>
      <c r="Z2396" t="s">
        <v>107</v>
      </c>
      <c r="AA2396">
        <v>1</v>
      </c>
      <c r="AB2396" t="s">
        <v>23701</v>
      </c>
      <c r="AC2396">
        <v>239</v>
      </c>
      <c r="AD2396" t="s">
        <v>23702</v>
      </c>
      <c r="AE2396" t="s">
        <v>74</v>
      </c>
      <c r="AF2396" t="s">
        <v>23703</v>
      </c>
      <c r="AG2396" t="s">
        <v>23704</v>
      </c>
      <c r="AH2396" t="str">
        <f>HYPERLINK("http://compartments.jensenlab.org/Entity?figures=subcell_cell_%&amp;knowledge=10&amp;textmining=10&amp;experiments=10&amp;predictions=10&amp;type1=9606&amp;type2=-22&amp;id1=ENSP00000287169","link")</f>
        <v>link</v>
      </c>
      <c r="AI2396" t="s">
        <v>65</v>
      </c>
      <c r="AJ2396" t="s">
        <v>51</v>
      </c>
      <c r="AK2396" t="str">
        <f>HYPERLINK("http://www.proteinatlas.org/Q9C0B5","HPA014670")</f>
        <v>HPA014670</v>
      </c>
      <c r="AM2396">
        <v>25921</v>
      </c>
    </row>
    <row r="2397" spans="1:39" x14ac:dyDescent="0.35">
      <c r="A2397" t="s">
        <v>23705</v>
      </c>
      <c r="B2397" t="str">
        <f>HYPERLINK("http://www.uniprot.org/uniprot/Q9C0C4","Q9C0C4")</f>
        <v>Q9C0C4</v>
      </c>
      <c r="C2397" t="s">
        <v>23706</v>
      </c>
      <c r="D2397" t="s">
        <v>23707</v>
      </c>
      <c r="E2397" t="s">
        <v>39</v>
      </c>
      <c r="F2397" t="s">
        <v>55</v>
      </c>
      <c r="H2397">
        <v>833</v>
      </c>
      <c r="I2397">
        <v>1</v>
      </c>
      <c r="J2397">
        <v>1</v>
      </c>
      <c r="K2397" t="s">
        <v>23708</v>
      </c>
      <c r="L2397" t="s">
        <v>101</v>
      </c>
      <c r="M2397" t="s">
        <v>39</v>
      </c>
      <c r="N2397">
        <v>0.94969999999999999</v>
      </c>
      <c r="O2397" s="1">
        <v>1</v>
      </c>
      <c r="P2397" t="s">
        <v>23709</v>
      </c>
      <c r="Q2397" t="s">
        <v>23710</v>
      </c>
      <c r="S2397" t="s">
        <v>91</v>
      </c>
      <c r="T2397" t="s">
        <v>3379</v>
      </c>
      <c r="U2397" t="s">
        <v>23711</v>
      </c>
      <c r="V2397">
        <v>6</v>
      </c>
      <c r="Y2397">
        <v>5</v>
      </c>
      <c r="Z2397" t="s">
        <v>107</v>
      </c>
      <c r="AA2397">
        <v>6</v>
      </c>
      <c r="AB2397" t="s">
        <v>23712</v>
      </c>
      <c r="AC2397" t="s">
        <v>23713</v>
      </c>
      <c r="AD2397" t="s">
        <v>23714</v>
      </c>
      <c r="AE2397" t="s">
        <v>23715</v>
      </c>
      <c r="AF2397" t="s">
        <v>23716</v>
      </c>
      <c r="AG2397" t="s">
        <v>23717</v>
      </c>
      <c r="AH2397" t="str">
        <f>HYPERLINK("http://compartments.jensenlab.org/Entity?figures=subcell_cell_%&amp;knowledge=10&amp;textmining=10&amp;experiments=10&amp;predictions=10&amp;type1=9606&amp;type2=-22&amp;id1=ENSP00000306844","link")</f>
        <v>link</v>
      </c>
      <c r="AI2397" t="s">
        <v>4988</v>
      </c>
      <c r="AJ2397" t="s">
        <v>1811</v>
      </c>
      <c r="AK2397" t="str">
        <f>HYPERLINK("http://www.proteinatlas.org/Q9C0C4","HPA011090")</f>
        <v>HPA011090</v>
      </c>
      <c r="AM2397">
        <v>54910</v>
      </c>
    </row>
    <row r="2398" spans="1:39" x14ac:dyDescent="0.35">
      <c r="A2398" t="s">
        <v>23718</v>
      </c>
      <c r="B2398" t="str">
        <f>HYPERLINK("http://www.uniprot.org/uniprot/Q9C0H2","Q9C0H2")</f>
        <v>Q9C0H2</v>
      </c>
      <c r="C2398" t="s">
        <v>23719</v>
      </c>
      <c r="D2398" t="s">
        <v>23720</v>
      </c>
      <c r="E2398" t="s">
        <v>39</v>
      </c>
      <c r="F2398" t="s">
        <v>55</v>
      </c>
      <c r="H2398">
        <v>523</v>
      </c>
      <c r="I2398">
        <v>5</v>
      </c>
      <c r="J2398">
        <v>0</v>
      </c>
      <c r="K2398" t="s">
        <v>23721</v>
      </c>
      <c r="L2398" t="s">
        <v>101</v>
      </c>
      <c r="M2398" t="s">
        <v>39</v>
      </c>
      <c r="N2398">
        <v>0.69399999999999995</v>
      </c>
      <c r="O2398" s="1">
        <v>2</v>
      </c>
      <c r="P2398" t="s">
        <v>23722</v>
      </c>
      <c r="Q2398" t="s">
        <v>23723</v>
      </c>
      <c r="S2398" t="s">
        <v>45</v>
      </c>
      <c r="T2398" t="s">
        <v>23174</v>
      </c>
      <c r="U2398" t="s">
        <v>23724</v>
      </c>
      <c r="V2398">
        <v>3</v>
      </c>
      <c r="Y2398">
        <v>207</v>
      </c>
      <c r="Z2398" t="s">
        <v>107</v>
      </c>
      <c r="AA2398">
        <v>10</v>
      </c>
      <c r="AB2398" t="s">
        <v>23725</v>
      </c>
      <c r="AC2398" t="s">
        <v>23724</v>
      </c>
      <c r="AD2398" t="s">
        <v>23726</v>
      </c>
      <c r="AE2398" t="s">
        <v>74</v>
      </c>
      <c r="AF2398" t="s">
        <v>23727</v>
      </c>
      <c r="AG2398" t="s">
        <v>23728</v>
      </c>
      <c r="AH2398" t="str">
        <f>HYPERLINK("http://compartments.jensenlab.org/Entity?figures=subcell_cell_%&amp;knowledge=10&amp;textmining=10&amp;experiments=10&amp;predictions=10&amp;type1=9606&amp;type2=-22&amp;id1=ENSP00000258796","link")</f>
        <v>link</v>
      </c>
      <c r="AI2398" t="s">
        <v>65</v>
      </c>
      <c r="AJ2398" t="s">
        <v>51</v>
      </c>
      <c r="AK2398" t="str">
        <f>HYPERLINK("http://www.proteinatlas.org/Q9C0H2","HPA053520")</f>
        <v>HPA053520</v>
      </c>
      <c r="AM2398">
        <v>80727</v>
      </c>
    </row>
    <row r="2399" spans="1:39" x14ac:dyDescent="0.35">
      <c r="A2399" t="s">
        <v>23729</v>
      </c>
      <c r="B2399" t="str">
        <f>HYPERLINK("http://www.uniprot.org/uniprot/Q9C0I4","Q9C0I4")</f>
        <v>Q9C0I4</v>
      </c>
      <c r="C2399" t="s">
        <v>23730</v>
      </c>
      <c r="D2399" t="s">
        <v>23731</v>
      </c>
      <c r="E2399" t="s">
        <v>39</v>
      </c>
      <c r="F2399" t="s">
        <v>40</v>
      </c>
      <c r="H2399">
        <v>1608</v>
      </c>
      <c r="I2399">
        <v>1</v>
      </c>
      <c r="J2399">
        <v>1</v>
      </c>
      <c r="K2399" t="s">
        <v>23732</v>
      </c>
      <c r="L2399" t="s">
        <v>57</v>
      </c>
      <c r="N2399">
        <v>0.78639999999999999</v>
      </c>
      <c r="O2399" s="1">
        <v>1</v>
      </c>
      <c r="P2399" t="s">
        <v>23733</v>
      </c>
      <c r="Q2399" t="s">
        <v>23734</v>
      </c>
      <c r="S2399" t="s">
        <v>60</v>
      </c>
      <c r="T2399" t="s">
        <v>60</v>
      </c>
      <c r="U2399" t="s">
        <v>23735</v>
      </c>
      <c r="V2399">
        <v>11</v>
      </c>
      <c r="Y2399" t="s">
        <v>23736</v>
      </c>
      <c r="AE2399" t="s">
        <v>144</v>
      </c>
      <c r="AF2399" t="s">
        <v>23737</v>
      </c>
      <c r="AG2399" t="s">
        <v>23738</v>
      </c>
      <c r="AH2399" t="str">
        <f>HYPERLINK("http://compartments.jensenlab.org/Entity?figures=subcell_cell_%&amp;knowledge=10&amp;textmining=10&amp;experiments=10&amp;predictions=10&amp;type1=9606&amp;type2=-22&amp;id1=ENSP00000272643","link")</f>
        <v>link</v>
      </c>
      <c r="AJ2399" t="s">
        <v>51</v>
      </c>
      <c r="AK2399" t="str">
        <f>HYPERLINK("http://www.proteinatlas.org/Q9C0I4","HPA051416")</f>
        <v>HPA051416</v>
      </c>
    </row>
    <row r="2400" spans="1:39" x14ac:dyDescent="0.35">
      <c r="A2400" t="s">
        <v>23739</v>
      </c>
      <c r="B2400" t="str">
        <f>HYPERLINK("http://www.uniprot.org/uniprot/Q9C0K1","Q9C0K1")</f>
        <v>Q9C0K1</v>
      </c>
      <c r="C2400" t="s">
        <v>23740</v>
      </c>
      <c r="D2400" t="s">
        <v>23741</v>
      </c>
      <c r="E2400" t="s">
        <v>39</v>
      </c>
      <c r="F2400" t="s">
        <v>40</v>
      </c>
      <c r="H2400">
        <v>460</v>
      </c>
      <c r="I2400">
        <v>6</v>
      </c>
      <c r="J2400">
        <v>1</v>
      </c>
      <c r="K2400" t="s">
        <v>23742</v>
      </c>
      <c r="L2400" t="s">
        <v>1592</v>
      </c>
      <c r="N2400">
        <v>0.74050000000000005</v>
      </c>
      <c r="O2400" s="1">
        <v>2</v>
      </c>
      <c r="P2400" t="s">
        <v>23743</v>
      </c>
      <c r="Q2400" t="s">
        <v>23744</v>
      </c>
      <c r="S2400" t="s">
        <v>45</v>
      </c>
      <c r="T2400" t="s">
        <v>12712</v>
      </c>
      <c r="U2400" t="s">
        <v>23745</v>
      </c>
      <c r="V2400">
        <v>2</v>
      </c>
      <c r="Z2400" t="s">
        <v>123</v>
      </c>
      <c r="AA2400">
        <v>1</v>
      </c>
      <c r="AB2400" t="s">
        <v>23746</v>
      </c>
      <c r="AC2400">
        <v>88</v>
      </c>
      <c r="AD2400" t="s">
        <v>23747</v>
      </c>
      <c r="AE2400" t="s">
        <v>48</v>
      </c>
      <c r="AF2400" t="s">
        <v>23748</v>
      </c>
      <c r="AG2400" t="s">
        <v>23749</v>
      </c>
      <c r="AH2400" t="str">
        <f>HYPERLINK("http://compartments.jensenlab.org/Entity?figures=subcell_cell_%&amp;knowledge=10&amp;textmining=10&amp;experiments=10&amp;predictions=10&amp;type1=9606&amp;type2=-22&amp;id1=ENSP00000349174","link")</f>
        <v>link</v>
      </c>
      <c r="AJ2400" t="s">
        <v>51</v>
      </c>
      <c r="AK2400" t="str">
        <f>HYPERLINK("http://www.proteinatlas.org/Q9C0K1","HPA038832;HPA038833")</f>
        <v>HPA038832;HPA038833</v>
      </c>
      <c r="AM2400">
        <v>64116</v>
      </c>
    </row>
    <row r="2401" spans="1:39" x14ac:dyDescent="0.35">
      <c r="A2401" t="s">
        <v>23750</v>
      </c>
      <c r="B2401" t="str">
        <f>HYPERLINK("http://www.uniprot.org/uniprot/Q9GIY3","Q9GIY3")</f>
        <v>Q9GIY3</v>
      </c>
      <c r="C2401" t="s">
        <v>23751</v>
      </c>
      <c r="D2401" t="s">
        <v>3712</v>
      </c>
      <c r="E2401" t="s">
        <v>39</v>
      </c>
      <c r="F2401" t="s">
        <v>40</v>
      </c>
      <c r="H2401">
        <v>266</v>
      </c>
      <c r="I2401">
        <v>1</v>
      </c>
      <c r="J2401">
        <v>1</v>
      </c>
      <c r="K2401" t="s">
        <v>3713</v>
      </c>
      <c r="L2401" t="s">
        <v>42</v>
      </c>
      <c r="N2401">
        <v>0.91820000000000002</v>
      </c>
      <c r="O2401" s="1">
        <v>1</v>
      </c>
      <c r="P2401" t="s">
        <v>23752</v>
      </c>
      <c r="Q2401" t="s">
        <v>23753</v>
      </c>
      <c r="S2401" t="s">
        <v>91</v>
      </c>
      <c r="T2401" t="s">
        <v>3641</v>
      </c>
      <c r="U2401">
        <v>48</v>
      </c>
      <c r="V2401">
        <v>1</v>
      </c>
      <c r="W2401">
        <v>48</v>
      </c>
      <c r="AE2401" t="s">
        <v>3717</v>
      </c>
      <c r="AF2401" t="s">
        <v>5408</v>
      </c>
      <c r="AG2401" t="s">
        <v>23754</v>
      </c>
      <c r="AH2401" t="str">
        <f>HYPERLINK("http://compartments.jensenlab.org/Entity?figures=subcell_cell_%&amp;knowledge=10&amp;textmining=10&amp;experiments=10&amp;predictions=10&amp;type1=9606&amp;type2=-22&amp;id1=ENSP00000331343","link")</f>
        <v>link</v>
      </c>
      <c r="AI2401" t="s">
        <v>3694</v>
      </c>
      <c r="AJ2401" t="s">
        <v>1630</v>
      </c>
      <c r="AK2401" t="str">
        <f>HYPERLINK("http://www.proteinatlas.org/Q9GIY3","CAB015400;CAB034021;HPA043151")</f>
        <v>CAB015400;CAB034021;HPA043151</v>
      </c>
    </row>
    <row r="2402" spans="1:39" x14ac:dyDescent="0.35">
      <c r="A2402" t="s">
        <v>23755</v>
      </c>
      <c r="B2402" t="str">
        <f>HYPERLINK("http://www.uniprot.org/uniprot/Q9GZK3","Q9GZK3")</f>
        <v>Q9GZK3</v>
      </c>
      <c r="C2402" t="s">
        <v>23756</v>
      </c>
      <c r="D2402" t="s">
        <v>23757</v>
      </c>
      <c r="E2402" t="s">
        <v>39</v>
      </c>
      <c r="F2402" t="s">
        <v>55</v>
      </c>
      <c r="H2402">
        <v>357</v>
      </c>
      <c r="I2402">
        <v>7</v>
      </c>
      <c r="J2402">
        <v>0</v>
      </c>
      <c r="K2402" t="s">
        <v>23758</v>
      </c>
      <c r="L2402" t="s">
        <v>57</v>
      </c>
      <c r="N2402">
        <v>0.98199999999999998</v>
      </c>
      <c r="O2402" s="1">
        <v>1</v>
      </c>
      <c r="P2402" t="s">
        <v>23759</v>
      </c>
      <c r="Q2402" t="s">
        <v>23760</v>
      </c>
      <c r="S2402" t="s">
        <v>166</v>
      </c>
      <c r="T2402" t="s">
        <v>167</v>
      </c>
      <c r="U2402" t="s">
        <v>23761</v>
      </c>
      <c r="V2402">
        <v>1</v>
      </c>
      <c r="AE2402" t="s">
        <v>74</v>
      </c>
      <c r="AF2402" t="s">
        <v>169</v>
      </c>
      <c r="AG2402" t="s">
        <v>23762</v>
      </c>
      <c r="AH2402" t="str">
        <f>HYPERLINK("http://compartments.jensenlab.org/Entity?figures=subcell_cell_%&amp;knowledge=10&amp;textmining=10&amp;experiments=10&amp;predictions=10&amp;type1=9606&amp;type2=-22&amp;id1=ENSP00000304419","link")</f>
        <v>link</v>
      </c>
      <c r="AI2402" t="s">
        <v>65</v>
      </c>
      <c r="AJ2402" t="s">
        <v>51</v>
      </c>
      <c r="AK2402" t="str">
        <f>HYPERLINK("http://www.proteinatlas.org/Q9GZK3","no")</f>
        <v>no</v>
      </c>
      <c r="AM2402">
        <v>81697</v>
      </c>
    </row>
    <row r="2403" spans="1:39" x14ac:dyDescent="0.35">
      <c r="A2403" t="s">
        <v>23763</v>
      </c>
      <c r="B2403" t="str">
        <f>HYPERLINK("http://www.uniprot.org/uniprot/Q9GZK4","Q9GZK4")</f>
        <v>Q9GZK4</v>
      </c>
      <c r="C2403" t="s">
        <v>23764</v>
      </c>
      <c r="D2403" t="s">
        <v>23765</v>
      </c>
      <c r="E2403" t="s">
        <v>39</v>
      </c>
      <c r="F2403" t="s">
        <v>55</v>
      </c>
      <c r="H2403">
        <v>316</v>
      </c>
      <c r="I2403">
        <v>7</v>
      </c>
      <c r="J2403">
        <v>0</v>
      </c>
      <c r="K2403" t="s">
        <v>23766</v>
      </c>
      <c r="L2403" t="s">
        <v>57</v>
      </c>
      <c r="N2403">
        <v>0.98399999999999999</v>
      </c>
      <c r="O2403" s="1">
        <v>1</v>
      </c>
      <c r="P2403" t="s">
        <v>23767</v>
      </c>
      <c r="Q2403" t="s">
        <v>23768</v>
      </c>
      <c r="S2403" t="s">
        <v>166</v>
      </c>
      <c r="T2403" t="s">
        <v>167</v>
      </c>
      <c r="U2403">
        <v>3</v>
      </c>
      <c r="V2403">
        <v>1</v>
      </c>
      <c r="AE2403" t="s">
        <v>74</v>
      </c>
      <c r="AF2403" t="s">
        <v>169</v>
      </c>
      <c r="AG2403" t="s">
        <v>23769</v>
      </c>
      <c r="AH2403" t="str">
        <f>HYPERLINK("http://compartments.jensenlab.org/Entity?figures=subcell_cell_%&amp;knowledge=10&amp;textmining=10&amp;experiments=10&amp;predictions=10&amp;type1=9606&amp;type2=-22&amp;id1=ENSP00000366336","link")</f>
        <v>link</v>
      </c>
      <c r="AI2403" t="s">
        <v>1364</v>
      </c>
      <c r="AJ2403" t="s">
        <v>1365</v>
      </c>
      <c r="AK2403" t="str">
        <f>HYPERLINK("http://www.proteinatlas.org/Q9GZK4","no")</f>
        <v>no</v>
      </c>
      <c r="AM2403">
        <v>26716</v>
      </c>
    </row>
    <row r="2404" spans="1:39" x14ac:dyDescent="0.35">
      <c r="A2404" t="s">
        <v>23770</v>
      </c>
      <c r="B2404" t="str">
        <f>HYPERLINK("http://www.uniprot.org/uniprot/Q9GZK6","Q9GZK6")</f>
        <v>Q9GZK6</v>
      </c>
      <c r="C2404" t="s">
        <v>23771</v>
      </c>
      <c r="D2404" t="s">
        <v>23772</v>
      </c>
      <c r="E2404" t="s">
        <v>39</v>
      </c>
      <c r="F2404" t="s">
        <v>55</v>
      </c>
      <c r="H2404">
        <v>312</v>
      </c>
      <c r="I2404">
        <v>7</v>
      </c>
      <c r="J2404">
        <v>0</v>
      </c>
      <c r="K2404" t="s">
        <v>23773</v>
      </c>
      <c r="L2404" t="s">
        <v>57</v>
      </c>
      <c r="N2404">
        <v>0.97799999999999998</v>
      </c>
      <c r="O2404" s="1">
        <v>1</v>
      </c>
      <c r="P2404" t="s">
        <v>23774</v>
      </c>
      <c r="Q2404" t="s">
        <v>23775</v>
      </c>
      <c r="S2404" t="s">
        <v>166</v>
      </c>
      <c r="T2404" t="s">
        <v>167</v>
      </c>
      <c r="U2404" t="s">
        <v>2899</v>
      </c>
      <c r="V2404">
        <v>1</v>
      </c>
      <c r="AE2404" t="s">
        <v>74</v>
      </c>
      <c r="AF2404" t="s">
        <v>169</v>
      </c>
      <c r="AG2404" t="s">
        <v>23776</v>
      </c>
      <c r="AH2404" t="str">
        <f>HYPERLINK("http://compartments.jensenlab.org/Entity?figures=subcell_cell_%&amp;knowledge=10&amp;textmining=10&amp;experiments=10&amp;predictions=10&amp;type1=9606&amp;type2=-22&amp;id1=ENSP00000366376","link")</f>
        <v>link</v>
      </c>
      <c r="AI2404" t="s">
        <v>65</v>
      </c>
      <c r="AJ2404" t="s">
        <v>51</v>
      </c>
      <c r="AK2404" t="str">
        <f>HYPERLINK("http://www.proteinatlas.org/Q9GZK6","no")</f>
        <v>no</v>
      </c>
    </row>
    <row r="2405" spans="1:39" x14ac:dyDescent="0.35">
      <c r="A2405" t="s">
        <v>23777</v>
      </c>
      <c r="B2405" t="str">
        <f>HYPERLINK("http://www.uniprot.org/uniprot/Q9GZK7","Q9GZK7")</f>
        <v>Q9GZK7</v>
      </c>
      <c r="C2405" t="s">
        <v>23778</v>
      </c>
      <c r="D2405" t="s">
        <v>23779</v>
      </c>
      <c r="E2405" t="s">
        <v>39</v>
      </c>
      <c r="F2405" t="s">
        <v>55</v>
      </c>
      <c r="H2405">
        <v>315</v>
      </c>
      <c r="I2405">
        <v>7</v>
      </c>
      <c r="J2405">
        <v>0</v>
      </c>
      <c r="K2405" t="s">
        <v>23780</v>
      </c>
      <c r="L2405" t="s">
        <v>57</v>
      </c>
      <c r="M2405" t="s">
        <v>39</v>
      </c>
      <c r="N2405">
        <v>0.99460000000000004</v>
      </c>
      <c r="O2405" s="1">
        <v>1</v>
      </c>
      <c r="P2405" t="s">
        <v>23781</v>
      </c>
      <c r="Q2405" t="s">
        <v>23782</v>
      </c>
      <c r="S2405" t="s">
        <v>166</v>
      </c>
      <c r="T2405" t="s">
        <v>167</v>
      </c>
      <c r="U2405" t="s">
        <v>23783</v>
      </c>
      <c r="V2405">
        <v>1</v>
      </c>
      <c r="AE2405" t="s">
        <v>74</v>
      </c>
      <c r="AF2405" t="s">
        <v>169</v>
      </c>
      <c r="AG2405" t="s">
        <v>23784</v>
      </c>
      <c r="AH2405" t="str">
        <f>HYPERLINK("http://compartments.jensenlab.org/Entity?figures=subcell_cell_%&amp;knowledge=10&amp;textmining=10&amp;experiments=10&amp;predictions=10&amp;type1=9606&amp;type2=-22&amp;id1=ENSP00000366352","link")</f>
        <v>link</v>
      </c>
      <c r="AI2405" t="s">
        <v>2883</v>
      </c>
      <c r="AJ2405" t="s">
        <v>2884</v>
      </c>
      <c r="AK2405" t="str">
        <f>HYPERLINK("http://www.proteinatlas.org/Q9GZK7","no")</f>
        <v>no</v>
      </c>
      <c r="AM2405">
        <v>26531</v>
      </c>
    </row>
    <row r="2406" spans="1:39" x14ac:dyDescent="0.35">
      <c r="A2406" t="s">
        <v>23785</v>
      </c>
      <c r="B2406" t="str">
        <f>HYPERLINK("http://www.uniprot.org/uniprot/Q9GZM6","Q9GZM6")</f>
        <v>Q9GZM6</v>
      </c>
      <c r="C2406" t="s">
        <v>23786</v>
      </c>
      <c r="D2406" t="s">
        <v>23787</v>
      </c>
      <c r="E2406" t="s">
        <v>39</v>
      </c>
      <c r="F2406" t="s">
        <v>55</v>
      </c>
      <c r="H2406">
        <v>311</v>
      </c>
      <c r="I2406">
        <v>7</v>
      </c>
      <c r="J2406">
        <v>0</v>
      </c>
      <c r="K2406" t="s">
        <v>23788</v>
      </c>
      <c r="L2406" t="s">
        <v>57</v>
      </c>
      <c r="M2406" t="s">
        <v>39</v>
      </c>
      <c r="N2406">
        <v>0.76739999999999997</v>
      </c>
      <c r="O2406" s="1">
        <v>1</v>
      </c>
      <c r="P2406" t="s">
        <v>23789</v>
      </c>
      <c r="Q2406" t="s">
        <v>23790</v>
      </c>
      <c r="S2406" t="s">
        <v>166</v>
      </c>
      <c r="T2406" t="s">
        <v>167</v>
      </c>
      <c r="U2406">
        <v>5</v>
      </c>
      <c r="V2406">
        <v>1</v>
      </c>
      <c r="AE2406" t="s">
        <v>74</v>
      </c>
      <c r="AF2406" t="s">
        <v>169</v>
      </c>
      <c r="AG2406" t="s">
        <v>23791</v>
      </c>
      <c r="AH2406" t="str">
        <f>HYPERLINK("http://compartments.jensenlab.org/Entity?figures=subcell_cell_%&amp;knowledge=10&amp;textmining=10&amp;experiments=10&amp;predictions=10&amp;type1=9606&amp;type2=-22&amp;id1=ENSP00000350022","link")</f>
        <v>link</v>
      </c>
      <c r="AI2406" t="s">
        <v>65</v>
      </c>
      <c r="AJ2406" t="s">
        <v>51</v>
      </c>
      <c r="AK2406" t="str">
        <f>HYPERLINK("http://www.proteinatlas.org/Q9GZM6","no")</f>
        <v>no</v>
      </c>
      <c r="AM2406">
        <v>283160</v>
      </c>
    </row>
    <row r="2407" spans="1:39" x14ac:dyDescent="0.35">
      <c r="A2407" t="s">
        <v>23792</v>
      </c>
      <c r="B2407" t="str">
        <f>HYPERLINK("http://www.uniprot.org/uniprot/Q9GZN0","Q9GZN0")</f>
        <v>Q9GZN0</v>
      </c>
      <c r="C2407" t="s">
        <v>23793</v>
      </c>
      <c r="D2407" t="s">
        <v>23794</v>
      </c>
      <c r="E2407" t="s">
        <v>39</v>
      </c>
      <c r="F2407" t="s">
        <v>55</v>
      </c>
      <c r="H2407">
        <v>384</v>
      </c>
      <c r="I2407">
        <v>7</v>
      </c>
      <c r="J2407">
        <v>0</v>
      </c>
      <c r="K2407" t="s">
        <v>23795</v>
      </c>
      <c r="L2407" t="s">
        <v>57</v>
      </c>
      <c r="M2407" t="s">
        <v>39</v>
      </c>
      <c r="N2407">
        <v>0.77710000000000001</v>
      </c>
      <c r="O2407" s="1">
        <v>1</v>
      </c>
      <c r="P2407" t="s">
        <v>23796</v>
      </c>
      <c r="Q2407" t="s">
        <v>23797</v>
      </c>
      <c r="S2407" t="s">
        <v>166</v>
      </c>
      <c r="T2407" t="s">
        <v>838</v>
      </c>
      <c r="U2407">
        <v>3</v>
      </c>
      <c r="V2407">
        <v>1</v>
      </c>
      <c r="AE2407" t="s">
        <v>74</v>
      </c>
      <c r="AF2407" t="s">
        <v>910</v>
      </c>
      <c r="AG2407" t="s">
        <v>23798</v>
      </c>
      <c r="AH2407" t="str">
        <f>HYPERLINK("http://compartments.jensenlab.org/Entity?figures=subcell_cell_%&amp;knowledge=10&amp;textmining=10&amp;experiments=10&amp;predictions=10&amp;type1=9606&amp;type2=-22&amp;id1=ENSP00000314223","link")</f>
        <v>link</v>
      </c>
      <c r="AI2407" t="s">
        <v>65</v>
      </c>
      <c r="AJ2407" t="s">
        <v>51</v>
      </c>
      <c r="AK2407" t="str">
        <f>HYPERLINK("http://www.proteinatlas.org/Q9GZN0","HPA007488")</f>
        <v>HPA007488</v>
      </c>
      <c r="AM2407">
        <v>54112</v>
      </c>
    </row>
    <row r="2408" spans="1:39" x14ac:dyDescent="0.35">
      <c r="A2408" t="s">
        <v>23799</v>
      </c>
      <c r="B2408" t="str">
        <f>HYPERLINK("http://www.uniprot.org/uniprot/Q9GZN6","Q9GZN6")</f>
        <v>Q9GZN6</v>
      </c>
      <c r="C2408" t="s">
        <v>23800</v>
      </c>
      <c r="D2408" t="s">
        <v>23801</v>
      </c>
      <c r="E2408" t="s">
        <v>39</v>
      </c>
      <c r="F2408" t="s">
        <v>40</v>
      </c>
      <c r="H2408">
        <v>736</v>
      </c>
      <c r="I2408">
        <v>12</v>
      </c>
      <c r="J2408">
        <v>0</v>
      </c>
      <c r="K2408" t="s">
        <v>23802</v>
      </c>
      <c r="L2408" t="s">
        <v>57</v>
      </c>
      <c r="N2408">
        <v>0.81240000000000001</v>
      </c>
      <c r="O2408" s="1">
        <v>1</v>
      </c>
      <c r="P2408" t="s">
        <v>23803</v>
      </c>
      <c r="Q2408" t="s">
        <v>23804</v>
      </c>
      <c r="S2408" t="s">
        <v>45</v>
      </c>
      <c r="T2408" t="s">
        <v>6998</v>
      </c>
      <c r="U2408" t="s">
        <v>23805</v>
      </c>
      <c r="V2408">
        <v>2</v>
      </c>
      <c r="AE2408" t="s">
        <v>48</v>
      </c>
      <c r="AF2408" t="s">
        <v>23806</v>
      </c>
      <c r="AG2408" t="s">
        <v>23807</v>
      </c>
      <c r="AH2408" t="str">
        <f>HYPERLINK("http://compartments.jensenlab.org/Entity?figures=subcell_cell_%&amp;knowledge=10&amp;textmining=10&amp;experiments=10&amp;predictions=10&amp;type1=9606&amp;type2=-22&amp;id1=ENSP00000338627","link")</f>
        <v>link</v>
      </c>
      <c r="AJ2408" t="s">
        <v>113</v>
      </c>
      <c r="AK2408" t="str">
        <f>HYPERLINK("http://www.proteinatlas.org/Q9GZN6","HPA049128")</f>
        <v>HPA049128</v>
      </c>
      <c r="AM2408">
        <v>28968</v>
      </c>
    </row>
    <row r="2409" spans="1:39" x14ac:dyDescent="0.35">
      <c r="A2409" t="s">
        <v>23808</v>
      </c>
      <c r="B2409" t="str">
        <f>HYPERLINK("http://www.uniprot.org/uniprot/Q9GZP7","Q9GZP7")</f>
        <v>Q9GZP7</v>
      </c>
      <c r="C2409" t="s">
        <v>23809</v>
      </c>
      <c r="D2409" t="s">
        <v>23810</v>
      </c>
      <c r="E2409" t="s">
        <v>39</v>
      </c>
      <c r="F2409" t="s">
        <v>55</v>
      </c>
      <c r="H2409">
        <v>353</v>
      </c>
      <c r="I2409">
        <v>7</v>
      </c>
      <c r="J2409">
        <v>0</v>
      </c>
      <c r="K2409" t="s">
        <v>23811</v>
      </c>
      <c r="L2409" t="s">
        <v>57</v>
      </c>
      <c r="M2409" t="s">
        <v>39</v>
      </c>
      <c r="N2409">
        <v>0.69399999999999995</v>
      </c>
      <c r="O2409" s="1">
        <v>2</v>
      </c>
      <c r="P2409" t="s">
        <v>23812</v>
      </c>
      <c r="Q2409" t="s">
        <v>23813</v>
      </c>
      <c r="S2409" t="s">
        <v>166</v>
      </c>
      <c r="T2409" t="s">
        <v>16579</v>
      </c>
      <c r="U2409" t="s">
        <v>23814</v>
      </c>
      <c r="V2409">
        <v>2</v>
      </c>
      <c r="AE2409" t="s">
        <v>74</v>
      </c>
      <c r="AF2409" t="s">
        <v>16581</v>
      </c>
      <c r="AG2409" t="s">
        <v>23815</v>
      </c>
      <c r="AH2409" t="str">
        <f>HYPERLINK("http://compartments.jensenlab.org/Entity?figures=subcell_cell_%&amp;knowledge=10&amp;textmining=10&amp;experiments=10&amp;predictions=10&amp;type1=9606&amp;type2=-22&amp;id1=ENSP00000322339","link")</f>
        <v>link</v>
      </c>
      <c r="AI2409" t="s">
        <v>65</v>
      </c>
      <c r="AJ2409" t="s">
        <v>51</v>
      </c>
      <c r="AK2409" t="str">
        <f>HYPERLINK("http://www.proteinatlas.org/Q9GZP7","no")</f>
        <v>no</v>
      </c>
      <c r="AM2409">
        <v>57191</v>
      </c>
    </row>
    <row r="2410" spans="1:39" x14ac:dyDescent="0.35">
      <c r="A2410" t="s">
        <v>23816</v>
      </c>
      <c r="B2410" t="str">
        <f>HYPERLINK("http://www.uniprot.org/uniprot/Q9GZQ4","Q9GZQ4")</f>
        <v>Q9GZQ4</v>
      </c>
      <c r="C2410" t="s">
        <v>23817</v>
      </c>
      <c r="D2410" t="s">
        <v>23818</v>
      </c>
      <c r="E2410" t="s">
        <v>39</v>
      </c>
      <c r="F2410" t="s">
        <v>55</v>
      </c>
      <c r="H2410">
        <v>415</v>
      </c>
      <c r="I2410">
        <v>7</v>
      </c>
      <c r="J2410">
        <v>0</v>
      </c>
      <c r="K2410" t="s">
        <v>23819</v>
      </c>
      <c r="L2410" t="s">
        <v>57</v>
      </c>
      <c r="M2410" t="s">
        <v>39</v>
      </c>
      <c r="N2410">
        <v>0.8629</v>
      </c>
      <c r="O2410" s="1">
        <v>1</v>
      </c>
      <c r="P2410" t="s">
        <v>23820</v>
      </c>
      <c r="Q2410" t="s">
        <v>23821</v>
      </c>
      <c r="S2410" t="s">
        <v>166</v>
      </c>
      <c r="T2410" t="s">
        <v>838</v>
      </c>
      <c r="U2410" t="s">
        <v>23822</v>
      </c>
      <c r="V2410">
        <v>3</v>
      </c>
      <c r="AE2410" t="s">
        <v>74</v>
      </c>
      <c r="AF2410" t="s">
        <v>967</v>
      </c>
      <c r="AG2410" t="s">
        <v>23823</v>
      </c>
      <c r="AH2410" t="str">
        <f>HYPERLINK("http://compartments.jensenlab.org/Entity?figures=subcell_cell_%&amp;knowledge=10&amp;textmining=10&amp;experiments=10&amp;predictions=10&amp;type1=9606&amp;type2=-22&amp;id1=ENSP00000255262","link")</f>
        <v>link</v>
      </c>
      <c r="AI2410" t="s">
        <v>65</v>
      </c>
      <c r="AJ2410" t="s">
        <v>51</v>
      </c>
      <c r="AK2410" t="str">
        <f>HYPERLINK("http://www.proteinatlas.org/Q9GZQ4","HPA045836")</f>
        <v>HPA045836</v>
      </c>
      <c r="AM2410">
        <v>56923</v>
      </c>
    </row>
    <row r="2411" spans="1:39" x14ac:dyDescent="0.35">
      <c r="A2411" t="s">
        <v>23824</v>
      </c>
      <c r="B2411" t="str">
        <f>HYPERLINK("http://www.uniprot.org/uniprot/Q9GZQ6","Q9GZQ6")</f>
        <v>Q9GZQ6</v>
      </c>
      <c r="C2411" t="s">
        <v>23825</v>
      </c>
      <c r="D2411" t="s">
        <v>23826</v>
      </c>
      <c r="E2411" t="s">
        <v>39</v>
      </c>
      <c r="F2411" t="s">
        <v>55</v>
      </c>
      <c r="H2411">
        <v>430</v>
      </c>
      <c r="I2411">
        <v>7</v>
      </c>
      <c r="J2411">
        <v>0</v>
      </c>
      <c r="K2411" t="s">
        <v>23827</v>
      </c>
      <c r="L2411" t="s">
        <v>57</v>
      </c>
      <c r="M2411" t="s">
        <v>39</v>
      </c>
      <c r="N2411">
        <v>0.9385</v>
      </c>
      <c r="O2411" s="1">
        <v>1</v>
      </c>
      <c r="P2411" t="s">
        <v>23828</v>
      </c>
      <c r="Q2411" t="s">
        <v>23829</v>
      </c>
      <c r="S2411" t="s">
        <v>166</v>
      </c>
      <c r="T2411" t="s">
        <v>838</v>
      </c>
      <c r="U2411" t="s">
        <v>23830</v>
      </c>
      <c r="V2411">
        <v>5</v>
      </c>
      <c r="Y2411">
        <v>204</v>
      </c>
      <c r="AE2411" t="s">
        <v>74</v>
      </c>
      <c r="AF2411" t="s">
        <v>967</v>
      </c>
      <c r="AG2411" t="s">
        <v>23831</v>
      </c>
      <c r="AH2411" t="str">
        <f>HYPERLINK("http://compartments.jensenlab.org/Entity?figures=subcell_cell_%&amp;knowledge=10&amp;textmining=10&amp;experiments=10&amp;predictions=10&amp;type1=9606&amp;type2=-22&amp;id1=ENSP00000277942","link")</f>
        <v>link</v>
      </c>
      <c r="AI2411" t="s">
        <v>65</v>
      </c>
      <c r="AJ2411" t="s">
        <v>51</v>
      </c>
      <c r="AK2411" t="str">
        <f>HYPERLINK("http://www.proteinatlas.org/Q9GZQ6","HPA037521")</f>
        <v>HPA037521</v>
      </c>
      <c r="AM2411">
        <v>64106</v>
      </c>
    </row>
    <row r="2412" spans="1:39" x14ac:dyDescent="0.35">
      <c r="A2412" t="s">
        <v>23832</v>
      </c>
      <c r="B2412" t="str">
        <f>HYPERLINK("http://www.uniprot.org/uniprot/Q9GZU1","Q9GZU1")</f>
        <v>Q9GZU1</v>
      </c>
      <c r="C2412" t="s">
        <v>23833</v>
      </c>
      <c r="D2412" t="s">
        <v>23834</v>
      </c>
      <c r="E2412" t="s">
        <v>39</v>
      </c>
      <c r="F2412" t="s">
        <v>55</v>
      </c>
      <c r="H2412">
        <v>580</v>
      </c>
      <c r="I2412">
        <v>6</v>
      </c>
      <c r="J2412">
        <v>0</v>
      </c>
      <c r="K2412" t="s">
        <v>23835</v>
      </c>
      <c r="L2412" t="s">
        <v>118</v>
      </c>
      <c r="M2412" t="s">
        <v>39</v>
      </c>
      <c r="N2412">
        <v>0.71840000000000004</v>
      </c>
      <c r="O2412" s="1">
        <v>2</v>
      </c>
      <c r="P2412" t="s">
        <v>23836</v>
      </c>
      <c r="Q2412" t="s">
        <v>23837</v>
      </c>
      <c r="S2412" t="s">
        <v>45</v>
      </c>
      <c r="T2412" t="s">
        <v>12824</v>
      </c>
      <c r="U2412" t="s">
        <v>23838</v>
      </c>
      <c r="V2412">
        <v>4</v>
      </c>
      <c r="W2412" t="s">
        <v>23838</v>
      </c>
      <c r="Z2412" t="s">
        <v>107</v>
      </c>
      <c r="AA2412">
        <v>1</v>
      </c>
      <c r="AB2412" t="s">
        <v>23839</v>
      </c>
      <c r="AC2412">
        <v>159</v>
      </c>
      <c r="AD2412" t="s">
        <v>23840</v>
      </c>
      <c r="AE2412" t="s">
        <v>23841</v>
      </c>
      <c r="AF2412" t="s">
        <v>23842</v>
      </c>
      <c r="AG2412" t="s">
        <v>23843</v>
      </c>
      <c r="AH2412" t="str">
        <f>HYPERLINK("http://compartments.jensenlab.org/Entity?figures=subcell_cell_%&amp;knowledge=10&amp;textmining=10&amp;experiments=10&amp;predictions=10&amp;type1=9606&amp;type2=-22&amp;id1=ENSP00000264079","link")</f>
        <v>link</v>
      </c>
      <c r="AI2412" t="s">
        <v>4661</v>
      </c>
      <c r="AJ2412" t="s">
        <v>4662</v>
      </c>
      <c r="AK2412" t="str">
        <f>HYPERLINK("http://www.proteinatlas.org/Q9GZU1","HPA031763;CAB032637")</f>
        <v>HPA031763;CAB032637</v>
      </c>
      <c r="AM2412">
        <v>57192</v>
      </c>
    </row>
    <row r="2413" spans="1:39" x14ac:dyDescent="0.35">
      <c r="A2413" t="s">
        <v>23844</v>
      </c>
      <c r="B2413" t="str">
        <f>HYPERLINK("http://www.uniprot.org/uniprot/Q9GZV3","Q9GZV3")</f>
        <v>Q9GZV3</v>
      </c>
      <c r="C2413" t="s">
        <v>23845</v>
      </c>
      <c r="D2413" t="s">
        <v>23846</v>
      </c>
      <c r="E2413" t="s">
        <v>39</v>
      </c>
      <c r="F2413" t="s">
        <v>40</v>
      </c>
      <c r="H2413">
        <v>580</v>
      </c>
      <c r="I2413">
        <v>13</v>
      </c>
      <c r="J2413">
        <v>0</v>
      </c>
      <c r="K2413" t="s">
        <v>23847</v>
      </c>
      <c r="L2413" t="s">
        <v>57</v>
      </c>
      <c r="N2413">
        <v>0.65669999999999995</v>
      </c>
      <c r="O2413" s="1">
        <v>2</v>
      </c>
      <c r="P2413" t="s">
        <v>23848</v>
      </c>
      <c r="Q2413" t="s">
        <v>23849</v>
      </c>
      <c r="S2413" t="s">
        <v>45</v>
      </c>
      <c r="T2413" t="s">
        <v>72</v>
      </c>
      <c r="U2413" t="s">
        <v>23850</v>
      </c>
      <c r="V2413">
        <v>2</v>
      </c>
      <c r="Y2413">
        <v>24</v>
      </c>
      <c r="AE2413" t="s">
        <v>48</v>
      </c>
      <c r="AF2413" t="s">
        <v>23851</v>
      </c>
      <c r="AG2413" t="s">
        <v>23852</v>
      </c>
      <c r="AH2413" t="str">
        <f>HYPERLINK("http://compartments.jensenlab.org/Entity?figures=subcell_cell_%&amp;knowledge=10&amp;textmining=10&amp;experiments=10&amp;predictions=10&amp;type1=9606&amp;type2=-22&amp;id1=ENSP00000264047","link")</f>
        <v>link</v>
      </c>
      <c r="AI2413" t="s">
        <v>65</v>
      </c>
      <c r="AJ2413" t="s">
        <v>51</v>
      </c>
      <c r="AK2413" t="str">
        <f>HYPERLINK("http://www.proteinatlas.org/Q9GZV3","HPA046105")</f>
        <v>HPA046105</v>
      </c>
      <c r="AM2413">
        <v>60482</v>
      </c>
    </row>
    <row r="2414" spans="1:39" x14ac:dyDescent="0.35">
      <c r="A2414" t="s">
        <v>23853</v>
      </c>
      <c r="B2414" t="str">
        <f>HYPERLINK("http://www.uniprot.org/uniprot/Q9GZZ6","Q9GZZ6")</f>
        <v>Q9GZZ6</v>
      </c>
      <c r="C2414" t="s">
        <v>23854</v>
      </c>
      <c r="D2414" t="s">
        <v>23855</v>
      </c>
      <c r="E2414" t="s">
        <v>39</v>
      </c>
      <c r="F2414" t="s">
        <v>40</v>
      </c>
      <c r="H2414">
        <v>450</v>
      </c>
      <c r="I2414">
        <v>4</v>
      </c>
      <c r="J2414">
        <v>1</v>
      </c>
      <c r="K2414" t="s">
        <v>23856</v>
      </c>
      <c r="L2414" t="s">
        <v>57</v>
      </c>
      <c r="N2414">
        <v>0.82830000000000004</v>
      </c>
      <c r="O2414" s="1">
        <v>1</v>
      </c>
      <c r="P2414" t="s">
        <v>23857</v>
      </c>
      <c r="Q2414" t="s">
        <v>23858</v>
      </c>
      <c r="S2414" t="s">
        <v>45</v>
      </c>
      <c r="T2414" t="s">
        <v>195</v>
      </c>
      <c r="U2414" t="s">
        <v>23859</v>
      </c>
      <c r="V2414">
        <v>2</v>
      </c>
      <c r="AE2414" t="s">
        <v>619</v>
      </c>
      <c r="AF2414" t="s">
        <v>23860</v>
      </c>
      <c r="AG2414" t="s">
        <v>23861</v>
      </c>
      <c r="AH2414" t="str">
        <f>HYPERLINK("http://compartments.jensenlab.org/Entity?figures=subcell_cell_%&amp;knowledge=10&amp;textmining=10&amp;experiments=10&amp;predictions=10&amp;type1=9606&amp;type2=-22&amp;id1=ENSP00000250699","link")</f>
        <v>link</v>
      </c>
      <c r="AI2414" t="s">
        <v>65</v>
      </c>
      <c r="AJ2414" t="s">
        <v>51</v>
      </c>
      <c r="AK2414" t="str">
        <f>HYPERLINK("http://www.proteinatlas.org/Q9GZZ6","HPA060919")</f>
        <v>HPA060919</v>
      </c>
      <c r="AL2414" t="s">
        <v>23862</v>
      </c>
      <c r="AM2414">
        <v>57053</v>
      </c>
    </row>
    <row r="2415" spans="1:39" x14ac:dyDescent="0.35">
      <c r="A2415" t="s">
        <v>23863</v>
      </c>
      <c r="B2415" t="str">
        <f>HYPERLINK("http://www.uniprot.org/uniprot/Q9GZZ7","Q9GZZ7")</f>
        <v>Q9GZZ7</v>
      </c>
      <c r="C2415" t="s">
        <v>23864</v>
      </c>
      <c r="D2415" t="s">
        <v>23865</v>
      </c>
      <c r="E2415" t="s">
        <v>39</v>
      </c>
      <c r="F2415" t="s">
        <v>239</v>
      </c>
      <c r="H2415">
        <v>299</v>
      </c>
      <c r="I2415">
        <v>0</v>
      </c>
      <c r="J2415">
        <v>1</v>
      </c>
      <c r="K2415" t="s">
        <v>23866</v>
      </c>
      <c r="L2415" t="s">
        <v>57</v>
      </c>
      <c r="N2415">
        <v>0.59079999999999999</v>
      </c>
      <c r="O2415" s="1" t="s">
        <v>241</v>
      </c>
      <c r="P2415" t="s">
        <v>23867</v>
      </c>
      <c r="Q2415" t="s">
        <v>23868</v>
      </c>
      <c r="U2415">
        <v>208</v>
      </c>
      <c r="V2415">
        <v>1</v>
      </c>
      <c r="W2415">
        <v>208</v>
      </c>
      <c r="Y2415">
        <v>140</v>
      </c>
      <c r="AE2415" t="s">
        <v>23869</v>
      </c>
      <c r="AF2415" t="s">
        <v>23870</v>
      </c>
      <c r="AG2415" t="s">
        <v>23871</v>
      </c>
      <c r="AH2415" t="str">
        <f>HYPERLINK("http://compartments.jensenlab.org/Entity?figures=subcell_cell_%&amp;knowledge=10&amp;textmining=10&amp;experiments=10&amp;predictions=10&amp;type1=9606&amp;type2=-22&amp;id1=ENSP00000313423","link")</f>
        <v>link</v>
      </c>
      <c r="AI2415" t="s">
        <v>1058</v>
      </c>
      <c r="AJ2415" t="s">
        <v>902</v>
      </c>
      <c r="AK2415" t="str">
        <f>HYPERLINK("http://www.proteinatlas.org/Q9GZZ7","no")</f>
        <v>no</v>
      </c>
      <c r="AM2415">
        <v>64096</v>
      </c>
    </row>
    <row r="2416" spans="1:39" x14ac:dyDescent="0.35">
      <c r="A2416" t="s">
        <v>23872</v>
      </c>
      <c r="B2416" t="str">
        <f>HYPERLINK("http://www.uniprot.org/uniprot/Q9H013","Q9H013")</f>
        <v>Q9H013</v>
      </c>
      <c r="C2416" t="s">
        <v>23873</v>
      </c>
      <c r="D2416" t="s">
        <v>23874</v>
      </c>
      <c r="E2416" t="s">
        <v>39</v>
      </c>
      <c r="F2416" t="s">
        <v>40</v>
      </c>
      <c r="H2416">
        <v>955</v>
      </c>
      <c r="I2416">
        <v>1</v>
      </c>
      <c r="J2416">
        <v>1</v>
      </c>
      <c r="K2416" t="s">
        <v>23875</v>
      </c>
      <c r="L2416" t="s">
        <v>101</v>
      </c>
      <c r="N2416">
        <v>0.86429999999999996</v>
      </c>
      <c r="O2416" s="1">
        <v>1</v>
      </c>
      <c r="P2416" t="s">
        <v>23876</v>
      </c>
      <c r="Q2416" t="s">
        <v>23877</v>
      </c>
      <c r="S2416" t="s">
        <v>947</v>
      </c>
      <c r="T2416" t="s">
        <v>1208</v>
      </c>
      <c r="U2416" t="s">
        <v>23878</v>
      </c>
      <c r="V2416">
        <v>4</v>
      </c>
      <c r="Z2416" t="s">
        <v>107</v>
      </c>
      <c r="AA2416">
        <v>1</v>
      </c>
      <c r="AB2416" t="s">
        <v>23879</v>
      </c>
      <c r="AC2416">
        <v>645</v>
      </c>
      <c r="AD2416" t="s">
        <v>23880</v>
      </c>
      <c r="AE2416" t="s">
        <v>144</v>
      </c>
      <c r="AF2416" t="s">
        <v>23881</v>
      </c>
      <c r="AG2416" t="s">
        <v>23882</v>
      </c>
      <c r="AH2416" t="str">
        <f>HYPERLINK("http://compartments.jensenlab.org/Entity?figures=subcell_cell_%&amp;knowledge=10&amp;textmining=10&amp;experiments=10&amp;predictions=10&amp;type1=9606&amp;type2=-22&amp;id1=ENSP00000428654","link")</f>
        <v>link</v>
      </c>
      <c r="AK2416" t="str">
        <f>HYPERLINK("http://www.proteinatlas.org/Q9H013","HPA055537")</f>
        <v>HPA055537</v>
      </c>
      <c r="AM2416">
        <v>8728</v>
      </c>
    </row>
    <row r="2417" spans="1:39" x14ac:dyDescent="0.35">
      <c r="A2417" t="s">
        <v>23883</v>
      </c>
      <c r="B2417" t="str">
        <f>HYPERLINK("http://www.uniprot.org/uniprot/Q9H015","Q9H015")</f>
        <v>Q9H015</v>
      </c>
      <c r="C2417" t="s">
        <v>23884</v>
      </c>
      <c r="D2417" t="s">
        <v>23885</v>
      </c>
      <c r="E2417" t="s">
        <v>39</v>
      </c>
      <c r="F2417" t="s">
        <v>40</v>
      </c>
      <c r="H2417">
        <v>551</v>
      </c>
      <c r="I2417">
        <v>12</v>
      </c>
      <c r="J2417">
        <v>0</v>
      </c>
      <c r="K2417" t="s">
        <v>23886</v>
      </c>
      <c r="L2417" t="s">
        <v>101</v>
      </c>
      <c r="N2417">
        <v>0.78639999999999999</v>
      </c>
      <c r="O2417" s="1">
        <v>1</v>
      </c>
      <c r="P2417" t="s">
        <v>23887</v>
      </c>
      <c r="Q2417" t="s">
        <v>23888</v>
      </c>
      <c r="S2417" t="s">
        <v>45</v>
      </c>
      <c r="T2417" t="s">
        <v>121</v>
      </c>
      <c r="U2417" t="s">
        <v>2916</v>
      </c>
      <c r="V2417">
        <v>3</v>
      </c>
      <c r="Z2417" t="s">
        <v>123</v>
      </c>
      <c r="AA2417">
        <v>1</v>
      </c>
      <c r="AB2417" t="s">
        <v>23889</v>
      </c>
      <c r="AC2417">
        <v>64</v>
      </c>
      <c r="AD2417" t="s">
        <v>23890</v>
      </c>
      <c r="AE2417" t="s">
        <v>48</v>
      </c>
      <c r="AF2417" t="s">
        <v>23891</v>
      </c>
      <c r="AG2417" t="s">
        <v>23892</v>
      </c>
      <c r="AH2417" t="str">
        <f>HYPERLINK("http://compartments.jensenlab.org/Entity?figures=subcell_cell_%&amp;knowledge=10&amp;textmining=10&amp;experiments=10&amp;predictions=10&amp;type1=9606&amp;type2=-22&amp;id1=ENSP00000200652","link")</f>
        <v>link</v>
      </c>
      <c r="AI2417" t="s">
        <v>23893</v>
      </c>
      <c r="AJ2417" t="s">
        <v>2256</v>
      </c>
      <c r="AK2417" t="str">
        <f>HYPERLINK("http://www.proteinatlas.org/Q9H015","CAB015468")</f>
        <v>CAB015468</v>
      </c>
      <c r="AL2417" t="s">
        <v>2921</v>
      </c>
      <c r="AM2417">
        <v>6583</v>
      </c>
    </row>
    <row r="2418" spans="1:39" x14ac:dyDescent="0.35">
      <c r="A2418" t="s">
        <v>23894</v>
      </c>
      <c r="B2418" t="str">
        <f>HYPERLINK("http://www.uniprot.org/uniprot/Q9H0V9","Q9H0V9")</f>
        <v>Q9H0V9</v>
      </c>
      <c r="C2418" t="s">
        <v>23895</v>
      </c>
      <c r="D2418" t="s">
        <v>23896</v>
      </c>
      <c r="E2418" t="s">
        <v>39</v>
      </c>
      <c r="F2418" t="s">
        <v>40</v>
      </c>
      <c r="H2418">
        <v>348</v>
      </c>
      <c r="I2418">
        <v>1</v>
      </c>
      <c r="J2418">
        <v>1</v>
      </c>
      <c r="K2418" t="s">
        <v>23897</v>
      </c>
      <c r="L2418" t="s">
        <v>101</v>
      </c>
      <c r="N2418">
        <v>0.5988</v>
      </c>
      <c r="O2418" s="1">
        <v>2</v>
      </c>
      <c r="P2418" t="s">
        <v>23898</v>
      </c>
      <c r="Q2418" t="s">
        <v>23899</v>
      </c>
      <c r="S2418" t="s">
        <v>60</v>
      </c>
      <c r="T2418" t="s">
        <v>60</v>
      </c>
      <c r="U2418">
        <v>181</v>
      </c>
      <c r="V2418">
        <v>1</v>
      </c>
      <c r="Y2418">
        <v>11</v>
      </c>
      <c r="Z2418" t="s">
        <v>107</v>
      </c>
      <c r="AA2418">
        <v>3</v>
      </c>
      <c r="AB2418" t="s">
        <v>23900</v>
      </c>
      <c r="AC2418">
        <v>181</v>
      </c>
      <c r="AD2418" t="s">
        <v>23901</v>
      </c>
      <c r="AE2418" t="s">
        <v>14076</v>
      </c>
      <c r="AF2418" t="s">
        <v>23902</v>
      </c>
      <c r="AG2418" t="s">
        <v>23903</v>
      </c>
      <c r="AH2418" t="str">
        <f>HYPERLINK("http://compartments.jensenlab.org/Entity?figures=subcell_cell_%&amp;knowledge=10&amp;textmining=10&amp;experiments=10&amp;predictions=10&amp;type1=9606&amp;type2=-22&amp;id1=ENSP00000264963","link")</f>
        <v>link</v>
      </c>
      <c r="AK2418" t="str">
        <f>HYPERLINK("http://www.proteinatlas.org/Q9H0V9","HPA026600")</f>
        <v>HPA026600</v>
      </c>
      <c r="AM2418">
        <v>81562</v>
      </c>
    </row>
    <row r="2419" spans="1:39" x14ac:dyDescent="0.35">
      <c r="A2419" t="s">
        <v>23904</v>
      </c>
      <c r="B2419" t="str">
        <f>HYPERLINK("http://www.uniprot.org/uniprot/Q9H156","Q9H156")</f>
        <v>Q9H156</v>
      </c>
      <c r="C2419" t="s">
        <v>23905</v>
      </c>
      <c r="D2419" t="s">
        <v>23906</v>
      </c>
      <c r="E2419" t="s">
        <v>39</v>
      </c>
      <c r="F2419" t="s">
        <v>40</v>
      </c>
      <c r="H2419">
        <v>845</v>
      </c>
      <c r="I2419">
        <v>1</v>
      </c>
      <c r="J2419">
        <v>1</v>
      </c>
      <c r="K2419" t="s">
        <v>23907</v>
      </c>
      <c r="L2419" t="s">
        <v>101</v>
      </c>
      <c r="N2419">
        <v>0.97409999999999997</v>
      </c>
      <c r="O2419" s="1">
        <v>1</v>
      </c>
      <c r="S2419" t="s">
        <v>91</v>
      </c>
      <c r="T2419" t="s">
        <v>260</v>
      </c>
      <c r="U2419" t="s">
        <v>23908</v>
      </c>
      <c r="V2419">
        <v>5</v>
      </c>
      <c r="Z2419" t="s">
        <v>107</v>
      </c>
      <c r="AA2419">
        <v>3</v>
      </c>
      <c r="AB2419" t="s">
        <v>23909</v>
      </c>
      <c r="AC2419" t="s">
        <v>23910</v>
      </c>
      <c r="AD2419" t="s">
        <v>23911</v>
      </c>
      <c r="AE2419" t="s">
        <v>144</v>
      </c>
      <c r="AF2419" t="s">
        <v>23912</v>
      </c>
      <c r="AG2419" t="s">
        <v>23913</v>
      </c>
      <c r="AK2419" t="str">
        <f>HYPERLINK("http://www.proteinatlas.org/Q9H156","no")</f>
        <v>no</v>
      </c>
      <c r="AM2419">
        <v>84631</v>
      </c>
    </row>
    <row r="2420" spans="1:39" x14ac:dyDescent="0.35">
      <c r="A2420" t="s">
        <v>23914</v>
      </c>
      <c r="B2420" t="str">
        <f>HYPERLINK("http://www.uniprot.org/uniprot/Q9H158","Q9H158")</f>
        <v>Q9H158</v>
      </c>
      <c r="C2420" t="s">
        <v>23915</v>
      </c>
      <c r="D2420" t="s">
        <v>23916</v>
      </c>
      <c r="E2420" t="s">
        <v>39</v>
      </c>
      <c r="F2420" t="s">
        <v>40</v>
      </c>
      <c r="H2420">
        <v>963</v>
      </c>
      <c r="I2420">
        <v>1</v>
      </c>
      <c r="J2420">
        <v>1</v>
      </c>
      <c r="K2420" t="s">
        <v>23917</v>
      </c>
      <c r="L2420" t="s">
        <v>57</v>
      </c>
      <c r="N2420">
        <v>0.9022</v>
      </c>
      <c r="O2420" s="1">
        <v>1</v>
      </c>
      <c r="P2420" t="s">
        <v>23918</v>
      </c>
      <c r="Q2420" t="s">
        <v>23919</v>
      </c>
      <c r="U2420" t="s">
        <v>23920</v>
      </c>
      <c r="V2420">
        <v>4</v>
      </c>
      <c r="W2420" t="s">
        <v>23921</v>
      </c>
      <c r="AE2420" t="s">
        <v>332</v>
      </c>
      <c r="AF2420" t="s">
        <v>16205</v>
      </c>
      <c r="AG2420" t="s">
        <v>23922</v>
      </c>
      <c r="AH2420" t="str">
        <f>HYPERLINK("http://compartments.jensenlab.org/Entity?figures=subcell_cell_%&amp;knowledge=10&amp;textmining=10&amp;experiments=10&amp;predictions=10&amp;type1=9606&amp;type2=-22&amp;id1=ENSP00000253807","link")</f>
        <v>link</v>
      </c>
      <c r="AI2420" t="s">
        <v>65</v>
      </c>
      <c r="AJ2420" t="s">
        <v>902</v>
      </c>
      <c r="AK2420" t="str">
        <f>HYPERLINK("http://www.proteinatlas.org/Q9H158","no")</f>
        <v>no</v>
      </c>
      <c r="AM2420">
        <v>56135</v>
      </c>
    </row>
    <row r="2421" spans="1:39" x14ac:dyDescent="0.35">
      <c r="A2421" t="s">
        <v>23923</v>
      </c>
      <c r="B2421" t="str">
        <f>HYPERLINK("http://www.uniprot.org/uniprot/Q9H159","Q9H159")</f>
        <v>Q9H159</v>
      </c>
      <c r="C2421" t="s">
        <v>23924</v>
      </c>
      <c r="D2421" t="s">
        <v>23925</v>
      </c>
      <c r="E2421" t="s">
        <v>39</v>
      </c>
      <c r="F2421" t="s">
        <v>55</v>
      </c>
      <c r="H2421">
        <v>772</v>
      </c>
      <c r="I2421">
        <v>1</v>
      </c>
      <c r="J2421">
        <v>1</v>
      </c>
      <c r="K2421" t="s">
        <v>23926</v>
      </c>
      <c r="L2421" t="s">
        <v>101</v>
      </c>
      <c r="M2421" t="s">
        <v>39</v>
      </c>
      <c r="N2421">
        <v>0.92510000000000003</v>
      </c>
      <c r="O2421" s="1">
        <v>1</v>
      </c>
      <c r="P2421" t="s">
        <v>23927</v>
      </c>
      <c r="Q2421" t="s">
        <v>23928</v>
      </c>
      <c r="S2421" t="s">
        <v>91</v>
      </c>
      <c r="T2421" t="s">
        <v>2622</v>
      </c>
      <c r="U2421" t="s">
        <v>23929</v>
      </c>
      <c r="V2421">
        <v>8</v>
      </c>
      <c r="Z2421" t="s">
        <v>107</v>
      </c>
      <c r="AA2421">
        <v>3</v>
      </c>
      <c r="AB2421" t="s">
        <v>23930</v>
      </c>
      <c r="AC2421" t="s">
        <v>23931</v>
      </c>
      <c r="AD2421" t="s">
        <v>23932</v>
      </c>
      <c r="AE2421" t="s">
        <v>332</v>
      </c>
      <c r="AF2421" t="s">
        <v>10836</v>
      </c>
      <c r="AG2421" t="s">
        <v>23933</v>
      </c>
      <c r="AH2421" t="str">
        <f>HYPERLINK("http://compartments.jensenlab.org/Entity?figures=subcell_cell_%&amp;knowledge=10&amp;textmining=10&amp;experiments=10&amp;predictions=10&amp;type1=9606&amp;type2=-22&amp;id1=ENSP00000262150","link")</f>
        <v>link</v>
      </c>
      <c r="AI2421" t="s">
        <v>65</v>
      </c>
      <c r="AJ2421" t="s">
        <v>51</v>
      </c>
      <c r="AK2421" t="str">
        <f>HYPERLINK("http://www.proteinatlas.org/Q9H159","HPA056332")</f>
        <v>HPA056332</v>
      </c>
      <c r="AM2421">
        <v>28513</v>
      </c>
    </row>
    <row r="2422" spans="1:39" x14ac:dyDescent="0.35">
      <c r="A2422" t="s">
        <v>23934</v>
      </c>
      <c r="B2422" t="str">
        <f>HYPERLINK("http://www.uniprot.org/uniprot/Q9H172","Q9H172")</f>
        <v>Q9H172</v>
      </c>
      <c r="C2422" t="s">
        <v>23935</v>
      </c>
      <c r="D2422" t="s">
        <v>23936</v>
      </c>
      <c r="E2422" t="s">
        <v>39</v>
      </c>
      <c r="F2422" t="s">
        <v>40</v>
      </c>
      <c r="H2422">
        <v>646</v>
      </c>
      <c r="I2422">
        <v>6</v>
      </c>
      <c r="J2422">
        <v>0</v>
      </c>
      <c r="K2422" t="s">
        <v>23937</v>
      </c>
      <c r="L2422" t="s">
        <v>57</v>
      </c>
      <c r="N2422">
        <v>0.61280000000000001</v>
      </c>
      <c r="O2422" s="1">
        <v>2</v>
      </c>
      <c r="P2422" t="s">
        <v>23938</v>
      </c>
      <c r="Q2422" t="s">
        <v>23939</v>
      </c>
      <c r="S2422" t="s">
        <v>45</v>
      </c>
      <c r="T2422" t="s">
        <v>23940</v>
      </c>
      <c r="U2422">
        <v>422</v>
      </c>
      <c r="V2422">
        <v>1</v>
      </c>
      <c r="AE2422" t="s">
        <v>48</v>
      </c>
      <c r="AF2422" t="s">
        <v>23941</v>
      </c>
      <c r="AG2422" t="s">
        <v>23942</v>
      </c>
      <c r="AH2422" t="str">
        <f>HYPERLINK("http://compartments.jensenlab.org/Entity?figures=subcell_cell_%&amp;knowledge=10&amp;textmining=10&amp;experiments=10&amp;predictions=10&amp;type1=9606&amp;type2=-22&amp;id1=ENSP00000479253","link")</f>
        <v>link</v>
      </c>
      <c r="AK2422" t="str">
        <f>HYPERLINK("http://www.proteinatlas.org/Q9H172","HPA040312")</f>
        <v>HPA040312</v>
      </c>
      <c r="AM2422">
        <v>64137</v>
      </c>
    </row>
    <row r="2423" spans="1:39" x14ac:dyDescent="0.35">
      <c r="A2423" t="s">
        <v>23943</v>
      </c>
      <c r="B2423" t="str">
        <f>HYPERLINK("http://www.uniprot.org/uniprot/Q9H195","Q9H195")</f>
        <v>Q9H195</v>
      </c>
      <c r="C2423" t="s">
        <v>23944</v>
      </c>
      <c r="D2423" t="s">
        <v>23945</v>
      </c>
      <c r="E2423" t="s">
        <v>39</v>
      </c>
      <c r="F2423" t="s">
        <v>40</v>
      </c>
      <c r="H2423">
        <v>1237</v>
      </c>
      <c r="I2423">
        <v>1</v>
      </c>
      <c r="J2423">
        <v>1</v>
      </c>
      <c r="K2423" t="s">
        <v>23946</v>
      </c>
      <c r="L2423" t="s">
        <v>42</v>
      </c>
      <c r="N2423">
        <v>0.75249999999999995</v>
      </c>
      <c r="O2423" s="1">
        <v>1</v>
      </c>
      <c r="S2423" t="s">
        <v>60</v>
      </c>
      <c r="T2423" t="s">
        <v>60</v>
      </c>
      <c r="U2423" t="s">
        <v>23947</v>
      </c>
      <c r="V2423">
        <v>8</v>
      </c>
      <c r="AE2423" t="s">
        <v>94</v>
      </c>
      <c r="AF2423" t="s">
        <v>23948</v>
      </c>
      <c r="AG2423" t="s">
        <v>23949</v>
      </c>
      <c r="AK2423" t="str">
        <f>HYPERLINK("http://www.proteinatlas.org/Q9H195","no")</f>
        <v>no</v>
      </c>
    </row>
    <row r="2424" spans="1:39" x14ac:dyDescent="0.35">
      <c r="A2424" t="s">
        <v>23950</v>
      </c>
      <c r="B2424" t="str">
        <f>HYPERLINK("http://www.uniprot.org/uniprot/Q9H1C0","Q9H1C0")</f>
        <v>Q9H1C0</v>
      </c>
      <c r="C2424" t="s">
        <v>23951</v>
      </c>
      <c r="D2424" t="s">
        <v>23952</v>
      </c>
      <c r="E2424" t="s">
        <v>39</v>
      </c>
      <c r="F2424" t="s">
        <v>55</v>
      </c>
      <c r="H2424">
        <v>372</v>
      </c>
      <c r="I2424">
        <v>7</v>
      </c>
      <c r="J2424">
        <v>0</v>
      </c>
      <c r="K2424" t="s">
        <v>23953</v>
      </c>
      <c r="L2424" t="s">
        <v>101</v>
      </c>
      <c r="M2424" t="s">
        <v>39</v>
      </c>
      <c r="N2424">
        <v>0.88690000000000002</v>
      </c>
      <c r="O2424" s="1">
        <v>1</v>
      </c>
      <c r="P2424" t="s">
        <v>23954</v>
      </c>
      <c r="Q2424" t="s">
        <v>23955</v>
      </c>
      <c r="S2424" t="s">
        <v>166</v>
      </c>
      <c r="T2424" t="s">
        <v>838</v>
      </c>
      <c r="U2424" t="s">
        <v>23956</v>
      </c>
      <c r="V2424">
        <v>2</v>
      </c>
      <c r="Z2424" t="s">
        <v>107</v>
      </c>
      <c r="AA2424">
        <v>1</v>
      </c>
      <c r="AB2424" t="s">
        <v>23957</v>
      </c>
      <c r="AC2424" t="s">
        <v>23958</v>
      </c>
      <c r="AD2424" t="s">
        <v>23959</v>
      </c>
      <c r="AE2424" t="s">
        <v>74</v>
      </c>
      <c r="AF2424" t="s">
        <v>1913</v>
      </c>
      <c r="AG2424" t="s">
        <v>23960</v>
      </c>
      <c r="AH2424" t="str">
        <f>HYPERLINK("http://compartments.jensenlab.org/Entity?figures=subcell_cell_%&amp;knowledge=10&amp;textmining=10&amp;experiments=10&amp;predictions=10&amp;type1=9606&amp;type2=-22&amp;id1=ENSP00000327875","link")</f>
        <v>link</v>
      </c>
      <c r="AI2424" t="s">
        <v>65</v>
      </c>
      <c r="AJ2424" t="s">
        <v>51</v>
      </c>
      <c r="AK2424" t="str">
        <f>HYPERLINK("http://www.proteinatlas.org/Q9H1C0","HPA013170")</f>
        <v>HPA013170</v>
      </c>
      <c r="AM2424">
        <v>57121</v>
      </c>
    </row>
    <row r="2425" spans="1:39" x14ac:dyDescent="0.35">
      <c r="A2425" t="s">
        <v>23961</v>
      </c>
      <c r="B2425" t="str">
        <f>HYPERLINK("http://www.uniprot.org/uniprot/Q9H1C4","Q9H1C4")</f>
        <v>Q9H1C4</v>
      </c>
      <c r="C2425" t="s">
        <v>23962</v>
      </c>
      <c r="D2425" t="s">
        <v>23963</v>
      </c>
      <c r="E2425" t="s">
        <v>39</v>
      </c>
      <c r="F2425" t="s">
        <v>40</v>
      </c>
      <c r="H2425">
        <v>597</v>
      </c>
      <c r="I2425">
        <v>12</v>
      </c>
      <c r="J2425">
        <v>0</v>
      </c>
      <c r="K2425" t="s">
        <v>23964</v>
      </c>
      <c r="L2425" t="s">
        <v>42</v>
      </c>
      <c r="N2425">
        <v>0.64670000000000005</v>
      </c>
      <c r="O2425" s="1">
        <v>2</v>
      </c>
      <c r="P2425" t="s">
        <v>23965</v>
      </c>
      <c r="Q2425" t="s">
        <v>23966</v>
      </c>
      <c r="S2425" t="s">
        <v>60</v>
      </c>
      <c r="T2425" t="s">
        <v>60</v>
      </c>
      <c r="U2425" t="s">
        <v>23967</v>
      </c>
      <c r="V2425">
        <v>2</v>
      </c>
      <c r="AE2425" t="s">
        <v>23968</v>
      </c>
      <c r="AF2425" t="s">
        <v>23969</v>
      </c>
      <c r="AG2425" t="s">
        <v>23970</v>
      </c>
      <c r="AH2425" t="str">
        <f>HYPERLINK("http://compartments.jensenlab.org/Entity?figures=subcell_cell_%&amp;knowledge=10&amp;textmining=10&amp;experiments=10&amp;predictions=10&amp;type1=9606&amp;type2=-22&amp;id1=ENSP00000227471","link")</f>
        <v>link</v>
      </c>
      <c r="AI2425" t="s">
        <v>1629</v>
      </c>
      <c r="AJ2425" t="s">
        <v>1630</v>
      </c>
      <c r="AK2425" t="str">
        <f>HYPERLINK("http://www.proteinatlas.org/Q9H1C4","HPA038717;HPA042803")</f>
        <v>HPA038717;HPA042803</v>
      </c>
      <c r="AM2425">
        <v>81622</v>
      </c>
    </row>
    <row r="2426" spans="1:39" x14ac:dyDescent="0.35">
      <c r="A2426" t="s">
        <v>23971</v>
      </c>
      <c r="B2426" t="str">
        <f>HYPERLINK("http://www.uniprot.org/uniprot/Q9H1D0","Q9H1D0")</f>
        <v>Q9H1D0</v>
      </c>
      <c r="C2426" t="s">
        <v>23972</v>
      </c>
      <c r="D2426" t="s">
        <v>23973</v>
      </c>
      <c r="E2426" t="s">
        <v>39</v>
      </c>
      <c r="F2426" t="s">
        <v>55</v>
      </c>
      <c r="H2426">
        <v>725</v>
      </c>
      <c r="I2426">
        <v>6</v>
      </c>
      <c r="J2426">
        <v>0</v>
      </c>
      <c r="K2426" t="s">
        <v>23974</v>
      </c>
      <c r="L2426" t="s">
        <v>57</v>
      </c>
      <c r="M2426" t="s">
        <v>39</v>
      </c>
      <c r="N2426">
        <v>0.52759999999999996</v>
      </c>
      <c r="O2426" s="1">
        <v>3</v>
      </c>
      <c r="P2426" t="s">
        <v>23975</v>
      </c>
      <c r="Q2426" t="s">
        <v>23976</v>
      </c>
      <c r="S2426" t="s">
        <v>45</v>
      </c>
      <c r="T2426" t="s">
        <v>12824</v>
      </c>
      <c r="U2426" t="s">
        <v>23977</v>
      </c>
      <c r="V2426">
        <v>1</v>
      </c>
      <c r="W2426" t="s">
        <v>23977</v>
      </c>
      <c r="AE2426" t="s">
        <v>74</v>
      </c>
      <c r="AF2426" t="s">
        <v>23978</v>
      </c>
      <c r="AG2426" t="s">
        <v>23979</v>
      </c>
      <c r="AH2426" t="str">
        <f>HYPERLINK("http://compartments.jensenlab.org/Entity?figures=subcell_cell_%&amp;knowledge=10&amp;textmining=10&amp;experiments=10&amp;predictions=10&amp;type1=9606&amp;type2=-22&amp;id1=ENSP00000352358","link")</f>
        <v>link</v>
      </c>
      <c r="AI2426" t="s">
        <v>65</v>
      </c>
      <c r="AJ2426" t="s">
        <v>51</v>
      </c>
      <c r="AK2426" t="str">
        <f>HYPERLINK("http://www.proteinatlas.org/Q9H1D0","HPA062864")</f>
        <v>HPA062864</v>
      </c>
      <c r="AM2426">
        <v>55503</v>
      </c>
    </row>
    <row r="2427" spans="1:39" x14ac:dyDescent="0.35">
      <c r="A2427" t="s">
        <v>23980</v>
      </c>
      <c r="B2427" t="str">
        <f>HYPERLINK("http://www.uniprot.org/uniprot/Q9H1E5","Q9H1E5")</f>
        <v>Q9H1E5</v>
      </c>
      <c r="C2427" t="s">
        <v>23981</v>
      </c>
      <c r="D2427" t="s">
        <v>23982</v>
      </c>
      <c r="E2427" t="s">
        <v>39</v>
      </c>
      <c r="F2427" t="s">
        <v>40</v>
      </c>
      <c r="H2427">
        <v>349</v>
      </c>
      <c r="I2427">
        <v>1</v>
      </c>
      <c r="J2427">
        <v>1</v>
      </c>
      <c r="K2427" t="s">
        <v>23983</v>
      </c>
      <c r="L2427" t="s">
        <v>118</v>
      </c>
      <c r="N2427">
        <v>0.68259999999999998</v>
      </c>
      <c r="O2427" s="1">
        <v>2</v>
      </c>
      <c r="P2427" t="s">
        <v>23984</v>
      </c>
      <c r="Q2427" t="s">
        <v>23985</v>
      </c>
      <c r="S2427" t="s">
        <v>60</v>
      </c>
      <c r="T2427" t="s">
        <v>60</v>
      </c>
      <c r="U2427">
        <v>46</v>
      </c>
      <c r="V2427">
        <v>1</v>
      </c>
      <c r="Z2427" t="s">
        <v>107</v>
      </c>
      <c r="AA2427">
        <v>2</v>
      </c>
      <c r="AB2427" t="s">
        <v>23986</v>
      </c>
      <c r="AC2427">
        <v>46</v>
      </c>
      <c r="AD2427" t="s">
        <v>23987</v>
      </c>
      <c r="AE2427" t="s">
        <v>144</v>
      </c>
      <c r="AF2427" t="s">
        <v>23988</v>
      </c>
      <c r="AG2427" t="s">
        <v>23989</v>
      </c>
      <c r="AH2427" t="str">
        <f>HYPERLINK("http://compartments.jensenlab.org/Entity?figures=subcell_cell_%&amp;knowledge=10&amp;textmining=10&amp;experiments=10&amp;predictions=10&amp;type1=9606&amp;type2=-22&amp;id1=ENSP00000246024","link")</f>
        <v>link</v>
      </c>
      <c r="AJ2427" t="s">
        <v>51</v>
      </c>
      <c r="AK2427" t="str">
        <f>HYPERLINK("http://www.proteinatlas.org/Q9H1E5","HPA000399;HPA015752")</f>
        <v>HPA000399;HPA015752</v>
      </c>
      <c r="AM2427">
        <v>56255</v>
      </c>
    </row>
    <row r="2428" spans="1:39" x14ac:dyDescent="0.35">
      <c r="A2428" t="s">
        <v>23990</v>
      </c>
      <c r="B2428" t="str">
        <f>HYPERLINK("http://www.uniprot.org/uniprot/Q9H1U4","Q9H1U4")</f>
        <v>Q9H1U4</v>
      </c>
      <c r="C2428" t="s">
        <v>23991</v>
      </c>
      <c r="D2428" t="s">
        <v>23992</v>
      </c>
      <c r="E2428" t="s">
        <v>39</v>
      </c>
      <c r="F2428" t="s">
        <v>40</v>
      </c>
      <c r="H2428">
        <v>602</v>
      </c>
      <c r="I2428">
        <v>1</v>
      </c>
      <c r="J2428">
        <v>1</v>
      </c>
      <c r="K2428" t="s">
        <v>23993</v>
      </c>
      <c r="L2428" t="s">
        <v>57</v>
      </c>
      <c r="N2428">
        <v>0.93410000000000004</v>
      </c>
      <c r="O2428" s="1">
        <v>1</v>
      </c>
      <c r="P2428" t="s">
        <v>23994</v>
      </c>
      <c r="Q2428" t="s">
        <v>23995</v>
      </c>
      <c r="S2428" t="s">
        <v>60</v>
      </c>
      <c r="T2428" t="s">
        <v>60</v>
      </c>
      <c r="U2428" t="s">
        <v>23996</v>
      </c>
      <c r="V2428">
        <v>11</v>
      </c>
      <c r="AE2428" t="s">
        <v>144</v>
      </c>
      <c r="AF2428" t="s">
        <v>23997</v>
      </c>
      <c r="AG2428" t="s">
        <v>23998</v>
      </c>
      <c r="AH2428" t="str">
        <f>HYPERLINK("http://compartments.jensenlab.org/Entity?figures=subcell_cell_%&amp;knowledge=10&amp;textmining=10&amp;experiments=10&amp;predictions=10&amp;type1=9606&amp;type2=-22&amp;id1=ENSP00000363040","link")</f>
        <v>link</v>
      </c>
      <c r="AK2428" t="str">
        <f>HYPERLINK("http://www.proteinatlas.org/Q9H1U4","HPA014319;HPA050238")</f>
        <v>HPA014319;HPA050238</v>
      </c>
      <c r="AM2428">
        <v>1955</v>
      </c>
    </row>
    <row r="2429" spans="1:39" x14ac:dyDescent="0.35">
      <c r="A2429" t="s">
        <v>23999</v>
      </c>
      <c r="B2429" t="str">
        <f>HYPERLINK("http://www.uniprot.org/uniprot/Q9H1V8","Q9H1V8")</f>
        <v>Q9H1V8</v>
      </c>
      <c r="C2429" t="s">
        <v>24000</v>
      </c>
      <c r="D2429" t="s">
        <v>24001</v>
      </c>
      <c r="E2429" t="s">
        <v>39</v>
      </c>
      <c r="F2429" t="s">
        <v>40</v>
      </c>
      <c r="H2429">
        <v>727</v>
      </c>
      <c r="I2429">
        <v>12</v>
      </c>
      <c r="J2429">
        <v>0</v>
      </c>
      <c r="K2429" t="s">
        <v>24002</v>
      </c>
      <c r="L2429" t="s">
        <v>57</v>
      </c>
      <c r="N2429">
        <v>0.81240000000000001</v>
      </c>
      <c r="O2429" s="1">
        <v>1</v>
      </c>
      <c r="P2429" t="s">
        <v>24003</v>
      </c>
      <c r="Q2429" t="s">
        <v>24004</v>
      </c>
      <c r="S2429" t="s">
        <v>45</v>
      </c>
      <c r="T2429" t="s">
        <v>6998</v>
      </c>
      <c r="U2429" t="s">
        <v>24005</v>
      </c>
      <c r="V2429">
        <v>2</v>
      </c>
      <c r="AE2429" t="s">
        <v>14380</v>
      </c>
      <c r="AF2429" t="s">
        <v>24006</v>
      </c>
      <c r="AG2429" t="s">
        <v>24007</v>
      </c>
      <c r="AH2429" t="str">
        <f>HYPERLINK("http://compartments.jensenlab.org/Entity?figures=subcell_cell_%&amp;knowledge=10&amp;textmining=10&amp;experiments=10&amp;predictions=10&amp;type1=9606&amp;type2=-22&amp;id1=ENSP00000330199","link")</f>
        <v>link</v>
      </c>
      <c r="AJ2429" t="s">
        <v>51</v>
      </c>
      <c r="AK2429" t="str">
        <f>HYPERLINK("http://www.proteinatlas.org/Q9H1V8","HPA007663;HPA008044")</f>
        <v>HPA007663;HPA008044</v>
      </c>
      <c r="AM2429">
        <v>388662</v>
      </c>
    </row>
    <row r="2430" spans="1:39" x14ac:dyDescent="0.35">
      <c r="A2430" t="s">
        <v>24008</v>
      </c>
      <c r="B2430" t="str">
        <f>HYPERLINK("http://www.uniprot.org/uniprot/Q9H1Y3","Q9H1Y3")</f>
        <v>Q9H1Y3</v>
      </c>
      <c r="C2430" t="s">
        <v>24009</v>
      </c>
      <c r="D2430" t="s">
        <v>24010</v>
      </c>
      <c r="E2430" t="s">
        <v>39</v>
      </c>
      <c r="F2430" t="s">
        <v>40</v>
      </c>
      <c r="H2430">
        <v>402</v>
      </c>
      <c r="I2430">
        <v>7</v>
      </c>
      <c r="J2430">
        <v>0</v>
      </c>
      <c r="K2430" t="s">
        <v>24011</v>
      </c>
      <c r="L2430" t="s">
        <v>57</v>
      </c>
      <c r="N2430">
        <v>0.94210000000000005</v>
      </c>
      <c r="O2430" s="1">
        <v>1</v>
      </c>
      <c r="P2430" t="s">
        <v>24012</v>
      </c>
      <c r="Q2430" t="s">
        <v>24013</v>
      </c>
      <c r="S2430" t="s">
        <v>166</v>
      </c>
      <c r="T2430" t="s">
        <v>838</v>
      </c>
      <c r="U2430" t="s">
        <v>24014</v>
      </c>
      <c r="V2430">
        <v>2</v>
      </c>
      <c r="AE2430" t="s">
        <v>48</v>
      </c>
      <c r="AF2430" t="s">
        <v>24015</v>
      </c>
      <c r="AG2430" t="s">
        <v>24016</v>
      </c>
      <c r="AH2430" t="str">
        <f>HYPERLINK("http://compartments.jensenlab.org/Entity?figures=subcell_cell_%&amp;knowledge=10&amp;textmining=10&amp;experiments=10&amp;predictions=10&amp;type1=9606&amp;type2=-22&amp;id1=ENSP00000355512","link")</f>
        <v>link</v>
      </c>
      <c r="AJ2430" t="s">
        <v>51</v>
      </c>
      <c r="AK2430" t="str">
        <f>HYPERLINK("http://www.proteinatlas.org/Q9H1Y3","CAB013682")</f>
        <v>CAB013682</v>
      </c>
      <c r="AM2430">
        <v>23596</v>
      </c>
    </row>
    <row r="2431" spans="1:39" x14ac:dyDescent="0.35">
      <c r="A2431" t="s">
        <v>24017</v>
      </c>
      <c r="B2431" t="str">
        <f>HYPERLINK("http://www.uniprot.org/uniprot/Q9H205","Q9H205")</f>
        <v>Q9H205</v>
      </c>
      <c r="C2431" t="s">
        <v>24018</v>
      </c>
      <c r="D2431" t="s">
        <v>24019</v>
      </c>
      <c r="E2431" t="s">
        <v>39</v>
      </c>
      <c r="F2431" t="s">
        <v>55</v>
      </c>
      <c r="H2431">
        <v>316</v>
      </c>
      <c r="I2431">
        <v>7</v>
      </c>
      <c r="J2431">
        <v>0</v>
      </c>
      <c r="K2431" t="s">
        <v>24020</v>
      </c>
      <c r="L2431" t="s">
        <v>57</v>
      </c>
      <c r="M2431" t="s">
        <v>39</v>
      </c>
      <c r="N2431">
        <v>0.99409999999999998</v>
      </c>
      <c r="O2431" s="1">
        <v>1</v>
      </c>
      <c r="P2431" t="s">
        <v>24021</v>
      </c>
      <c r="Q2431" t="s">
        <v>24022</v>
      </c>
      <c r="S2431" t="s">
        <v>166</v>
      </c>
      <c r="T2431" t="s">
        <v>167</v>
      </c>
      <c r="U2431" t="s">
        <v>519</v>
      </c>
      <c r="V2431">
        <v>2</v>
      </c>
      <c r="AE2431" t="s">
        <v>74</v>
      </c>
      <c r="AF2431" t="s">
        <v>169</v>
      </c>
      <c r="AG2431" t="s">
        <v>24023</v>
      </c>
      <c r="AH2431" t="str">
        <f>HYPERLINK("http://compartments.jensenlab.org/Entity?figures=subcell_cell_%&amp;knowledge=10&amp;textmining=10&amp;experiments=10&amp;predictions=10&amp;type1=9606&amp;type2=-22&amp;id1=ENSP00000307447","link")</f>
        <v>link</v>
      </c>
      <c r="AI2431" t="s">
        <v>65</v>
      </c>
      <c r="AJ2431" t="s">
        <v>51</v>
      </c>
      <c r="AK2431" t="str">
        <f>HYPERLINK("http://www.proteinatlas.org/Q9H205","no")</f>
        <v>no</v>
      </c>
      <c r="AM2431">
        <v>144125</v>
      </c>
    </row>
    <row r="2432" spans="1:39" x14ac:dyDescent="0.35">
      <c r="A2432" t="s">
        <v>24024</v>
      </c>
      <c r="B2432" t="str">
        <f>HYPERLINK("http://www.uniprot.org/uniprot/Q9H207","Q9H207")</f>
        <v>Q9H207</v>
      </c>
      <c r="C2432" t="s">
        <v>24025</v>
      </c>
      <c r="D2432" t="s">
        <v>24026</v>
      </c>
      <c r="E2432" t="s">
        <v>39</v>
      </c>
      <c r="F2432" t="s">
        <v>55</v>
      </c>
      <c r="H2432">
        <v>317</v>
      </c>
      <c r="I2432">
        <v>7</v>
      </c>
      <c r="J2432">
        <v>0</v>
      </c>
      <c r="K2432" t="s">
        <v>24027</v>
      </c>
      <c r="L2432" t="s">
        <v>57</v>
      </c>
      <c r="N2432">
        <v>0.998</v>
      </c>
      <c r="O2432" s="1">
        <v>1</v>
      </c>
      <c r="P2432" t="s">
        <v>24028</v>
      </c>
      <c r="Q2432" t="s">
        <v>24029</v>
      </c>
      <c r="S2432" t="s">
        <v>166</v>
      </c>
      <c r="T2432" t="s">
        <v>167</v>
      </c>
      <c r="U2432" t="s">
        <v>24030</v>
      </c>
      <c r="V2432">
        <v>2</v>
      </c>
      <c r="AE2432" t="s">
        <v>74</v>
      </c>
      <c r="AF2432" t="s">
        <v>169</v>
      </c>
      <c r="AG2432" t="s">
        <v>24031</v>
      </c>
      <c r="AH2432" t="str">
        <f>HYPERLINK("http://compartments.jensenlab.org/Entity?figures=subcell_cell_%&amp;knowledge=10&amp;textmining=10&amp;experiments=10&amp;predictions=10&amp;type1=9606&amp;type2=-22&amp;id1=ENSP00000299454","link")</f>
        <v>link</v>
      </c>
      <c r="AI2432" t="s">
        <v>65</v>
      </c>
      <c r="AJ2432" t="s">
        <v>51</v>
      </c>
      <c r="AK2432" t="str">
        <f>HYPERLINK("http://www.proteinatlas.org/Q9H207","no")</f>
        <v>no</v>
      </c>
      <c r="AM2432">
        <v>144124</v>
      </c>
    </row>
    <row r="2433" spans="1:39" x14ac:dyDescent="0.35">
      <c r="A2433" t="s">
        <v>24032</v>
      </c>
      <c r="B2433" t="str">
        <f>HYPERLINK("http://www.uniprot.org/uniprot/Q9H208","Q9H208")</f>
        <v>Q9H208</v>
      </c>
      <c r="C2433" t="s">
        <v>24033</v>
      </c>
      <c r="D2433" t="s">
        <v>24034</v>
      </c>
      <c r="E2433" t="s">
        <v>39</v>
      </c>
      <c r="F2433" t="s">
        <v>55</v>
      </c>
      <c r="H2433">
        <v>303</v>
      </c>
      <c r="I2433">
        <v>7</v>
      </c>
      <c r="J2433">
        <v>0</v>
      </c>
      <c r="K2433" t="s">
        <v>24035</v>
      </c>
      <c r="L2433" t="s">
        <v>57</v>
      </c>
      <c r="M2433" t="s">
        <v>39</v>
      </c>
      <c r="N2433">
        <v>1</v>
      </c>
      <c r="O2433" s="1">
        <v>1</v>
      </c>
      <c r="P2433" t="s">
        <v>24036</v>
      </c>
      <c r="Q2433" t="s">
        <v>24037</v>
      </c>
      <c r="S2433" t="s">
        <v>166</v>
      </c>
      <c r="T2433" t="s">
        <v>167</v>
      </c>
      <c r="U2433" t="s">
        <v>24038</v>
      </c>
      <c r="V2433">
        <v>1</v>
      </c>
      <c r="AE2433" t="s">
        <v>74</v>
      </c>
      <c r="AF2433" t="s">
        <v>368</v>
      </c>
      <c r="AG2433" t="s">
        <v>24039</v>
      </c>
      <c r="AH2433" t="str">
        <f>HYPERLINK("http://compartments.jensenlab.org/Entity?figures=subcell_cell_%&amp;knowledge=10&amp;textmining=10&amp;experiments=10&amp;predictions=10&amp;type1=9606&amp;type2=-22&amp;id1=ENSP00000303862","link")</f>
        <v>link</v>
      </c>
      <c r="AI2433" t="s">
        <v>65</v>
      </c>
      <c r="AJ2433" t="s">
        <v>51</v>
      </c>
      <c r="AK2433" t="str">
        <f>HYPERLINK("http://www.proteinatlas.org/Q9H208","no")</f>
        <v>no</v>
      </c>
      <c r="AM2433">
        <v>341276</v>
      </c>
    </row>
    <row r="2434" spans="1:39" x14ac:dyDescent="0.35">
      <c r="A2434" t="s">
        <v>24040</v>
      </c>
      <c r="B2434" t="str">
        <f>HYPERLINK("http://www.uniprot.org/uniprot/Q9H209","Q9H209")</f>
        <v>Q9H209</v>
      </c>
      <c r="C2434" t="s">
        <v>24041</v>
      </c>
      <c r="D2434" t="s">
        <v>24042</v>
      </c>
      <c r="E2434" t="s">
        <v>39</v>
      </c>
      <c r="F2434" t="s">
        <v>55</v>
      </c>
      <c r="H2434">
        <v>315</v>
      </c>
      <c r="I2434">
        <v>7</v>
      </c>
      <c r="J2434">
        <v>0</v>
      </c>
      <c r="K2434" t="s">
        <v>24043</v>
      </c>
      <c r="L2434" t="s">
        <v>57</v>
      </c>
      <c r="M2434" t="s">
        <v>39</v>
      </c>
      <c r="N2434">
        <v>0.93720000000000003</v>
      </c>
      <c r="O2434" s="1">
        <v>1</v>
      </c>
      <c r="P2434" t="s">
        <v>24044</v>
      </c>
      <c r="Q2434" t="s">
        <v>24045</v>
      </c>
      <c r="S2434" t="s">
        <v>166</v>
      </c>
      <c r="T2434" t="s">
        <v>167</v>
      </c>
      <c r="U2434" t="s">
        <v>19566</v>
      </c>
      <c r="V2434">
        <v>1</v>
      </c>
      <c r="Y2434">
        <v>3</v>
      </c>
      <c r="AE2434" t="s">
        <v>74</v>
      </c>
      <c r="AF2434" t="s">
        <v>169</v>
      </c>
      <c r="AG2434" t="s">
        <v>24046</v>
      </c>
      <c r="AH2434" t="str">
        <f>HYPERLINK("http://compartments.jensenlab.org/Entity?figures=subcell_cell_%&amp;knowledge=10&amp;textmining=10&amp;experiments=10&amp;predictions=10&amp;type1=9606&amp;type2=-22&amp;id1=ENSP00000369157","link")</f>
        <v>link</v>
      </c>
      <c r="AI2434" t="s">
        <v>65</v>
      </c>
      <c r="AJ2434" t="s">
        <v>51</v>
      </c>
      <c r="AK2434" t="str">
        <f>HYPERLINK("http://www.proteinatlas.org/Q9H209","no")</f>
        <v>no</v>
      </c>
      <c r="AM2434">
        <v>283297</v>
      </c>
    </row>
    <row r="2435" spans="1:39" x14ac:dyDescent="0.35">
      <c r="A2435" t="s">
        <v>24047</v>
      </c>
      <c r="B2435" t="str">
        <f>HYPERLINK("http://www.uniprot.org/uniprot/Q9H210","Q9H210")</f>
        <v>Q9H210</v>
      </c>
      <c r="C2435" t="s">
        <v>24048</v>
      </c>
      <c r="D2435" t="s">
        <v>24049</v>
      </c>
      <c r="E2435" t="s">
        <v>39</v>
      </c>
      <c r="F2435" t="s">
        <v>55</v>
      </c>
      <c r="H2435">
        <v>308</v>
      </c>
      <c r="I2435">
        <v>7</v>
      </c>
      <c r="J2435">
        <v>0</v>
      </c>
      <c r="K2435" t="s">
        <v>24050</v>
      </c>
      <c r="L2435" t="s">
        <v>57</v>
      </c>
      <c r="M2435" t="s">
        <v>39</v>
      </c>
      <c r="N2435">
        <v>0.93640000000000001</v>
      </c>
      <c r="O2435" s="1">
        <v>1</v>
      </c>
      <c r="P2435" t="s">
        <v>24051</v>
      </c>
      <c r="Q2435" t="s">
        <v>24052</v>
      </c>
      <c r="S2435" t="s">
        <v>166</v>
      </c>
      <c r="T2435" t="s">
        <v>167</v>
      </c>
      <c r="U2435" t="s">
        <v>1191</v>
      </c>
      <c r="V2435">
        <v>1</v>
      </c>
      <c r="AE2435" t="s">
        <v>74</v>
      </c>
      <c r="AF2435" t="s">
        <v>455</v>
      </c>
      <c r="AG2435" t="s">
        <v>24053</v>
      </c>
      <c r="AH2435" t="str">
        <f>HYPERLINK("http://compartments.jensenlab.org/Entity?figures=subcell_cell_%&amp;knowledge=10&amp;textmining=10&amp;experiments=10&amp;predictions=10&amp;type1=9606&amp;type2=-22&amp;id1=ENSP00000299459","link")</f>
        <v>link</v>
      </c>
      <c r="AI2435" t="s">
        <v>65</v>
      </c>
      <c r="AJ2435" t="s">
        <v>51</v>
      </c>
      <c r="AK2435" t="str">
        <f>HYPERLINK("http://www.proteinatlas.org/Q9H210","no")</f>
        <v>no</v>
      </c>
      <c r="AM2435">
        <v>120776</v>
      </c>
    </row>
    <row r="2436" spans="1:39" x14ac:dyDescent="0.35">
      <c r="A2436" t="s">
        <v>24054</v>
      </c>
      <c r="B2436" t="str">
        <f>HYPERLINK("http://www.uniprot.org/uniprot/Q9H222","Q9H222")</f>
        <v>Q9H222</v>
      </c>
      <c r="C2436" t="s">
        <v>24055</v>
      </c>
      <c r="D2436" t="s">
        <v>24056</v>
      </c>
      <c r="E2436" t="s">
        <v>39</v>
      </c>
      <c r="F2436" t="s">
        <v>40</v>
      </c>
      <c r="H2436">
        <v>651</v>
      </c>
      <c r="I2436">
        <v>6</v>
      </c>
      <c r="J2436">
        <v>0</v>
      </c>
      <c r="K2436" t="s">
        <v>24057</v>
      </c>
      <c r="L2436" t="s">
        <v>57</v>
      </c>
      <c r="N2436">
        <v>0.72850000000000004</v>
      </c>
      <c r="O2436" s="1">
        <v>2</v>
      </c>
      <c r="P2436" t="s">
        <v>24058</v>
      </c>
      <c r="Q2436" t="s">
        <v>24059</v>
      </c>
      <c r="S2436" t="s">
        <v>45</v>
      </c>
      <c r="T2436" t="s">
        <v>23940</v>
      </c>
      <c r="U2436" t="s">
        <v>24060</v>
      </c>
      <c r="V2436">
        <v>2</v>
      </c>
      <c r="AE2436" t="s">
        <v>48</v>
      </c>
      <c r="AF2436" t="s">
        <v>24061</v>
      </c>
      <c r="AG2436" t="s">
        <v>24062</v>
      </c>
      <c r="AH2436" t="str">
        <f>HYPERLINK("http://compartments.jensenlab.org/Entity?figures=subcell_cell_%&amp;knowledge=10&amp;textmining=10&amp;experiments=10&amp;predictions=10&amp;type1=9606&amp;type2=-22&amp;id1=ENSP00000260645","link")</f>
        <v>link</v>
      </c>
      <c r="AJ2436" t="s">
        <v>51</v>
      </c>
      <c r="AK2436" t="str">
        <f>HYPERLINK("http://www.proteinatlas.org/Q9H222","HPA016514")</f>
        <v>HPA016514</v>
      </c>
      <c r="AM2436">
        <v>64240</v>
      </c>
    </row>
    <row r="2437" spans="1:39" x14ac:dyDescent="0.35">
      <c r="A2437" t="s">
        <v>24063</v>
      </c>
      <c r="B2437" t="str">
        <f>HYPERLINK("http://www.uniprot.org/uniprot/Q9H228","Q9H228")</f>
        <v>Q9H228</v>
      </c>
      <c r="C2437" t="s">
        <v>24064</v>
      </c>
      <c r="D2437" t="s">
        <v>24065</v>
      </c>
      <c r="E2437" t="s">
        <v>39</v>
      </c>
      <c r="F2437" t="s">
        <v>55</v>
      </c>
      <c r="H2437">
        <v>398</v>
      </c>
      <c r="I2437">
        <v>7</v>
      </c>
      <c r="J2437">
        <v>0</v>
      </c>
      <c r="K2437" t="s">
        <v>24066</v>
      </c>
      <c r="L2437" t="s">
        <v>101</v>
      </c>
      <c r="M2437" t="s">
        <v>39</v>
      </c>
      <c r="N2437">
        <v>0.90480000000000005</v>
      </c>
      <c r="O2437" s="1">
        <v>1</v>
      </c>
      <c r="P2437" t="s">
        <v>24067</v>
      </c>
      <c r="Q2437" t="s">
        <v>24068</v>
      </c>
      <c r="S2437" t="s">
        <v>166</v>
      </c>
      <c r="T2437" t="s">
        <v>838</v>
      </c>
      <c r="U2437">
        <v>20</v>
      </c>
      <c r="V2437">
        <v>1</v>
      </c>
      <c r="Z2437" t="s">
        <v>107</v>
      </c>
      <c r="AA2437">
        <v>1</v>
      </c>
      <c r="AB2437" t="s">
        <v>24069</v>
      </c>
      <c r="AC2437">
        <v>20</v>
      </c>
      <c r="AD2437" t="s">
        <v>24070</v>
      </c>
      <c r="AE2437" t="s">
        <v>74</v>
      </c>
      <c r="AF2437" t="s">
        <v>9397</v>
      </c>
      <c r="AG2437" t="s">
        <v>24071</v>
      </c>
      <c r="AH2437" t="str">
        <f>HYPERLINK("http://compartments.jensenlab.org/Entity?figures=subcell_cell_%&amp;knowledge=10&amp;textmining=10&amp;experiments=10&amp;predictions=10&amp;type1=9606&amp;type2=-22&amp;id1=ENSP00000328472","link")</f>
        <v>link</v>
      </c>
      <c r="AI2437" t="s">
        <v>65</v>
      </c>
      <c r="AJ2437" t="s">
        <v>51</v>
      </c>
      <c r="AK2437" t="str">
        <f>HYPERLINK("http://www.proteinatlas.org/Q9H228","HPA029683")</f>
        <v>HPA029683</v>
      </c>
      <c r="AL2437" t="s">
        <v>24072</v>
      </c>
      <c r="AM2437">
        <v>53637</v>
      </c>
    </row>
    <row r="2438" spans="1:39" x14ac:dyDescent="0.35">
      <c r="A2438" t="s">
        <v>24073</v>
      </c>
      <c r="B2438" t="str">
        <f>HYPERLINK("http://www.uniprot.org/uniprot/Q9H244","Q9H244")</f>
        <v>Q9H244</v>
      </c>
      <c r="C2438" t="s">
        <v>24074</v>
      </c>
      <c r="D2438" t="s">
        <v>24075</v>
      </c>
      <c r="E2438" t="s">
        <v>39</v>
      </c>
      <c r="F2438" t="s">
        <v>40</v>
      </c>
      <c r="H2438">
        <v>342</v>
      </c>
      <c r="I2438">
        <v>7</v>
      </c>
      <c r="J2438">
        <v>0</v>
      </c>
      <c r="K2438" t="s">
        <v>24076</v>
      </c>
      <c r="L2438" t="s">
        <v>57</v>
      </c>
      <c r="N2438">
        <v>0.7964</v>
      </c>
      <c r="O2438" s="1">
        <v>1</v>
      </c>
      <c r="P2438" t="s">
        <v>24077</v>
      </c>
      <c r="Q2438" t="s">
        <v>24078</v>
      </c>
      <c r="S2438" t="s">
        <v>166</v>
      </c>
      <c r="T2438" t="s">
        <v>838</v>
      </c>
      <c r="U2438" t="s">
        <v>24079</v>
      </c>
      <c r="V2438">
        <v>2</v>
      </c>
      <c r="W2438" t="s">
        <v>24079</v>
      </c>
      <c r="X2438" t="s">
        <v>24080</v>
      </c>
      <c r="AE2438" t="s">
        <v>74</v>
      </c>
      <c r="AF2438" t="s">
        <v>24081</v>
      </c>
      <c r="AG2438" t="s">
        <v>24082</v>
      </c>
      <c r="AH2438" t="str">
        <f>HYPERLINK("http://compartments.jensenlab.org/Entity?figures=subcell_cell_%&amp;knowledge=10&amp;textmining=10&amp;experiments=10&amp;predictions=10&amp;type1=9606&amp;type2=-22&amp;id1=ENSP00000307259","link")</f>
        <v>link</v>
      </c>
      <c r="AI2438" t="s">
        <v>65</v>
      </c>
      <c r="AJ2438" t="s">
        <v>2256</v>
      </c>
      <c r="AK2438" t="str">
        <f>HYPERLINK("http://www.proteinatlas.org/Q9H244","HPA013796;HPA014518")</f>
        <v>HPA013796;HPA014518</v>
      </c>
      <c r="AL2438" t="s">
        <v>24083</v>
      </c>
      <c r="AM2438">
        <v>64805</v>
      </c>
    </row>
    <row r="2439" spans="1:39" x14ac:dyDescent="0.35">
      <c r="A2439" t="s">
        <v>24084</v>
      </c>
      <c r="B2439" t="str">
        <f>HYPERLINK("http://www.uniprot.org/uniprot/Q9H251","Q9H251")</f>
        <v>Q9H251</v>
      </c>
      <c r="C2439" t="s">
        <v>24085</v>
      </c>
      <c r="D2439" t="s">
        <v>24086</v>
      </c>
      <c r="E2439" t="s">
        <v>39</v>
      </c>
      <c r="F2439" t="s">
        <v>40</v>
      </c>
      <c r="H2439">
        <v>3354</v>
      </c>
      <c r="I2439">
        <v>1</v>
      </c>
      <c r="J2439">
        <v>1</v>
      </c>
      <c r="K2439" t="s">
        <v>24087</v>
      </c>
      <c r="L2439" t="s">
        <v>57</v>
      </c>
      <c r="N2439">
        <v>0.89219999999999999</v>
      </c>
      <c r="O2439" s="1">
        <v>1</v>
      </c>
      <c r="P2439" t="s">
        <v>24088</v>
      </c>
      <c r="S2439" t="s">
        <v>91</v>
      </c>
      <c r="T2439" t="s">
        <v>2622</v>
      </c>
      <c r="U2439" t="s">
        <v>24089</v>
      </c>
      <c r="V2439">
        <v>42</v>
      </c>
      <c r="AE2439" t="s">
        <v>332</v>
      </c>
      <c r="AF2439" t="s">
        <v>24090</v>
      </c>
      <c r="AG2439" t="s">
        <v>24091</v>
      </c>
      <c r="AK2439" t="str">
        <f>HYPERLINK("http://www.proteinatlas.org/Q9H251","HPA017232")</f>
        <v>HPA017232</v>
      </c>
      <c r="AM2439">
        <v>64072</v>
      </c>
    </row>
    <row r="2440" spans="1:39" x14ac:dyDescent="0.35">
      <c r="A2440" t="s">
        <v>24092</v>
      </c>
      <c r="B2440" t="str">
        <f>HYPERLINK("http://www.uniprot.org/uniprot/Q9H255","Q9H255")</f>
        <v>Q9H255</v>
      </c>
      <c r="C2440" t="s">
        <v>24093</v>
      </c>
      <c r="D2440" t="s">
        <v>24094</v>
      </c>
      <c r="E2440" t="s">
        <v>39</v>
      </c>
      <c r="F2440" t="s">
        <v>55</v>
      </c>
      <c r="H2440">
        <v>320</v>
      </c>
      <c r="I2440">
        <v>7</v>
      </c>
      <c r="J2440">
        <v>0</v>
      </c>
      <c r="K2440" t="s">
        <v>24095</v>
      </c>
      <c r="L2440" t="s">
        <v>57</v>
      </c>
      <c r="M2440" t="s">
        <v>39</v>
      </c>
      <c r="N2440">
        <v>0.99419999999999997</v>
      </c>
      <c r="O2440" s="1">
        <v>1</v>
      </c>
      <c r="P2440" t="s">
        <v>24096</v>
      </c>
      <c r="Q2440" t="s">
        <v>24097</v>
      </c>
      <c r="S2440" t="s">
        <v>166</v>
      </c>
      <c r="T2440" t="s">
        <v>167</v>
      </c>
      <c r="U2440" t="s">
        <v>24098</v>
      </c>
      <c r="V2440">
        <v>1</v>
      </c>
      <c r="AE2440" t="s">
        <v>74</v>
      </c>
      <c r="AF2440" t="s">
        <v>549</v>
      </c>
      <c r="AG2440" t="s">
        <v>24099</v>
      </c>
      <c r="AH2440" t="str">
        <f>HYPERLINK("http://compartments.jensenlab.org/Entity?figures=subcell_cell_%&amp;knowledge=10&amp;textmining=10&amp;experiments=10&amp;predictions=10&amp;type1=9606&amp;type2=-22&amp;id1=ENSP00000380153","link")</f>
        <v>link</v>
      </c>
      <c r="AI2440" t="s">
        <v>65</v>
      </c>
      <c r="AJ2440" t="s">
        <v>51</v>
      </c>
      <c r="AK2440" t="str">
        <f>HYPERLINK("http://www.proteinatlas.org/Q9H255","no")</f>
        <v>no</v>
      </c>
      <c r="AM2440">
        <v>81285</v>
      </c>
    </row>
    <row r="2441" spans="1:39" x14ac:dyDescent="0.35">
      <c r="A2441" t="s">
        <v>24100</v>
      </c>
      <c r="B2441" t="str">
        <f>HYPERLINK("http://www.uniprot.org/uniprot/Q9H295","Q9H295")</f>
        <v>Q9H295</v>
      </c>
      <c r="C2441" t="s">
        <v>24101</v>
      </c>
      <c r="D2441" t="s">
        <v>24102</v>
      </c>
      <c r="E2441" t="s">
        <v>39</v>
      </c>
      <c r="F2441" t="s">
        <v>40</v>
      </c>
      <c r="H2441">
        <v>470</v>
      </c>
      <c r="I2441">
        <v>6</v>
      </c>
      <c r="J2441">
        <v>0</v>
      </c>
      <c r="K2441" t="s">
        <v>24103</v>
      </c>
      <c r="L2441" t="s">
        <v>57</v>
      </c>
      <c r="N2441">
        <v>0.68459999999999999</v>
      </c>
      <c r="O2441" s="1">
        <v>2</v>
      </c>
      <c r="P2441" t="s">
        <v>24104</v>
      </c>
      <c r="Q2441" t="s">
        <v>24105</v>
      </c>
      <c r="S2441" t="s">
        <v>60</v>
      </c>
      <c r="T2441" t="s">
        <v>60</v>
      </c>
      <c r="U2441" t="s">
        <v>24106</v>
      </c>
      <c r="V2441">
        <v>3</v>
      </c>
      <c r="W2441" t="s">
        <v>24106</v>
      </c>
      <c r="AE2441" t="s">
        <v>24107</v>
      </c>
      <c r="AF2441" t="s">
        <v>24108</v>
      </c>
      <c r="AG2441" t="s">
        <v>24109</v>
      </c>
      <c r="AH2441" t="str">
        <f>HYPERLINK("http://compartments.jensenlab.org/Entity?figures=subcell_cell_%&amp;knowledge=10&amp;textmining=10&amp;experiments=10&amp;predictions=10&amp;type1=9606&amp;type2=-22&amp;id1=ENSP00000297581","link")</f>
        <v>link</v>
      </c>
      <c r="AI2441" t="s">
        <v>1500</v>
      </c>
      <c r="AJ2441" t="s">
        <v>2780</v>
      </c>
      <c r="AK2441" t="str">
        <f>HYPERLINK("http://www.proteinatlas.org/Q9H295","HPA062520")</f>
        <v>HPA062520</v>
      </c>
      <c r="AM2441">
        <v>81501</v>
      </c>
    </row>
    <row r="2442" spans="1:39" x14ac:dyDescent="0.35">
      <c r="A2442" t="s">
        <v>24110</v>
      </c>
      <c r="B2442" t="str">
        <f>HYPERLINK("http://www.uniprot.org/uniprot/Q9H2A7","Q9H2A7")</f>
        <v>Q9H2A7</v>
      </c>
      <c r="C2442" t="s">
        <v>24111</v>
      </c>
      <c r="D2442" t="s">
        <v>24112</v>
      </c>
      <c r="E2442" t="s">
        <v>39</v>
      </c>
      <c r="F2442" t="s">
        <v>55</v>
      </c>
      <c r="H2442">
        <v>254</v>
      </c>
      <c r="I2442">
        <v>1</v>
      </c>
      <c r="J2442">
        <v>1</v>
      </c>
      <c r="K2442" t="s">
        <v>24113</v>
      </c>
      <c r="L2442" t="s">
        <v>101</v>
      </c>
      <c r="M2442" t="s">
        <v>39</v>
      </c>
      <c r="N2442">
        <v>0.96489999999999998</v>
      </c>
      <c r="O2442" s="1">
        <v>1</v>
      </c>
      <c r="P2442" t="s">
        <v>24114</v>
      </c>
      <c r="Q2442" t="s">
        <v>24115</v>
      </c>
      <c r="S2442" t="s">
        <v>166</v>
      </c>
      <c r="T2442" t="s">
        <v>24116</v>
      </c>
      <c r="U2442">
        <v>168</v>
      </c>
      <c r="V2442">
        <v>1</v>
      </c>
      <c r="W2442">
        <v>168</v>
      </c>
      <c r="X2442" t="s">
        <v>24117</v>
      </c>
      <c r="Z2442" t="s">
        <v>107</v>
      </c>
      <c r="AA2442">
        <v>2</v>
      </c>
      <c r="AB2442" t="s">
        <v>24118</v>
      </c>
      <c r="AC2442">
        <v>168</v>
      </c>
      <c r="AD2442" t="s">
        <v>24119</v>
      </c>
      <c r="AE2442" t="s">
        <v>1250</v>
      </c>
      <c r="AF2442" t="s">
        <v>24120</v>
      </c>
      <c r="AG2442" t="s">
        <v>24121</v>
      </c>
      <c r="AH2442" t="str">
        <f>HYPERLINK("http://compartments.jensenlab.org/Entity?figures=subcell_cell_%&amp;knowledge=10&amp;textmining=10&amp;experiments=10&amp;predictions=10&amp;type1=9606&amp;type2=-22&amp;id1=ENSP00000293778","link")</f>
        <v>link</v>
      </c>
      <c r="AI2442" t="s">
        <v>1058</v>
      </c>
      <c r="AJ2442" t="s">
        <v>902</v>
      </c>
      <c r="AK2442" t="str">
        <f>HYPERLINK("http://www.proteinatlas.org/Q9H2A7","HPA056559;HPA066315")</f>
        <v>HPA056559;HPA066315</v>
      </c>
      <c r="AM2442">
        <v>58191</v>
      </c>
    </row>
    <row r="2443" spans="1:39" x14ac:dyDescent="0.35">
      <c r="A2443" t="s">
        <v>24122</v>
      </c>
      <c r="B2443" t="str">
        <f>HYPERLINK("http://www.uniprot.org/uniprot/Q9H2B4","Q9H2B4")</f>
        <v>Q9H2B4</v>
      </c>
      <c r="C2443" t="s">
        <v>24123</v>
      </c>
      <c r="D2443" t="s">
        <v>24124</v>
      </c>
      <c r="E2443" t="s">
        <v>39</v>
      </c>
      <c r="F2443" t="s">
        <v>40</v>
      </c>
      <c r="H2443">
        <v>701</v>
      </c>
      <c r="I2443">
        <v>12</v>
      </c>
      <c r="J2443">
        <v>0</v>
      </c>
      <c r="K2443" t="s">
        <v>24125</v>
      </c>
      <c r="L2443" t="s">
        <v>42</v>
      </c>
      <c r="N2443">
        <v>0.77839999999999998</v>
      </c>
      <c r="O2443" s="1">
        <v>1</v>
      </c>
      <c r="P2443" t="s">
        <v>24126</v>
      </c>
      <c r="Q2443" t="s">
        <v>24127</v>
      </c>
      <c r="S2443" t="s">
        <v>45</v>
      </c>
      <c r="T2443" t="s">
        <v>1861</v>
      </c>
      <c r="U2443" t="s">
        <v>24128</v>
      </c>
      <c r="V2443">
        <v>2</v>
      </c>
      <c r="AE2443" t="s">
        <v>48</v>
      </c>
      <c r="AF2443" t="s">
        <v>24129</v>
      </c>
      <c r="AG2443" t="s">
        <v>24130</v>
      </c>
      <c r="AH2443" t="str">
        <f>HYPERLINK("http://compartments.jensenlab.org/Entity?figures=subcell_cell_%&amp;knowledge=10&amp;textmining=10&amp;experiments=10&amp;predictions=10&amp;type1=9606&amp;type2=-22&amp;id1=ENSP00000354721","link")</f>
        <v>link</v>
      </c>
      <c r="AJ2443" t="s">
        <v>51</v>
      </c>
      <c r="AK2443" t="str">
        <f>HYPERLINK("http://www.proteinatlas.org/Q9H2B4","HPA041654")</f>
        <v>HPA041654</v>
      </c>
      <c r="AM2443">
        <v>10861</v>
      </c>
    </row>
    <row r="2444" spans="1:39" x14ac:dyDescent="0.35">
      <c r="A2444" t="s">
        <v>24131</v>
      </c>
      <c r="B2444" t="str">
        <f>HYPERLINK("http://www.uniprot.org/uniprot/Q9H2C5","Q9H2C5")</f>
        <v>Q9H2C5</v>
      </c>
      <c r="C2444" t="s">
        <v>24132</v>
      </c>
      <c r="D2444" t="s">
        <v>24133</v>
      </c>
      <c r="E2444" t="s">
        <v>39</v>
      </c>
      <c r="F2444" t="s">
        <v>55</v>
      </c>
      <c r="H2444">
        <v>316</v>
      </c>
      <c r="I2444">
        <v>7</v>
      </c>
      <c r="J2444">
        <v>0</v>
      </c>
      <c r="K2444" t="s">
        <v>24134</v>
      </c>
      <c r="L2444" t="s">
        <v>57</v>
      </c>
      <c r="M2444" t="s">
        <v>39</v>
      </c>
      <c r="N2444">
        <v>0.88829999999999998</v>
      </c>
      <c r="O2444" s="1">
        <v>1</v>
      </c>
      <c r="P2444" t="s">
        <v>24135</v>
      </c>
      <c r="Q2444" t="s">
        <v>24136</v>
      </c>
      <c r="S2444" t="s">
        <v>166</v>
      </c>
      <c r="T2444" t="s">
        <v>167</v>
      </c>
      <c r="U2444">
        <v>5</v>
      </c>
      <c r="V2444">
        <v>1</v>
      </c>
      <c r="AE2444" t="s">
        <v>74</v>
      </c>
      <c r="AF2444" t="s">
        <v>3091</v>
      </c>
      <c r="AG2444" t="s">
        <v>24137</v>
      </c>
      <c r="AH2444" t="str">
        <f>HYPERLINK("http://compartments.jensenlab.org/Entity?figures=subcell_cell_%&amp;knowledge=10&amp;textmining=10&amp;experiments=10&amp;predictions=10&amp;type1=9606&amp;type2=-22&amp;id1=ENSP00000303469","link")</f>
        <v>link</v>
      </c>
      <c r="AI2444" t="s">
        <v>65</v>
      </c>
      <c r="AJ2444" t="s">
        <v>51</v>
      </c>
      <c r="AK2444" t="str">
        <f>HYPERLINK("http://www.proteinatlas.org/Q9H2C5","no")</f>
        <v>no</v>
      </c>
      <c r="AM2444">
        <v>390054</v>
      </c>
    </row>
    <row r="2445" spans="1:39" x14ac:dyDescent="0.35">
      <c r="A2445" t="s">
        <v>24138</v>
      </c>
      <c r="B2445" t="str">
        <f>HYPERLINK("http://www.uniprot.org/uniprot/Q9H2C8","Q9H2C8")</f>
        <v>Q9H2C8</v>
      </c>
      <c r="C2445" t="s">
        <v>24139</v>
      </c>
      <c r="D2445" t="s">
        <v>24140</v>
      </c>
      <c r="E2445" t="s">
        <v>39</v>
      </c>
      <c r="F2445" t="s">
        <v>55</v>
      </c>
      <c r="H2445">
        <v>321</v>
      </c>
      <c r="I2445">
        <v>7</v>
      </c>
      <c r="J2445">
        <v>0</v>
      </c>
      <c r="K2445" t="s">
        <v>24141</v>
      </c>
      <c r="L2445" t="s">
        <v>57</v>
      </c>
      <c r="N2445">
        <v>0.98</v>
      </c>
      <c r="O2445" s="1">
        <v>1</v>
      </c>
      <c r="P2445" t="s">
        <v>24142</v>
      </c>
      <c r="Q2445" t="s">
        <v>24143</v>
      </c>
      <c r="S2445" t="s">
        <v>166</v>
      </c>
      <c r="T2445" t="s">
        <v>167</v>
      </c>
      <c r="U2445">
        <v>18</v>
      </c>
      <c r="V2445">
        <v>1</v>
      </c>
      <c r="AE2445" t="s">
        <v>74</v>
      </c>
      <c r="AF2445" t="s">
        <v>169</v>
      </c>
      <c r="AG2445" t="s">
        <v>24144</v>
      </c>
      <c r="AH2445" t="str">
        <f>HYPERLINK("http://compartments.jensenlab.org/Entity?figures=subcell_cell_%&amp;knowledge=10&amp;textmining=10&amp;experiments=10&amp;predictions=10&amp;type1=9606&amp;type2=-22&amp;id1=ENSP00000321729","link")</f>
        <v>link</v>
      </c>
      <c r="AI2445" t="s">
        <v>65</v>
      </c>
      <c r="AJ2445" t="s">
        <v>51</v>
      </c>
      <c r="AK2445" t="str">
        <f>HYPERLINK("http://www.proteinatlas.org/Q9H2C8","no")</f>
        <v>no</v>
      </c>
      <c r="AM2445">
        <v>283111</v>
      </c>
    </row>
    <row r="2446" spans="1:39" x14ac:dyDescent="0.35">
      <c r="A2446" t="s">
        <v>24145</v>
      </c>
      <c r="B2446" t="str">
        <f>HYPERLINK("http://www.uniprot.org/uniprot/Q9H2E6","Q9H2E6")</f>
        <v>Q9H2E6</v>
      </c>
      <c r="C2446" t="s">
        <v>24146</v>
      </c>
      <c r="D2446" t="s">
        <v>24147</v>
      </c>
      <c r="E2446" t="s">
        <v>39</v>
      </c>
      <c r="F2446" t="s">
        <v>55</v>
      </c>
      <c r="H2446">
        <v>1030</v>
      </c>
      <c r="I2446">
        <v>1</v>
      </c>
      <c r="J2446">
        <v>1</v>
      </c>
      <c r="K2446" t="s">
        <v>24148</v>
      </c>
      <c r="L2446" t="s">
        <v>57</v>
      </c>
      <c r="M2446" t="s">
        <v>39</v>
      </c>
      <c r="N2446">
        <v>1</v>
      </c>
      <c r="O2446" s="1">
        <v>1</v>
      </c>
      <c r="P2446" t="s">
        <v>24149</v>
      </c>
      <c r="Q2446" t="s">
        <v>24150</v>
      </c>
      <c r="S2446" t="s">
        <v>91</v>
      </c>
      <c r="T2446" t="s">
        <v>3379</v>
      </c>
      <c r="U2446" t="s">
        <v>24151</v>
      </c>
      <c r="V2446">
        <v>6</v>
      </c>
      <c r="W2446" t="s">
        <v>24152</v>
      </c>
      <c r="AE2446" t="s">
        <v>332</v>
      </c>
      <c r="AF2446" t="s">
        <v>24153</v>
      </c>
      <c r="AG2446" t="s">
        <v>24154</v>
      </c>
      <c r="AH2446" t="str">
        <f>HYPERLINK("http://compartments.jensenlab.org/Entity?figures=subcell_cell_%&amp;knowledge=10&amp;textmining=10&amp;experiments=10&amp;predictions=10&amp;type1=9606&amp;type2=-22&amp;id1=ENSP00000345512","link")</f>
        <v>link</v>
      </c>
      <c r="AI2446" t="s">
        <v>65</v>
      </c>
      <c r="AJ2446" t="s">
        <v>51</v>
      </c>
      <c r="AK2446" t="str">
        <f>HYPERLINK("http://www.proteinatlas.org/Q9H2E6","HPA031265")</f>
        <v>HPA031265</v>
      </c>
      <c r="AM2446">
        <v>57556</v>
      </c>
    </row>
    <row r="2447" spans="1:39" x14ac:dyDescent="0.35">
      <c r="A2447" t="s">
        <v>24155</v>
      </c>
      <c r="B2447" t="str">
        <f>HYPERLINK("http://www.uniprot.org/uniprot/Q9H2H9","Q9H2H9")</f>
        <v>Q9H2H9</v>
      </c>
      <c r="C2447" t="s">
        <v>24156</v>
      </c>
      <c r="D2447" t="s">
        <v>24157</v>
      </c>
      <c r="E2447" t="s">
        <v>39</v>
      </c>
      <c r="F2447" t="s">
        <v>55</v>
      </c>
      <c r="H2447">
        <v>487</v>
      </c>
      <c r="I2447">
        <v>11</v>
      </c>
      <c r="J2447">
        <v>0</v>
      </c>
      <c r="K2447" t="s">
        <v>24158</v>
      </c>
      <c r="L2447" t="s">
        <v>101</v>
      </c>
      <c r="M2447" t="s">
        <v>39</v>
      </c>
      <c r="N2447">
        <v>0.82289999999999996</v>
      </c>
      <c r="O2447" s="1">
        <v>1</v>
      </c>
      <c r="P2447" t="s">
        <v>24159</v>
      </c>
      <c r="Q2447" t="s">
        <v>24160</v>
      </c>
      <c r="S2447" t="s">
        <v>45</v>
      </c>
      <c r="T2447" t="s">
        <v>598</v>
      </c>
      <c r="U2447" t="s">
        <v>24161</v>
      </c>
      <c r="V2447">
        <v>2</v>
      </c>
      <c r="Z2447" t="s">
        <v>107</v>
      </c>
      <c r="AA2447">
        <v>15</v>
      </c>
      <c r="AB2447" t="s">
        <v>24162</v>
      </c>
      <c r="AC2447" t="s">
        <v>24163</v>
      </c>
      <c r="AD2447" t="s">
        <v>24164</v>
      </c>
      <c r="AE2447" t="s">
        <v>74</v>
      </c>
      <c r="AF2447" t="s">
        <v>24165</v>
      </c>
      <c r="AG2447" t="s">
        <v>24166</v>
      </c>
      <c r="AH2447" t="str">
        <f>HYPERLINK("http://compartments.jensenlab.org/Entity?figures=subcell_cell_%&amp;knowledge=10&amp;textmining=10&amp;experiments=10&amp;predictions=10&amp;type1=9606&amp;type2=-22&amp;id1=ENSP00000381634","link")</f>
        <v>link</v>
      </c>
      <c r="AI2447" t="s">
        <v>65</v>
      </c>
      <c r="AJ2447" t="s">
        <v>51</v>
      </c>
      <c r="AK2447" t="str">
        <f>HYPERLINK("http://www.proteinatlas.org/Q9H2H9","HPA052272")</f>
        <v>HPA052272</v>
      </c>
      <c r="AM2447">
        <v>81539</v>
      </c>
    </row>
    <row r="2448" spans="1:39" x14ac:dyDescent="0.35">
      <c r="A2448" t="s">
        <v>24167</v>
      </c>
      <c r="B2448" t="str">
        <f>HYPERLINK("http://www.uniprot.org/uniprot/Q9H2J7","Q9H2J7")</f>
        <v>Q9H2J7</v>
      </c>
      <c r="C2448" t="s">
        <v>24168</v>
      </c>
      <c r="D2448" t="s">
        <v>24169</v>
      </c>
      <c r="E2448" t="s">
        <v>39</v>
      </c>
      <c r="F2448" t="s">
        <v>40</v>
      </c>
      <c r="H2448">
        <v>730</v>
      </c>
      <c r="I2448">
        <v>12</v>
      </c>
      <c r="J2448">
        <v>0</v>
      </c>
      <c r="K2448" t="s">
        <v>24170</v>
      </c>
      <c r="L2448" t="s">
        <v>101</v>
      </c>
      <c r="N2448">
        <v>0.91820000000000002</v>
      </c>
      <c r="O2448" s="1">
        <v>1</v>
      </c>
      <c r="P2448" t="s">
        <v>24171</v>
      </c>
      <c r="Q2448" t="s">
        <v>24172</v>
      </c>
      <c r="S2448" t="s">
        <v>45</v>
      </c>
      <c r="T2448" t="s">
        <v>6998</v>
      </c>
      <c r="U2448" t="s">
        <v>24173</v>
      </c>
      <c r="V2448">
        <v>5</v>
      </c>
      <c r="W2448" t="s">
        <v>24173</v>
      </c>
      <c r="Z2448" t="s">
        <v>123</v>
      </c>
      <c r="AA2448">
        <v>2</v>
      </c>
      <c r="AB2448" t="s">
        <v>24174</v>
      </c>
      <c r="AC2448" t="s">
        <v>24175</v>
      </c>
      <c r="AD2448" t="s">
        <v>24176</v>
      </c>
      <c r="AE2448" t="s">
        <v>48</v>
      </c>
      <c r="AF2448" t="s">
        <v>24177</v>
      </c>
      <c r="AG2448" t="s">
        <v>24178</v>
      </c>
      <c r="AH2448" t="str">
        <f>HYPERLINK("http://compartments.jensenlab.org/Entity?figures=subcell_cell_%&amp;knowledge=10&amp;textmining=10&amp;experiments=10&amp;predictions=10&amp;type1=9606&amp;type2=-22&amp;id1=ENSP00000266682","link")</f>
        <v>link</v>
      </c>
      <c r="AJ2448" t="s">
        <v>51</v>
      </c>
      <c r="AK2448" t="str">
        <f>HYPERLINK("http://www.proteinatlas.org/Q9H2J7","HPA008609")</f>
        <v>HPA008609</v>
      </c>
      <c r="AM2448">
        <v>55117</v>
      </c>
    </row>
    <row r="2449" spans="1:39" x14ac:dyDescent="0.35">
      <c r="A2449" t="s">
        <v>24179</v>
      </c>
      <c r="B2449" t="str">
        <f>HYPERLINK("http://www.uniprot.org/uniprot/Q9H2U9","Q9H2U9")</f>
        <v>Q9H2U9</v>
      </c>
      <c r="C2449" t="s">
        <v>24180</v>
      </c>
      <c r="D2449" t="s">
        <v>24181</v>
      </c>
      <c r="E2449" t="s">
        <v>39</v>
      </c>
      <c r="F2449" t="s">
        <v>40</v>
      </c>
      <c r="H2449">
        <v>754</v>
      </c>
      <c r="I2449">
        <v>1</v>
      </c>
      <c r="J2449">
        <v>1</v>
      </c>
      <c r="K2449" t="s">
        <v>24182</v>
      </c>
      <c r="L2449" t="s">
        <v>57</v>
      </c>
      <c r="N2449">
        <v>0.93810000000000004</v>
      </c>
      <c r="O2449" s="1">
        <v>1</v>
      </c>
      <c r="P2449" t="s">
        <v>24183</v>
      </c>
      <c r="Q2449" t="s">
        <v>24184</v>
      </c>
      <c r="S2449" t="s">
        <v>947</v>
      </c>
      <c r="T2449" t="s">
        <v>1208</v>
      </c>
      <c r="U2449" t="s">
        <v>24185</v>
      </c>
      <c r="V2449">
        <v>6</v>
      </c>
      <c r="AE2449" t="s">
        <v>144</v>
      </c>
      <c r="AF2449" t="s">
        <v>676</v>
      </c>
      <c r="AG2449" t="s">
        <v>24186</v>
      </c>
      <c r="AH2449" t="str">
        <f>HYPERLINK("http://compartments.jensenlab.org/Entity?figures=subcell_cell_%&amp;knowledge=10&amp;textmining=10&amp;experiments=10&amp;predictions=10&amp;type1=9606&amp;type2=-22&amp;id1=ENSP00000175238","link")</f>
        <v>link</v>
      </c>
      <c r="AJ2449" t="s">
        <v>51</v>
      </c>
      <c r="AK2449" t="str">
        <f>HYPERLINK("http://www.proteinatlas.org/Q9H2U9","HPA008879")</f>
        <v>HPA008879</v>
      </c>
      <c r="AM2449">
        <v>8756</v>
      </c>
    </row>
    <row r="2450" spans="1:39" x14ac:dyDescent="0.35">
      <c r="A2450" t="s">
        <v>24187</v>
      </c>
      <c r="B2450" t="str">
        <f>HYPERLINK("http://www.uniprot.org/uniprot/Q9H2W1","Q9H2W1")</f>
        <v>Q9H2W1</v>
      </c>
      <c r="C2450" t="s">
        <v>24188</v>
      </c>
      <c r="D2450" t="s">
        <v>24189</v>
      </c>
      <c r="E2450" t="s">
        <v>39</v>
      </c>
      <c r="F2450" t="s">
        <v>40</v>
      </c>
      <c r="H2450">
        <v>248</v>
      </c>
      <c r="I2450">
        <v>4</v>
      </c>
      <c r="J2450">
        <v>0</v>
      </c>
      <c r="K2450" t="s">
        <v>24190</v>
      </c>
      <c r="L2450" t="s">
        <v>57</v>
      </c>
      <c r="N2450">
        <v>0.77839999999999998</v>
      </c>
      <c r="O2450" s="1">
        <v>1</v>
      </c>
      <c r="P2450" t="s">
        <v>24191</v>
      </c>
      <c r="Q2450" t="s">
        <v>24192</v>
      </c>
      <c r="S2450" t="s">
        <v>91</v>
      </c>
      <c r="T2450" t="s">
        <v>5175</v>
      </c>
      <c r="U2450" t="s">
        <v>24193</v>
      </c>
      <c r="V2450">
        <v>1</v>
      </c>
      <c r="AE2450" t="s">
        <v>48</v>
      </c>
      <c r="AF2450" t="s">
        <v>17925</v>
      </c>
      <c r="AG2450" t="s">
        <v>24194</v>
      </c>
      <c r="AH2450" t="str">
        <f>HYPERLINK("http://compartments.jensenlab.org/Entity?figures=subcell_cell_%&amp;knowledge=10&amp;textmining=10&amp;experiments=10&amp;predictions=10&amp;type1=9606&amp;type2=-22&amp;id1=ENSP00000436979","link")</f>
        <v>link</v>
      </c>
      <c r="AK2450" t="str">
        <f>HYPERLINK("http://www.proteinatlas.org/Q9H2W1","HPA011391")</f>
        <v>HPA011391</v>
      </c>
      <c r="AM2450">
        <v>64231</v>
      </c>
    </row>
    <row r="2451" spans="1:39" x14ac:dyDescent="0.35">
      <c r="A2451" t="s">
        <v>24195</v>
      </c>
      <c r="B2451" t="str">
        <f>HYPERLINK("http://www.uniprot.org/uniprot/Q9H2X3","Q9H2X3")</f>
        <v>Q9H2X3</v>
      </c>
      <c r="C2451" t="s">
        <v>24196</v>
      </c>
      <c r="D2451" t="s">
        <v>24197</v>
      </c>
      <c r="E2451" t="s">
        <v>39</v>
      </c>
      <c r="F2451" t="s">
        <v>40</v>
      </c>
      <c r="H2451">
        <v>399</v>
      </c>
      <c r="I2451">
        <v>1</v>
      </c>
      <c r="J2451">
        <v>0</v>
      </c>
      <c r="K2451" t="s">
        <v>24198</v>
      </c>
      <c r="L2451" t="s">
        <v>57</v>
      </c>
      <c r="N2451">
        <v>0.64270000000000005</v>
      </c>
      <c r="O2451" s="1">
        <v>2</v>
      </c>
      <c r="P2451" t="s">
        <v>24199</v>
      </c>
      <c r="Q2451" t="s">
        <v>24200</v>
      </c>
      <c r="R2451" t="s">
        <v>24201</v>
      </c>
      <c r="S2451" t="s">
        <v>166</v>
      </c>
      <c r="T2451" t="s">
        <v>4251</v>
      </c>
      <c r="U2451" t="s">
        <v>24202</v>
      </c>
      <c r="V2451">
        <v>2</v>
      </c>
      <c r="W2451" t="s">
        <v>24202</v>
      </c>
      <c r="AE2451" t="s">
        <v>24203</v>
      </c>
      <c r="AF2451" t="s">
        <v>24204</v>
      </c>
      <c r="AG2451" t="s">
        <v>24205</v>
      </c>
      <c r="AH2451" t="str">
        <f>HYPERLINK("http://compartments.jensenlab.org/Entity?figures=subcell_cell_%&amp;knowledge=10&amp;textmining=10&amp;experiments=10&amp;predictions=10&amp;type1=9606&amp;type2=-22&amp;id1=ENSP00000316228","link")</f>
        <v>link</v>
      </c>
      <c r="AI2451" t="s">
        <v>65</v>
      </c>
      <c r="AJ2451" t="s">
        <v>1767</v>
      </c>
      <c r="AK2451" t="str">
        <f>HYPERLINK("http://www.proteinatlas.org/Q9H2X3","CAB033689;CAB033691;HPA042661")</f>
        <v>CAB033689;CAB033691;HPA042661</v>
      </c>
      <c r="AM2451">
        <v>10332</v>
      </c>
    </row>
    <row r="2452" spans="1:39" x14ac:dyDescent="0.35">
      <c r="A2452" t="s">
        <v>24206</v>
      </c>
      <c r="B2452" t="str">
        <f>HYPERLINK("http://www.uniprot.org/uniprot/Q9H2X9","Q9H2X9")</f>
        <v>Q9H2X9</v>
      </c>
      <c r="C2452" t="s">
        <v>24207</v>
      </c>
      <c r="D2452" t="s">
        <v>24208</v>
      </c>
      <c r="E2452" t="s">
        <v>39</v>
      </c>
      <c r="F2452" t="s">
        <v>40</v>
      </c>
      <c r="H2452">
        <v>1139</v>
      </c>
      <c r="I2452">
        <v>12</v>
      </c>
      <c r="J2452">
        <v>0</v>
      </c>
      <c r="K2452" t="s">
        <v>24209</v>
      </c>
      <c r="L2452" t="s">
        <v>1592</v>
      </c>
      <c r="N2452">
        <v>0.86229999999999996</v>
      </c>
      <c r="O2452" s="1">
        <v>1</v>
      </c>
      <c r="P2452" t="s">
        <v>24210</v>
      </c>
      <c r="Q2452" t="s">
        <v>24211</v>
      </c>
      <c r="S2452" t="s">
        <v>45</v>
      </c>
      <c r="T2452" t="s">
        <v>46</v>
      </c>
      <c r="U2452" t="s">
        <v>24212</v>
      </c>
      <c r="V2452">
        <v>5</v>
      </c>
      <c r="Z2452" t="s">
        <v>123</v>
      </c>
      <c r="AA2452">
        <v>2</v>
      </c>
      <c r="AB2452" t="s">
        <v>24213</v>
      </c>
      <c r="AC2452" t="s">
        <v>24214</v>
      </c>
      <c r="AD2452" t="s">
        <v>24215</v>
      </c>
      <c r="AE2452" t="s">
        <v>48</v>
      </c>
      <c r="AF2452" t="s">
        <v>24216</v>
      </c>
      <c r="AG2452" t="s">
        <v>24217</v>
      </c>
      <c r="AH2452" t="str">
        <f>HYPERLINK("http://compartments.jensenlab.org/Entity?figures=subcell_cell_%&amp;knowledge=10&amp;textmining=10&amp;experiments=10&amp;predictions=10&amp;type1=9606&amp;type2=-22&amp;id1=ENSP00000387694","link")</f>
        <v>link</v>
      </c>
      <c r="AJ2452" t="s">
        <v>51</v>
      </c>
      <c r="AK2452" t="str">
        <f>HYPERLINK("http://www.proteinatlas.org/Q9H2X9","no")</f>
        <v>no</v>
      </c>
      <c r="AL2452" t="s">
        <v>24218</v>
      </c>
      <c r="AM2452">
        <v>57468</v>
      </c>
    </row>
    <row r="2453" spans="1:39" x14ac:dyDescent="0.35">
      <c r="A2453" t="s">
        <v>24219</v>
      </c>
      <c r="B2453" t="str">
        <f>HYPERLINK("http://www.uniprot.org/uniprot/Q9H2Y9","Q9H2Y9")</f>
        <v>Q9H2Y9</v>
      </c>
      <c r="C2453" t="s">
        <v>24220</v>
      </c>
      <c r="D2453" t="s">
        <v>24221</v>
      </c>
      <c r="E2453" t="s">
        <v>39</v>
      </c>
      <c r="F2453" t="s">
        <v>55</v>
      </c>
      <c r="H2453">
        <v>848</v>
      </c>
      <c r="I2453">
        <v>12</v>
      </c>
      <c r="J2453">
        <v>0</v>
      </c>
      <c r="K2453" t="s">
        <v>24222</v>
      </c>
      <c r="L2453" t="s">
        <v>57</v>
      </c>
      <c r="M2453" t="s">
        <v>39</v>
      </c>
      <c r="N2453">
        <v>0.93369999999999997</v>
      </c>
      <c r="O2453" s="1">
        <v>1</v>
      </c>
      <c r="P2453" t="s">
        <v>24223</v>
      </c>
      <c r="Q2453" t="s">
        <v>24224</v>
      </c>
      <c r="S2453" t="s">
        <v>45</v>
      </c>
      <c r="T2453" t="s">
        <v>797</v>
      </c>
      <c r="U2453" t="s">
        <v>24225</v>
      </c>
      <c r="V2453">
        <v>7</v>
      </c>
      <c r="AE2453" t="s">
        <v>74</v>
      </c>
      <c r="AF2453" t="s">
        <v>16833</v>
      </c>
      <c r="AG2453" t="s">
        <v>24226</v>
      </c>
      <c r="AH2453" t="str">
        <f>HYPERLINK("http://compartments.jensenlab.org/Entity?figures=subcell_cell_%&amp;knowledge=10&amp;textmining=10&amp;experiments=10&amp;predictions=10&amp;type1=9606&amp;type2=-22&amp;id1=ENSP00000260126","link")</f>
        <v>link</v>
      </c>
      <c r="AI2453" t="s">
        <v>65</v>
      </c>
      <c r="AJ2453" t="s">
        <v>51</v>
      </c>
      <c r="AK2453" t="str">
        <f>HYPERLINK("http://www.proteinatlas.org/Q9H2Y9","HPA025062")</f>
        <v>HPA025062</v>
      </c>
      <c r="AM2453">
        <v>81796</v>
      </c>
    </row>
    <row r="2454" spans="1:39" x14ac:dyDescent="0.35">
      <c r="A2454" t="s">
        <v>24227</v>
      </c>
      <c r="B2454" t="str">
        <f>HYPERLINK("http://www.uniprot.org/uniprot/Q9H313","Q9H313")</f>
        <v>Q9H313</v>
      </c>
      <c r="C2454" t="s">
        <v>24228</v>
      </c>
      <c r="D2454" t="s">
        <v>24229</v>
      </c>
      <c r="E2454" t="s">
        <v>39</v>
      </c>
      <c r="F2454" t="s">
        <v>40</v>
      </c>
      <c r="H2454">
        <v>450</v>
      </c>
      <c r="I2454">
        <v>5</v>
      </c>
      <c r="J2454">
        <v>0</v>
      </c>
      <c r="K2454" t="s">
        <v>24230</v>
      </c>
      <c r="L2454" t="s">
        <v>57</v>
      </c>
      <c r="N2454">
        <v>0.58279999999999998</v>
      </c>
      <c r="O2454" s="1">
        <v>2</v>
      </c>
      <c r="P2454" t="s">
        <v>24231</v>
      </c>
      <c r="Q2454" t="s">
        <v>24232</v>
      </c>
      <c r="S2454" t="s">
        <v>45</v>
      </c>
      <c r="T2454" t="s">
        <v>23174</v>
      </c>
      <c r="U2454" t="s">
        <v>24233</v>
      </c>
      <c r="V2454">
        <v>4</v>
      </c>
      <c r="AE2454" t="s">
        <v>74</v>
      </c>
      <c r="AF2454" t="s">
        <v>24234</v>
      </c>
      <c r="AG2454" t="s">
        <v>24235</v>
      </c>
      <c r="AH2454" t="str">
        <f>HYPERLINK("http://compartments.jensenlab.org/Entity?figures=subcell_cell_%&amp;knowledge=10&amp;textmining=10&amp;experiments=10&amp;predictions=10&amp;type1=9606&amp;type2=-22&amp;id1=ENSP00000365713","link")</f>
        <v>link</v>
      </c>
      <c r="AK2454" t="str">
        <f>HYPERLINK("http://www.proteinatlas.org/Q9H313","HPA023617;HPA050655")</f>
        <v>HPA023617;HPA050655</v>
      </c>
      <c r="AM2454">
        <v>57348</v>
      </c>
    </row>
    <row r="2455" spans="1:39" x14ac:dyDescent="0.35">
      <c r="A2455" t="s">
        <v>24236</v>
      </c>
      <c r="B2455" t="str">
        <f>HYPERLINK("http://www.uniprot.org/uniprot/Q9H330","Q9H330")</f>
        <v>Q9H330</v>
      </c>
      <c r="C2455" t="s">
        <v>24237</v>
      </c>
      <c r="D2455" t="s">
        <v>24238</v>
      </c>
      <c r="E2455" t="s">
        <v>39</v>
      </c>
      <c r="F2455" t="s">
        <v>40</v>
      </c>
      <c r="H2455">
        <v>911</v>
      </c>
      <c r="I2455">
        <v>14</v>
      </c>
      <c r="J2455">
        <v>0</v>
      </c>
      <c r="K2455" t="s">
        <v>24239</v>
      </c>
      <c r="L2455" t="s">
        <v>118</v>
      </c>
      <c r="N2455">
        <v>0.78839999999999999</v>
      </c>
      <c r="O2455" s="1">
        <v>1</v>
      </c>
      <c r="P2455" t="s">
        <v>24240</v>
      </c>
      <c r="S2455" t="s">
        <v>60</v>
      </c>
      <c r="T2455" t="s">
        <v>60</v>
      </c>
      <c r="U2455" t="s">
        <v>24241</v>
      </c>
      <c r="V2455">
        <v>3</v>
      </c>
      <c r="Y2455">
        <v>509</v>
      </c>
      <c r="Z2455" t="s">
        <v>123</v>
      </c>
      <c r="AA2455">
        <v>2</v>
      </c>
      <c r="AB2455" t="s">
        <v>24242</v>
      </c>
      <c r="AC2455">
        <v>551</v>
      </c>
      <c r="AD2455" t="s">
        <v>24243</v>
      </c>
      <c r="AE2455" t="s">
        <v>48</v>
      </c>
      <c r="AF2455" t="s">
        <v>24244</v>
      </c>
      <c r="AG2455" t="s">
        <v>24245</v>
      </c>
      <c r="AK2455" t="str">
        <f>HYPERLINK("http://www.proteinatlas.org/Q9H330","HPA023892")</f>
        <v>HPA023892</v>
      </c>
      <c r="AM2455">
        <v>23731</v>
      </c>
    </row>
    <row r="2456" spans="1:39" x14ac:dyDescent="0.35">
      <c r="A2456" t="s">
        <v>24246</v>
      </c>
      <c r="B2456" t="str">
        <f>HYPERLINK("http://www.uniprot.org/uniprot/Q9H339","Q9H339")</f>
        <v>Q9H339</v>
      </c>
      <c r="C2456" t="s">
        <v>24247</v>
      </c>
      <c r="D2456" t="s">
        <v>24248</v>
      </c>
      <c r="E2456" t="s">
        <v>39</v>
      </c>
      <c r="F2456" t="s">
        <v>55</v>
      </c>
      <c r="H2456">
        <v>312</v>
      </c>
      <c r="I2456">
        <v>7</v>
      </c>
      <c r="J2456">
        <v>0</v>
      </c>
      <c r="K2456" t="s">
        <v>24249</v>
      </c>
      <c r="L2456" t="s">
        <v>57</v>
      </c>
      <c r="M2456" t="s">
        <v>39</v>
      </c>
      <c r="N2456">
        <v>0.69020000000000004</v>
      </c>
      <c r="O2456" s="1">
        <v>2</v>
      </c>
      <c r="P2456" t="s">
        <v>24250</v>
      </c>
      <c r="Q2456" t="s">
        <v>24251</v>
      </c>
      <c r="S2456" t="s">
        <v>166</v>
      </c>
      <c r="T2456" t="s">
        <v>167</v>
      </c>
      <c r="U2456">
        <v>40</v>
      </c>
      <c r="V2456">
        <v>0</v>
      </c>
      <c r="AE2456" t="s">
        <v>74</v>
      </c>
      <c r="AF2456" t="s">
        <v>368</v>
      </c>
      <c r="AG2456" t="s">
        <v>24252</v>
      </c>
      <c r="AH2456" t="str">
        <f>HYPERLINK("http://compartments.jensenlab.org/Entity?figures=subcell_cell_%&amp;knowledge=10&amp;textmining=10&amp;experiments=10&amp;predictions=10&amp;type1=9606&amp;type2=-22&amp;id1=ENSP00000300773","link")</f>
        <v>link</v>
      </c>
      <c r="AI2456" t="s">
        <v>65</v>
      </c>
      <c r="AJ2456" t="s">
        <v>51</v>
      </c>
      <c r="AK2456" t="str">
        <f>HYPERLINK("http://www.proteinatlas.org/Q9H339","HPA063124")</f>
        <v>HPA063124</v>
      </c>
      <c r="AM2456">
        <v>282763</v>
      </c>
    </row>
    <row r="2457" spans="1:39" x14ac:dyDescent="0.35">
      <c r="A2457" t="s">
        <v>24253</v>
      </c>
      <c r="B2457" t="str">
        <f>HYPERLINK("http://www.uniprot.org/uniprot/Q9H340","Q9H340")</f>
        <v>Q9H340</v>
      </c>
      <c r="C2457" t="s">
        <v>24254</v>
      </c>
      <c r="D2457" t="s">
        <v>24255</v>
      </c>
      <c r="E2457" t="s">
        <v>39</v>
      </c>
      <c r="F2457" t="s">
        <v>55</v>
      </c>
      <c r="H2457">
        <v>312</v>
      </c>
      <c r="I2457">
        <v>7</v>
      </c>
      <c r="J2457">
        <v>0</v>
      </c>
      <c r="K2457" t="s">
        <v>24256</v>
      </c>
      <c r="L2457" t="s">
        <v>57</v>
      </c>
      <c r="M2457" t="s">
        <v>39</v>
      </c>
      <c r="N2457">
        <v>0.88649999999999995</v>
      </c>
      <c r="O2457" s="1">
        <v>1</v>
      </c>
      <c r="P2457" t="s">
        <v>24257</v>
      </c>
      <c r="Q2457" t="s">
        <v>24258</v>
      </c>
      <c r="S2457" t="s">
        <v>166</v>
      </c>
      <c r="T2457" t="s">
        <v>167</v>
      </c>
      <c r="U2457" t="s">
        <v>24259</v>
      </c>
      <c r="V2457">
        <v>1</v>
      </c>
      <c r="AE2457" t="s">
        <v>74</v>
      </c>
      <c r="AF2457" t="s">
        <v>169</v>
      </c>
      <c r="AG2457" t="s">
        <v>24260</v>
      </c>
      <c r="AH2457" t="str">
        <f>HYPERLINK("http://compartments.jensenlab.org/Entity?figures=subcell_cell_%&amp;knowledge=10&amp;textmining=10&amp;experiments=10&amp;predictions=10&amp;type1=9606&amp;type2=-22&amp;id1=ENSP00000369568","link")</f>
        <v>link</v>
      </c>
      <c r="AI2457" t="s">
        <v>65</v>
      </c>
      <c r="AJ2457" t="s">
        <v>51</v>
      </c>
      <c r="AK2457" t="str">
        <f>HYPERLINK("http://www.proteinatlas.org/Q9H340","no")</f>
        <v>no</v>
      </c>
      <c r="AM2457">
        <v>390058</v>
      </c>
    </row>
    <row r="2458" spans="1:39" x14ac:dyDescent="0.35">
      <c r="A2458" t="s">
        <v>24261</v>
      </c>
      <c r="B2458" t="str">
        <f>HYPERLINK("http://www.uniprot.org/uniprot/Q9H341","Q9H341")</f>
        <v>Q9H341</v>
      </c>
      <c r="C2458" t="s">
        <v>24262</v>
      </c>
      <c r="D2458" t="s">
        <v>24263</v>
      </c>
      <c r="E2458" t="s">
        <v>39</v>
      </c>
      <c r="F2458" t="s">
        <v>55</v>
      </c>
      <c r="H2458">
        <v>326</v>
      </c>
      <c r="I2458">
        <v>7</v>
      </c>
      <c r="J2458">
        <v>0</v>
      </c>
      <c r="K2458" t="s">
        <v>24264</v>
      </c>
      <c r="L2458" t="s">
        <v>57</v>
      </c>
      <c r="N2458">
        <v>0.91220000000000001</v>
      </c>
      <c r="O2458" s="1">
        <v>1</v>
      </c>
      <c r="P2458" t="s">
        <v>24265</v>
      </c>
      <c r="Q2458" t="s">
        <v>24266</v>
      </c>
      <c r="S2458" t="s">
        <v>166</v>
      </c>
      <c r="T2458" t="s">
        <v>167</v>
      </c>
      <c r="U2458">
        <v>16</v>
      </c>
      <c r="V2458">
        <v>1</v>
      </c>
      <c r="AE2458" t="s">
        <v>74</v>
      </c>
      <c r="AF2458" t="s">
        <v>169</v>
      </c>
      <c r="AG2458" t="s">
        <v>24267</v>
      </c>
      <c r="AH2458" t="str">
        <f>HYPERLINK("http://compartments.jensenlab.org/Entity?figures=subcell_cell_%&amp;knowledge=10&amp;textmining=10&amp;experiments=10&amp;predictions=10&amp;type1=9606&amp;type2=-22&amp;id1=ENSP00000333196","link")</f>
        <v>link</v>
      </c>
      <c r="AI2458" t="s">
        <v>65</v>
      </c>
      <c r="AJ2458" t="s">
        <v>51</v>
      </c>
      <c r="AK2458" t="str">
        <f>HYPERLINK("http://www.proteinatlas.org/Q9H341","HPA056773")</f>
        <v>HPA056773</v>
      </c>
      <c r="AM2458">
        <v>390059</v>
      </c>
    </row>
    <row r="2459" spans="1:39" x14ac:dyDescent="0.35">
      <c r="A2459" t="s">
        <v>24268</v>
      </c>
      <c r="B2459" t="str">
        <f>HYPERLINK("http://www.uniprot.org/uniprot/Q9H342","Q9H342")</f>
        <v>Q9H342</v>
      </c>
      <c r="C2459" t="s">
        <v>24269</v>
      </c>
      <c r="D2459" t="s">
        <v>24270</v>
      </c>
      <c r="E2459" t="s">
        <v>39</v>
      </c>
      <c r="F2459" t="s">
        <v>55</v>
      </c>
      <c r="H2459">
        <v>316</v>
      </c>
      <c r="I2459">
        <v>7</v>
      </c>
      <c r="J2459">
        <v>0</v>
      </c>
      <c r="K2459" t="s">
        <v>24271</v>
      </c>
      <c r="L2459" t="s">
        <v>57</v>
      </c>
      <c r="M2459" t="s">
        <v>39</v>
      </c>
      <c r="N2459">
        <v>0.77459999999999996</v>
      </c>
      <c r="O2459" s="1">
        <v>1</v>
      </c>
      <c r="P2459" t="s">
        <v>24272</v>
      </c>
      <c r="Q2459" t="s">
        <v>24273</v>
      </c>
      <c r="S2459" t="s">
        <v>166</v>
      </c>
      <c r="T2459" t="s">
        <v>167</v>
      </c>
      <c r="U2459" t="s">
        <v>24274</v>
      </c>
      <c r="V2459">
        <v>2</v>
      </c>
      <c r="AE2459" t="s">
        <v>74</v>
      </c>
      <c r="AF2459" t="s">
        <v>169</v>
      </c>
      <c r="AG2459" t="s">
        <v>24275</v>
      </c>
      <c r="AH2459" t="str">
        <f>HYPERLINK("http://compartments.jensenlab.org/Entity?figures=subcell_cell_%&amp;knowledge=10&amp;textmining=10&amp;experiments=10&amp;predictions=10&amp;type1=9606&amp;type2=-22&amp;id1=ENSP00000332473","link")</f>
        <v>link</v>
      </c>
      <c r="AI2459" t="s">
        <v>65</v>
      </c>
      <c r="AJ2459" t="s">
        <v>51</v>
      </c>
      <c r="AK2459" t="str">
        <f>HYPERLINK("http://www.proteinatlas.org/Q9H342","HPA017605")</f>
        <v>HPA017605</v>
      </c>
    </row>
    <row r="2460" spans="1:39" x14ac:dyDescent="0.35">
      <c r="A2460" t="s">
        <v>24276</v>
      </c>
      <c r="B2460" t="str">
        <f>HYPERLINK("http://www.uniprot.org/uniprot/Q9H343","Q9H343")</f>
        <v>Q9H343</v>
      </c>
      <c r="C2460" t="s">
        <v>24277</v>
      </c>
      <c r="D2460" t="s">
        <v>24278</v>
      </c>
      <c r="E2460" t="s">
        <v>39</v>
      </c>
      <c r="F2460" t="s">
        <v>55</v>
      </c>
      <c r="H2460">
        <v>314</v>
      </c>
      <c r="I2460">
        <v>7</v>
      </c>
      <c r="J2460">
        <v>0</v>
      </c>
      <c r="K2460" t="s">
        <v>24279</v>
      </c>
      <c r="L2460" t="s">
        <v>57</v>
      </c>
      <c r="N2460">
        <v>0.97009999999999996</v>
      </c>
      <c r="O2460" s="1">
        <v>1</v>
      </c>
      <c r="P2460" t="s">
        <v>24280</v>
      </c>
      <c r="Q2460" t="s">
        <v>24281</v>
      </c>
      <c r="S2460" t="s">
        <v>166</v>
      </c>
      <c r="T2460" t="s">
        <v>167</v>
      </c>
      <c r="U2460" t="s">
        <v>19197</v>
      </c>
      <c r="V2460">
        <v>1</v>
      </c>
      <c r="AE2460" t="s">
        <v>74</v>
      </c>
      <c r="AF2460" t="s">
        <v>368</v>
      </c>
      <c r="AG2460" t="s">
        <v>24282</v>
      </c>
      <c r="AH2460" t="str">
        <f>HYPERLINK("http://compartments.jensenlab.org/Entity?figures=subcell_cell_%&amp;knowledge=10&amp;textmining=10&amp;experiments=10&amp;predictions=10&amp;type1=9606&amp;type2=-22&amp;id1=ENSP00000369559","link")</f>
        <v>link</v>
      </c>
      <c r="AI2460" t="s">
        <v>65</v>
      </c>
      <c r="AJ2460" t="s">
        <v>51</v>
      </c>
      <c r="AK2460" t="str">
        <f>HYPERLINK("http://www.proteinatlas.org/Q9H343","no")</f>
        <v>no</v>
      </c>
      <c r="AM2460">
        <v>390063</v>
      </c>
    </row>
    <row r="2461" spans="1:39" x14ac:dyDescent="0.35">
      <c r="A2461" t="s">
        <v>24283</v>
      </c>
      <c r="B2461" t="str">
        <f>HYPERLINK("http://www.uniprot.org/uniprot/Q9H344","Q9H344")</f>
        <v>Q9H344</v>
      </c>
      <c r="C2461" t="s">
        <v>24284</v>
      </c>
      <c r="D2461" t="s">
        <v>24285</v>
      </c>
      <c r="E2461" t="s">
        <v>39</v>
      </c>
      <c r="F2461" t="s">
        <v>55</v>
      </c>
      <c r="H2461">
        <v>312</v>
      </c>
      <c r="I2461">
        <v>7</v>
      </c>
      <c r="J2461">
        <v>0</v>
      </c>
      <c r="K2461" t="s">
        <v>24286</v>
      </c>
      <c r="L2461" t="s">
        <v>57</v>
      </c>
      <c r="N2461">
        <v>0.98</v>
      </c>
      <c r="O2461" s="1">
        <v>1</v>
      </c>
      <c r="P2461" t="s">
        <v>24287</v>
      </c>
      <c r="Q2461" t="s">
        <v>24288</v>
      </c>
      <c r="S2461" t="s">
        <v>166</v>
      </c>
      <c r="T2461" t="s">
        <v>167</v>
      </c>
      <c r="U2461" t="s">
        <v>24289</v>
      </c>
      <c r="V2461">
        <v>2</v>
      </c>
      <c r="AE2461" t="s">
        <v>74</v>
      </c>
      <c r="AF2461" t="s">
        <v>169</v>
      </c>
      <c r="AG2461" t="s">
        <v>24290</v>
      </c>
      <c r="AH2461" t="str">
        <f>HYPERLINK("http://compartments.jensenlab.org/Entity?figures=subcell_cell_%&amp;knowledge=10&amp;textmining=10&amp;experiments=10&amp;predictions=10&amp;type1=9606&amp;type2=-22&amp;id1=ENSP00000341987","link")</f>
        <v>link</v>
      </c>
      <c r="AI2461" t="s">
        <v>65</v>
      </c>
      <c r="AJ2461" t="s">
        <v>51</v>
      </c>
      <c r="AK2461" t="str">
        <f>HYPERLINK("http://www.proteinatlas.org/Q9H344","no")</f>
        <v>no</v>
      </c>
      <c r="AM2461">
        <v>390064</v>
      </c>
    </row>
    <row r="2462" spans="1:39" x14ac:dyDescent="0.35">
      <c r="A2462" t="s">
        <v>24291</v>
      </c>
      <c r="B2462" t="str">
        <f>HYPERLINK("http://www.uniprot.org/uniprot/Q9H346","Q9H346")</f>
        <v>Q9H346</v>
      </c>
      <c r="C2462" t="s">
        <v>24292</v>
      </c>
      <c r="D2462" t="s">
        <v>24293</v>
      </c>
      <c r="E2462" t="s">
        <v>39</v>
      </c>
      <c r="F2462" t="s">
        <v>55</v>
      </c>
      <c r="H2462">
        <v>318</v>
      </c>
      <c r="I2462">
        <v>7</v>
      </c>
      <c r="J2462">
        <v>0</v>
      </c>
      <c r="K2462" t="s">
        <v>24294</v>
      </c>
      <c r="L2462" t="s">
        <v>57</v>
      </c>
      <c r="N2462">
        <v>0.94810000000000005</v>
      </c>
      <c r="O2462" s="1">
        <v>1</v>
      </c>
      <c r="P2462" t="s">
        <v>24295</v>
      </c>
      <c r="Q2462" t="s">
        <v>24296</v>
      </c>
      <c r="S2462" t="s">
        <v>166</v>
      </c>
      <c r="T2462" t="s">
        <v>167</v>
      </c>
      <c r="U2462" t="s">
        <v>24297</v>
      </c>
      <c r="V2462">
        <v>2</v>
      </c>
      <c r="AE2462" t="s">
        <v>74</v>
      </c>
      <c r="AF2462" t="s">
        <v>169</v>
      </c>
      <c r="AG2462" t="s">
        <v>24298</v>
      </c>
      <c r="AH2462" t="str">
        <f>HYPERLINK("http://compartments.jensenlab.org/Entity?figures=subcell_cell_%&amp;knowledge=10&amp;textmining=10&amp;experiments=10&amp;predictions=10&amp;type1=9606&amp;type2=-22&amp;id1=ENSP00000326232","link")</f>
        <v>link</v>
      </c>
      <c r="AI2462" t="s">
        <v>65</v>
      </c>
      <c r="AJ2462" t="s">
        <v>51</v>
      </c>
      <c r="AK2462" t="str">
        <f>HYPERLINK("http://www.proteinatlas.org/Q9H346","HPA046965")</f>
        <v>HPA046965</v>
      </c>
      <c r="AM2462">
        <v>390066</v>
      </c>
    </row>
    <row r="2463" spans="1:39" x14ac:dyDescent="0.35">
      <c r="A2463" t="s">
        <v>24299</v>
      </c>
      <c r="B2463" t="str">
        <f>HYPERLINK("http://www.uniprot.org/uniprot/Q9H3N8","Q9H3N8")</f>
        <v>Q9H3N8</v>
      </c>
      <c r="C2463" t="s">
        <v>24300</v>
      </c>
      <c r="D2463" t="s">
        <v>24301</v>
      </c>
      <c r="E2463" t="s">
        <v>39</v>
      </c>
      <c r="F2463" t="s">
        <v>55</v>
      </c>
      <c r="H2463">
        <v>390</v>
      </c>
      <c r="I2463">
        <v>7</v>
      </c>
      <c r="J2463">
        <v>0</v>
      </c>
      <c r="K2463" t="s">
        <v>24302</v>
      </c>
      <c r="L2463" t="s">
        <v>57</v>
      </c>
      <c r="M2463" t="s">
        <v>39</v>
      </c>
      <c r="N2463">
        <v>0.89359999999999995</v>
      </c>
      <c r="O2463" s="1">
        <v>1</v>
      </c>
      <c r="P2463" t="s">
        <v>24303</v>
      </c>
      <c r="Q2463" t="s">
        <v>24304</v>
      </c>
      <c r="S2463" t="s">
        <v>166</v>
      </c>
      <c r="T2463" t="s">
        <v>838</v>
      </c>
      <c r="U2463" t="s">
        <v>16608</v>
      </c>
      <c r="V2463">
        <v>2</v>
      </c>
      <c r="Y2463" t="s">
        <v>24305</v>
      </c>
      <c r="AE2463" t="s">
        <v>74</v>
      </c>
      <c r="AF2463" t="s">
        <v>990</v>
      </c>
      <c r="AG2463" t="s">
        <v>24306</v>
      </c>
      <c r="AH2463" t="str">
        <f>HYPERLINK("http://compartments.jensenlab.org/Entity?figures=subcell_cell_%&amp;knowledge=10&amp;textmining=10&amp;experiments=10&amp;predictions=10&amp;type1=9606&amp;type2=-22&amp;id1=ENSP00000256906","link")</f>
        <v>link</v>
      </c>
      <c r="AI2463" t="s">
        <v>65</v>
      </c>
      <c r="AJ2463" t="s">
        <v>51</v>
      </c>
      <c r="AK2463" t="str">
        <f>HYPERLINK("http://www.proteinatlas.org/Q9H3N8","HPA035009")</f>
        <v>HPA035009</v>
      </c>
      <c r="AL2463" t="s">
        <v>24307</v>
      </c>
      <c r="AM2463">
        <v>59340</v>
      </c>
    </row>
    <row r="2464" spans="1:39" x14ac:dyDescent="0.35">
      <c r="A2464" t="s">
        <v>24308</v>
      </c>
      <c r="B2464" t="str">
        <f>HYPERLINK("http://www.uniprot.org/uniprot/Q9H3R2","Q9H3R2")</f>
        <v>Q9H3R2</v>
      </c>
      <c r="C2464" t="s">
        <v>24309</v>
      </c>
      <c r="D2464" t="s">
        <v>24310</v>
      </c>
      <c r="E2464" t="s">
        <v>39</v>
      </c>
      <c r="F2464" t="s">
        <v>40</v>
      </c>
      <c r="H2464">
        <v>512</v>
      </c>
      <c r="I2464">
        <v>1</v>
      </c>
      <c r="J2464">
        <v>1</v>
      </c>
      <c r="K2464" t="s">
        <v>24311</v>
      </c>
      <c r="L2464" t="s">
        <v>57</v>
      </c>
      <c r="N2464">
        <v>0.96609999999999996</v>
      </c>
      <c r="O2464" s="1">
        <v>1</v>
      </c>
      <c r="P2464" t="s">
        <v>24312</v>
      </c>
      <c r="Q2464" t="s">
        <v>24313</v>
      </c>
      <c r="S2464" t="s">
        <v>60</v>
      </c>
      <c r="T2464" t="s">
        <v>60</v>
      </c>
      <c r="U2464" t="s">
        <v>24314</v>
      </c>
      <c r="V2464">
        <v>6</v>
      </c>
      <c r="AE2464" t="s">
        <v>24315</v>
      </c>
      <c r="AF2464" t="s">
        <v>24316</v>
      </c>
      <c r="AG2464" t="s">
        <v>24317</v>
      </c>
      <c r="AH2464" t="str">
        <f>HYPERLINK("http://compartments.jensenlab.org/Entity?figures=subcell_cell_%&amp;knowledge=10&amp;textmining=10&amp;experiments=10&amp;predictions=10&amp;type1=9606&amp;type2=-22&amp;id1=ENSP00000485028","link")</f>
        <v>link</v>
      </c>
      <c r="AK2464" t="str">
        <f>HYPERLINK("http://www.proteinatlas.org/Q9H3R2","HPA045163")</f>
        <v>HPA045163</v>
      </c>
      <c r="AM2464">
        <v>56667</v>
      </c>
    </row>
    <row r="2465" spans="1:39" x14ac:dyDescent="0.35">
      <c r="A2465" t="s">
        <v>24318</v>
      </c>
      <c r="B2465" t="str">
        <f>HYPERLINK("http://www.uniprot.org/uniprot/Q9H3S1","Q9H3S1")</f>
        <v>Q9H3S1</v>
      </c>
      <c r="C2465" t="s">
        <v>24319</v>
      </c>
      <c r="D2465" t="s">
        <v>24320</v>
      </c>
      <c r="E2465" t="s">
        <v>39</v>
      </c>
      <c r="F2465" t="s">
        <v>55</v>
      </c>
      <c r="H2465">
        <v>761</v>
      </c>
      <c r="I2465">
        <v>1</v>
      </c>
      <c r="J2465">
        <v>1</v>
      </c>
      <c r="K2465" t="s">
        <v>24321</v>
      </c>
      <c r="L2465" t="s">
        <v>101</v>
      </c>
      <c r="M2465" t="s">
        <v>39</v>
      </c>
      <c r="N2465">
        <v>0.90769999999999995</v>
      </c>
      <c r="O2465" s="1">
        <v>1</v>
      </c>
      <c r="P2465" t="s">
        <v>24322</v>
      </c>
      <c r="Q2465" t="s">
        <v>24323</v>
      </c>
      <c r="S2465" t="s">
        <v>91</v>
      </c>
      <c r="T2465" t="s">
        <v>3379</v>
      </c>
      <c r="U2465" t="s">
        <v>24324</v>
      </c>
      <c r="V2465">
        <v>4</v>
      </c>
      <c r="Z2465" t="s">
        <v>107</v>
      </c>
      <c r="AA2465">
        <v>8</v>
      </c>
      <c r="AB2465" t="s">
        <v>24325</v>
      </c>
      <c r="AC2465" t="s">
        <v>24326</v>
      </c>
      <c r="AD2465" t="s">
        <v>24327</v>
      </c>
      <c r="AE2465" t="s">
        <v>332</v>
      </c>
      <c r="AF2465" t="s">
        <v>24328</v>
      </c>
      <c r="AG2465" t="s">
        <v>24329</v>
      </c>
      <c r="AH2465" t="str">
        <f>HYPERLINK("http://compartments.jensenlab.org/Entity?figures=subcell_cell_%&amp;knowledge=10&amp;textmining=10&amp;experiments=10&amp;predictions=10&amp;type1=9606&amp;type2=-22&amp;id1=ENSP00000347117","link")</f>
        <v>link</v>
      </c>
      <c r="AI2465" t="s">
        <v>65</v>
      </c>
      <c r="AJ2465" t="s">
        <v>51</v>
      </c>
      <c r="AK2465" t="str">
        <f>HYPERLINK("http://www.proteinatlas.org/Q9H3S1","no")</f>
        <v>no</v>
      </c>
      <c r="AM2465">
        <v>64218</v>
      </c>
    </row>
    <row r="2466" spans="1:39" x14ac:dyDescent="0.35">
      <c r="A2466" t="s">
        <v>24330</v>
      </c>
      <c r="B2466" t="str">
        <f>HYPERLINK("http://www.uniprot.org/uniprot/Q9H3S3","Q9H3S3")</f>
        <v>Q9H3S3</v>
      </c>
      <c r="C2466" t="s">
        <v>24331</v>
      </c>
      <c r="D2466" t="s">
        <v>24332</v>
      </c>
      <c r="E2466" t="s">
        <v>39</v>
      </c>
      <c r="F2466" t="s">
        <v>55</v>
      </c>
      <c r="H2466">
        <v>457</v>
      </c>
      <c r="I2466">
        <v>1</v>
      </c>
      <c r="J2466">
        <v>0</v>
      </c>
      <c r="K2466" t="s">
        <v>24333</v>
      </c>
      <c r="L2466" t="s">
        <v>101</v>
      </c>
      <c r="M2466" t="s">
        <v>39</v>
      </c>
      <c r="N2466">
        <v>0.6</v>
      </c>
      <c r="O2466" s="1">
        <v>2</v>
      </c>
      <c r="P2466" t="s">
        <v>24334</v>
      </c>
      <c r="Q2466" t="s">
        <v>24335</v>
      </c>
      <c r="S2466" t="s">
        <v>947</v>
      </c>
      <c r="T2466" t="s">
        <v>4787</v>
      </c>
      <c r="U2466" t="s">
        <v>24336</v>
      </c>
      <c r="V2466">
        <v>5</v>
      </c>
      <c r="Z2466" t="s">
        <v>107</v>
      </c>
      <c r="AA2466">
        <v>1</v>
      </c>
      <c r="AB2466" t="s">
        <v>24337</v>
      </c>
      <c r="AC2466">
        <v>170</v>
      </c>
      <c r="AD2466" t="s">
        <v>24338</v>
      </c>
      <c r="AE2466" t="s">
        <v>764</v>
      </c>
      <c r="AF2466" t="s">
        <v>16789</v>
      </c>
      <c r="AG2466" t="s">
        <v>24339</v>
      </c>
      <c r="AH2466" t="str">
        <f>HYPERLINK("http://compartments.jensenlab.org/Entity?figures=subcell_cell_%&amp;knowledge=10&amp;textmining=10&amp;experiments=10&amp;predictions=10&amp;type1=9606&amp;type2=-22&amp;id1=ENSP00000299882","link")</f>
        <v>link</v>
      </c>
      <c r="AI2466" t="s">
        <v>65</v>
      </c>
      <c r="AJ2466" t="s">
        <v>51</v>
      </c>
      <c r="AK2466" t="str">
        <f>HYPERLINK("http://www.proteinatlas.org/Q9H3S3","HPA010992")</f>
        <v>HPA010992</v>
      </c>
      <c r="AM2466">
        <v>80975</v>
      </c>
    </row>
    <row r="2467" spans="1:39" x14ac:dyDescent="0.35">
      <c r="A2467" t="s">
        <v>24340</v>
      </c>
      <c r="B2467" t="str">
        <f>HYPERLINK("http://www.uniprot.org/uniprot/Q9H3T2","Q9H3T2")</f>
        <v>Q9H3T2</v>
      </c>
      <c r="C2467" t="s">
        <v>24341</v>
      </c>
      <c r="D2467" t="s">
        <v>24342</v>
      </c>
      <c r="E2467" t="s">
        <v>39</v>
      </c>
      <c r="F2467" t="s">
        <v>55</v>
      </c>
      <c r="H2467">
        <v>930</v>
      </c>
      <c r="I2467">
        <v>1</v>
      </c>
      <c r="J2467">
        <v>1</v>
      </c>
      <c r="K2467" t="s">
        <v>24343</v>
      </c>
      <c r="L2467" t="s">
        <v>57</v>
      </c>
      <c r="M2467" t="s">
        <v>39</v>
      </c>
      <c r="N2467">
        <v>0.77490000000000003</v>
      </c>
      <c r="O2467" s="1">
        <v>1</v>
      </c>
      <c r="P2467" t="s">
        <v>24344</v>
      </c>
      <c r="Q2467" t="s">
        <v>24345</v>
      </c>
      <c r="S2467" t="s">
        <v>91</v>
      </c>
      <c r="T2467" t="s">
        <v>3379</v>
      </c>
      <c r="U2467" t="s">
        <v>24346</v>
      </c>
      <c r="V2467">
        <v>3</v>
      </c>
      <c r="AE2467" t="s">
        <v>332</v>
      </c>
      <c r="AF2467" t="s">
        <v>24347</v>
      </c>
      <c r="AG2467" t="s">
        <v>24348</v>
      </c>
      <c r="AH2467" t="str">
        <f>HYPERLINK("http://compartments.jensenlab.org/Entity?figures=subcell_cell_%&amp;knowledge=10&amp;textmining=10&amp;experiments=10&amp;predictions=10&amp;type1=9606&amp;type2=-22&amp;id1=ENSP00000344148","link")</f>
        <v>link</v>
      </c>
      <c r="AI2467" t="s">
        <v>65</v>
      </c>
      <c r="AJ2467" t="s">
        <v>51</v>
      </c>
      <c r="AK2467" t="str">
        <f>HYPERLINK("http://www.proteinatlas.org/Q9H3T2","no")</f>
        <v>no</v>
      </c>
      <c r="AM2467">
        <v>10500</v>
      </c>
    </row>
    <row r="2468" spans="1:39" x14ac:dyDescent="0.35">
      <c r="A2468" t="s">
        <v>24349</v>
      </c>
      <c r="B2468" t="str">
        <f>HYPERLINK("http://www.uniprot.org/uniprot/Q9H3T3","Q9H3T3")</f>
        <v>Q9H3T3</v>
      </c>
      <c r="C2468" t="s">
        <v>24350</v>
      </c>
      <c r="D2468" t="s">
        <v>24351</v>
      </c>
      <c r="E2468" t="s">
        <v>39</v>
      </c>
      <c r="F2468" t="s">
        <v>55</v>
      </c>
      <c r="H2468">
        <v>888</v>
      </c>
      <c r="I2468">
        <v>1</v>
      </c>
      <c r="J2468">
        <v>1</v>
      </c>
      <c r="K2468" t="s">
        <v>24352</v>
      </c>
      <c r="L2468" t="s">
        <v>101</v>
      </c>
      <c r="M2468" t="s">
        <v>39</v>
      </c>
      <c r="N2468">
        <v>0.8659</v>
      </c>
      <c r="O2468" s="1">
        <v>1</v>
      </c>
      <c r="P2468" t="s">
        <v>24353</v>
      </c>
      <c r="Q2468" t="s">
        <v>24354</v>
      </c>
      <c r="S2468" t="s">
        <v>91</v>
      </c>
      <c r="T2468" t="s">
        <v>3379</v>
      </c>
      <c r="U2468" t="s">
        <v>24355</v>
      </c>
      <c r="V2468">
        <v>7</v>
      </c>
      <c r="Z2468" t="s">
        <v>107</v>
      </c>
      <c r="AA2468">
        <v>1</v>
      </c>
      <c r="AB2468" t="s">
        <v>24356</v>
      </c>
      <c r="AC2468">
        <v>386</v>
      </c>
      <c r="AD2468" t="s">
        <v>24357</v>
      </c>
      <c r="AE2468" t="s">
        <v>332</v>
      </c>
      <c r="AF2468" t="s">
        <v>24358</v>
      </c>
      <c r="AG2468" t="s">
        <v>24359</v>
      </c>
      <c r="AH2468" t="str">
        <f>HYPERLINK("http://compartments.jensenlab.org/Entity?figures=subcell_cell_%&amp;knowledge=10&amp;textmining=10&amp;experiments=10&amp;predictions=10&amp;type1=9606&amp;type2=-22&amp;id1=ENSP00000467290","link")</f>
        <v>link</v>
      </c>
      <c r="AK2468" t="str">
        <f>HYPERLINK("http://www.proteinatlas.org/Q9H3T3","CAB025157;HPA055778;HPA058523")</f>
        <v>CAB025157;HPA055778;HPA058523</v>
      </c>
      <c r="AM2468">
        <v>10501</v>
      </c>
    </row>
    <row r="2469" spans="1:39" x14ac:dyDescent="0.35">
      <c r="A2469" t="s">
        <v>24360</v>
      </c>
      <c r="B2469" t="str">
        <f>HYPERLINK("http://www.uniprot.org/uniprot/Q9H3W5","Q9H3W5")</f>
        <v>Q9H3W5</v>
      </c>
      <c r="C2469" t="s">
        <v>24361</v>
      </c>
      <c r="D2469" t="s">
        <v>24362</v>
      </c>
      <c r="E2469" t="s">
        <v>39</v>
      </c>
      <c r="F2469" t="s">
        <v>40</v>
      </c>
      <c r="H2469">
        <v>708</v>
      </c>
      <c r="I2469">
        <v>1</v>
      </c>
      <c r="J2469">
        <v>1</v>
      </c>
      <c r="K2469" t="s">
        <v>24363</v>
      </c>
      <c r="L2469" t="s">
        <v>57</v>
      </c>
      <c r="N2469">
        <v>0.88219999999999998</v>
      </c>
      <c r="O2469" s="1">
        <v>1</v>
      </c>
      <c r="P2469" t="s">
        <v>24364</v>
      </c>
      <c r="Q2469" t="s">
        <v>24365</v>
      </c>
      <c r="S2469" t="s">
        <v>91</v>
      </c>
      <c r="T2469" t="s">
        <v>260</v>
      </c>
      <c r="U2469" t="s">
        <v>24366</v>
      </c>
      <c r="V2469">
        <v>9</v>
      </c>
      <c r="AE2469" t="s">
        <v>144</v>
      </c>
      <c r="AF2469" t="s">
        <v>2643</v>
      </c>
      <c r="AG2469" t="s">
        <v>24367</v>
      </c>
      <c r="AH2469" t="str">
        <f>HYPERLINK("http://compartments.jensenlab.org/Entity?figures=subcell_cell_%&amp;knowledge=10&amp;textmining=10&amp;experiments=10&amp;predictions=10&amp;type1=9606&amp;type2=-22&amp;id1=ENSP00000312001","link")</f>
        <v>link</v>
      </c>
      <c r="AJ2469" t="s">
        <v>51</v>
      </c>
      <c r="AK2469" t="str">
        <f>HYPERLINK("http://www.proteinatlas.org/Q9H3W5","HPA043820;HPA046792")</f>
        <v>HPA043820;HPA046792</v>
      </c>
      <c r="AM2469">
        <v>54674</v>
      </c>
    </row>
    <row r="2470" spans="1:39" x14ac:dyDescent="0.35">
      <c r="A2470" t="s">
        <v>24368</v>
      </c>
      <c r="B2470" t="str">
        <f>HYPERLINK("http://www.uniprot.org/uniprot/Q9H461","Q9H461")</f>
        <v>Q9H461</v>
      </c>
      <c r="C2470" t="s">
        <v>24369</v>
      </c>
      <c r="D2470" t="s">
        <v>24370</v>
      </c>
      <c r="E2470" t="s">
        <v>39</v>
      </c>
      <c r="F2470" t="s">
        <v>40</v>
      </c>
      <c r="H2470">
        <v>694</v>
      </c>
      <c r="I2470">
        <v>7</v>
      </c>
      <c r="J2470">
        <v>1</v>
      </c>
      <c r="K2470" t="s">
        <v>24371</v>
      </c>
      <c r="L2470" t="s">
        <v>57</v>
      </c>
      <c r="N2470">
        <v>0.79239999999999999</v>
      </c>
      <c r="O2470" s="1">
        <v>1</v>
      </c>
      <c r="P2470" t="s">
        <v>24372</v>
      </c>
      <c r="Q2470" t="s">
        <v>24373</v>
      </c>
      <c r="S2470" t="s">
        <v>166</v>
      </c>
      <c r="T2470" t="s">
        <v>827</v>
      </c>
      <c r="U2470" t="s">
        <v>24374</v>
      </c>
      <c r="V2470">
        <v>3</v>
      </c>
      <c r="X2470" t="s">
        <v>24375</v>
      </c>
      <c r="AE2470" t="s">
        <v>24376</v>
      </c>
      <c r="AF2470" t="s">
        <v>24377</v>
      </c>
      <c r="AG2470" t="s">
        <v>24378</v>
      </c>
      <c r="AH2470" t="str">
        <f>HYPERLINK("http://compartments.jensenlab.org/Entity?figures=subcell_cell_%&amp;knowledge=10&amp;textmining=10&amp;experiments=10&amp;predictions=10&amp;type1=9606&amp;type2=-22&amp;id1=ENSP00000363826","link")</f>
        <v>link</v>
      </c>
      <c r="AI2470" t="s">
        <v>65</v>
      </c>
      <c r="AJ2470" t="s">
        <v>2124</v>
      </c>
      <c r="AK2470" t="str">
        <f>HYPERLINK("http://www.proteinatlas.org/Q9H461","HPA045025")</f>
        <v>HPA045025</v>
      </c>
      <c r="AM2470">
        <v>8325</v>
      </c>
    </row>
    <row r="2471" spans="1:39" x14ac:dyDescent="0.35">
      <c r="A2471" t="s">
        <v>24379</v>
      </c>
      <c r="B2471" t="str">
        <f>HYPERLINK("http://www.uniprot.org/uniprot/Q9H4A9","Q9H4A9")</f>
        <v>Q9H4A9</v>
      </c>
      <c r="C2471" t="s">
        <v>24380</v>
      </c>
      <c r="D2471" t="s">
        <v>24381</v>
      </c>
      <c r="E2471" t="s">
        <v>39</v>
      </c>
      <c r="F2471" t="s">
        <v>239</v>
      </c>
      <c r="H2471">
        <v>486</v>
      </c>
      <c r="I2471">
        <v>0</v>
      </c>
      <c r="J2471">
        <v>1</v>
      </c>
      <c r="K2471" t="s">
        <v>24382</v>
      </c>
      <c r="L2471" t="s">
        <v>57</v>
      </c>
      <c r="N2471">
        <v>0.76249999999999996</v>
      </c>
      <c r="O2471" s="1" t="s">
        <v>997</v>
      </c>
      <c r="P2471" t="s">
        <v>24383</v>
      </c>
      <c r="Q2471" t="s">
        <v>24384</v>
      </c>
      <c r="S2471" t="s">
        <v>947</v>
      </c>
      <c r="T2471" t="s">
        <v>5892</v>
      </c>
      <c r="U2471" t="s">
        <v>24385</v>
      </c>
      <c r="V2471">
        <v>4</v>
      </c>
      <c r="W2471" t="s">
        <v>24386</v>
      </c>
      <c r="AE2471" t="s">
        <v>24387</v>
      </c>
      <c r="AF2471" t="s">
        <v>24388</v>
      </c>
      <c r="AG2471" t="s">
        <v>24389</v>
      </c>
      <c r="AH2471" t="str">
        <f>HYPERLINK("http://compartments.jensenlab.org/Entity?figures=subcell_cell_%&amp;knowledge=10&amp;textmining=10&amp;experiments=10&amp;predictions=10&amp;type1=9606&amp;type2=-22&amp;id1=ENSP00000377430","link")</f>
        <v>link</v>
      </c>
      <c r="AK2471" t="str">
        <f>HYPERLINK("http://www.proteinatlas.org/Q9H4A9","HPA035644")</f>
        <v>HPA035644</v>
      </c>
      <c r="AM2471">
        <v>64174</v>
      </c>
    </row>
    <row r="2472" spans="1:39" x14ac:dyDescent="0.35">
      <c r="A2472" t="s">
        <v>24390</v>
      </c>
      <c r="B2472" t="str">
        <f>HYPERLINK("http://www.uniprot.org/uniprot/Q9H4B8","Q9H4B8")</f>
        <v>Q9H4B8</v>
      </c>
      <c r="C2472" t="s">
        <v>24391</v>
      </c>
      <c r="D2472" t="s">
        <v>24392</v>
      </c>
      <c r="E2472" t="s">
        <v>39</v>
      </c>
      <c r="F2472" t="s">
        <v>239</v>
      </c>
      <c r="H2472">
        <v>488</v>
      </c>
      <c r="I2472">
        <v>0</v>
      </c>
      <c r="J2472">
        <v>1</v>
      </c>
      <c r="K2472" t="s">
        <v>24393</v>
      </c>
      <c r="L2472" t="s">
        <v>57</v>
      </c>
      <c r="N2472">
        <v>0.59079999999999999</v>
      </c>
      <c r="O2472" s="1" t="s">
        <v>241</v>
      </c>
      <c r="P2472" t="s">
        <v>24394</v>
      </c>
      <c r="Q2472" t="s">
        <v>24395</v>
      </c>
      <c r="S2472" t="s">
        <v>947</v>
      </c>
      <c r="T2472" t="s">
        <v>5892</v>
      </c>
      <c r="U2472" t="s">
        <v>24396</v>
      </c>
      <c r="V2472">
        <v>5</v>
      </c>
      <c r="AE2472" t="s">
        <v>24387</v>
      </c>
      <c r="AF2472" t="s">
        <v>24397</v>
      </c>
      <c r="AG2472" t="s">
        <v>24398</v>
      </c>
      <c r="AH2472" t="str">
        <f>HYPERLINK("http://compartments.jensenlab.org/Entity?figures=subcell_cell_%&amp;knowledge=10&amp;textmining=10&amp;experiments=10&amp;predictions=10&amp;type1=9606&amp;type2=-22&amp;id1=ENSP00000268793","link")</f>
        <v>link</v>
      </c>
      <c r="AJ2472" t="s">
        <v>51</v>
      </c>
      <c r="AK2472" t="str">
        <f>HYPERLINK("http://www.proteinatlas.org/Q9H4B8","HPA031870;HPA058607")</f>
        <v>HPA031870;HPA058607</v>
      </c>
      <c r="AM2472">
        <v>64180</v>
      </c>
    </row>
    <row r="2473" spans="1:39" x14ac:dyDescent="0.35">
      <c r="A2473" t="s">
        <v>24399</v>
      </c>
      <c r="B2473" t="str">
        <f>HYPERLINK("http://www.uniprot.org/uniprot/Q9H4D0","Q9H4D0")</f>
        <v>Q9H4D0</v>
      </c>
      <c r="C2473" t="s">
        <v>24400</v>
      </c>
      <c r="D2473" t="s">
        <v>24401</v>
      </c>
      <c r="E2473" t="s">
        <v>39</v>
      </c>
      <c r="F2473" t="s">
        <v>40</v>
      </c>
      <c r="H2473">
        <v>955</v>
      </c>
      <c r="I2473">
        <v>1</v>
      </c>
      <c r="J2473">
        <v>1</v>
      </c>
      <c r="K2473" t="s">
        <v>24402</v>
      </c>
      <c r="L2473" t="s">
        <v>57</v>
      </c>
      <c r="N2473">
        <v>0.91620000000000001</v>
      </c>
      <c r="O2473" s="1">
        <v>1</v>
      </c>
      <c r="P2473" t="s">
        <v>24403</v>
      </c>
      <c r="Q2473" t="s">
        <v>24404</v>
      </c>
      <c r="S2473" t="s">
        <v>91</v>
      </c>
      <c r="T2473" t="s">
        <v>3047</v>
      </c>
      <c r="U2473" t="s">
        <v>24405</v>
      </c>
      <c r="V2473">
        <v>6</v>
      </c>
      <c r="Y2473">
        <v>261</v>
      </c>
      <c r="AE2473" t="s">
        <v>23146</v>
      </c>
      <c r="AF2473" t="s">
        <v>24406</v>
      </c>
      <c r="AG2473" t="s">
        <v>24407</v>
      </c>
      <c r="AH2473" t="str">
        <f>HYPERLINK("http://compartments.jensenlab.org/Entity?figures=subcell_cell_%&amp;knowledge=10&amp;textmining=10&amp;experiments=10&amp;predictions=10&amp;type1=9606&amp;type2=-22&amp;id1=ENSP00000402460","link")</f>
        <v>link</v>
      </c>
      <c r="AI2473" t="s">
        <v>3445</v>
      </c>
      <c r="AJ2473" t="s">
        <v>981</v>
      </c>
      <c r="AK2473" t="str">
        <f>HYPERLINK("http://www.proteinatlas.org/Q9H4D0","HPA031342")</f>
        <v>HPA031342</v>
      </c>
      <c r="AM2473">
        <v>64084</v>
      </c>
    </row>
    <row r="2474" spans="1:39" x14ac:dyDescent="0.35">
      <c r="A2474" t="s">
        <v>24408</v>
      </c>
      <c r="B2474" t="str">
        <f>HYPERLINK("http://www.uniprot.org/uniprot/Q9H598","Q9H598")</f>
        <v>Q9H598</v>
      </c>
      <c r="C2474" t="s">
        <v>24409</v>
      </c>
      <c r="D2474" t="s">
        <v>24410</v>
      </c>
      <c r="E2474" t="s">
        <v>39</v>
      </c>
      <c r="F2474" t="s">
        <v>40</v>
      </c>
      <c r="H2474">
        <v>525</v>
      </c>
      <c r="I2474">
        <v>10</v>
      </c>
      <c r="J2474">
        <v>0</v>
      </c>
      <c r="K2474" t="s">
        <v>24411</v>
      </c>
      <c r="L2474" t="s">
        <v>57</v>
      </c>
      <c r="N2474">
        <v>0.68659999999999999</v>
      </c>
      <c r="O2474" s="1">
        <v>2</v>
      </c>
      <c r="P2474" t="s">
        <v>24412</v>
      </c>
      <c r="Q2474" t="s">
        <v>24413</v>
      </c>
      <c r="S2474" t="s">
        <v>45</v>
      </c>
      <c r="T2474" t="s">
        <v>24414</v>
      </c>
      <c r="U2474" t="s">
        <v>24415</v>
      </c>
      <c r="V2474">
        <v>1</v>
      </c>
      <c r="X2474">
        <v>96</v>
      </c>
      <c r="AE2474" t="s">
        <v>12020</v>
      </c>
      <c r="AF2474" t="s">
        <v>24416</v>
      </c>
      <c r="AG2474" t="s">
        <v>24417</v>
      </c>
      <c r="AH2474" t="str">
        <f>HYPERLINK("http://compartments.jensenlab.org/Entity?figures=subcell_cell_%&amp;knowledge=10&amp;textmining=10&amp;experiments=10&amp;predictions=10&amp;type1=9606&amp;type2=-22&amp;id1=ENSP00000217420","link")</f>
        <v>link</v>
      </c>
      <c r="AJ2474" t="s">
        <v>51</v>
      </c>
      <c r="AK2474" t="str">
        <f>HYPERLINK("http://www.proteinatlas.org/Q9H598","CAB037156;HPA058859;HPA059985")</f>
        <v>CAB037156;HPA058859;HPA059985</v>
      </c>
      <c r="AL2474" t="s">
        <v>9928</v>
      </c>
      <c r="AM2474">
        <v>140679</v>
      </c>
    </row>
    <row r="2475" spans="1:39" x14ac:dyDescent="0.35">
      <c r="A2475" t="s">
        <v>24418</v>
      </c>
      <c r="B2475" t="str">
        <f>HYPERLINK("http://www.uniprot.org/uniprot/Q9H5I5","Q9H5I5")</f>
        <v>Q9H5I5</v>
      </c>
      <c r="C2475" t="s">
        <v>24419</v>
      </c>
      <c r="D2475" t="s">
        <v>24420</v>
      </c>
      <c r="E2475" t="s">
        <v>39</v>
      </c>
      <c r="F2475" t="s">
        <v>40</v>
      </c>
      <c r="H2475">
        <v>2752</v>
      </c>
      <c r="I2475">
        <v>39</v>
      </c>
      <c r="J2475">
        <v>1</v>
      </c>
      <c r="K2475" t="s">
        <v>24421</v>
      </c>
      <c r="L2475" t="s">
        <v>1592</v>
      </c>
      <c r="N2475">
        <v>0.72650000000000003</v>
      </c>
      <c r="O2475" s="1">
        <v>2</v>
      </c>
      <c r="P2475" t="s">
        <v>24422</v>
      </c>
      <c r="Q2475" t="s">
        <v>24423</v>
      </c>
      <c r="S2475" t="s">
        <v>60</v>
      </c>
      <c r="T2475" t="s">
        <v>60</v>
      </c>
      <c r="U2475" t="s">
        <v>24424</v>
      </c>
      <c r="V2475">
        <v>12</v>
      </c>
      <c r="Y2475" t="s">
        <v>24425</v>
      </c>
      <c r="Z2475" t="s">
        <v>123</v>
      </c>
      <c r="AA2475">
        <v>1</v>
      </c>
      <c r="AB2475" t="s">
        <v>24426</v>
      </c>
      <c r="AC2475">
        <v>2572</v>
      </c>
      <c r="AD2475" t="s">
        <v>24427</v>
      </c>
      <c r="AE2475" t="s">
        <v>48</v>
      </c>
      <c r="AF2475" t="s">
        <v>24428</v>
      </c>
      <c r="AG2475" t="s">
        <v>24429</v>
      </c>
      <c r="AH2475" t="str">
        <f>HYPERLINK("http://compartments.jensenlab.org/Entity?figures=subcell_cell_%&amp;knowledge=10&amp;textmining=10&amp;experiments=10&amp;predictions=10&amp;type1=9606&amp;type2=-22&amp;id1=ENSP00000421377","link")</f>
        <v>link</v>
      </c>
      <c r="AK2475" t="str">
        <f>HYPERLINK("http://www.proteinatlas.org/Q9H5I5","HPA015986;HPA031974;HPA040616")</f>
        <v>HPA015986;HPA031974;HPA040616</v>
      </c>
      <c r="AM2475">
        <v>63895</v>
      </c>
    </row>
    <row r="2476" spans="1:39" x14ac:dyDescent="0.35">
      <c r="A2476" t="s">
        <v>24430</v>
      </c>
      <c r="B2476" t="str">
        <f>HYPERLINK("http://www.uniprot.org/uniprot/Q9H5V8","Q9H5V8")</f>
        <v>Q9H5V8</v>
      </c>
      <c r="C2476" t="s">
        <v>24431</v>
      </c>
      <c r="D2476" t="s">
        <v>24432</v>
      </c>
      <c r="E2476" t="s">
        <v>39</v>
      </c>
      <c r="F2476" t="s">
        <v>55</v>
      </c>
      <c r="H2476">
        <v>836</v>
      </c>
      <c r="I2476">
        <v>1</v>
      </c>
      <c r="J2476">
        <v>1</v>
      </c>
      <c r="K2476" t="s">
        <v>24433</v>
      </c>
      <c r="L2476" t="s">
        <v>101</v>
      </c>
      <c r="M2476" t="s">
        <v>39</v>
      </c>
      <c r="N2476">
        <v>0.98450000000000004</v>
      </c>
      <c r="O2476" s="1">
        <v>1</v>
      </c>
      <c r="P2476" t="s">
        <v>24434</v>
      </c>
      <c r="Q2476" t="s">
        <v>24435</v>
      </c>
      <c r="R2476" t="s">
        <v>24436</v>
      </c>
      <c r="S2476" t="s">
        <v>60</v>
      </c>
      <c r="T2476" t="s">
        <v>60</v>
      </c>
      <c r="U2476" t="s">
        <v>24437</v>
      </c>
      <c r="V2476">
        <v>14</v>
      </c>
      <c r="W2476" t="s">
        <v>24437</v>
      </c>
      <c r="Z2476" t="s">
        <v>107</v>
      </c>
      <c r="AA2476">
        <v>21</v>
      </c>
      <c r="AB2476" t="s">
        <v>24438</v>
      </c>
      <c r="AC2476" t="s">
        <v>24439</v>
      </c>
      <c r="AD2476" t="s">
        <v>24440</v>
      </c>
      <c r="AE2476" t="s">
        <v>24441</v>
      </c>
      <c r="AF2476" t="s">
        <v>24442</v>
      </c>
      <c r="AG2476" t="s">
        <v>24443</v>
      </c>
      <c r="AH2476" t="str">
        <f>HYPERLINK("http://compartments.jensenlab.org/Entity?figures=subcell_cell_%&amp;knowledge=10&amp;textmining=10&amp;experiments=10&amp;predictions=10&amp;type1=9606&amp;type2=-22&amp;id1=ENSP00000296129","link")</f>
        <v>link</v>
      </c>
      <c r="AI2476" t="s">
        <v>1058</v>
      </c>
      <c r="AJ2476" t="s">
        <v>902</v>
      </c>
      <c r="AK2476" t="str">
        <f>HYPERLINK("http://www.proteinatlas.org/Q9H5V8","HPA010978;HPA010979;CAB025637")</f>
        <v>HPA010978;HPA010979;CAB025637</v>
      </c>
      <c r="AM2476">
        <v>64866</v>
      </c>
    </row>
    <row r="2477" spans="1:39" x14ac:dyDescent="0.35">
      <c r="A2477" t="s">
        <v>24444</v>
      </c>
      <c r="B2477" t="str">
        <f>HYPERLINK("http://www.uniprot.org/uniprot/Q9H5Y7","Q9H5Y7")</f>
        <v>Q9H5Y7</v>
      </c>
      <c r="C2477" t="s">
        <v>24445</v>
      </c>
      <c r="D2477" t="s">
        <v>24446</v>
      </c>
      <c r="E2477" t="s">
        <v>39</v>
      </c>
      <c r="F2477" t="s">
        <v>55</v>
      </c>
      <c r="H2477">
        <v>841</v>
      </c>
      <c r="I2477">
        <v>1</v>
      </c>
      <c r="J2477">
        <v>1</v>
      </c>
      <c r="K2477" t="s">
        <v>24447</v>
      </c>
      <c r="L2477" t="s">
        <v>101</v>
      </c>
      <c r="M2477" t="s">
        <v>39</v>
      </c>
      <c r="N2477">
        <v>0.82869999999999999</v>
      </c>
      <c r="O2477" s="1">
        <v>1</v>
      </c>
      <c r="S2477" t="s">
        <v>91</v>
      </c>
      <c r="T2477" t="s">
        <v>260</v>
      </c>
      <c r="U2477" t="s">
        <v>24448</v>
      </c>
      <c r="V2477">
        <v>2</v>
      </c>
      <c r="Z2477" t="s">
        <v>107</v>
      </c>
      <c r="AA2477">
        <v>1</v>
      </c>
      <c r="AB2477" t="s">
        <v>24449</v>
      </c>
      <c r="AC2477">
        <v>409</v>
      </c>
      <c r="AD2477" t="s">
        <v>24450</v>
      </c>
      <c r="AE2477" t="s">
        <v>332</v>
      </c>
      <c r="AF2477" t="s">
        <v>24451</v>
      </c>
      <c r="AG2477" t="s">
        <v>24452</v>
      </c>
      <c r="AK2477" t="str">
        <f>HYPERLINK("http://www.proteinatlas.org/Q9H5Y7","no")</f>
        <v>no</v>
      </c>
      <c r="AM2477">
        <v>84189</v>
      </c>
    </row>
    <row r="2478" spans="1:39" x14ac:dyDescent="0.35">
      <c r="A2478" t="s">
        <v>24453</v>
      </c>
      <c r="B2478" t="str">
        <f>HYPERLINK("http://www.uniprot.org/uniprot/Q9H665","Q9H665")</f>
        <v>Q9H665</v>
      </c>
      <c r="C2478" t="s">
        <v>24454</v>
      </c>
      <c r="D2478" t="s">
        <v>24455</v>
      </c>
      <c r="E2478" t="s">
        <v>39</v>
      </c>
      <c r="F2478" t="s">
        <v>55</v>
      </c>
      <c r="H2478">
        <v>355</v>
      </c>
      <c r="I2478">
        <v>1</v>
      </c>
      <c r="J2478">
        <v>1</v>
      </c>
      <c r="K2478" t="s">
        <v>24456</v>
      </c>
      <c r="L2478" t="s">
        <v>57</v>
      </c>
      <c r="M2478" t="s">
        <v>39</v>
      </c>
      <c r="N2478">
        <v>0.53259999999999996</v>
      </c>
      <c r="O2478" s="1">
        <v>3</v>
      </c>
      <c r="P2478" t="s">
        <v>24457</v>
      </c>
      <c r="Q2478" t="s">
        <v>24458</v>
      </c>
      <c r="S2478" t="s">
        <v>60</v>
      </c>
      <c r="T2478" t="s">
        <v>60</v>
      </c>
      <c r="V2478">
        <v>0</v>
      </c>
      <c r="AE2478" t="s">
        <v>332</v>
      </c>
      <c r="AF2478" t="s">
        <v>24459</v>
      </c>
      <c r="AG2478" t="s">
        <v>24460</v>
      </c>
      <c r="AH2478" t="str">
        <f>HYPERLINK("http://compartments.jensenlab.org/Entity?figures=subcell_cell_%&amp;knowledge=10&amp;textmining=10&amp;experiments=10&amp;predictions=10&amp;type1=9606&amp;type2=-22&amp;id1=ENSP00000246532","link")</f>
        <v>link</v>
      </c>
      <c r="AI2478" t="s">
        <v>65</v>
      </c>
      <c r="AJ2478" t="s">
        <v>51</v>
      </c>
      <c r="AK2478" t="str">
        <f>HYPERLINK("http://www.proteinatlas.org/Q9H665","HPA012369")</f>
        <v>HPA012369</v>
      </c>
      <c r="AM2478">
        <v>79713</v>
      </c>
    </row>
    <row r="2479" spans="1:39" x14ac:dyDescent="0.35">
      <c r="A2479" t="s">
        <v>24461</v>
      </c>
      <c r="B2479" t="str">
        <f>HYPERLINK("http://www.uniprot.org/uniprot/Q9H6B4","Q9H6B4")</f>
        <v>Q9H6B4</v>
      </c>
      <c r="C2479" t="s">
        <v>24462</v>
      </c>
      <c r="D2479" t="s">
        <v>24463</v>
      </c>
      <c r="E2479" t="s">
        <v>39</v>
      </c>
      <c r="F2479" t="s">
        <v>55</v>
      </c>
      <c r="H2479">
        <v>373</v>
      </c>
      <c r="I2479">
        <v>1</v>
      </c>
      <c r="J2479">
        <v>1</v>
      </c>
      <c r="K2479" t="s">
        <v>24464</v>
      </c>
      <c r="L2479" t="s">
        <v>101</v>
      </c>
      <c r="M2479" t="s">
        <v>39</v>
      </c>
      <c r="N2479">
        <v>0.94589999999999996</v>
      </c>
      <c r="O2479" s="1">
        <v>1</v>
      </c>
      <c r="P2479" t="s">
        <v>24465</v>
      </c>
      <c r="Q2479" t="s">
        <v>24466</v>
      </c>
      <c r="S2479" t="s">
        <v>91</v>
      </c>
      <c r="T2479" t="s">
        <v>555</v>
      </c>
      <c r="U2479" t="s">
        <v>24467</v>
      </c>
      <c r="V2479">
        <v>2</v>
      </c>
      <c r="Z2479" t="s">
        <v>107</v>
      </c>
      <c r="AA2479">
        <v>7</v>
      </c>
      <c r="AB2479" t="s">
        <v>24468</v>
      </c>
      <c r="AC2479" t="s">
        <v>24469</v>
      </c>
      <c r="AD2479" t="s">
        <v>24470</v>
      </c>
      <c r="AE2479" t="s">
        <v>8853</v>
      </c>
      <c r="AF2479" t="s">
        <v>24471</v>
      </c>
      <c r="AG2479" t="s">
        <v>24472</v>
      </c>
      <c r="AH2479" t="str">
        <f>HYPERLINK("http://compartments.jensenlab.org/Entity?figures=subcell_cell_%&amp;knowledge=10&amp;textmining=10&amp;experiments=10&amp;predictions=10&amp;type1=9606&amp;type2=-22&amp;id1=ENSP00000405577","link")</f>
        <v>link</v>
      </c>
      <c r="AK2479" t="str">
        <f>HYPERLINK("http://www.proteinatlas.org/Q9H6B4","HPA002385")</f>
        <v>HPA002385</v>
      </c>
      <c r="AM2479">
        <v>79827</v>
      </c>
    </row>
    <row r="2480" spans="1:39" x14ac:dyDescent="0.35">
      <c r="A2480" t="s">
        <v>24473</v>
      </c>
      <c r="B2480" t="str">
        <f>HYPERLINK("http://www.uniprot.org/uniprot/Q9H6D8","Q9H6D8")</f>
        <v>Q9H6D8</v>
      </c>
      <c r="C2480" t="s">
        <v>24474</v>
      </c>
      <c r="D2480" t="s">
        <v>24475</v>
      </c>
      <c r="E2480" t="s">
        <v>39</v>
      </c>
      <c r="F2480" t="s">
        <v>40</v>
      </c>
      <c r="H2480">
        <v>234</v>
      </c>
      <c r="I2480">
        <v>1</v>
      </c>
      <c r="J2480">
        <v>1</v>
      </c>
      <c r="K2480" t="s">
        <v>24476</v>
      </c>
      <c r="L2480" t="s">
        <v>57</v>
      </c>
      <c r="N2480">
        <v>0.82440000000000002</v>
      </c>
      <c r="O2480" s="1">
        <v>1</v>
      </c>
      <c r="P2480" t="s">
        <v>24477</v>
      </c>
      <c r="Q2480" t="s">
        <v>24478</v>
      </c>
      <c r="S2480" t="s">
        <v>60</v>
      </c>
      <c r="T2480" t="s">
        <v>60</v>
      </c>
      <c r="U2480" t="s">
        <v>24479</v>
      </c>
      <c r="V2480">
        <v>3</v>
      </c>
      <c r="AE2480" t="s">
        <v>144</v>
      </c>
      <c r="AF2480" t="s">
        <v>409</v>
      </c>
      <c r="AG2480" t="s">
        <v>24480</v>
      </c>
      <c r="AH2480" t="str">
        <f>HYPERLINK("http://compartments.jensenlab.org/Entity?figures=subcell_cell_%&amp;knowledge=10&amp;textmining=10&amp;experiments=10&amp;predictions=10&amp;type1=9606&amp;type2=-22&amp;id1=ENSP00000264703","link")</f>
        <v>link</v>
      </c>
      <c r="AJ2480" t="s">
        <v>345</v>
      </c>
      <c r="AK2480" t="str">
        <f>HYPERLINK("http://www.proteinatlas.org/Q9H6D8","HPA051804")</f>
        <v>HPA051804</v>
      </c>
      <c r="AM2480">
        <v>64838</v>
      </c>
    </row>
    <row r="2481" spans="1:39" x14ac:dyDescent="0.35">
      <c r="A2481" t="s">
        <v>24481</v>
      </c>
      <c r="B2481" t="str">
        <f>HYPERLINK("http://www.uniprot.org/uniprot/Q9H6L2","Q9H6L2")</f>
        <v>Q9H6L2</v>
      </c>
      <c r="C2481" t="s">
        <v>24482</v>
      </c>
      <c r="D2481" t="s">
        <v>24483</v>
      </c>
      <c r="E2481" t="s">
        <v>39</v>
      </c>
      <c r="F2481" t="s">
        <v>55</v>
      </c>
      <c r="H2481">
        <v>316</v>
      </c>
      <c r="I2481">
        <v>2</v>
      </c>
      <c r="J2481">
        <v>0</v>
      </c>
      <c r="K2481" t="s">
        <v>24484</v>
      </c>
      <c r="L2481" t="s">
        <v>118</v>
      </c>
      <c r="M2481" t="s">
        <v>39</v>
      </c>
      <c r="N2481">
        <v>0.1915</v>
      </c>
      <c r="O2481" s="1"/>
      <c r="P2481" t="s">
        <v>24485</v>
      </c>
      <c r="Q2481" t="s">
        <v>24486</v>
      </c>
      <c r="S2481" t="s">
        <v>60</v>
      </c>
      <c r="T2481" t="s">
        <v>60</v>
      </c>
      <c r="U2481" t="s">
        <v>24487</v>
      </c>
      <c r="V2481">
        <v>3</v>
      </c>
      <c r="Z2481" t="s">
        <v>107</v>
      </c>
      <c r="AA2481">
        <v>1</v>
      </c>
      <c r="AB2481" t="s">
        <v>24488</v>
      </c>
      <c r="AC2481">
        <v>221</v>
      </c>
      <c r="AD2481" t="s">
        <v>24489</v>
      </c>
      <c r="AE2481" t="s">
        <v>20827</v>
      </c>
      <c r="AF2481" t="s">
        <v>24490</v>
      </c>
      <c r="AG2481" t="s">
        <v>24491</v>
      </c>
      <c r="AH2481" t="str">
        <f>HYPERLINK("http://compartments.jensenlab.org/Entity?figures=subcell_cell_%&amp;knowledge=10&amp;textmining=10&amp;experiments=10&amp;predictions=10&amp;type1=9606&amp;type2=-22&amp;id1=ENSP00000258173","link")</f>
        <v>link</v>
      </c>
      <c r="AK2481" t="str">
        <f>HYPERLINK("http://www.proteinatlas.org/Q9H6L2","HPA042081")</f>
        <v>HPA042081</v>
      </c>
      <c r="AM2481">
        <v>79583</v>
      </c>
    </row>
    <row r="2482" spans="1:39" x14ac:dyDescent="0.35">
      <c r="A2482" t="s">
        <v>24492</v>
      </c>
      <c r="B2482" t="str">
        <f>HYPERLINK("http://www.uniprot.org/uniprot/Q9H6X2","Q9H6X2")</f>
        <v>Q9H6X2</v>
      </c>
      <c r="C2482" t="s">
        <v>24493</v>
      </c>
      <c r="D2482" t="s">
        <v>24494</v>
      </c>
      <c r="E2482" t="s">
        <v>39</v>
      </c>
      <c r="F2482" t="s">
        <v>55</v>
      </c>
      <c r="H2482">
        <v>564</v>
      </c>
      <c r="I2482">
        <v>1</v>
      </c>
      <c r="J2482">
        <v>1</v>
      </c>
      <c r="K2482" t="s">
        <v>24495</v>
      </c>
      <c r="L2482" t="s">
        <v>101</v>
      </c>
      <c r="M2482" t="s">
        <v>39</v>
      </c>
      <c r="N2482">
        <v>0.88239999999999996</v>
      </c>
      <c r="O2482" s="1">
        <v>1</v>
      </c>
      <c r="P2482" t="s">
        <v>24496</v>
      </c>
      <c r="Q2482" t="s">
        <v>24497</v>
      </c>
      <c r="S2482" t="s">
        <v>60</v>
      </c>
      <c r="T2482" t="s">
        <v>60</v>
      </c>
      <c r="U2482" t="s">
        <v>24498</v>
      </c>
      <c r="V2482">
        <v>3</v>
      </c>
      <c r="Y2482">
        <v>340</v>
      </c>
      <c r="Z2482" t="s">
        <v>107</v>
      </c>
      <c r="AA2482">
        <v>6</v>
      </c>
      <c r="AB2482" t="s">
        <v>24499</v>
      </c>
      <c r="AC2482" t="s">
        <v>24500</v>
      </c>
      <c r="AD2482" t="s">
        <v>24501</v>
      </c>
      <c r="AE2482" t="s">
        <v>24502</v>
      </c>
      <c r="AF2482" t="s">
        <v>24503</v>
      </c>
      <c r="AG2482" t="s">
        <v>24504</v>
      </c>
      <c r="AH2482" t="str">
        <f>HYPERLINK("http://compartments.jensenlab.org/Entity?figures=subcell_cell_%&amp;knowledge=10&amp;textmining=10&amp;experiments=10&amp;predictions=10&amp;type1=9606&amp;type2=-22&amp;id1=ENSP00000301945","link")</f>
        <v>link</v>
      </c>
      <c r="AI2482" t="s">
        <v>65</v>
      </c>
      <c r="AJ2482" t="s">
        <v>51</v>
      </c>
      <c r="AK2482" t="str">
        <f>HYPERLINK("http://www.proteinatlas.org/Q9H6X2","HPA052046")</f>
        <v>HPA052046</v>
      </c>
      <c r="AM2482">
        <v>84168</v>
      </c>
    </row>
    <row r="2483" spans="1:39" x14ac:dyDescent="0.35">
      <c r="A2483" t="s">
        <v>24505</v>
      </c>
      <c r="B2483" t="str">
        <f>HYPERLINK("http://www.uniprot.org/uniprot/Q9H6Y7","Q9H6Y7")</f>
        <v>Q9H6Y7</v>
      </c>
      <c r="C2483" t="s">
        <v>24506</v>
      </c>
      <c r="D2483" t="s">
        <v>24507</v>
      </c>
      <c r="E2483" t="s">
        <v>39</v>
      </c>
      <c r="F2483" t="s">
        <v>40</v>
      </c>
      <c r="H2483">
        <v>350</v>
      </c>
      <c r="I2483">
        <v>1</v>
      </c>
      <c r="J2483">
        <v>1</v>
      </c>
      <c r="K2483" t="s">
        <v>24508</v>
      </c>
      <c r="L2483" t="s">
        <v>42</v>
      </c>
      <c r="N2483">
        <v>0.70660000000000001</v>
      </c>
      <c r="O2483" s="1">
        <v>2</v>
      </c>
      <c r="P2483" t="s">
        <v>24509</v>
      </c>
      <c r="Q2483" t="s">
        <v>24510</v>
      </c>
      <c r="S2483" t="s">
        <v>60</v>
      </c>
      <c r="T2483" t="s">
        <v>60</v>
      </c>
      <c r="U2483" t="s">
        <v>24511</v>
      </c>
      <c r="V2483">
        <v>2</v>
      </c>
      <c r="AE2483" t="s">
        <v>24512</v>
      </c>
      <c r="AF2483" t="s">
        <v>24513</v>
      </c>
      <c r="AG2483" t="s">
        <v>24514</v>
      </c>
      <c r="AH2483" t="str">
        <f>HYPERLINK("http://compartments.jensenlab.org/Entity?figures=subcell_cell_%&amp;knowledge=10&amp;textmining=10&amp;experiments=10&amp;predictions=10&amp;type1=9606&amp;type2=-22&amp;id1=ENSP00000262482","link")</f>
        <v>link</v>
      </c>
      <c r="AJ2483" t="s">
        <v>13076</v>
      </c>
      <c r="AK2483" t="str">
        <f>HYPERLINK("http://www.proteinatlas.org/Q9H6Y7","HPA049810")</f>
        <v>HPA049810</v>
      </c>
      <c r="AM2483">
        <v>26001</v>
      </c>
    </row>
    <row r="2484" spans="1:39" x14ac:dyDescent="0.35">
      <c r="A2484" t="s">
        <v>24515</v>
      </c>
      <c r="B2484" t="str">
        <f>HYPERLINK("http://www.uniprot.org/uniprot/Q9H756","Q9H756")</f>
        <v>Q9H756</v>
      </c>
      <c r="C2484" t="s">
        <v>24516</v>
      </c>
      <c r="D2484" t="s">
        <v>24517</v>
      </c>
      <c r="E2484" t="s">
        <v>39</v>
      </c>
      <c r="F2484" t="s">
        <v>40</v>
      </c>
      <c r="H2484">
        <v>370</v>
      </c>
      <c r="I2484">
        <v>1</v>
      </c>
      <c r="J2484">
        <v>1</v>
      </c>
      <c r="K2484" t="s">
        <v>24518</v>
      </c>
      <c r="L2484" t="s">
        <v>57</v>
      </c>
      <c r="N2484">
        <v>0.86829999999999996</v>
      </c>
      <c r="O2484" s="1">
        <v>1</v>
      </c>
      <c r="P2484" t="s">
        <v>24519</v>
      </c>
      <c r="Q2484" t="s">
        <v>24520</v>
      </c>
      <c r="S2484" t="s">
        <v>91</v>
      </c>
      <c r="T2484" t="s">
        <v>260</v>
      </c>
      <c r="U2484" t="s">
        <v>24521</v>
      </c>
      <c r="V2484">
        <v>10</v>
      </c>
      <c r="AE2484" t="s">
        <v>144</v>
      </c>
      <c r="AF2484" t="s">
        <v>571</v>
      </c>
      <c r="AG2484" t="s">
        <v>24522</v>
      </c>
      <c r="AH2484" t="str">
        <f>HYPERLINK("http://compartments.jensenlab.org/Entity?figures=subcell_cell_%&amp;knowledge=10&amp;textmining=10&amp;experiments=10&amp;predictions=10&amp;type1=9606&amp;type2=-22&amp;id1=ENSP00000369395","link")</f>
        <v>link</v>
      </c>
      <c r="AJ2484" t="s">
        <v>51</v>
      </c>
      <c r="AK2484" t="str">
        <f>HYPERLINK("http://www.proteinatlas.org/Q9H756","HPA014541")</f>
        <v>HPA014541</v>
      </c>
      <c r="AM2484">
        <v>64922</v>
      </c>
    </row>
    <row r="2485" spans="1:39" x14ac:dyDescent="0.35">
      <c r="A2485" t="s">
        <v>24523</v>
      </c>
      <c r="B2485" t="str">
        <f>HYPERLINK("http://www.uniprot.org/uniprot/Q9H7F0","Q9H7F0")</f>
        <v>Q9H7F0</v>
      </c>
      <c r="C2485" t="s">
        <v>24524</v>
      </c>
      <c r="D2485" t="s">
        <v>24525</v>
      </c>
      <c r="E2485" t="s">
        <v>39</v>
      </c>
      <c r="F2485" t="s">
        <v>40</v>
      </c>
      <c r="H2485">
        <v>1226</v>
      </c>
      <c r="I2485">
        <v>11</v>
      </c>
      <c r="J2485">
        <v>0</v>
      </c>
      <c r="K2485" t="s">
        <v>24526</v>
      </c>
      <c r="L2485" t="s">
        <v>42</v>
      </c>
      <c r="N2485">
        <v>0.62870000000000004</v>
      </c>
      <c r="O2485" s="1">
        <v>2</v>
      </c>
      <c r="P2485" t="s">
        <v>24527</v>
      </c>
      <c r="Q2485" t="s">
        <v>24528</v>
      </c>
      <c r="S2485" t="s">
        <v>45</v>
      </c>
      <c r="T2485" t="s">
        <v>3982</v>
      </c>
      <c r="U2485" t="s">
        <v>24529</v>
      </c>
      <c r="V2485">
        <v>5</v>
      </c>
      <c r="AE2485" t="s">
        <v>48</v>
      </c>
      <c r="AF2485" t="s">
        <v>24530</v>
      </c>
      <c r="AG2485" t="s">
        <v>24531</v>
      </c>
      <c r="AH2485" t="str">
        <f>HYPERLINK("http://compartments.jensenlab.org/Entity?figures=subcell_cell_%&amp;knowledge=10&amp;textmining=10&amp;experiments=10&amp;predictions=10&amp;type1=9606&amp;type2=-22&amp;id1=ENSP00000256031","link")</f>
        <v>link</v>
      </c>
      <c r="AJ2485" t="s">
        <v>51</v>
      </c>
      <c r="AK2485" t="str">
        <f>HYPERLINK("http://www.proteinatlas.org/Q9H7F0","HPA029471")</f>
        <v>HPA029471</v>
      </c>
      <c r="AM2485">
        <v>79572</v>
      </c>
    </row>
    <row r="2486" spans="1:39" x14ac:dyDescent="0.35">
      <c r="A2486" t="s">
        <v>24532</v>
      </c>
      <c r="B2486" t="str">
        <f>HYPERLINK("http://www.uniprot.org/uniprot/Q9H7M9","Q9H7M9")</f>
        <v>Q9H7M9</v>
      </c>
      <c r="C2486" t="s">
        <v>24533</v>
      </c>
      <c r="D2486" t="s">
        <v>24534</v>
      </c>
      <c r="E2486" t="s">
        <v>39</v>
      </c>
      <c r="F2486" t="s">
        <v>55</v>
      </c>
      <c r="H2486">
        <v>311</v>
      </c>
      <c r="I2486">
        <v>1</v>
      </c>
      <c r="J2486">
        <v>1</v>
      </c>
      <c r="K2486" t="s">
        <v>24535</v>
      </c>
      <c r="L2486" t="s">
        <v>101</v>
      </c>
      <c r="M2486" t="s">
        <v>39</v>
      </c>
      <c r="N2486">
        <v>0.95150000000000001</v>
      </c>
      <c r="O2486" s="1">
        <v>1</v>
      </c>
      <c r="P2486" t="s">
        <v>24536</v>
      </c>
      <c r="Q2486" t="s">
        <v>24537</v>
      </c>
      <c r="S2486" t="s">
        <v>60</v>
      </c>
      <c r="T2486" t="s">
        <v>60</v>
      </c>
      <c r="U2486" t="s">
        <v>24538</v>
      </c>
      <c r="V2486">
        <v>6</v>
      </c>
      <c r="Z2486" t="s">
        <v>107</v>
      </c>
      <c r="AA2486">
        <v>7</v>
      </c>
      <c r="AB2486" t="s">
        <v>24539</v>
      </c>
      <c r="AC2486" t="s">
        <v>24540</v>
      </c>
      <c r="AD2486" t="s">
        <v>24541</v>
      </c>
      <c r="AE2486" t="s">
        <v>332</v>
      </c>
      <c r="AF2486" t="s">
        <v>24542</v>
      </c>
      <c r="AG2486" t="s">
        <v>24543</v>
      </c>
      <c r="AH2486" t="str">
        <f>HYPERLINK("http://compartments.jensenlab.org/Entity?figures=subcell_cell_%&amp;knowledge=10&amp;textmining=10&amp;experiments=10&amp;predictions=10&amp;type1=9606&amp;type2=-22&amp;id1=ENSP00000378409","link")</f>
        <v>link</v>
      </c>
      <c r="AJ2486" t="s">
        <v>51</v>
      </c>
      <c r="AK2486" t="str">
        <f>HYPERLINK("http://www.proteinatlas.org/Q9H7M9","HPA007968")</f>
        <v>HPA007968</v>
      </c>
      <c r="AM2486">
        <v>64115</v>
      </c>
    </row>
    <row r="2487" spans="1:39" x14ac:dyDescent="0.35">
      <c r="A2487" t="s">
        <v>24544</v>
      </c>
      <c r="B2487" t="str">
        <f>HYPERLINK("http://www.uniprot.org/uniprot/Q9H841","Q9H841")</f>
        <v>Q9H841</v>
      </c>
      <c r="C2487" t="s">
        <v>24545</v>
      </c>
      <c r="D2487" t="s">
        <v>24546</v>
      </c>
      <c r="E2487" t="s">
        <v>39</v>
      </c>
      <c r="F2487" t="s">
        <v>40</v>
      </c>
      <c r="H2487">
        <v>368</v>
      </c>
      <c r="I2487">
        <v>9</v>
      </c>
      <c r="J2487">
        <v>0</v>
      </c>
      <c r="K2487" t="s">
        <v>24547</v>
      </c>
      <c r="L2487" t="s">
        <v>42</v>
      </c>
      <c r="N2487">
        <v>0.66269999999999996</v>
      </c>
      <c r="O2487" s="1">
        <v>2</v>
      </c>
      <c r="P2487" t="s">
        <v>24548</v>
      </c>
      <c r="Q2487" t="s">
        <v>24549</v>
      </c>
      <c r="S2487" t="s">
        <v>45</v>
      </c>
      <c r="T2487" t="s">
        <v>12290</v>
      </c>
      <c r="U2487" t="s">
        <v>24550</v>
      </c>
      <c r="V2487">
        <v>3</v>
      </c>
      <c r="AE2487" t="s">
        <v>48</v>
      </c>
      <c r="AF2487" t="s">
        <v>2332</v>
      </c>
      <c r="AG2487" t="s">
        <v>24551</v>
      </c>
      <c r="AH2487" t="str">
        <f>HYPERLINK("http://compartments.jensenlab.org/Entity?figures=subcell_cell_%&amp;knowledge=10&amp;textmining=10&amp;experiments=10&amp;predictions=10&amp;type1=9606&amp;type2=-22&amp;id1=ENSP00000339256","link")</f>
        <v>link</v>
      </c>
      <c r="AJ2487" t="s">
        <v>51</v>
      </c>
      <c r="AK2487" t="str">
        <f>HYPERLINK("http://www.proteinatlas.org/Q9H841","no")</f>
        <v>no</v>
      </c>
      <c r="AM2487">
        <v>79815</v>
      </c>
    </row>
    <row r="2488" spans="1:39" x14ac:dyDescent="0.35">
      <c r="A2488" t="s">
        <v>24552</v>
      </c>
      <c r="B2488" t="str">
        <f>HYPERLINK("http://www.uniprot.org/uniprot/Q9H8J5","Q9H8J5")</f>
        <v>Q9H8J5</v>
      </c>
      <c r="C2488" t="s">
        <v>24553</v>
      </c>
      <c r="D2488" t="s">
        <v>24554</v>
      </c>
      <c r="E2488" t="s">
        <v>39</v>
      </c>
      <c r="F2488" t="s">
        <v>40</v>
      </c>
      <c r="H2488">
        <v>431</v>
      </c>
      <c r="I2488">
        <v>1</v>
      </c>
      <c r="J2488">
        <v>1</v>
      </c>
      <c r="K2488" t="s">
        <v>24555</v>
      </c>
      <c r="L2488" t="s">
        <v>57</v>
      </c>
      <c r="N2488">
        <v>0.75849999999999995</v>
      </c>
      <c r="O2488" s="1">
        <v>1</v>
      </c>
      <c r="P2488" t="s">
        <v>24556</v>
      </c>
      <c r="Q2488" t="s">
        <v>24557</v>
      </c>
      <c r="S2488" t="s">
        <v>947</v>
      </c>
      <c r="T2488" t="s">
        <v>4765</v>
      </c>
      <c r="U2488" t="s">
        <v>24558</v>
      </c>
      <c r="V2488">
        <v>5</v>
      </c>
      <c r="X2488" t="s">
        <v>24559</v>
      </c>
      <c r="AE2488" t="s">
        <v>144</v>
      </c>
      <c r="AF2488" t="s">
        <v>13398</v>
      </c>
      <c r="AG2488" t="s">
        <v>24560</v>
      </c>
      <c r="AH2488" t="str">
        <f>HYPERLINK("http://compartments.jensenlab.org/Entity?figures=subcell_cell_%&amp;knowledge=10&amp;textmining=10&amp;experiments=10&amp;predictions=10&amp;type1=9606&amp;type2=-22&amp;id1=ENSP00000438205","link")</f>
        <v>link</v>
      </c>
      <c r="AK2488" t="str">
        <f>HYPERLINK("http://www.proteinatlas.org/Q9H8J5","HPA007955;HPA007956")</f>
        <v>HPA007955;HPA007956</v>
      </c>
      <c r="AM2488">
        <v>54682</v>
      </c>
    </row>
    <row r="2489" spans="1:39" x14ac:dyDescent="0.35">
      <c r="A2489" t="s">
        <v>24561</v>
      </c>
      <c r="B2489" t="str">
        <f>HYPERLINK("http://www.uniprot.org/uniprot/Q9H8M5","Q9H8M5")</f>
        <v>Q9H8M5</v>
      </c>
      <c r="C2489" t="s">
        <v>24562</v>
      </c>
      <c r="D2489" t="s">
        <v>24563</v>
      </c>
      <c r="E2489" t="s">
        <v>39</v>
      </c>
      <c r="F2489" t="s">
        <v>55</v>
      </c>
      <c r="H2489">
        <v>875</v>
      </c>
      <c r="I2489">
        <v>3</v>
      </c>
      <c r="J2489">
        <v>0</v>
      </c>
      <c r="K2489" t="s">
        <v>24564</v>
      </c>
      <c r="L2489" t="s">
        <v>101</v>
      </c>
      <c r="M2489" t="s">
        <v>39</v>
      </c>
      <c r="N2489">
        <v>0.34660000000000002</v>
      </c>
      <c r="O2489" s="1"/>
      <c r="P2489" t="s">
        <v>24565</v>
      </c>
      <c r="Q2489" t="s">
        <v>24566</v>
      </c>
      <c r="S2489" t="s">
        <v>60</v>
      </c>
      <c r="T2489" t="s">
        <v>60</v>
      </c>
      <c r="U2489" t="s">
        <v>24567</v>
      </c>
      <c r="V2489">
        <v>1</v>
      </c>
      <c r="Z2489" t="s">
        <v>107</v>
      </c>
      <c r="AA2489">
        <v>1</v>
      </c>
      <c r="AB2489" t="s">
        <v>24568</v>
      </c>
      <c r="AC2489">
        <v>112</v>
      </c>
      <c r="AD2489" t="s">
        <v>24569</v>
      </c>
      <c r="AE2489" t="s">
        <v>74</v>
      </c>
      <c r="AF2489" t="s">
        <v>24570</v>
      </c>
      <c r="AG2489" t="s">
        <v>24571</v>
      </c>
      <c r="AH2489" t="str">
        <f>HYPERLINK("http://compartments.jensenlab.org/Entity?figures=subcell_cell_%&amp;knowledge=10&amp;textmining=10&amp;experiments=10&amp;predictions=10&amp;type1=9606&amp;type2=-22&amp;id1=ENSP00000358894","link")</f>
        <v>link</v>
      </c>
      <c r="AI2489" t="s">
        <v>65</v>
      </c>
      <c r="AJ2489" t="s">
        <v>51</v>
      </c>
      <c r="AK2489" t="str">
        <f>HYPERLINK("http://www.proteinatlas.org/Q9H8M5","no")</f>
        <v>no</v>
      </c>
      <c r="AM2489">
        <v>54805</v>
      </c>
    </row>
    <row r="2490" spans="1:39" x14ac:dyDescent="0.35">
      <c r="A2490" t="s">
        <v>24572</v>
      </c>
      <c r="B2490" t="str">
        <f>HYPERLINK("http://www.uniprot.org/uniprot/Q9H8X9","Q9H8X9")</f>
        <v>Q9H8X9</v>
      </c>
      <c r="C2490" t="s">
        <v>24573</v>
      </c>
      <c r="D2490" t="s">
        <v>24574</v>
      </c>
      <c r="E2490" t="s">
        <v>39</v>
      </c>
      <c r="F2490" t="s">
        <v>40</v>
      </c>
      <c r="H2490">
        <v>412</v>
      </c>
      <c r="I2490">
        <v>5</v>
      </c>
      <c r="J2490">
        <v>0</v>
      </c>
      <c r="K2490" t="s">
        <v>24575</v>
      </c>
      <c r="L2490" t="s">
        <v>42</v>
      </c>
      <c r="N2490">
        <v>0.71660000000000001</v>
      </c>
      <c r="O2490" s="1">
        <v>2</v>
      </c>
      <c r="P2490" t="s">
        <v>24576</v>
      </c>
      <c r="Q2490" t="s">
        <v>24577</v>
      </c>
      <c r="S2490" t="s">
        <v>947</v>
      </c>
      <c r="T2490" t="s">
        <v>4893</v>
      </c>
      <c r="U2490">
        <v>105</v>
      </c>
      <c r="V2490">
        <v>1</v>
      </c>
      <c r="AE2490" t="s">
        <v>48</v>
      </c>
      <c r="AF2490" t="s">
        <v>24578</v>
      </c>
      <c r="AG2490" t="s">
        <v>24579</v>
      </c>
      <c r="AH2490" t="str">
        <f>HYPERLINK("http://compartments.jensenlab.org/Entity?figures=subcell_cell_%&amp;knowledge=10&amp;textmining=10&amp;experiments=10&amp;predictions=10&amp;type1=9606&amp;type2=-22&amp;id1=ENSP00000283441","link")</f>
        <v>link</v>
      </c>
      <c r="AJ2490" t="s">
        <v>51</v>
      </c>
      <c r="AK2490" t="str">
        <f>HYPERLINK("http://www.proteinatlas.org/Q9H8X9","HPA057886")</f>
        <v>HPA057886</v>
      </c>
      <c r="AM2490">
        <v>79844</v>
      </c>
    </row>
    <row r="2491" spans="1:39" x14ac:dyDescent="0.35">
      <c r="A2491" t="s">
        <v>24580</v>
      </c>
      <c r="B2491" t="str">
        <f>HYPERLINK("http://www.uniprot.org/uniprot/Q9H9K5","Q9H9K5")</f>
        <v>Q9H9K5</v>
      </c>
      <c r="C2491" t="s">
        <v>24581</v>
      </c>
      <c r="D2491" t="s">
        <v>24582</v>
      </c>
      <c r="E2491" t="s">
        <v>39</v>
      </c>
      <c r="F2491" t="s">
        <v>40</v>
      </c>
      <c r="H2491">
        <v>563</v>
      </c>
      <c r="I2491">
        <v>1</v>
      </c>
      <c r="J2491">
        <v>1</v>
      </c>
      <c r="K2491" t="s">
        <v>24583</v>
      </c>
      <c r="L2491" t="s">
        <v>57</v>
      </c>
      <c r="N2491">
        <v>0.6986</v>
      </c>
      <c r="O2491" s="1">
        <v>2</v>
      </c>
      <c r="P2491" t="s">
        <v>24584</v>
      </c>
      <c r="Q2491" t="s">
        <v>24585</v>
      </c>
      <c r="S2491" t="s">
        <v>91</v>
      </c>
      <c r="T2491" t="s">
        <v>738</v>
      </c>
      <c r="U2491" t="s">
        <v>24586</v>
      </c>
      <c r="V2491">
        <v>15</v>
      </c>
      <c r="AE2491" t="s">
        <v>24587</v>
      </c>
      <c r="AF2491" t="s">
        <v>24588</v>
      </c>
      <c r="AG2491" t="s">
        <v>24589</v>
      </c>
      <c r="AH2491" t="str">
        <f>HYPERLINK("http://compartments.jensenlab.org/Entity?figures=subcell_cell_%&amp;knowledge=10&amp;textmining=10&amp;experiments=10&amp;predictions=10&amp;type1=9606&amp;type2=-22&amp;id1=ENSP00000460255","link")</f>
        <v>link</v>
      </c>
      <c r="AK2491" t="str">
        <f>HYPERLINK("http://www.proteinatlas.org/Q9H9K5","HPA011423;HPA024053")</f>
        <v>HPA011423;HPA024053</v>
      </c>
      <c r="AM2491" s="4">
        <v>100000000</v>
      </c>
    </row>
    <row r="2492" spans="1:39" x14ac:dyDescent="0.35">
      <c r="A2492" t="s">
        <v>24590</v>
      </c>
      <c r="B2492" t="str">
        <f>HYPERLINK("http://www.uniprot.org/uniprot/Q9H9P2","Q9H9P2")</f>
        <v>Q9H9P2</v>
      </c>
      <c r="C2492" t="s">
        <v>24591</v>
      </c>
      <c r="D2492" t="s">
        <v>24592</v>
      </c>
      <c r="E2492" t="s">
        <v>39</v>
      </c>
      <c r="F2492" t="s">
        <v>40</v>
      </c>
      <c r="H2492">
        <v>273</v>
      </c>
      <c r="I2492">
        <v>1</v>
      </c>
      <c r="J2492">
        <v>1</v>
      </c>
      <c r="K2492" t="s">
        <v>24593</v>
      </c>
      <c r="L2492" t="s">
        <v>57</v>
      </c>
      <c r="N2492">
        <v>0.78439999999999999</v>
      </c>
      <c r="O2492" s="1">
        <v>1</v>
      </c>
      <c r="P2492" t="s">
        <v>24594</v>
      </c>
      <c r="Q2492" t="s">
        <v>24595</v>
      </c>
      <c r="S2492" t="s">
        <v>60</v>
      </c>
      <c r="T2492" t="s">
        <v>60</v>
      </c>
      <c r="U2492" t="s">
        <v>24596</v>
      </c>
      <c r="V2492">
        <v>1</v>
      </c>
      <c r="AE2492" t="s">
        <v>17137</v>
      </c>
      <c r="AF2492" t="s">
        <v>24597</v>
      </c>
      <c r="AG2492" t="s">
        <v>24598</v>
      </c>
      <c r="AH2492" t="str">
        <f>HYPERLINK("http://compartments.jensenlab.org/Entity?figures=subcell_cell_%&amp;knowledge=10&amp;textmining=10&amp;experiments=10&amp;predictions=10&amp;type1=9606&amp;type2=-22&amp;id1=ENSP00000299295","link")</f>
        <v>link</v>
      </c>
      <c r="AJ2492" t="s">
        <v>2124</v>
      </c>
      <c r="AK2492" t="str">
        <f>HYPERLINK("http://www.proteinatlas.org/Q9H9P2","HPA017282")</f>
        <v>HPA017282</v>
      </c>
      <c r="AM2492">
        <v>140578</v>
      </c>
    </row>
    <row r="2493" spans="1:39" x14ac:dyDescent="0.35">
      <c r="A2493" t="s">
        <v>24599</v>
      </c>
      <c r="B2493" t="str">
        <f>HYPERLINK("http://www.uniprot.org/uniprot/Q9H9S5","Q9H9S5")</f>
        <v>Q9H9S5</v>
      </c>
      <c r="C2493" t="s">
        <v>24600</v>
      </c>
      <c r="D2493" t="s">
        <v>24601</v>
      </c>
      <c r="E2493" t="s">
        <v>39</v>
      </c>
      <c r="F2493" t="s">
        <v>55</v>
      </c>
      <c r="H2493">
        <v>495</v>
      </c>
      <c r="I2493">
        <v>1</v>
      </c>
      <c r="J2493">
        <v>0</v>
      </c>
      <c r="K2493" t="s">
        <v>24602</v>
      </c>
      <c r="L2493" t="s">
        <v>101</v>
      </c>
      <c r="M2493" t="s">
        <v>39</v>
      </c>
      <c r="N2493">
        <v>0.1852</v>
      </c>
      <c r="O2493" s="1"/>
      <c r="P2493" t="s">
        <v>24603</v>
      </c>
      <c r="Q2493" t="s">
        <v>24604</v>
      </c>
      <c r="U2493" t="s">
        <v>24605</v>
      </c>
      <c r="V2493">
        <v>2</v>
      </c>
      <c r="W2493" t="s">
        <v>24605</v>
      </c>
      <c r="Z2493" t="s">
        <v>107</v>
      </c>
      <c r="AA2493">
        <v>1</v>
      </c>
      <c r="AB2493" t="s">
        <v>24606</v>
      </c>
      <c r="AC2493">
        <v>209</v>
      </c>
      <c r="AD2493" t="s">
        <v>24607</v>
      </c>
      <c r="AE2493" t="s">
        <v>24608</v>
      </c>
      <c r="AF2493" t="s">
        <v>24609</v>
      </c>
      <c r="AG2493" t="s">
        <v>24610</v>
      </c>
      <c r="AH2493" t="str">
        <f>HYPERLINK("http://compartments.jensenlab.org/Entity?figures=subcell_cell_%&amp;knowledge=10&amp;textmining=10&amp;experiments=10&amp;predictions=10&amp;type1=9606&amp;type2=-22&amp;id1=ENSP00000326570","link")</f>
        <v>link</v>
      </c>
      <c r="AI2493" t="s">
        <v>24611</v>
      </c>
      <c r="AJ2493" t="s">
        <v>7391</v>
      </c>
      <c r="AK2493" t="str">
        <f>HYPERLINK("http://www.proteinatlas.org/Q9H9S5","HPA060454")</f>
        <v>HPA060454</v>
      </c>
      <c r="AM2493">
        <v>79147</v>
      </c>
    </row>
    <row r="2494" spans="1:39" x14ac:dyDescent="0.35">
      <c r="A2494" t="s">
        <v>24612</v>
      </c>
      <c r="B2494" t="str">
        <f>HYPERLINK("http://www.uniprot.org/uniprot/Q9HA72","Q9HA72")</f>
        <v>Q9HA72</v>
      </c>
      <c r="C2494" t="s">
        <v>24613</v>
      </c>
      <c r="D2494" t="s">
        <v>24614</v>
      </c>
      <c r="E2494" t="s">
        <v>39</v>
      </c>
      <c r="F2494" t="s">
        <v>40</v>
      </c>
      <c r="H2494">
        <v>323</v>
      </c>
      <c r="I2494">
        <v>4</v>
      </c>
      <c r="J2494">
        <v>0</v>
      </c>
      <c r="K2494" t="s">
        <v>24615</v>
      </c>
      <c r="L2494" t="s">
        <v>42</v>
      </c>
      <c r="N2494">
        <v>0.65869999999999995</v>
      </c>
      <c r="O2494" s="1">
        <v>2</v>
      </c>
      <c r="P2494" t="s">
        <v>24616</v>
      </c>
      <c r="Q2494" t="s">
        <v>24617</v>
      </c>
      <c r="S2494" t="s">
        <v>947</v>
      </c>
      <c r="T2494" t="s">
        <v>1117</v>
      </c>
      <c r="U2494" t="s">
        <v>24618</v>
      </c>
      <c r="V2494">
        <v>1</v>
      </c>
      <c r="AE2494" t="s">
        <v>48</v>
      </c>
      <c r="AF2494" t="s">
        <v>24619</v>
      </c>
      <c r="AG2494" t="s">
        <v>24620</v>
      </c>
      <c r="AH2494" t="str">
        <f>HYPERLINK("http://compartments.jensenlab.org/Entity?figures=subcell_cell_%&amp;knowledge=10&amp;textmining=10&amp;experiments=10&amp;predictions=10&amp;type1=9606&amp;type2=-22&amp;id1=ENSP00000260743","link")</f>
        <v>link</v>
      </c>
      <c r="AJ2494" t="s">
        <v>51</v>
      </c>
      <c r="AK2494" t="str">
        <f>HYPERLINK("http://www.proteinatlas.org/Q9HA72","HPA014706")</f>
        <v>HPA014706</v>
      </c>
      <c r="AM2494">
        <v>51063</v>
      </c>
    </row>
    <row r="2495" spans="1:39" x14ac:dyDescent="0.35">
      <c r="A2495" t="s">
        <v>24621</v>
      </c>
      <c r="B2495" t="str">
        <f>HYPERLINK("http://www.uniprot.org/uniprot/Q9HAB3","Q9HAB3")</f>
        <v>Q9HAB3</v>
      </c>
      <c r="C2495" t="s">
        <v>24622</v>
      </c>
      <c r="D2495" t="s">
        <v>24623</v>
      </c>
      <c r="E2495" t="s">
        <v>39</v>
      </c>
      <c r="F2495" t="s">
        <v>55</v>
      </c>
      <c r="H2495">
        <v>445</v>
      </c>
      <c r="I2495">
        <v>10</v>
      </c>
      <c r="J2495">
        <v>1</v>
      </c>
      <c r="K2495" t="s">
        <v>24624</v>
      </c>
      <c r="L2495" t="s">
        <v>42</v>
      </c>
      <c r="N2495">
        <v>0.89219999999999999</v>
      </c>
      <c r="O2495" s="1">
        <v>1</v>
      </c>
      <c r="P2495" t="s">
        <v>24625</v>
      </c>
      <c r="Q2495" t="s">
        <v>24626</v>
      </c>
      <c r="S2495" t="s">
        <v>166</v>
      </c>
      <c r="T2495" t="s">
        <v>10476</v>
      </c>
      <c r="U2495" t="s">
        <v>24627</v>
      </c>
      <c r="V2495">
        <v>1</v>
      </c>
      <c r="W2495" t="s">
        <v>24627</v>
      </c>
      <c r="AE2495" t="s">
        <v>74</v>
      </c>
      <c r="AF2495" t="s">
        <v>24628</v>
      </c>
      <c r="AG2495" t="s">
        <v>24629</v>
      </c>
      <c r="AH2495" t="str">
        <f>HYPERLINK("http://compartments.jensenlab.org/Entity?figures=subcell_cell_%&amp;knowledge=10&amp;textmining=10&amp;experiments=10&amp;predictions=10&amp;type1=9606&amp;type2=-22&amp;id1=ENSP00000333638","link")</f>
        <v>link</v>
      </c>
      <c r="AI2495" t="s">
        <v>65</v>
      </c>
      <c r="AJ2495" t="s">
        <v>51</v>
      </c>
      <c r="AK2495" t="str">
        <f>HYPERLINK("http://www.proteinatlas.org/Q9HAB3","no")</f>
        <v>no</v>
      </c>
      <c r="AM2495">
        <v>79581</v>
      </c>
    </row>
    <row r="2496" spans="1:39" x14ac:dyDescent="0.35">
      <c r="A2496" t="s">
        <v>24630</v>
      </c>
      <c r="B2496" t="str">
        <f>HYPERLINK("http://www.uniprot.org/uniprot/Q9HAR2","Q9HAR2")</f>
        <v>Q9HAR2</v>
      </c>
      <c r="C2496" t="s">
        <v>24631</v>
      </c>
      <c r="D2496" t="s">
        <v>24632</v>
      </c>
      <c r="E2496" t="s">
        <v>39</v>
      </c>
      <c r="F2496" t="s">
        <v>40</v>
      </c>
      <c r="H2496">
        <v>1447</v>
      </c>
      <c r="I2496">
        <v>7</v>
      </c>
      <c r="J2496">
        <v>1</v>
      </c>
      <c r="K2496" t="s">
        <v>24633</v>
      </c>
      <c r="L2496" t="s">
        <v>57</v>
      </c>
      <c r="N2496">
        <v>0.98599999999999999</v>
      </c>
      <c r="O2496" s="1">
        <v>1</v>
      </c>
      <c r="P2496" t="s">
        <v>24634</v>
      </c>
      <c r="S2496" t="s">
        <v>166</v>
      </c>
      <c r="T2496" t="s">
        <v>1149</v>
      </c>
      <c r="U2496" t="s">
        <v>24635</v>
      </c>
      <c r="V2496">
        <v>10</v>
      </c>
      <c r="X2496">
        <v>468</v>
      </c>
      <c r="AE2496" t="s">
        <v>74</v>
      </c>
      <c r="AF2496" t="s">
        <v>24636</v>
      </c>
      <c r="AG2496" t="s">
        <v>24637</v>
      </c>
      <c r="AK2496" t="str">
        <f>HYPERLINK("http://www.proteinatlas.org/Q9HAR2","HPA015027;HPA015762;CAB022698")</f>
        <v>HPA015027;HPA015762;CAB022698</v>
      </c>
      <c r="AM2496">
        <v>23284</v>
      </c>
    </row>
    <row r="2497" spans="1:39" x14ac:dyDescent="0.35">
      <c r="A2497" t="s">
        <v>24638</v>
      </c>
      <c r="B2497" t="str">
        <f>HYPERLINK("http://www.uniprot.org/uniprot/Q9HAS3","Q9HAS3")</f>
        <v>Q9HAS3</v>
      </c>
      <c r="C2497" t="s">
        <v>24639</v>
      </c>
      <c r="D2497" t="s">
        <v>24640</v>
      </c>
      <c r="E2497" t="s">
        <v>39</v>
      </c>
      <c r="F2497" t="s">
        <v>40</v>
      </c>
      <c r="H2497">
        <v>691</v>
      </c>
      <c r="I2497">
        <v>13</v>
      </c>
      <c r="J2497">
        <v>0</v>
      </c>
      <c r="K2497" t="s">
        <v>24641</v>
      </c>
      <c r="L2497" t="s">
        <v>57</v>
      </c>
      <c r="N2497">
        <v>0.91820000000000002</v>
      </c>
      <c r="O2497" s="1">
        <v>1</v>
      </c>
      <c r="P2497" t="s">
        <v>24642</v>
      </c>
      <c r="Q2497" t="s">
        <v>24643</v>
      </c>
      <c r="S2497" t="s">
        <v>45</v>
      </c>
      <c r="T2497" t="s">
        <v>926</v>
      </c>
      <c r="U2497" t="s">
        <v>24644</v>
      </c>
      <c r="V2497">
        <v>3</v>
      </c>
      <c r="Y2497" t="s">
        <v>24645</v>
      </c>
      <c r="AE2497" t="s">
        <v>1497</v>
      </c>
      <c r="AF2497" t="s">
        <v>24646</v>
      </c>
      <c r="AG2497" t="s">
        <v>24647</v>
      </c>
      <c r="AH2497" t="str">
        <f>HYPERLINK("http://compartments.jensenlab.org/Entity?figures=subcell_cell_%&amp;knowledge=10&amp;textmining=10&amp;experiments=10&amp;predictions=10&amp;type1=9606&amp;type2=-22&amp;id1=ENSP00000365413","link")</f>
        <v>link</v>
      </c>
      <c r="AJ2497" t="s">
        <v>51</v>
      </c>
      <c r="AK2497" t="str">
        <f>HYPERLINK("http://www.proteinatlas.org/Q9HAS3","HPA023311;HPA024729")</f>
        <v>HPA023311;HPA024729</v>
      </c>
      <c r="AM2497">
        <v>64078</v>
      </c>
    </row>
    <row r="2498" spans="1:39" x14ac:dyDescent="0.35">
      <c r="A2498" t="s">
        <v>24648</v>
      </c>
      <c r="B2498" t="str">
        <f>HYPERLINK("http://www.uniprot.org/uniprot/Q9HAV5","Q9HAV5")</f>
        <v>Q9HAV5</v>
      </c>
      <c r="C2498" t="s">
        <v>24649</v>
      </c>
      <c r="D2498" t="s">
        <v>24650</v>
      </c>
      <c r="E2498" t="s">
        <v>39</v>
      </c>
      <c r="F2498" t="s">
        <v>40</v>
      </c>
      <c r="H2498">
        <v>297</v>
      </c>
      <c r="I2498">
        <v>1</v>
      </c>
      <c r="J2498">
        <v>0</v>
      </c>
      <c r="K2498" t="s">
        <v>24651</v>
      </c>
      <c r="L2498" t="s">
        <v>57</v>
      </c>
      <c r="N2498">
        <v>0.76649999999999996</v>
      </c>
      <c r="O2498" s="1">
        <v>1</v>
      </c>
      <c r="P2498" t="s">
        <v>24652</v>
      </c>
      <c r="Q2498" t="s">
        <v>24653</v>
      </c>
      <c r="S2498" t="s">
        <v>166</v>
      </c>
      <c r="T2498" t="s">
        <v>864</v>
      </c>
      <c r="U2498">
        <v>74</v>
      </c>
      <c r="V2498">
        <v>1</v>
      </c>
      <c r="W2498">
        <v>74</v>
      </c>
      <c r="Y2498">
        <v>9</v>
      </c>
      <c r="AE2498" t="s">
        <v>1305</v>
      </c>
      <c r="AF2498" t="s">
        <v>24654</v>
      </c>
      <c r="AG2498" t="s">
        <v>24655</v>
      </c>
      <c r="AH2498" t="str">
        <f>HYPERLINK("http://compartments.jensenlab.org/Entity?figures=subcell_cell_%&amp;knowledge=10&amp;textmining=10&amp;experiments=10&amp;predictions=10&amp;type1=9606&amp;type2=-22&amp;id1=ENSP00000363851","link")</f>
        <v>link</v>
      </c>
      <c r="AJ2498" t="s">
        <v>51</v>
      </c>
      <c r="AK2498" t="str">
        <f>HYPERLINK("http://www.proteinatlas.org/Q9HAV5","CAB015945")</f>
        <v>CAB015945</v>
      </c>
      <c r="AM2498">
        <v>60401</v>
      </c>
    </row>
    <row r="2499" spans="1:39" x14ac:dyDescent="0.35">
      <c r="A2499" t="s">
        <v>24656</v>
      </c>
      <c r="B2499" t="str">
        <f>HYPERLINK("http://www.uniprot.org/uniprot/Q9HB29","Q9HB29")</f>
        <v>Q9HB29</v>
      </c>
      <c r="C2499" t="s">
        <v>24657</v>
      </c>
      <c r="D2499" t="s">
        <v>24658</v>
      </c>
      <c r="E2499" t="s">
        <v>39</v>
      </c>
      <c r="F2499" t="s">
        <v>40</v>
      </c>
      <c r="H2499">
        <v>575</v>
      </c>
      <c r="I2499">
        <v>1</v>
      </c>
      <c r="J2499">
        <v>1</v>
      </c>
      <c r="K2499" t="s">
        <v>24659</v>
      </c>
      <c r="L2499" t="s">
        <v>101</v>
      </c>
      <c r="N2499">
        <v>0.97009999999999996</v>
      </c>
      <c r="O2499" s="1">
        <v>1</v>
      </c>
      <c r="P2499" t="s">
        <v>24660</v>
      </c>
      <c r="Q2499" t="s">
        <v>24661</v>
      </c>
      <c r="S2499" t="s">
        <v>166</v>
      </c>
      <c r="T2499" t="s">
        <v>3171</v>
      </c>
      <c r="U2499" t="s">
        <v>24662</v>
      </c>
      <c r="V2499">
        <v>9</v>
      </c>
      <c r="W2499" t="s">
        <v>24663</v>
      </c>
      <c r="Z2499" t="s">
        <v>107</v>
      </c>
      <c r="AA2499">
        <v>1</v>
      </c>
      <c r="AB2499" t="s">
        <v>24664</v>
      </c>
      <c r="AC2499">
        <v>184</v>
      </c>
      <c r="AD2499" t="s">
        <v>24665</v>
      </c>
      <c r="AE2499" t="s">
        <v>144</v>
      </c>
      <c r="AF2499" t="s">
        <v>24666</v>
      </c>
      <c r="AG2499" t="s">
        <v>24667</v>
      </c>
      <c r="AH2499" t="str">
        <f>HYPERLINK("http://compartments.jensenlab.org/Entity?figures=subcell_cell_%&amp;knowledge=10&amp;textmining=10&amp;experiments=10&amp;predictions=10&amp;type1=9606&amp;type2=-22&amp;id1=ENSP00000264257","link")</f>
        <v>link</v>
      </c>
      <c r="AJ2499" t="s">
        <v>113</v>
      </c>
      <c r="AK2499" t="str">
        <f>HYPERLINK("http://www.proteinatlas.org/Q9HB29","HPA015485")</f>
        <v>HPA015485</v>
      </c>
      <c r="AM2499">
        <v>8808</v>
      </c>
    </row>
    <row r="2500" spans="1:39" x14ac:dyDescent="0.35">
      <c r="A2500" t="s">
        <v>24668</v>
      </c>
      <c r="B2500" t="str">
        <f>HYPERLINK("http://www.uniprot.org/uniprot/Q9HB89","Q9HB89")</f>
        <v>Q9HB89</v>
      </c>
      <c r="C2500" t="s">
        <v>24669</v>
      </c>
      <c r="D2500" t="s">
        <v>24670</v>
      </c>
      <c r="E2500" t="s">
        <v>39</v>
      </c>
      <c r="F2500" t="s">
        <v>55</v>
      </c>
      <c r="H2500">
        <v>426</v>
      </c>
      <c r="I2500">
        <v>7</v>
      </c>
      <c r="J2500">
        <v>0</v>
      </c>
      <c r="K2500" t="s">
        <v>24671</v>
      </c>
      <c r="L2500" t="s">
        <v>101</v>
      </c>
      <c r="M2500" t="s">
        <v>39</v>
      </c>
      <c r="N2500">
        <v>0.94710000000000005</v>
      </c>
      <c r="O2500" s="1">
        <v>1</v>
      </c>
      <c r="P2500" t="s">
        <v>24672</v>
      </c>
      <c r="Q2500" t="s">
        <v>24673</v>
      </c>
      <c r="S2500" t="s">
        <v>166</v>
      </c>
      <c r="T2500" t="s">
        <v>838</v>
      </c>
      <c r="U2500" t="s">
        <v>24674</v>
      </c>
      <c r="V2500">
        <v>3</v>
      </c>
      <c r="W2500" t="s">
        <v>24675</v>
      </c>
      <c r="Z2500" t="s">
        <v>107</v>
      </c>
      <c r="AA2500">
        <v>3</v>
      </c>
      <c r="AB2500" t="s">
        <v>24676</v>
      </c>
      <c r="AC2500" t="s">
        <v>24677</v>
      </c>
      <c r="AD2500" t="s">
        <v>24678</v>
      </c>
      <c r="AE2500" t="s">
        <v>74</v>
      </c>
      <c r="AF2500" t="s">
        <v>1913</v>
      </c>
      <c r="AG2500" t="s">
        <v>24679</v>
      </c>
      <c r="AH2500" t="str">
        <f>HYPERLINK("http://compartments.jensenlab.org/Entity?figures=subcell_cell_%&amp;knowledge=10&amp;textmining=10&amp;experiments=10&amp;predictions=10&amp;type1=9606&amp;type2=-22&amp;id1=ENSP00000305877","link")</f>
        <v>link</v>
      </c>
      <c r="AI2500" t="s">
        <v>65</v>
      </c>
      <c r="AJ2500" t="s">
        <v>51</v>
      </c>
      <c r="AK2500" t="str">
        <f>HYPERLINK("http://www.proteinatlas.org/Q9HB89","HPA027895")</f>
        <v>HPA027895</v>
      </c>
      <c r="AM2500">
        <v>10316</v>
      </c>
    </row>
    <row r="2501" spans="1:39" x14ac:dyDescent="0.35">
      <c r="A2501" t="s">
        <v>24680</v>
      </c>
      <c r="B2501" t="str">
        <f>HYPERLINK("http://www.uniprot.org/uniprot/Q9HBA0","Q9HBA0")</f>
        <v>Q9HBA0</v>
      </c>
      <c r="C2501" t="s">
        <v>24681</v>
      </c>
      <c r="D2501" t="s">
        <v>24682</v>
      </c>
      <c r="E2501" t="s">
        <v>39</v>
      </c>
      <c r="F2501" t="s">
        <v>55</v>
      </c>
      <c r="H2501">
        <v>871</v>
      </c>
      <c r="I2501">
        <v>6</v>
      </c>
      <c r="J2501">
        <v>0</v>
      </c>
      <c r="K2501" t="s">
        <v>24683</v>
      </c>
      <c r="L2501" t="s">
        <v>57</v>
      </c>
      <c r="M2501" t="s">
        <v>39</v>
      </c>
      <c r="N2501">
        <v>0.2424</v>
      </c>
      <c r="O2501" s="1"/>
      <c r="P2501" t="s">
        <v>24684</v>
      </c>
      <c r="Q2501" t="s">
        <v>24685</v>
      </c>
      <c r="S2501" t="s">
        <v>45</v>
      </c>
      <c r="T2501" t="s">
        <v>12824</v>
      </c>
      <c r="U2501" t="s">
        <v>24686</v>
      </c>
      <c r="V2501">
        <v>0</v>
      </c>
      <c r="Y2501">
        <v>785</v>
      </c>
      <c r="AE2501" t="s">
        <v>24687</v>
      </c>
      <c r="AF2501" t="s">
        <v>24688</v>
      </c>
      <c r="AG2501" t="s">
        <v>24689</v>
      </c>
      <c r="AH2501" t="str">
        <f>HYPERLINK("http://compartments.jensenlab.org/Entity?figures=subcell_cell_%&amp;knowledge=10&amp;textmining=10&amp;experiments=10&amp;predictions=10&amp;type1=9606&amp;type2=-22&amp;id1=ENSP00000261740","link")</f>
        <v>link</v>
      </c>
      <c r="AI2501" t="s">
        <v>65</v>
      </c>
      <c r="AJ2501" t="s">
        <v>1811</v>
      </c>
      <c r="AK2501" t="str">
        <f>HYPERLINK("http://www.proteinatlas.org/Q9HBA0","HPA007150")</f>
        <v>HPA007150</v>
      </c>
      <c r="AM2501">
        <v>59341</v>
      </c>
    </row>
    <row r="2502" spans="1:39" x14ac:dyDescent="0.35">
      <c r="A2502" t="s">
        <v>24690</v>
      </c>
      <c r="B2502" t="str">
        <f>HYPERLINK("http://www.uniprot.org/uniprot/Q9HBB8","Q9HBB8")</f>
        <v>Q9HBB8</v>
      </c>
      <c r="C2502" t="s">
        <v>24691</v>
      </c>
      <c r="D2502" t="s">
        <v>24692</v>
      </c>
      <c r="E2502" t="s">
        <v>39</v>
      </c>
      <c r="F2502" t="s">
        <v>40</v>
      </c>
      <c r="H2502">
        <v>845</v>
      </c>
      <c r="I2502">
        <v>1</v>
      </c>
      <c r="J2502">
        <v>1</v>
      </c>
      <c r="K2502" t="s">
        <v>24693</v>
      </c>
      <c r="L2502" t="s">
        <v>57</v>
      </c>
      <c r="N2502">
        <v>0.96209999999999996</v>
      </c>
      <c r="O2502" s="1">
        <v>1</v>
      </c>
      <c r="S2502" t="s">
        <v>91</v>
      </c>
      <c r="T2502" t="s">
        <v>216</v>
      </c>
      <c r="U2502" t="s">
        <v>24694</v>
      </c>
      <c r="V2502">
        <v>8</v>
      </c>
      <c r="AE2502" t="s">
        <v>332</v>
      </c>
      <c r="AF2502" t="s">
        <v>24695</v>
      </c>
      <c r="AG2502" t="s">
        <v>24696</v>
      </c>
      <c r="AK2502" t="str">
        <f>HYPERLINK("http://www.proteinatlas.org/Q9HBB8","no")</f>
        <v>no</v>
      </c>
      <c r="AM2502">
        <v>53841</v>
      </c>
    </row>
    <row r="2503" spans="1:39" x14ac:dyDescent="0.35">
      <c r="A2503" t="s">
        <v>24697</v>
      </c>
      <c r="B2503" t="str">
        <f>HYPERLINK("http://www.uniprot.org/uniprot/Q9HBE5","Q9HBE5")</f>
        <v>Q9HBE5</v>
      </c>
      <c r="C2503" t="s">
        <v>24698</v>
      </c>
      <c r="D2503" t="s">
        <v>24699</v>
      </c>
      <c r="E2503" t="s">
        <v>39</v>
      </c>
      <c r="F2503" t="s">
        <v>40</v>
      </c>
      <c r="H2503">
        <v>538</v>
      </c>
      <c r="I2503">
        <v>1</v>
      </c>
      <c r="J2503">
        <v>1</v>
      </c>
      <c r="K2503" t="s">
        <v>24700</v>
      </c>
      <c r="L2503" t="s">
        <v>57</v>
      </c>
      <c r="N2503">
        <v>0.75249999999999995</v>
      </c>
      <c r="O2503" s="1">
        <v>1</v>
      </c>
      <c r="P2503" t="s">
        <v>24701</v>
      </c>
      <c r="Q2503" t="s">
        <v>24702</v>
      </c>
      <c r="R2503" t="s">
        <v>24703</v>
      </c>
      <c r="S2503" t="s">
        <v>166</v>
      </c>
      <c r="T2503" t="s">
        <v>3171</v>
      </c>
      <c r="U2503" t="s">
        <v>24704</v>
      </c>
      <c r="V2503">
        <v>5</v>
      </c>
      <c r="Y2503" t="s">
        <v>24705</v>
      </c>
      <c r="AE2503" t="s">
        <v>144</v>
      </c>
      <c r="AF2503" t="s">
        <v>24706</v>
      </c>
      <c r="AG2503" t="s">
        <v>24707</v>
      </c>
      <c r="AH2503" t="str">
        <f>HYPERLINK("http://compartments.jensenlab.org/Entity?figures=subcell_cell_%&amp;knowledge=10&amp;textmining=10&amp;experiments=10&amp;predictions=10&amp;type1=9606&amp;type2=-22&amp;id1=ENSP00000338010","link")</f>
        <v>link</v>
      </c>
      <c r="AJ2503" t="s">
        <v>51</v>
      </c>
      <c r="AK2503" t="str">
        <f>HYPERLINK("http://www.proteinatlas.org/Q9HBE5","HPA042296")</f>
        <v>HPA042296</v>
      </c>
      <c r="AM2503">
        <v>50615</v>
      </c>
    </row>
    <row r="2504" spans="1:39" x14ac:dyDescent="0.35">
      <c r="A2504" t="s">
        <v>24708</v>
      </c>
      <c r="B2504" t="str">
        <f>HYPERLINK("http://www.uniprot.org/uniprot/Q9HBG7","Q9HBG7")</f>
        <v>Q9HBG7</v>
      </c>
      <c r="C2504" t="s">
        <v>24709</v>
      </c>
      <c r="D2504" t="s">
        <v>24710</v>
      </c>
      <c r="E2504" t="s">
        <v>39</v>
      </c>
      <c r="F2504" t="s">
        <v>40</v>
      </c>
      <c r="H2504">
        <v>655</v>
      </c>
      <c r="I2504">
        <v>1</v>
      </c>
      <c r="J2504">
        <v>1</v>
      </c>
      <c r="K2504" t="s">
        <v>24711</v>
      </c>
      <c r="L2504" t="s">
        <v>101</v>
      </c>
      <c r="N2504">
        <v>0.93410000000000004</v>
      </c>
      <c r="O2504" s="1">
        <v>1</v>
      </c>
      <c r="P2504" t="s">
        <v>24712</v>
      </c>
      <c r="Q2504" t="s">
        <v>24713</v>
      </c>
      <c r="R2504" t="s">
        <v>24714</v>
      </c>
      <c r="S2504" t="s">
        <v>60</v>
      </c>
      <c r="T2504" t="s">
        <v>60</v>
      </c>
      <c r="U2504" t="s">
        <v>24715</v>
      </c>
      <c r="V2504">
        <v>8</v>
      </c>
      <c r="X2504" t="s">
        <v>24716</v>
      </c>
      <c r="Y2504">
        <v>473</v>
      </c>
      <c r="Z2504" t="s">
        <v>107</v>
      </c>
      <c r="AA2504">
        <v>9</v>
      </c>
      <c r="AB2504" t="s">
        <v>24717</v>
      </c>
      <c r="AC2504" t="s">
        <v>24718</v>
      </c>
      <c r="AD2504" t="s">
        <v>24719</v>
      </c>
      <c r="AE2504" t="s">
        <v>144</v>
      </c>
      <c r="AF2504" t="s">
        <v>16593</v>
      </c>
      <c r="AG2504" t="s">
        <v>24720</v>
      </c>
      <c r="AH2504" t="str">
        <f>HYPERLINK("http://compartments.jensenlab.org/Entity?figures=subcell_cell_%&amp;knowledge=10&amp;textmining=10&amp;experiments=10&amp;predictions=10&amp;type1=9606&amp;type2=-22&amp;id1=ENSP00000263285","link")</f>
        <v>link</v>
      </c>
      <c r="AK2504" t="str">
        <f>HYPERLINK("http://www.proteinatlas.org/Q9HBG7","HPA050917")</f>
        <v>HPA050917</v>
      </c>
      <c r="AM2504">
        <v>4063</v>
      </c>
    </row>
    <row r="2505" spans="1:39" x14ac:dyDescent="0.35">
      <c r="A2505" t="s">
        <v>24721</v>
      </c>
      <c r="B2505" t="str">
        <f>HYPERLINK("http://www.uniprot.org/uniprot/Q9HBJ8","Q9HBJ8")</f>
        <v>Q9HBJ8</v>
      </c>
      <c r="C2505" t="s">
        <v>24722</v>
      </c>
      <c r="D2505" t="s">
        <v>24723</v>
      </c>
      <c r="E2505" t="s">
        <v>39</v>
      </c>
      <c r="F2505" t="s">
        <v>40</v>
      </c>
      <c r="H2505">
        <v>222</v>
      </c>
      <c r="I2505">
        <v>1</v>
      </c>
      <c r="J2505">
        <v>1</v>
      </c>
      <c r="K2505" t="s">
        <v>24724</v>
      </c>
      <c r="L2505" t="s">
        <v>57</v>
      </c>
      <c r="N2505">
        <v>0.87819999999999998</v>
      </c>
      <c r="O2505" s="1">
        <v>1</v>
      </c>
      <c r="P2505" t="s">
        <v>24725</v>
      </c>
      <c r="Q2505" t="s">
        <v>24726</v>
      </c>
      <c r="S2505" t="s">
        <v>60</v>
      </c>
      <c r="T2505" t="s">
        <v>60</v>
      </c>
      <c r="U2505" t="s">
        <v>24727</v>
      </c>
      <c r="V2505">
        <v>2</v>
      </c>
      <c r="AE2505" t="s">
        <v>144</v>
      </c>
      <c r="AF2505" t="s">
        <v>409</v>
      </c>
      <c r="AG2505" t="s">
        <v>24728</v>
      </c>
      <c r="AH2505" t="str">
        <f>HYPERLINK("http://compartments.jensenlab.org/Entity?figures=subcell_cell_%&amp;knowledge=10&amp;textmining=10&amp;experiments=10&amp;predictions=10&amp;type1=9606&amp;type2=-22&amp;id1=ENSP00000369699","link")</f>
        <v>link</v>
      </c>
      <c r="AJ2505" t="s">
        <v>51</v>
      </c>
      <c r="AK2505" t="str">
        <f>HYPERLINK("http://www.proteinatlas.org/Q9HBJ8","HPA048543")</f>
        <v>HPA048543</v>
      </c>
      <c r="AM2505">
        <v>57393</v>
      </c>
    </row>
    <row r="2506" spans="1:39" x14ac:dyDescent="0.35">
      <c r="A2506" t="s">
        <v>24729</v>
      </c>
      <c r="B2506" t="str">
        <f>HYPERLINK("http://www.uniprot.org/uniprot/Q9HBL6","Q9HBL6")</f>
        <v>Q9HBL6</v>
      </c>
      <c r="C2506" t="s">
        <v>24730</v>
      </c>
      <c r="D2506" t="s">
        <v>24731</v>
      </c>
      <c r="E2506" t="s">
        <v>39</v>
      </c>
      <c r="F2506" t="s">
        <v>40</v>
      </c>
      <c r="H2506">
        <v>345</v>
      </c>
      <c r="I2506">
        <v>1</v>
      </c>
      <c r="J2506">
        <v>1</v>
      </c>
      <c r="K2506" t="s">
        <v>24732</v>
      </c>
      <c r="L2506" t="s">
        <v>57</v>
      </c>
      <c r="N2506">
        <v>0.88419999999999999</v>
      </c>
      <c r="O2506" s="1">
        <v>1</v>
      </c>
      <c r="P2506" t="s">
        <v>24733</v>
      </c>
      <c r="Q2506" t="s">
        <v>24734</v>
      </c>
      <c r="S2506" t="s">
        <v>91</v>
      </c>
      <c r="T2506" t="s">
        <v>260</v>
      </c>
      <c r="U2506" t="s">
        <v>24735</v>
      </c>
      <c r="V2506">
        <v>5</v>
      </c>
      <c r="AE2506" t="s">
        <v>144</v>
      </c>
      <c r="AF2506" t="s">
        <v>20906</v>
      </c>
      <c r="AG2506" t="s">
        <v>24736</v>
      </c>
      <c r="AH2506" t="str">
        <f>HYPERLINK("http://compartments.jensenlab.org/Entity?figures=subcell_cell_%&amp;knowledge=10&amp;textmining=10&amp;experiments=10&amp;predictions=10&amp;type1=9606&amp;type2=-22&amp;id1=ENSP00000273286","link")</f>
        <v>link</v>
      </c>
      <c r="AJ2506" t="s">
        <v>51</v>
      </c>
      <c r="AK2506" t="str">
        <f>HYPERLINK("http://www.proteinatlas.org/Q9HBL6","HPA013839")</f>
        <v>HPA013839</v>
      </c>
      <c r="AM2506">
        <v>57408</v>
      </c>
    </row>
    <row r="2507" spans="1:39" x14ac:dyDescent="0.35">
      <c r="A2507" t="s">
        <v>24737</v>
      </c>
      <c r="B2507" t="str">
        <f>HYPERLINK("http://www.uniprot.org/uniprot/Q9HBT6","Q9HBT6")</f>
        <v>Q9HBT6</v>
      </c>
      <c r="C2507" t="s">
        <v>24738</v>
      </c>
      <c r="D2507" t="s">
        <v>24739</v>
      </c>
      <c r="E2507" t="s">
        <v>39</v>
      </c>
      <c r="F2507" t="s">
        <v>55</v>
      </c>
      <c r="H2507">
        <v>801</v>
      </c>
      <c r="I2507">
        <v>1</v>
      </c>
      <c r="J2507">
        <v>1</v>
      </c>
      <c r="K2507" t="s">
        <v>24740</v>
      </c>
      <c r="L2507" t="s">
        <v>57</v>
      </c>
      <c r="M2507" t="s">
        <v>39</v>
      </c>
      <c r="N2507">
        <v>0.86319999999999997</v>
      </c>
      <c r="O2507" s="1">
        <v>1</v>
      </c>
      <c r="P2507" t="s">
        <v>24741</v>
      </c>
      <c r="Q2507" t="s">
        <v>24742</v>
      </c>
      <c r="S2507" t="s">
        <v>91</v>
      </c>
      <c r="T2507" t="s">
        <v>2622</v>
      </c>
      <c r="U2507" t="s">
        <v>24743</v>
      </c>
      <c r="V2507">
        <v>4</v>
      </c>
      <c r="AE2507" t="s">
        <v>332</v>
      </c>
      <c r="AF2507" t="s">
        <v>24744</v>
      </c>
      <c r="AG2507" t="s">
        <v>24745</v>
      </c>
      <c r="AH2507" t="str">
        <f>HYPERLINK("http://compartments.jensenlab.org/Entity?figures=subcell_cell_%&amp;knowledge=10&amp;textmining=10&amp;experiments=10&amp;predictions=10&amp;type1=9606&amp;type2=-22&amp;id1=ENSP00000262717","link")</f>
        <v>link</v>
      </c>
      <c r="AI2507" t="s">
        <v>65</v>
      </c>
      <c r="AJ2507" t="s">
        <v>51</v>
      </c>
      <c r="AK2507" t="str">
        <f>HYPERLINK("http://www.proteinatlas.org/Q9HBT6","HPA015490")</f>
        <v>HPA015490</v>
      </c>
      <c r="AM2507">
        <v>28316</v>
      </c>
    </row>
    <row r="2508" spans="1:39" x14ac:dyDescent="0.35">
      <c r="A2508" t="s">
        <v>24746</v>
      </c>
      <c r="B2508" t="str">
        <f>HYPERLINK("http://www.uniprot.org/uniprot/Q9HBV2","Q9HBV2")</f>
        <v>Q9HBV2</v>
      </c>
      <c r="C2508" t="s">
        <v>24747</v>
      </c>
      <c r="D2508" t="s">
        <v>24748</v>
      </c>
      <c r="E2508" t="s">
        <v>39</v>
      </c>
      <c r="F2508" t="s">
        <v>40</v>
      </c>
      <c r="H2508">
        <v>294</v>
      </c>
      <c r="I2508">
        <v>1</v>
      </c>
      <c r="J2508">
        <v>1</v>
      </c>
      <c r="K2508" t="s">
        <v>24749</v>
      </c>
      <c r="L2508" t="s">
        <v>57</v>
      </c>
      <c r="N2508">
        <v>0.89419999999999999</v>
      </c>
      <c r="O2508" s="1">
        <v>1</v>
      </c>
      <c r="P2508" t="s">
        <v>24750</v>
      </c>
      <c r="Q2508" t="s">
        <v>24751</v>
      </c>
      <c r="S2508" t="s">
        <v>60</v>
      </c>
      <c r="T2508" t="s">
        <v>60</v>
      </c>
      <c r="U2508" t="s">
        <v>24752</v>
      </c>
      <c r="V2508">
        <v>3</v>
      </c>
      <c r="AE2508" t="s">
        <v>144</v>
      </c>
      <c r="AF2508" t="s">
        <v>5819</v>
      </c>
      <c r="AG2508" t="s">
        <v>24753</v>
      </c>
      <c r="AH2508" t="str">
        <f>HYPERLINK("http://compartments.jensenlab.org/Entity?figures=subcell_cell_%&amp;knowledge=10&amp;textmining=10&amp;experiments=10&amp;predictions=10&amp;type1=9606&amp;type2=-22&amp;id1=ENSP00000237201","link")</f>
        <v>link</v>
      </c>
      <c r="AJ2508" t="s">
        <v>51</v>
      </c>
      <c r="AK2508" t="str">
        <f>HYPERLINK("http://www.proteinatlas.org/Q9HBV2","HPA026744;HPA043297")</f>
        <v>HPA026744;HPA043297</v>
      </c>
      <c r="AM2508">
        <v>81833</v>
      </c>
    </row>
    <row r="2509" spans="1:39" x14ac:dyDescent="0.35">
      <c r="A2509" t="s">
        <v>24754</v>
      </c>
      <c r="B2509" t="str">
        <f>HYPERLINK("http://www.uniprot.org/uniprot/Q9HBW0","Q9HBW0")</f>
        <v>Q9HBW0</v>
      </c>
      <c r="C2509" t="s">
        <v>24755</v>
      </c>
      <c r="D2509" t="s">
        <v>24756</v>
      </c>
      <c r="E2509" t="s">
        <v>39</v>
      </c>
      <c r="F2509" t="s">
        <v>40</v>
      </c>
      <c r="H2509">
        <v>351</v>
      </c>
      <c r="I2509">
        <v>7</v>
      </c>
      <c r="J2509">
        <v>0</v>
      </c>
      <c r="K2509" t="s">
        <v>24757</v>
      </c>
      <c r="L2509" t="s">
        <v>57</v>
      </c>
      <c r="N2509">
        <v>0.95409999999999995</v>
      </c>
      <c r="O2509" s="1">
        <v>1</v>
      </c>
      <c r="P2509" t="s">
        <v>24758</v>
      </c>
      <c r="Q2509" t="s">
        <v>24759</v>
      </c>
      <c r="S2509" t="s">
        <v>166</v>
      </c>
      <c r="T2509" t="s">
        <v>838</v>
      </c>
      <c r="U2509" t="s">
        <v>24760</v>
      </c>
      <c r="V2509">
        <v>2</v>
      </c>
      <c r="W2509" t="s">
        <v>24760</v>
      </c>
      <c r="X2509" t="s">
        <v>24761</v>
      </c>
      <c r="AE2509" t="s">
        <v>21333</v>
      </c>
      <c r="AF2509" t="s">
        <v>3102</v>
      </c>
      <c r="AG2509" t="s">
        <v>24762</v>
      </c>
      <c r="AH2509" t="str">
        <f>HYPERLINK("http://compartments.jensenlab.org/Entity?figures=subcell_cell_%&amp;knowledge=10&amp;textmining=10&amp;experiments=10&amp;predictions=10&amp;type1=9606&amp;type2=-22&amp;id1=ENSP00000384665","link")</f>
        <v>link</v>
      </c>
      <c r="AI2509" t="s">
        <v>65</v>
      </c>
      <c r="AJ2509" t="s">
        <v>51</v>
      </c>
      <c r="AK2509" t="str">
        <f>HYPERLINK("http://www.proteinatlas.org/Q9HBW0","HPA019616")</f>
        <v>HPA019616</v>
      </c>
      <c r="AM2509">
        <v>9170</v>
      </c>
    </row>
    <row r="2510" spans="1:39" x14ac:dyDescent="0.35">
      <c r="A2510" t="s">
        <v>24763</v>
      </c>
      <c r="B2510" t="str">
        <f>HYPERLINK("http://www.uniprot.org/uniprot/Q9HBW1","Q9HBW1")</f>
        <v>Q9HBW1</v>
      </c>
      <c r="C2510" t="s">
        <v>24764</v>
      </c>
      <c r="D2510" t="s">
        <v>24765</v>
      </c>
      <c r="E2510" t="s">
        <v>39</v>
      </c>
      <c r="F2510" t="s">
        <v>40</v>
      </c>
      <c r="H2510">
        <v>653</v>
      </c>
      <c r="I2510">
        <v>1</v>
      </c>
      <c r="J2510">
        <v>1</v>
      </c>
      <c r="K2510" t="s">
        <v>24766</v>
      </c>
      <c r="L2510" t="s">
        <v>57</v>
      </c>
      <c r="N2510">
        <v>0.88419999999999999</v>
      </c>
      <c r="O2510" s="1">
        <v>1</v>
      </c>
      <c r="P2510" t="s">
        <v>24767</v>
      </c>
      <c r="Q2510" t="s">
        <v>24768</v>
      </c>
      <c r="S2510" t="s">
        <v>91</v>
      </c>
      <c r="T2510" t="s">
        <v>260</v>
      </c>
      <c r="U2510" t="s">
        <v>24769</v>
      </c>
      <c r="V2510">
        <v>10</v>
      </c>
      <c r="Y2510">
        <v>310</v>
      </c>
      <c r="AE2510" t="s">
        <v>24770</v>
      </c>
      <c r="AF2510" t="s">
        <v>24771</v>
      </c>
      <c r="AG2510" t="s">
        <v>24772</v>
      </c>
      <c r="AH2510" t="str">
        <f>HYPERLINK("http://compartments.jensenlab.org/Entity?figures=subcell_cell_%&amp;knowledge=10&amp;textmining=10&amp;experiments=10&amp;predictions=10&amp;type1=9606&amp;type2=-22&amp;id1=ENSP00000249363","link")</f>
        <v>link</v>
      </c>
      <c r="AJ2510" t="s">
        <v>51</v>
      </c>
      <c r="AK2510" t="str">
        <f>HYPERLINK("http://www.proteinatlas.org/Q9HBW1","HPA051100")</f>
        <v>HPA051100</v>
      </c>
      <c r="AM2510">
        <v>64101</v>
      </c>
    </row>
    <row r="2511" spans="1:39" x14ac:dyDescent="0.35">
      <c r="A2511" t="s">
        <v>24773</v>
      </c>
      <c r="B2511" t="str">
        <f>HYPERLINK("http://www.uniprot.org/uniprot/Q9HBW9","Q9HBW9")</f>
        <v>Q9HBW9</v>
      </c>
      <c r="C2511" t="s">
        <v>24774</v>
      </c>
      <c r="D2511" t="s">
        <v>24775</v>
      </c>
      <c r="E2511" t="s">
        <v>39</v>
      </c>
      <c r="F2511" t="s">
        <v>55</v>
      </c>
      <c r="H2511">
        <v>690</v>
      </c>
      <c r="I2511">
        <v>7</v>
      </c>
      <c r="J2511">
        <v>1</v>
      </c>
      <c r="K2511" t="s">
        <v>24776</v>
      </c>
      <c r="L2511" t="s">
        <v>101</v>
      </c>
      <c r="M2511" t="s">
        <v>39</v>
      </c>
      <c r="N2511">
        <v>0.89939999999999998</v>
      </c>
      <c r="O2511" s="1">
        <v>1</v>
      </c>
      <c r="P2511" t="s">
        <v>24777</v>
      </c>
      <c r="Q2511" t="s">
        <v>24778</v>
      </c>
      <c r="S2511" t="s">
        <v>166</v>
      </c>
      <c r="T2511" t="s">
        <v>1149</v>
      </c>
      <c r="U2511" t="s">
        <v>24779</v>
      </c>
      <c r="V2511">
        <v>10</v>
      </c>
      <c r="Z2511" t="s">
        <v>107</v>
      </c>
      <c r="AA2511">
        <v>2</v>
      </c>
      <c r="AB2511" t="s">
        <v>24780</v>
      </c>
      <c r="AC2511" t="s">
        <v>24781</v>
      </c>
      <c r="AD2511" t="s">
        <v>24782</v>
      </c>
      <c r="AE2511" t="s">
        <v>74</v>
      </c>
      <c r="AF2511" t="s">
        <v>24783</v>
      </c>
      <c r="AG2511" t="s">
        <v>24784</v>
      </c>
      <c r="AH2511" t="str">
        <f>HYPERLINK("http://compartments.jensenlab.org/Entity?figures=subcell_cell_%&amp;knowledge=10&amp;textmining=10&amp;experiments=10&amp;predictions=10&amp;type1=9606&amp;type2=-22&amp;id1=ENSP00000359778","link")</f>
        <v>link</v>
      </c>
      <c r="AI2511" t="s">
        <v>65</v>
      </c>
      <c r="AJ2511" t="s">
        <v>51</v>
      </c>
      <c r="AK2511" t="str">
        <f>HYPERLINK("http://www.proteinatlas.org/Q9HBW9","HPA025229")</f>
        <v>HPA025229</v>
      </c>
      <c r="AM2511">
        <v>64123</v>
      </c>
    </row>
    <row r="2512" spans="1:39" x14ac:dyDescent="0.35">
      <c r="A2512" t="s">
        <v>24785</v>
      </c>
      <c r="B2512" t="str">
        <f>HYPERLINK("http://www.uniprot.org/uniprot/Q9HBX8","Q9HBX8")</f>
        <v>Q9HBX8</v>
      </c>
      <c r="C2512" t="s">
        <v>24786</v>
      </c>
      <c r="D2512" t="s">
        <v>24787</v>
      </c>
      <c r="E2512" t="s">
        <v>39</v>
      </c>
      <c r="F2512" t="s">
        <v>40</v>
      </c>
      <c r="H2512">
        <v>967</v>
      </c>
      <c r="I2512">
        <v>7</v>
      </c>
      <c r="J2512">
        <v>1</v>
      </c>
      <c r="K2512" t="s">
        <v>24788</v>
      </c>
      <c r="L2512" t="s">
        <v>57</v>
      </c>
      <c r="N2512">
        <v>0.81040000000000001</v>
      </c>
      <c r="O2512" s="1">
        <v>1</v>
      </c>
      <c r="P2512" t="s">
        <v>24789</v>
      </c>
      <c r="Q2512" t="s">
        <v>24790</v>
      </c>
      <c r="S2512" t="s">
        <v>166</v>
      </c>
      <c r="T2512" t="s">
        <v>838</v>
      </c>
      <c r="U2512" t="s">
        <v>24791</v>
      </c>
      <c r="V2512">
        <v>2</v>
      </c>
      <c r="AE2512" t="s">
        <v>74</v>
      </c>
      <c r="AF2512" t="s">
        <v>24792</v>
      </c>
      <c r="AG2512" t="s">
        <v>24793</v>
      </c>
      <c r="AH2512" t="str">
        <f>HYPERLINK("http://compartments.jensenlab.org/Entity?figures=subcell_cell_%&amp;knowledge=10&amp;textmining=10&amp;experiments=10&amp;predictions=10&amp;type1=9606&amp;type2=-22&amp;id1=ENSP00000387869","link")</f>
        <v>link</v>
      </c>
      <c r="AK2512" t="str">
        <f>HYPERLINK("http://www.proteinatlas.org/Q9HBX8","HPA008556")</f>
        <v>HPA008556</v>
      </c>
      <c r="AM2512">
        <v>59352</v>
      </c>
    </row>
    <row r="2513" spans="1:39" x14ac:dyDescent="0.35">
      <c r="A2513" t="s">
        <v>24794</v>
      </c>
      <c r="B2513" t="str">
        <f>HYPERLINK("http://www.uniprot.org/uniprot/Q9HBX9","Q9HBX9")</f>
        <v>Q9HBX9</v>
      </c>
      <c r="C2513" t="s">
        <v>24795</v>
      </c>
      <c r="D2513" t="s">
        <v>24796</v>
      </c>
      <c r="E2513" t="s">
        <v>39</v>
      </c>
      <c r="F2513" t="s">
        <v>40</v>
      </c>
      <c r="H2513">
        <v>757</v>
      </c>
      <c r="I2513">
        <v>7</v>
      </c>
      <c r="J2513">
        <v>0</v>
      </c>
      <c r="K2513" t="s">
        <v>24797</v>
      </c>
      <c r="L2513" t="s">
        <v>57</v>
      </c>
      <c r="N2513">
        <v>0.87429999999999997</v>
      </c>
      <c r="O2513" s="1">
        <v>1</v>
      </c>
      <c r="P2513" t="s">
        <v>24798</v>
      </c>
      <c r="Q2513" t="s">
        <v>24799</v>
      </c>
      <c r="S2513" t="s">
        <v>166</v>
      </c>
      <c r="T2513" t="s">
        <v>838</v>
      </c>
      <c r="U2513" t="s">
        <v>24800</v>
      </c>
      <c r="V2513">
        <v>6</v>
      </c>
      <c r="Y2513" t="s">
        <v>24801</v>
      </c>
      <c r="AE2513" t="s">
        <v>74</v>
      </c>
      <c r="AF2513" t="s">
        <v>24802</v>
      </c>
      <c r="AG2513" t="s">
        <v>24803</v>
      </c>
      <c r="AH2513" t="str">
        <f>HYPERLINK("http://compartments.jensenlab.org/Entity?figures=subcell_cell_%&amp;knowledge=10&amp;textmining=10&amp;experiments=10&amp;predictions=10&amp;type1=9606&amp;type2=-22&amp;id1=ENSP00000303248","link")</f>
        <v>link</v>
      </c>
      <c r="AI2513" t="s">
        <v>65</v>
      </c>
      <c r="AJ2513" t="s">
        <v>51</v>
      </c>
      <c r="AK2513" t="str">
        <f>HYPERLINK("http://www.proteinatlas.org/Q9HBX9","HPA027067")</f>
        <v>HPA027067</v>
      </c>
      <c r="AM2513">
        <v>59350</v>
      </c>
    </row>
    <row r="2514" spans="1:39" x14ac:dyDescent="0.35">
      <c r="A2514" t="s">
        <v>24804</v>
      </c>
      <c r="B2514" t="str">
        <f>HYPERLINK("http://www.uniprot.org/uniprot/Q9HC56","Q9HC56")</f>
        <v>Q9HC56</v>
      </c>
      <c r="C2514" t="s">
        <v>24805</v>
      </c>
      <c r="D2514" t="s">
        <v>24806</v>
      </c>
      <c r="E2514" t="s">
        <v>39</v>
      </c>
      <c r="F2514" t="s">
        <v>55</v>
      </c>
      <c r="H2514">
        <v>1237</v>
      </c>
      <c r="I2514">
        <v>1</v>
      </c>
      <c r="J2514">
        <v>1</v>
      </c>
      <c r="K2514" t="s">
        <v>24807</v>
      </c>
      <c r="L2514" t="s">
        <v>101</v>
      </c>
      <c r="M2514" t="s">
        <v>39</v>
      </c>
      <c r="N2514">
        <v>0.89349999999999996</v>
      </c>
      <c r="O2514" s="1">
        <v>1</v>
      </c>
      <c r="P2514" t="s">
        <v>24808</v>
      </c>
      <c r="Q2514" t="s">
        <v>24809</v>
      </c>
      <c r="S2514" t="s">
        <v>91</v>
      </c>
      <c r="T2514" t="s">
        <v>216</v>
      </c>
      <c r="U2514" t="s">
        <v>24810</v>
      </c>
      <c r="V2514">
        <v>15</v>
      </c>
      <c r="Z2514" t="s">
        <v>107</v>
      </c>
      <c r="AA2514">
        <v>14</v>
      </c>
      <c r="AB2514" t="s">
        <v>24811</v>
      </c>
      <c r="AC2514" t="s">
        <v>24812</v>
      </c>
      <c r="AD2514" t="s">
        <v>24813</v>
      </c>
      <c r="AE2514" t="s">
        <v>332</v>
      </c>
      <c r="AF2514" t="s">
        <v>24814</v>
      </c>
      <c r="AG2514" t="s">
        <v>24815</v>
      </c>
      <c r="AH2514" t="str">
        <f>HYPERLINK("http://compartments.jensenlab.org/Entity?figures=subcell_cell_%&amp;knowledge=10&amp;textmining=10&amp;experiments=10&amp;predictions=10&amp;type1=9606&amp;type2=-22&amp;id1=ENSP00000367096","link")</f>
        <v>link</v>
      </c>
      <c r="AI2514" t="s">
        <v>65</v>
      </c>
      <c r="AJ2514" t="s">
        <v>51</v>
      </c>
      <c r="AK2514" t="str">
        <f>HYPERLINK("http://www.proteinatlas.org/Q9HC56","HPA015581")</f>
        <v>HPA015581</v>
      </c>
      <c r="AM2514">
        <v>5101</v>
      </c>
    </row>
    <row r="2515" spans="1:39" x14ac:dyDescent="0.35">
      <c r="A2515" t="s">
        <v>24816</v>
      </c>
      <c r="B2515" t="str">
        <f>HYPERLINK("http://www.uniprot.org/uniprot/Q9HC58","Q9HC58")</f>
        <v>Q9HC58</v>
      </c>
      <c r="C2515" t="s">
        <v>24817</v>
      </c>
      <c r="D2515" t="s">
        <v>24818</v>
      </c>
      <c r="E2515" t="s">
        <v>39</v>
      </c>
      <c r="F2515" t="s">
        <v>40</v>
      </c>
      <c r="H2515">
        <v>644</v>
      </c>
      <c r="I2515">
        <v>10</v>
      </c>
      <c r="J2515">
        <v>1</v>
      </c>
      <c r="K2515" t="s">
        <v>24819</v>
      </c>
      <c r="L2515" t="s">
        <v>57</v>
      </c>
      <c r="N2515">
        <v>0.73050000000000004</v>
      </c>
      <c r="O2515" s="1">
        <v>2</v>
      </c>
      <c r="P2515" t="s">
        <v>24820</v>
      </c>
      <c r="Q2515" t="s">
        <v>24821</v>
      </c>
      <c r="S2515" t="s">
        <v>45</v>
      </c>
      <c r="T2515" t="s">
        <v>15297</v>
      </c>
      <c r="U2515" t="s">
        <v>24822</v>
      </c>
      <c r="V2515">
        <v>2</v>
      </c>
      <c r="Y2515">
        <v>472</v>
      </c>
      <c r="AE2515" t="s">
        <v>48</v>
      </c>
      <c r="AF2515" t="s">
        <v>24823</v>
      </c>
      <c r="AG2515" t="s">
        <v>24824</v>
      </c>
      <c r="AH2515" t="str">
        <f>HYPERLINK("http://compartments.jensenlab.org/Entity?figures=subcell_cell_%&amp;knowledge=10&amp;textmining=10&amp;experiments=10&amp;predictions=10&amp;type1=9606&amp;type2=-22&amp;id1=ENSP00000333519","link")</f>
        <v>link</v>
      </c>
      <c r="AJ2515" t="s">
        <v>51</v>
      </c>
      <c r="AK2515" t="str">
        <f>HYPERLINK("http://www.proteinatlas.org/Q9HC58","HPA043400;HPA045497")</f>
        <v>HPA043400;HPA045497</v>
      </c>
      <c r="AM2515">
        <v>57419</v>
      </c>
    </row>
    <row r="2516" spans="1:39" x14ac:dyDescent="0.35">
      <c r="A2516" t="s">
        <v>24825</v>
      </c>
      <c r="B2516" t="str">
        <f>HYPERLINK("http://www.uniprot.org/uniprot/Q9HC73","Q9HC73")</f>
        <v>Q9HC73</v>
      </c>
      <c r="C2516" t="s">
        <v>24826</v>
      </c>
      <c r="D2516" t="s">
        <v>24827</v>
      </c>
      <c r="E2516" t="s">
        <v>39</v>
      </c>
      <c r="F2516" t="s">
        <v>55</v>
      </c>
      <c r="H2516">
        <v>371</v>
      </c>
      <c r="I2516">
        <v>1</v>
      </c>
      <c r="J2516">
        <v>1</v>
      </c>
      <c r="K2516" t="s">
        <v>24828</v>
      </c>
      <c r="L2516" t="s">
        <v>101</v>
      </c>
      <c r="M2516" t="s">
        <v>39</v>
      </c>
      <c r="N2516">
        <v>0.86709999999999998</v>
      </c>
      <c r="O2516" s="1">
        <v>1</v>
      </c>
      <c r="P2516" t="s">
        <v>24829</v>
      </c>
      <c r="Q2516" t="s">
        <v>24830</v>
      </c>
      <c r="S2516" t="s">
        <v>60</v>
      </c>
      <c r="T2516" t="s">
        <v>60</v>
      </c>
      <c r="U2516" t="s">
        <v>24831</v>
      </c>
      <c r="V2516">
        <v>4</v>
      </c>
      <c r="W2516" t="s">
        <v>24831</v>
      </c>
      <c r="Y2516">
        <v>252</v>
      </c>
      <c r="Z2516" t="s">
        <v>107</v>
      </c>
      <c r="AA2516">
        <v>4</v>
      </c>
      <c r="AB2516" t="s">
        <v>24832</v>
      </c>
      <c r="AC2516" t="s">
        <v>24833</v>
      </c>
      <c r="AD2516" t="s">
        <v>24834</v>
      </c>
      <c r="AE2516" t="s">
        <v>1250</v>
      </c>
      <c r="AF2516" t="s">
        <v>24835</v>
      </c>
      <c r="AG2516" t="s">
        <v>24836</v>
      </c>
      <c r="AH2516" t="str">
        <f>HYPERLINK("http://compartments.jensenlab.org/Entity?figures=subcell_cell_%&amp;knowledge=10&amp;textmining=10&amp;experiments=10&amp;predictions=10&amp;type1=9606&amp;type2=-22&amp;id1=ENSP00000370978","link")</f>
        <v>link</v>
      </c>
      <c r="AK2516" t="str">
        <f>HYPERLINK("http://www.proteinatlas.org/Q9HC73","no")</f>
        <v>no</v>
      </c>
      <c r="AM2516">
        <v>64109</v>
      </c>
    </row>
    <row r="2517" spans="1:39" x14ac:dyDescent="0.35">
      <c r="A2517" t="s">
        <v>24837</v>
      </c>
      <c r="B2517" t="str">
        <f>HYPERLINK("http://www.uniprot.org/uniprot/Q9HC97","Q9HC97")</f>
        <v>Q9HC97</v>
      </c>
      <c r="C2517" t="s">
        <v>24838</v>
      </c>
      <c r="D2517" t="s">
        <v>24839</v>
      </c>
      <c r="E2517" t="s">
        <v>39</v>
      </c>
      <c r="F2517" t="s">
        <v>55</v>
      </c>
      <c r="H2517">
        <v>309</v>
      </c>
      <c r="I2517">
        <v>7</v>
      </c>
      <c r="J2517">
        <v>0</v>
      </c>
      <c r="K2517" t="s">
        <v>24840</v>
      </c>
      <c r="L2517" t="s">
        <v>57</v>
      </c>
      <c r="M2517" t="s">
        <v>39</v>
      </c>
      <c r="N2517">
        <v>0.89770000000000005</v>
      </c>
      <c r="O2517" s="1">
        <v>1</v>
      </c>
      <c r="P2517" t="s">
        <v>24841</v>
      </c>
      <c r="Q2517" t="s">
        <v>24842</v>
      </c>
      <c r="S2517" t="s">
        <v>166</v>
      </c>
      <c r="T2517" t="s">
        <v>838</v>
      </c>
      <c r="U2517">
        <v>2</v>
      </c>
      <c r="V2517">
        <v>1</v>
      </c>
      <c r="W2517">
        <v>2</v>
      </c>
      <c r="AE2517" t="s">
        <v>74</v>
      </c>
      <c r="AF2517" t="s">
        <v>990</v>
      </c>
      <c r="AG2517" t="s">
        <v>24843</v>
      </c>
      <c r="AH2517" t="str">
        <f>HYPERLINK("http://compartments.jensenlab.org/Entity?figures=subcell_cell_%&amp;knowledge=10&amp;textmining=10&amp;experiments=10&amp;predictions=10&amp;type1=9606&amp;type2=-22&amp;id1=ENSP00000322731","link")</f>
        <v>link</v>
      </c>
      <c r="AI2517" t="s">
        <v>65</v>
      </c>
      <c r="AJ2517" t="s">
        <v>51</v>
      </c>
      <c r="AK2517" t="str">
        <f>HYPERLINK("http://www.proteinatlas.org/Q9HC97","no")</f>
        <v>no</v>
      </c>
      <c r="AM2517">
        <v>2859</v>
      </c>
    </row>
    <row r="2518" spans="1:39" x14ac:dyDescent="0.35">
      <c r="A2518" t="s">
        <v>24844</v>
      </c>
      <c r="B2518" t="str">
        <f>HYPERLINK("http://www.uniprot.org/uniprot/Q9HCC8","Q9HCC8")</f>
        <v>Q9HCC8</v>
      </c>
      <c r="C2518" t="s">
        <v>24845</v>
      </c>
      <c r="D2518" t="s">
        <v>24846</v>
      </c>
      <c r="E2518" t="s">
        <v>39</v>
      </c>
      <c r="F2518" t="s">
        <v>40</v>
      </c>
      <c r="H2518">
        <v>539</v>
      </c>
      <c r="I2518">
        <v>6</v>
      </c>
      <c r="J2518">
        <v>0</v>
      </c>
      <c r="K2518" t="s">
        <v>24847</v>
      </c>
      <c r="L2518" t="s">
        <v>57</v>
      </c>
      <c r="N2518">
        <v>0.64070000000000005</v>
      </c>
      <c r="O2518" s="1">
        <v>2</v>
      </c>
      <c r="P2518" t="s">
        <v>24848</v>
      </c>
      <c r="Q2518" t="s">
        <v>24849</v>
      </c>
      <c r="S2518" t="s">
        <v>60</v>
      </c>
      <c r="T2518" t="s">
        <v>60</v>
      </c>
      <c r="U2518" t="s">
        <v>24850</v>
      </c>
      <c r="V2518">
        <v>4</v>
      </c>
      <c r="Y2518" t="s">
        <v>24851</v>
      </c>
      <c r="AE2518" t="s">
        <v>24852</v>
      </c>
      <c r="AF2518" t="s">
        <v>24853</v>
      </c>
      <c r="AG2518" t="s">
        <v>24854</v>
      </c>
      <c r="AH2518" t="str">
        <f>HYPERLINK("http://compartments.jensenlab.org/Entity?figures=subcell_cell_%&amp;knowledge=10&amp;textmining=10&amp;experiments=10&amp;predictions=10&amp;type1=9606&amp;type2=-22&amp;id1=ENSP00000363503","link")</f>
        <v>link</v>
      </c>
      <c r="AI2518" t="s">
        <v>65</v>
      </c>
      <c r="AJ2518" t="s">
        <v>1649</v>
      </c>
      <c r="AK2518" t="str">
        <f>HYPERLINK("http://www.proteinatlas.org/Q9HCC8","HPA045026")</f>
        <v>HPA045026</v>
      </c>
      <c r="AM2518">
        <v>54857</v>
      </c>
    </row>
    <row r="2519" spans="1:39" x14ac:dyDescent="0.35">
      <c r="A2519" t="s">
        <v>24855</v>
      </c>
      <c r="B2519" t="str">
        <f>HYPERLINK("http://www.uniprot.org/uniprot/Q9HCJ1","Q9HCJ1")</f>
        <v>Q9HCJ1</v>
      </c>
      <c r="C2519" t="s">
        <v>24856</v>
      </c>
      <c r="D2519" t="s">
        <v>24857</v>
      </c>
      <c r="E2519" t="s">
        <v>39</v>
      </c>
      <c r="F2519" t="s">
        <v>40</v>
      </c>
      <c r="H2519">
        <v>492</v>
      </c>
      <c r="I2519">
        <v>8</v>
      </c>
      <c r="J2519">
        <v>0</v>
      </c>
      <c r="K2519" t="s">
        <v>24858</v>
      </c>
      <c r="L2519" t="s">
        <v>57</v>
      </c>
      <c r="N2519">
        <v>0.60880000000000001</v>
      </c>
      <c r="O2519" s="1">
        <v>2</v>
      </c>
      <c r="P2519" t="s">
        <v>24859</v>
      </c>
      <c r="Q2519" t="s">
        <v>24860</v>
      </c>
      <c r="S2519" t="s">
        <v>60</v>
      </c>
      <c r="T2519" t="s">
        <v>60</v>
      </c>
      <c r="U2519" t="s">
        <v>24861</v>
      </c>
      <c r="V2519">
        <v>1</v>
      </c>
      <c r="AE2519" t="s">
        <v>48</v>
      </c>
      <c r="AF2519" t="s">
        <v>24862</v>
      </c>
      <c r="AG2519" t="s">
        <v>24863</v>
      </c>
      <c r="AH2519" t="str">
        <f>HYPERLINK("http://compartments.jensenlab.org/Entity?figures=subcell_cell_%&amp;knowledge=10&amp;textmining=10&amp;experiments=10&amp;predictions=10&amp;type1=9606&amp;type2=-22&amp;id1=ENSP00000284268","link")</f>
        <v>link</v>
      </c>
      <c r="AJ2519" t="s">
        <v>51</v>
      </c>
      <c r="AK2519" t="str">
        <f>HYPERLINK("http://www.proteinatlas.org/Q9HCJ1","no")</f>
        <v>no</v>
      </c>
      <c r="AM2519">
        <v>56172</v>
      </c>
    </row>
    <row r="2520" spans="1:39" x14ac:dyDescent="0.35">
      <c r="A2520" t="s">
        <v>24864</v>
      </c>
      <c r="B2520" t="str">
        <f>HYPERLINK("http://www.uniprot.org/uniprot/Q9HCJ2","Q9HCJ2")</f>
        <v>Q9HCJ2</v>
      </c>
      <c r="C2520" t="s">
        <v>24865</v>
      </c>
      <c r="D2520" t="s">
        <v>24866</v>
      </c>
      <c r="E2520" t="s">
        <v>39</v>
      </c>
      <c r="F2520" t="s">
        <v>40</v>
      </c>
      <c r="H2520">
        <v>640</v>
      </c>
      <c r="I2520">
        <v>1</v>
      </c>
      <c r="J2520">
        <v>1</v>
      </c>
      <c r="K2520" t="s">
        <v>24867</v>
      </c>
      <c r="L2520" t="s">
        <v>42</v>
      </c>
      <c r="N2520">
        <v>0.9042</v>
      </c>
      <c r="O2520" s="1">
        <v>1</v>
      </c>
      <c r="P2520" t="s">
        <v>24868</v>
      </c>
      <c r="Q2520" t="s">
        <v>24869</v>
      </c>
      <c r="S2520" t="s">
        <v>91</v>
      </c>
      <c r="T2520" t="s">
        <v>260</v>
      </c>
      <c r="U2520" t="s">
        <v>24870</v>
      </c>
      <c r="V2520">
        <v>9</v>
      </c>
      <c r="Y2520">
        <v>311</v>
      </c>
      <c r="AE2520" t="s">
        <v>1413</v>
      </c>
      <c r="AF2520" t="s">
        <v>24871</v>
      </c>
      <c r="AG2520" t="s">
        <v>24872</v>
      </c>
      <c r="AH2520" t="str">
        <f>HYPERLINK("http://compartments.jensenlab.org/Entity?figures=subcell_cell_%&amp;knowledge=10&amp;textmining=10&amp;experiments=10&amp;predictions=10&amp;type1=9606&amp;type2=-22&amp;id1=ENSP00000278198","link")</f>
        <v>link</v>
      </c>
      <c r="AJ2520" t="s">
        <v>51</v>
      </c>
      <c r="AK2520" t="str">
        <f>HYPERLINK("http://www.proteinatlas.org/Q9HCJ2","HPA051335")</f>
        <v>HPA051335</v>
      </c>
      <c r="AM2520">
        <v>57689</v>
      </c>
    </row>
    <row r="2521" spans="1:39" x14ac:dyDescent="0.35">
      <c r="A2521" t="s">
        <v>24873</v>
      </c>
      <c r="B2521" t="str">
        <f>HYPERLINK("http://www.uniprot.org/uniprot/Q9HCK4","Q9HCK4")</f>
        <v>Q9HCK4</v>
      </c>
      <c r="C2521" t="s">
        <v>24874</v>
      </c>
      <c r="D2521" t="s">
        <v>24875</v>
      </c>
      <c r="E2521" t="s">
        <v>39</v>
      </c>
      <c r="F2521" t="s">
        <v>40</v>
      </c>
      <c r="H2521">
        <v>1378</v>
      </c>
      <c r="I2521">
        <v>1</v>
      </c>
      <c r="J2521">
        <v>1</v>
      </c>
      <c r="K2521" t="s">
        <v>24876</v>
      </c>
      <c r="L2521" t="s">
        <v>57</v>
      </c>
      <c r="N2521">
        <v>0.95209999999999995</v>
      </c>
      <c r="O2521" s="1">
        <v>1</v>
      </c>
      <c r="P2521" t="s">
        <v>24877</v>
      </c>
      <c r="Q2521" t="s">
        <v>24878</v>
      </c>
      <c r="S2521" t="s">
        <v>166</v>
      </c>
      <c r="T2521" t="s">
        <v>22192</v>
      </c>
      <c r="U2521" t="s">
        <v>24879</v>
      </c>
      <c r="V2521">
        <v>6</v>
      </c>
      <c r="W2521" t="s">
        <v>24880</v>
      </c>
      <c r="Y2521">
        <v>879</v>
      </c>
      <c r="AE2521" t="s">
        <v>144</v>
      </c>
      <c r="AF2521" t="s">
        <v>24881</v>
      </c>
      <c r="AG2521" t="s">
        <v>24882</v>
      </c>
      <c r="AH2521" t="str">
        <f>HYPERLINK("http://compartments.jensenlab.org/Entity?figures=subcell_cell_%&amp;knowledge=10&amp;textmining=10&amp;experiments=10&amp;predictions=10&amp;type1=9606&amp;type2=-22&amp;id1=ENSP00000417164","link")</f>
        <v>link</v>
      </c>
      <c r="AJ2521" t="s">
        <v>51</v>
      </c>
      <c r="AK2521" t="str">
        <f>HYPERLINK("http://www.proteinatlas.org/Q9HCK4","HPA013371")</f>
        <v>HPA013371</v>
      </c>
      <c r="AM2521">
        <v>6092</v>
      </c>
    </row>
    <row r="2522" spans="1:39" x14ac:dyDescent="0.35">
      <c r="A2522" t="s">
        <v>24883</v>
      </c>
      <c r="B2522" t="str">
        <f>HYPERLINK("http://www.uniprot.org/uniprot/Q9HCL0","Q9HCL0")</f>
        <v>Q9HCL0</v>
      </c>
      <c r="C2522" t="s">
        <v>24884</v>
      </c>
      <c r="D2522" t="s">
        <v>24885</v>
      </c>
      <c r="E2522" t="s">
        <v>39</v>
      </c>
      <c r="F2522" t="s">
        <v>55</v>
      </c>
      <c r="H2522">
        <v>1135</v>
      </c>
      <c r="I2522">
        <v>1</v>
      </c>
      <c r="J2522">
        <v>1</v>
      </c>
      <c r="K2522" t="s">
        <v>24886</v>
      </c>
      <c r="L2522" t="s">
        <v>101</v>
      </c>
      <c r="M2522" t="s">
        <v>39</v>
      </c>
      <c r="N2522">
        <v>0.98960000000000004</v>
      </c>
      <c r="O2522" s="1">
        <v>1</v>
      </c>
      <c r="P2522" t="s">
        <v>24887</v>
      </c>
      <c r="Q2522" t="s">
        <v>24888</v>
      </c>
      <c r="S2522" t="s">
        <v>91</v>
      </c>
      <c r="T2522" t="s">
        <v>216</v>
      </c>
      <c r="U2522" t="s">
        <v>24889</v>
      </c>
      <c r="V2522">
        <v>7</v>
      </c>
      <c r="Z2522" t="s">
        <v>107</v>
      </c>
      <c r="AA2522">
        <v>2</v>
      </c>
      <c r="AB2522" t="s">
        <v>24890</v>
      </c>
      <c r="AC2522" t="s">
        <v>24891</v>
      </c>
      <c r="AD2522" t="s">
        <v>24892</v>
      </c>
      <c r="AE2522" t="s">
        <v>332</v>
      </c>
      <c r="AF2522" t="s">
        <v>1347</v>
      </c>
      <c r="AG2522" t="s">
        <v>24893</v>
      </c>
      <c r="AH2522" t="str">
        <f>HYPERLINK("http://compartments.jensenlab.org/Entity?figures=subcell_cell_%&amp;knowledge=10&amp;textmining=10&amp;experiments=10&amp;predictions=10&amp;type1=9606&amp;type2=-22&amp;id1=ENSP00000355082","link")</f>
        <v>link</v>
      </c>
      <c r="AI2522" t="s">
        <v>65</v>
      </c>
      <c r="AJ2522" t="s">
        <v>51</v>
      </c>
      <c r="AK2522" t="str">
        <f>HYPERLINK("http://www.proteinatlas.org/Q9HCL0","HPA017976")</f>
        <v>HPA017976</v>
      </c>
      <c r="AM2522">
        <v>54510</v>
      </c>
    </row>
    <row r="2523" spans="1:39" x14ac:dyDescent="0.35">
      <c r="A2523" t="s">
        <v>24894</v>
      </c>
      <c r="B2523" t="str">
        <f>HYPERLINK("http://www.uniprot.org/uniprot/Q9HCM2","Q9HCM2")</f>
        <v>Q9HCM2</v>
      </c>
      <c r="C2523" t="s">
        <v>24895</v>
      </c>
      <c r="D2523" t="s">
        <v>24896</v>
      </c>
      <c r="E2523" t="s">
        <v>39</v>
      </c>
      <c r="F2523" t="s">
        <v>55</v>
      </c>
      <c r="H2523">
        <v>1894</v>
      </c>
      <c r="I2523">
        <v>1</v>
      </c>
      <c r="J2523">
        <v>1</v>
      </c>
      <c r="K2523" t="s">
        <v>24897</v>
      </c>
      <c r="L2523" t="s">
        <v>101</v>
      </c>
      <c r="N2523">
        <v>0.98799999999999999</v>
      </c>
      <c r="O2523" s="1">
        <v>1</v>
      </c>
      <c r="P2523" t="s">
        <v>24898</v>
      </c>
      <c r="Q2523" t="s">
        <v>24899</v>
      </c>
      <c r="S2523" t="s">
        <v>166</v>
      </c>
      <c r="T2523" t="s">
        <v>1382</v>
      </c>
      <c r="U2523" t="s">
        <v>24900</v>
      </c>
      <c r="V2523">
        <v>12</v>
      </c>
      <c r="Z2523" t="s">
        <v>107</v>
      </c>
      <c r="AA2523">
        <v>2</v>
      </c>
      <c r="AB2523" t="s">
        <v>24901</v>
      </c>
      <c r="AC2523" t="s">
        <v>24902</v>
      </c>
      <c r="AD2523" t="s">
        <v>24903</v>
      </c>
      <c r="AE2523" t="s">
        <v>332</v>
      </c>
      <c r="AF2523" t="s">
        <v>24904</v>
      </c>
      <c r="AG2523" t="s">
        <v>24905</v>
      </c>
      <c r="AH2523" t="str">
        <f>HYPERLINK("http://compartments.jensenlab.org/Entity?figures=subcell_cell_%&amp;knowledge=10&amp;textmining=10&amp;experiments=10&amp;predictions=10&amp;type1=9606&amp;type2=-22&amp;id1=ENSP00000323194","link")</f>
        <v>link</v>
      </c>
      <c r="AI2523" t="s">
        <v>65</v>
      </c>
      <c r="AJ2523" t="s">
        <v>113</v>
      </c>
      <c r="AK2523" t="str">
        <f>HYPERLINK("http://www.proteinatlas.org/Q9HCM2","HPA029919;HPA052141")</f>
        <v>HPA029919;HPA052141</v>
      </c>
      <c r="AM2523">
        <v>91584</v>
      </c>
    </row>
    <row r="2524" spans="1:39" x14ac:dyDescent="0.35">
      <c r="A2524" t="s">
        <v>24906</v>
      </c>
      <c r="B2524" t="str">
        <f>HYPERLINK("http://www.uniprot.org/uniprot/Q9HCN3","Q9HCN3")</f>
        <v>Q9HCN3</v>
      </c>
      <c r="C2524" t="s">
        <v>24907</v>
      </c>
      <c r="D2524" t="s">
        <v>24908</v>
      </c>
      <c r="E2524" t="s">
        <v>39</v>
      </c>
      <c r="F2524" t="s">
        <v>55</v>
      </c>
      <c r="H2524">
        <v>771</v>
      </c>
      <c r="I2524">
        <v>7</v>
      </c>
      <c r="J2524">
        <v>1</v>
      </c>
      <c r="K2524" t="s">
        <v>24909</v>
      </c>
      <c r="L2524" t="s">
        <v>101</v>
      </c>
      <c r="M2524" t="s">
        <v>39</v>
      </c>
      <c r="N2524">
        <v>0.6633</v>
      </c>
      <c r="O2524" s="1">
        <v>2</v>
      </c>
      <c r="P2524" t="s">
        <v>24910</v>
      </c>
      <c r="Q2524" t="s">
        <v>24911</v>
      </c>
      <c r="S2524" t="s">
        <v>60</v>
      </c>
      <c r="T2524" t="s">
        <v>60</v>
      </c>
      <c r="U2524" t="s">
        <v>24912</v>
      </c>
      <c r="V2524">
        <v>10</v>
      </c>
      <c r="W2524" t="s">
        <v>24913</v>
      </c>
      <c r="Y2524" t="s">
        <v>24914</v>
      </c>
      <c r="Z2524" t="s">
        <v>107</v>
      </c>
      <c r="AA2524">
        <v>2</v>
      </c>
      <c r="AB2524" t="s">
        <v>24915</v>
      </c>
      <c r="AC2524" t="s">
        <v>24916</v>
      </c>
      <c r="AD2524" t="s">
        <v>24917</v>
      </c>
      <c r="AE2524" t="s">
        <v>48</v>
      </c>
      <c r="AF2524" t="s">
        <v>24918</v>
      </c>
      <c r="AG2524" t="s">
        <v>24919</v>
      </c>
      <c r="AH2524" t="str">
        <f>HYPERLINK("http://compartments.jensenlab.org/Entity?figures=subcell_cell_%&amp;knowledge=10&amp;textmining=10&amp;experiments=10&amp;predictions=10&amp;type1=9606&amp;type2=-22&amp;id1=ENSP00000401338","link")</f>
        <v>link</v>
      </c>
      <c r="AI2524" t="s">
        <v>65</v>
      </c>
      <c r="AJ2524" t="s">
        <v>51</v>
      </c>
      <c r="AK2524" t="str">
        <f>HYPERLINK("http://www.proteinatlas.org/Q9HCN3","HPA051281")</f>
        <v>HPA051281</v>
      </c>
      <c r="AM2524">
        <v>58986</v>
      </c>
    </row>
    <row r="2525" spans="1:39" x14ac:dyDescent="0.35">
      <c r="A2525" t="s">
        <v>24920</v>
      </c>
      <c r="B2525" t="str">
        <f>HYPERLINK("http://www.uniprot.org/uniprot/Q9HCN6","Q9HCN6")</f>
        <v>Q9HCN6</v>
      </c>
      <c r="C2525" t="s">
        <v>24921</v>
      </c>
      <c r="D2525" t="s">
        <v>24922</v>
      </c>
      <c r="E2525" t="s">
        <v>39</v>
      </c>
      <c r="F2525" t="s">
        <v>40</v>
      </c>
      <c r="H2525">
        <v>339</v>
      </c>
      <c r="I2525">
        <v>1</v>
      </c>
      <c r="J2525">
        <v>1</v>
      </c>
      <c r="K2525" t="s">
        <v>24923</v>
      </c>
      <c r="L2525" t="s">
        <v>57</v>
      </c>
      <c r="N2525">
        <v>0.6986</v>
      </c>
      <c r="O2525" s="1">
        <v>2</v>
      </c>
      <c r="P2525" t="s">
        <v>24924</v>
      </c>
      <c r="Q2525" t="s">
        <v>24925</v>
      </c>
      <c r="S2525" t="s">
        <v>60</v>
      </c>
      <c r="T2525" t="s">
        <v>60</v>
      </c>
      <c r="U2525">
        <v>92</v>
      </c>
      <c r="V2525">
        <v>1</v>
      </c>
      <c r="X2525" t="s">
        <v>24926</v>
      </c>
      <c r="AE2525" t="s">
        <v>24927</v>
      </c>
      <c r="AF2525" t="s">
        <v>24928</v>
      </c>
      <c r="AG2525" t="s">
        <v>24929</v>
      </c>
      <c r="AH2525" t="str">
        <f>HYPERLINK("http://compartments.jensenlab.org/Entity?figures=subcell_cell_%&amp;knowledge=10&amp;textmining=10&amp;experiments=10&amp;predictions=10&amp;type1=9606&amp;type2=-22&amp;id1=ENSP00000394922","link")</f>
        <v>link</v>
      </c>
      <c r="AK2525" t="str">
        <f>HYPERLINK("http://www.proteinatlas.org/Q9HCN6","HPA066482")</f>
        <v>HPA066482</v>
      </c>
      <c r="AM2525">
        <v>51206</v>
      </c>
    </row>
    <row r="2526" spans="1:39" x14ac:dyDescent="0.35">
      <c r="A2526" t="s">
        <v>24930</v>
      </c>
      <c r="B2526" t="str">
        <f>HYPERLINK("http://www.uniprot.org/uniprot/Q9HCU0","Q9HCU0")</f>
        <v>Q9HCU0</v>
      </c>
      <c r="C2526" t="s">
        <v>24931</v>
      </c>
      <c r="D2526" t="s">
        <v>24932</v>
      </c>
      <c r="E2526" t="s">
        <v>39</v>
      </c>
      <c r="F2526" t="s">
        <v>40</v>
      </c>
      <c r="H2526">
        <v>757</v>
      </c>
      <c r="I2526">
        <v>1</v>
      </c>
      <c r="J2526">
        <v>1</v>
      </c>
      <c r="K2526" t="s">
        <v>24933</v>
      </c>
      <c r="L2526" t="s">
        <v>57</v>
      </c>
      <c r="N2526">
        <v>0.6008</v>
      </c>
      <c r="O2526" s="1">
        <v>2</v>
      </c>
      <c r="P2526" t="s">
        <v>24934</v>
      </c>
      <c r="Q2526" t="s">
        <v>24935</v>
      </c>
      <c r="R2526" t="s">
        <v>24932</v>
      </c>
      <c r="S2526" t="s">
        <v>166</v>
      </c>
      <c r="T2526" t="s">
        <v>4251</v>
      </c>
      <c r="U2526">
        <v>628</v>
      </c>
      <c r="V2526">
        <v>1</v>
      </c>
      <c r="X2526" t="s">
        <v>24936</v>
      </c>
      <c r="AE2526" t="s">
        <v>144</v>
      </c>
      <c r="AF2526" t="s">
        <v>24937</v>
      </c>
      <c r="AG2526" t="s">
        <v>24938</v>
      </c>
      <c r="AH2526" t="str">
        <f>HYPERLINK("http://compartments.jensenlab.org/Entity?figures=subcell_cell_%&amp;knowledge=10&amp;textmining=10&amp;experiments=10&amp;predictions=10&amp;type1=9606&amp;type2=-22&amp;id1=ENSP00000308117","link")</f>
        <v>link</v>
      </c>
      <c r="AI2526" t="s">
        <v>113</v>
      </c>
      <c r="AJ2526" t="s">
        <v>1767</v>
      </c>
      <c r="AK2526" t="str">
        <f>HYPERLINK("http://www.proteinatlas.org/Q9HCU0","HPA051856")</f>
        <v>HPA051856</v>
      </c>
      <c r="AM2526">
        <v>57124</v>
      </c>
    </row>
    <row r="2527" spans="1:39" x14ac:dyDescent="0.35">
      <c r="A2527" t="s">
        <v>24939</v>
      </c>
      <c r="B2527" t="str">
        <f>HYPERLINK("http://www.uniprot.org/uniprot/Q9HCU4","Q9HCU4")</f>
        <v>Q9HCU4</v>
      </c>
      <c r="C2527" t="s">
        <v>24940</v>
      </c>
      <c r="D2527" t="s">
        <v>24941</v>
      </c>
      <c r="E2527" t="s">
        <v>39</v>
      </c>
      <c r="F2527" t="s">
        <v>55</v>
      </c>
      <c r="H2527">
        <v>2923</v>
      </c>
      <c r="I2527">
        <v>7</v>
      </c>
      <c r="J2527">
        <v>1</v>
      </c>
      <c r="K2527" t="s">
        <v>24942</v>
      </c>
      <c r="L2527" t="s">
        <v>101</v>
      </c>
      <c r="N2527">
        <v>0.95609999999999995</v>
      </c>
      <c r="O2527" s="1">
        <v>1</v>
      </c>
      <c r="P2527" t="s">
        <v>24943</v>
      </c>
      <c r="Q2527" t="s">
        <v>24944</v>
      </c>
      <c r="S2527" t="s">
        <v>166</v>
      </c>
      <c r="T2527" t="s">
        <v>1149</v>
      </c>
      <c r="U2527" t="s">
        <v>24945</v>
      </c>
      <c r="V2527">
        <v>17</v>
      </c>
      <c r="X2527">
        <v>2777</v>
      </c>
      <c r="Z2527" t="s">
        <v>107</v>
      </c>
      <c r="AA2527">
        <v>2</v>
      </c>
      <c r="AB2527" t="s">
        <v>24946</v>
      </c>
      <c r="AC2527" t="s">
        <v>24947</v>
      </c>
      <c r="AD2527" t="s">
        <v>24948</v>
      </c>
      <c r="AE2527" t="s">
        <v>74</v>
      </c>
      <c r="AF2527" t="s">
        <v>24949</v>
      </c>
      <c r="AG2527" t="s">
        <v>24950</v>
      </c>
      <c r="AH2527" t="str">
        <f>HYPERLINK("http://compartments.jensenlab.org/Entity?figures=subcell_cell_%&amp;knowledge=10&amp;textmining=10&amp;experiments=10&amp;predictions=10&amp;type1=9606&amp;type2=-22&amp;id1=ENSP00000271332","link")</f>
        <v>link</v>
      </c>
      <c r="AI2527" t="s">
        <v>65</v>
      </c>
      <c r="AJ2527" t="s">
        <v>2124</v>
      </c>
      <c r="AK2527" t="str">
        <f>HYPERLINK("http://www.proteinatlas.org/Q9HCU4","HPA013952")</f>
        <v>HPA013952</v>
      </c>
      <c r="AM2527">
        <v>1952</v>
      </c>
    </row>
    <row r="2528" spans="1:39" x14ac:dyDescent="0.35">
      <c r="A2528" t="s">
        <v>24951</v>
      </c>
      <c r="B2528" t="str">
        <f>HYPERLINK("http://www.uniprot.org/uniprot/Q9HD20","Q9HD20")</f>
        <v>Q9HD20</v>
      </c>
      <c r="C2528" t="s">
        <v>24952</v>
      </c>
      <c r="D2528" t="s">
        <v>24953</v>
      </c>
      <c r="E2528" t="s">
        <v>39</v>
      </c>
      <c r="F2528" t="s">
        <v>40</v>
      </c>
      <c r="H2528">
        <v>1204</v>
      </c>
      <c r="I2528">
        <v>10</v>
      </c>
      <c r="J2528">
        <v>0</v>
      </c>
      <c r="K2528" t="s">
        <v>24954</v>
      </c>
      <c r="L2528" t="s">
        <v>57</v>
      </c>
      <c r="N2528">
        <v>0.62670000000000003</v>
      </c>
      <c r="O2528" s="1">
        <v>2</v>
      </c>
      <c r="P2528" t="s">
        <v>24955</v>
      </c>
      <c r="Q2528" t="s">
        <v>24956</v>
      </c>
      <c r="S2528" t="s">
        <v>45</v>
      </c>
      <c r="T2528" t="s">
        <v>3982</v>
      </c>
      <c r="U2528" t="s">
        <v>24957</v>
      </c>
      <c r="V2528">
        <v>3</v>
      </c>
      <c r="AE2528" t="s">
        <v>977</v>
      </c>
      <c r="AF2528" t="s">
        <v>24958</v>
      </c>
      <c r="AG2528" t="s">
        <v>24959</v>
      </c>
      <c r="AH2528" t="str">
        <f>HYPERLINK("http://compartments.jensenlab.org/Entity?figures=subcell_cell_%&amp;knowledge=10&amp;textmining=10&amp;experiments=10&amp;predictions=10&amp;type1=9606&amp;type2=-22&amp;id1=ENSP00000349877","link")</f>
        <v>link</v>
      </c>
      <c r="AJ2528" t="s">
        <v>51</v>
      </c>
      <c r="AK2528" t="str">
        <f>HYPERLINK("http://www.proteinatlas.org/Q9HD20","HPA031798;HPA049717")</f>
        <v>HPA031798;HPA049717</v>
      </c>
      <c r="AM2528">
        <v>57130</v>
      </c>
    </row>
    <row r="2529" spans="1:39" x14ac:dyDescent="0.35">
      <c r="A2529" t="s">
        <v>24960</v>
      </c>
      <c r="B2529" t="str">
        <f>HYPERLINK("http://www.uniprot.org/uniprot/Q9HD43","Q9HD43")</f>
        <v>Q9HD43</v>
      </c>
      <c r="C2529" t="s">
        <v>24961</v>
      </c>
      <c r="D2529" t="s">
        <v>24962</v>
      </c>
      <c r="E2529" t="s">
        <v>39</v>
      </c>
      <c r="F2529" t="s">
        <v>40</v>
      </c>
      <c r="H2529">
        <v>1115</v>
      </c>
      <c r="I2529">
        <v>1</v>
      </c>
      <c r="J2529">
        <v>1</v>
      </c>
      <c r="K2529" t="s">
        <v>24963</v>
      </c>
      <c r="L2529" t="s">
        <v>57</v>
      </c>
      <c r="N2529">
        <v>0.98399999999999999</v>
      </c>
      <c r="O2529" s="1">
        <v>1</v>
      </c>
      <c r="P2529" t="s">
        <v>24964</v>
      </c>
      <c r="Q2529" t="s">
        <v>24965</v>
      </c>
      <c r="S2529" t="s">
        <v>166</v>
      </c>
      <c r="T2529" t="s">
        <v>1161</v>
      </c>
      <c r="U2529" t="s">
        <v>24966</v>
      </c>
      <c r="V2529">
        <v>28</v>
      </c>
      <c r="W2529" t="s">
        <v>24967</v>
      </c>
      <c r="Y2529" t="s">
        <v>24968</v>
      </c>
      <c r="AE2529" t="s">
        <v>17137</v>
      </c>
      <c r="AF2529" t="s">
        <v>24969</v>
      </c>
      <c r="AG2529" t="s">
        <v>24970</v>
      </c>
      <c r="AH2529" t="str">
        <f>HYPERLINK("http://compartments.jensenlab.org/Entity?figures=subcell_cell_%&amp;knowledge=10&amp;textmining=10&amp;experiments=10&amp;predictions=10&amp;type1=9606&amp;type2=-22&amp;id1=ENSP00000263434","link")</f>
        <v>link</v>
      </c>
      <c r="AJ2529" t="s">
        <v>299</v>
      </c>
      <c r="AK2529" t="str">
        <f>HYPERLINK("http://www.proteinatlas.org/Q9HD43","HPA042300")</f>
        <v>HPA042300</v>
      </c>
    </row>
    <row r="2530" spans="1:39" x14ac:dyDescent="0.35">
      <c r="A2530" t="s">
        <v>24971</v>
      </c>
      <c r="B2530" t="str">
        <f>HYPERLINK("http://www.uniprot.org/uniprot/Q9HD45","Q9HD45")</f>
        <v>Q9HD45</v>
      </c>
      <c r="C2530" t="s">
        <v>24972</v>
      </c>
      <c r="D2530" t="s">
        <v>24973</v>
      </c>
      <c r="E2530" t="s">
        <v>39</v>
      </c>
      <c r="F2530" t="s">
        <v>40</v>
      </c>
      <c r="H2530">
        <v>589</v>
      </c>
      <c r="I2530">
        <v>8</v>
      </c>
      <c r="J2530">
        <v>1</v>
      </c>
      <c r="K2530" t="s">
        <v>24974</v>
      </c>
      <c r="L2530" t="s">
        <v>3024</v>
      </c>
      <c r="N2530">
        <v>0.73850000000000005</v>
      </c>
      <c r="O2530" s="1">
        <v>2</v>
      </c>
      <c r="P2530" t="s">
        <v>24975</v>
      </c>
      <c r="Q2530" t="s">
        <v>24976</v>
      </c>
      <c r="S2530" t="s">
        <v>91</v>
      </c>
      <c r="T2530" t="s">
        <v>1480</v>
      </c>
      <c r="U2530" t="s">
        <v>24977</v>
      </c>
      <c r="V2530">
        <v>2</v>
      </c>
      <c r="Z2530" t="s">
        <v>107</v>
      </c>
      <c r="AA2530">
        <v>4</v>
      </c>
      <c r="AB2530" t="s">
        <v>24978</v>
      </c>
      <c r="AC2530" t="s">
        <v>24977</v>
      </c>
      <c r="AD2530" t="s">
        <v>24979</v>
      </c>
      <c r="AE2530" t="s">
        <v>48</v>
      </c>
      <c r="AF2530" t="s">
        <v>409</v>
      </c>
      <c r="AG2530" t="s">
        <v>24980</v>
      </c>
      <c r="AH2530" t="str">
        <f>HYPERLINK("http://compartments.jensenlab.org/Entity?figures=subcell_cell_%&amp;knowledge=10&amp;textmining=10&amp;experiments=10&amp;predictions=10&amp;type1=9606&amp;type2=-22&amp;id1=ENSP00000360184","link")</f>
        <v>link</v>
      </c>
      <c r="AJ2530" t="s">
        <v>51</v>
      </c>
      <c r="AK2530" t="str">
        <f>HYPERLINK("http://www.proteinatlas.org/Q9HD45","HPA039609")</f>
        <v>HPA039609</v>
      </c>
      <c r="AM2530">
        <v>56889</v>
      </c>
    </row>
    <row r="2531" spans="1:39" x14ac:dyDescent="0.35">
      <c r="A2531" t="s">
        <v>24981</v>
      </c>
      <c r="B2531" t="str">
        <f>HYPERLINK("http://www.uniprot.org/uniprot/Q9HDB5","Q9HDB5")</f>
        <v>Q9HDB5</v>
      </c>
      <c r="C2531" t="s">
        <v>24982</v>
      </c>
      <c r="D2531" t="s">
        <v>24983</v>
      </c>
      <c r="E2531" t="s">
        <v>39</v>
      </c>
      <c r="F2531" t="s">
        <v>40</v>
      </c>
      <c r="H2531">
        <v>637</v>
      </c>
      <c r="I2531">
        <v>1</v>
      </c>
      <c r="J2531">
        <v>1</v>
      </c>
      <c r="K2531" t="s">
        <v>24984</v>
      </c>
      <c r="L2531" t="s">
        <v>57</v>
      </c>
      <c r="N2531">
        <v>0.86429999999999996</v>
      </c>
      <c r="O2531" s="1">
        <v>1</v>
      </c>
      <c r="P2531" t="s">
        <v>24985</v>
      </c>
      <c r="Q2531" t="s">
        <v>24986</v>
      </c>
      <c r="S2531" t="s">
        <v>166</v>
      </c>
      <c r="T2531" t="s">
        <v>11109</v>
      </c>
      <c r="U2531" t="s">
        <v>24987</v>
      </c>
      <c r="V2531">
        <v>3</v>
      </c>
      <c r="X2531">
        <v>461</v>
      </c>
      <c r="AE2531" t="s">
        <v>144</v>
      </c>
      <c r="AF2531" t="s">
        <v>24988</v>
      </c>
      <c r="AG2531" t="s">
        <v>24989</v>
      </c>
      <c r="AH2531" t="str">
        <f>HYPERLINK("http://compartments.jensenlab.org/Entity?figures=subcell_cell_%&amp;knowledge=10&amp;textmining=10&amp;experiments=10&amp;predictions=10&amp;type1=9606&amp;type2=-22&amp;id1=ENSP00000451393","link")</f>
        <v>link</v>
      </c>
      <c r="AK2531" t="str">
        <f>HYPERLINK("http://www.proteinatlas.org/Q9HDB5","HPA002727")</f>
        <v>HPA002727</v>
      </c>
      <c r="AM2531">
        <v>9369</v>
      </c>
    </row>
    <row r="2532" spans="1:39" x14ac:dyDescent="0.35">
      <c r="A2532" t="s">
        <v>24990</v>
      </c>
      <c r="B2532" t="str">
        <f>HYPERLINK("http://www.uniprot.org/uniprot/Q9N2J8","Q9N2J8")</f>
        <v>Q9N2J8</v>
      </c>
      <c r="C2532" t="s">
        <v>24991</v>
      </c>
      <c r="E2532" t="s">
        <v>39</v>
      </c>
      <c r="F2532" t="s">
        <v>40</v>
      </c>
      <c r="H2532">
        <v>555</v>
      </c>
      <c r="I2532">
        <v>1</v>
      </c>
      <c r="J2532">
        <v>1</v>
      </c>
      <c r="K2532" t="s">
        <v>24992</v>
      </c>
      <c r="L2532" t="s">
        <v>57</v>
      </c>
      <c r="N2532">
        <v>0.72060000000000002</v>
      </c>
      <c r="O2532" s="1">
        <v>2</v>
      </c>
      <c r="S2532" t="s">
        <v>91</v>
      </c>
      <c r="T2532" t="s">
        <v>738</v>
      </c>
      <c r="U2532" t="s">
        <v>24993</v>
      </c>
      <c r="V2532">
        <v>10</v>
      </c>
      <c r="Y2532">
        <v>511</v>
      </c>
      <c r="AE2532" t="s">
        <v>11232</v>
      </c>
      <c r="AF2532" t="s">
        <v>2440</v>
      </c>
      <c r="AG2532" t="s">
        <v>24994</v>
      </c>
      <c r="AK2532" t="str">
        <f>HYPERLINK("http://www.proteinatlas.org/Q9N2J8","no")</f>
        <v>no</v>
      </c>
    </row>
    <row r="2533" spans="1:39" x14ac:dyDescent="0.35">
      <c r="A2533" t="s">
        <v>24995</v>
      </c>
      <c r="B2533" t="str">
        <f>HYPERLINK("http://www.uniprot.org/uniprot/Q9N2K0","Q9N2K0")</f>
        <v>Q9N2K0</v>
      </c>
      <c r="C2533" t="s">
        <v>24996</v>
      </c>
      <c r="E2533" t="s">
        <v>39</v>
      </c>
      <c r="F2533" t="s">
        <v>40</v>
      </c>
      <c r="H2533">
        <v>584</v>
      </c>
      <c r="I2533">
        <v>1</v>
      </c>
      <c r="J2533">
        <v>1</v>
      </c>
      <c r="K2533" t="s">
        <v>24997</v>
      </c>
      <c r="L2533" t="s">
        <v>57</v>
      </c>
      <c r="N2533">
        <v>0.72850000000000004</v>
      </c>
      <c r="O2533" s="1">
        <v>2</v>
      </c>
      <c r="S2533" t="s">
        <v>91</v>
      </c>
      <c r="T2533" t="s">
        <v>738</v>
      </c>
      <c r="U2533" t="s">
        <v>24998</v>
      </c>
      <c r="V2533">
        <v>11</v>
      </c>
      <c r="Y2533">
        <v>519</v>
      </c>
      <c r="AE2533" t="s">
        <v>11232</v>
      </c>
      <c r="AF2533" t="s">
        <v>24999</v>
      </c>
      <c r="AG2533" t="s">
        <v>25000</v>
      </c>
      <c r="AK2533" t="str">
        <f>HYPERLINK("http://www.proteinatlas.org/Q9N2K0","no")</f>
        <v>no</v>
      </c>
    </row>
    <row r="2534" spans="1:39" x14ac:dyDescent="0.35">
      <c r="A2534" t="s">
        <v>25001</v>
      </c>
      <c r="B2534" t="str">
        <f>HYPERLINK("http://www.uniprot.org/uniprot/Q9NP59","Q9NP59")</f>
        <v>Q9NP59</v>
      </c>
      <c r="C2534" t="s">
        <v>25002</v>
      </c>
      <c r="D2534" t="s">
        <v>25003</v>
      </c>
      <c r="E2534" t="s">
        <v>39</v>
      </c>
      <c r="F2534" t="s">
        <v>40</v>
      </c>
      <c r="H2534">
        <v>571</v>
      </c>
      <c r="I2534">
        <v>9</v>
      </c>
      <c r="J2534">
        <v>0</v>
      </c>
      <c r="K2534" t="s">
        <v>25004</v>
      </c>
      <c r="L2534" t="s">
        <v>42</v>
      </c>
      <c r="N2534">
        <v>0.81440000000000001</v>
      </c>
      <c r="O2534" s="1">
        <v>1</v>
      </c>
      <c r="P2534" t="s">
        <v>25005</v>
      </c>
      <c r="Q2534" t="s">
        <v>25006</v>
      </c>
      <c r="S2534" t="s">
        <v>45</v>
      </c>
      <c r="T2534" t="s">
        <v>25007</v>
      </c>
      <c r="U2534" t="s">
        <v>25008</v>
      </c>
      <c r="V2534">
        <v>1</v>
      </c>
      <c r="W2534">
        <v>174</v>
      </c>
      <c r="AE2534" t="s">
        <v>74</v>
      </c>
      <c r="AF2534" t="s">
        <v>25009</v>
      </c>
      <c r="AG2534" t="s">
        <v>25010</v>
      </c>
      <c r="AH2534" t="str">
        <f>HYPERLINK("http://compartments.jensenlab.org/Entity?figures=subcell_cell_%&amp;knowledge=10&amp;textmining=10&amp;experiments=10&amp;predictions=10&amp;type1=9606&amp;type2=-22&amp;id1=ENSP00000261024","link")</f>
        <v>link</v>
      </c>
      <c r="AI2534" t="s">
        <v>65</v>
      </c>
      <c r="AJ2534" t="s">
        <v>2124</v>
      </c>
      <c r="AK2534" t="str">
        <f>HYPERLINK("http://www.proteinatlas.org/Q9NP59","no")</f>
        <v>no</v>
      </c>
      <c r="AM2534">
        <v>30061</v>
      </c>
    </row>
    <row r="2535" spans="1:39" x14ac:dyDescent="0.35">
      <c r="A2535" t="s">
        <v>25011</v>
      </c>
      <c r="B2535" t="str">
        <f>HYPERLINK("http://www.uniprot.org/uniprot/Q9NP60","Q9NP60")</f>
        <v>Q9NP60</v>
      </c>
      <c r="C2535" t="s">
        <v>25012</v>
      </c>
      <c r="D2535" t="s">
        <v>25013</v>
      </c>
      <c r="E2535" t="s">
        <v>39</v>
      </c>
      <c r="F2535" t="s">
        <v>40</v>
      </c>
      <c r="H2535">
        <v>686</v>
      </c>
      <c r="I2535">
        <v>1</v>
      </c>
      <c r="J2535">
        <v>1</v>
      </c>
      <c r="K2535" t="s">
        <v>25014</v>
      </c>
      <c r="L2535" t="s">
        <v>57</v>
      </c>
      <c r="N2535">
        <v>0.73650000000000004</v>
      </c>
      <c r="O2535" s="1">
        <v>2</v>
      </c>
      <c r="P2535" t="s">
        <v>25015</v>
      </c>
      <c r="Q2535" t="s">
        <v>25016</v>
      </c>
      <c r="S2535" t="s">
        <v>166</v>
      </c>
      <c r="T2535" t="s">
        <v>3171</v>
      </c>
      <c r="U2535" t="s">
        <v>25017</v>
      </c>
      <c r="V2535">
        <v>5</v>
      </c>
      <c r="AE2535" t="s">
        <v>144</v>
      </c>
      <c r="AF2535" t="s">
        <v>25018</v>
      </c>
      <c r="AG2535" t="s">
        <v>25019</v>
      </c>
      <c r="AH2535" t="str">
        <f>HYPERLINK("http://compartments.jensenlab.org/Entity?figures=subcell_cell_%&amp;knowledge=10&amp;textmining=10&amp;experiments=10&amp;predictions=10&amp;type1=9606&amp;type2=-22&amp;id1=ENSP00000361663","link")</f>
        <v>link</v>
      </c>
      <c r="AK2535" t="str">
        <f>HYPERLINK("http://www.proteinatlas.org/Q9NP60","HPA036128;HPA036129")</f>
        <v>HPA036128;HPA036129</v>
      </c>
      <c r="AM2535">
        <v>26280</v>
      </c>
    </row>
    <row r="2536" spans="1:39" x14ac:dyDescent="0.35">
      <c r="A2536" t="s">
        <v>25020</v>
      </c>
      <c r="B2536" t="str">
        <f>HYPERLINK("http://www.uniprot.org/uniprot/Q9NP78","Q9NP78")</f>
        <v>Q9NP78</v>
      </c>
      <c r="C2536" t="s">
        <v>25021</v>
      </c>
      <c r="D2536" t="s">
        <v>25022</v>
      </c>
      <c r="E2536" t="s">
        <v>39</v>
      </c>
      <c r="F2536" t="s">
        <v>40</v>
      </c>
      <c r="H2536">
        <v>766</v>
      </c>
      <c r="I2536">
        <v>8</v>
      </c>
      <c r="J2536">
        <v>0</v>
      </c>
      <c r="K2536" t="s">
        <v>25023</v>
      </c>
      <c r="L2536" t="s">
        <v>42</v>
      </c>
      <c r="N2536">
        <v>0.84030000000000005</v>
      </c>
      <c r="O2536" s="1">
        <v>1</v>
      </c>
      <c r="P2536" t="s">
        <v>25024</v>
      </c>
      <c r="Q2536" t="s">
        <v>25025</v>
      </c>
      <c r="S2536" t="s">
        <v>45</v>
      </c>
      <c r="T2536" t="s">
        <v>3223</v>
      </c>
      <c r="U2536" t="s">
        <v>25026</v>
      </c>
      <c r="V2536">
        <v>5</v>
      </c>
      <c r="W2536" t="s">
        <v>25026</v>
      </c>
      <c r="AE2536" t="s">
        <v>20498</v>
      </c>
      <c r="AF2536" t="s">
        <v>25027</v>
      </c>
      <c r="AG2536" t="s">
        <v>25028</v>
      </c>
      <c r="AH2536" t="str">
        <f>HYPERLINK("http://compartments.jensenlab.org/Entity?figures=subcell_cell_%&amp;knowledge=10&amp;textmining=10&amp;experiments=10&amp;predictions=10&amp;type1=9606&amp;type2=-22&amp;id1=ENSP00000280560","link")</f>
        <v>link</v>
      </c>
      <c r="AI2536" t="s">
        <v>1487</v>
      </c>
      <c r="AJ2536" t="s">
        <v>16430</v>
      </c>
      <c r="AK2536" t="str">
        <f>HYPERLINK("http://www.proteinatlas.org/Q9NP78","CAB033052;HPA035114")</f>
        <v>CAB033052;HPA035114</v>
      </c>
      <c r="AM2536">
        <v>23457</v>
      </c>
    </row>
    <row r="2537" spans="1:39" x14ac:dyDescent="0.35">
      <c r="A2537" t="s">
        <v>25029</v>
      </c>
      <c r="B2537" t="str">
        <f>HYPERLINK("http://www.uniprot.org/uniprot/Q9NP91","Q9NP91")</f>
        <v>Q9NP91</v>
      </c>
      <c r="C2537" t="s">
        <v>25030</v>
      </c>
      <c r="D2537" t="s">
        <v>25031</v>
      </c>
      <c r="E2537" t="s">
        <v>39</v>
      </c>
      <c r="F2537" t="s">
        <v>40</v>
      </c>
      <c r="H2537">
        <v>592</v>
      </c>
      <c r="I2537">
        <v>12</v>
      </c>
      <c r="J2537">
        <v>0</v>
      </c>
      <c r="K2537" t="s">
        <v>25032</v>
      </c>
      <c r="L2537" t="s">
        <v>57</v>
      </c>
      <c r="N2537">
        <v>0.91420000000000001</v>
      </c>
      <c r="O2537" s="1">
        <v>1</v>
      </c>
      <c r="P2537" t="s">
        <v>25033</v>
      </c>
      <c r="Q2537" t="s">
        <v>25034</v>
      </c>
      <c r="S2537" t="s">
        <v>45</v>
      </c>
      <c r="T2537" t="s">
        <v>6998</v>
      </c>
      <c r="U2537" t="s">
        <v>25035</v>
      </c>
      <c r="V2537">
        <v>3</v>
      </c>
      <c r="W2537">
        <v>131</v>
      </c>
      <c r="Y2537">
        <v>108</v>
      </c>
      <c r="AE2537" t="s">
        <v>14823</v>
      </c>
      <c r="AF2537" t="s">
        <v>25036</v>
      </c>
      <c r="AG2537" t="s">
        <v>25037</v>
      </c>
      <c r="AH2537" t="str">
        <f>HYPERLINK("http://compartments.jensenlab.org/Entity?figures=subcell_cell_%&amp;knowledge=10&amp;textmining=10&amp;experiments=10&amp;predictions=10&amp;type1=9606&amp;type2=-22&amp;id1=ENSP00000346298","link")</f>
        <v>link</v>
      </c>
      <c r="AI2537" t="s">
        <v>65</v>
      </c>
      <c r="AJ2537" t="s">
        <v>51</v>
      </c>
      <c r="AK2537" t="str">
        <f>HYPERLINK("http://www.proteinatlas.org/Q9NP91","HPA029873")</f>
        <v>HPA029873</v>
      </c>
      <c r="AM2537">
        <v>54716</v>
      </c>
    </row>
    <row r="2538" spans="1:39" x14ac:dyDescent="0.35">
      <c r="A2538" t="s">
        <v>25038</v>
      </c>
      <c r="B2538" t="str">
        <f>HYPERLINK("http://www.uniprot.org/uniprot/Q9NP94","Q9NP94")</f>
        <v>Q9NP94</v>
      </c>
      <c r="C2538" t="s">
        <v>25039</v>
      </c>
      <c r="D2538" t="s">
        <v>25040</v>
      </c>
      <c r="E2538" t="s">
        <v>39</v>
      </c>
      <c r="F2538" t="s">
        <v>55</v>
      </c>
      <c r="H2538">
        <v>309</v>
      </c>
      <c r="I2538">
        <v>8</v>
      </c>
      <c r="J2538">
        <v>0</v>
      </c>
      <c r="K2538" t="s">
        <v>25041</v>
      </c>
      <c r="L2538" t="s">
        <v>57</v>
      </c>
      <c r="M2538" t="s">
        <v>39</v>
      </c>
      <c r="N2538">
        <v>0.58789999999999998</v>
      </c>
      <c r="O2538" s="1">
        <v>2</v>
      </c>
      <c r="P2538" t="s">
        <v>25042</v>
      </c>
      <c r="Q2538" t="s">
        <v>25043</v>
      </c>
      <c r="S2538" t="s">
        <v>45</v>
      </c>
      <c r="T2538" t="s">
        <v>12712</v>
      </c>
      <c r="U2538" t="s">
        <v>25044</v>
      </c>
      <c r="V2538">
        <v>2</v>
      </c>
      <c r="AE2538" t="s">
        <v>74</v>
      </c>
      <c r="AF2538" t="s">
        <v>25045</v>
      </c>
      <c r="AG2538" t="s">
        <v>25046</v>
      </c>
      <c r="AH2538" t="str">
        <f>HYPERLINK("http://compartments.jensenlab.org/Entity?figures=subcell_cell_%&amp;knowledge=10&amp;textmining=10&amp;experiments=10&amp;predictions=10&amp;type1=9606&amp;type2=-22&amp;id1=ENSP00000298681","link")</f>
        <v>link</v>
      </c>
      <c r="AI2538" t="s">
        <v>65</v>
      </c>
      <c r="AJ2538" t="s">
        <v>51</v>
      </c>
      <c r="AK2538" t="str">
        <f>HYPERLINK("http://www.proteinatlas.org/Q9NP94","HPA030489")</f>
        <v>HPA030489</v>
      </c>
      <c r="AM2538">
        <v>29986</v>
      </c>
    </row>
    <row r="2539" spans="1:39" x14ac:dyDescent="0.35">
      <c r="A2539" t="s">
        <v>25047</v>
      </c>
      <c r="B2539" t="str">
        <f>HYPERLINK("http://www.uniprot.org/uniprot/Q9NP99","Q9NP99")</f>
        <v>Q9NP99</v>
      </c>
      <c r="C2539" t="s">
        <v>25048</v>
      </c>
      <c r="D2539" t="s">
        <v>25049</v>
      </c>
      <c r="E2539" t="s">
        <v>39</v>
      </c>
      <c r="F2539" t="s">
        <v>40</v>
      </c>
      <c r="H2539">
        <v>234</v>
      </c>
      <c r="I2539">
        <v>1</v>
      </c>
      <c r="J2539">
        <v>1</v>
      </c>
      <c r="K2539" t="s">
        <v>25050</v>
      </c>
      <c r="L2539" t="s">
        <v>57</v>
      </c>
      <c r="N2539">
        <v>0.73250000000000004</v>
      </c>
      <c r="O2539" s="1">
        <v>2</v>
      </c>
      <c r="P2539" t="s">
        <v>25051</v>
      </c>
      <c r="Q2539" t="s">
        <v>25052</v>
      </c>
      <c r="R2539" t="s">
        <v>25053</v>
      </c>
      <c r="S2539" t="s">
        <v>166</v>
      </c>
      <c r="T2539" t="s">
        <v>14741</v>
      </c>
      <c r="U2539" t="s">
        <v>25054</v>
      </c>
      <c r="V2539">
        <v>3</v>
      </c>
      <c r="W2539" t="s">
        <v>25054</v>
      </c>
      <c r="X2539" t="s">
        <v>25055</v>
      </c>
      <c r="AE2539" t="s">
        <v>1250</v>
      </c>
      <c r="AF2539" t="s">
        <v>25056</v>
      </c>
      <c r="AG2539" t="s">
        <v>25057</v>
      </c>
      <c r="AH2539" t="str">
        <f>HYPERLINK("http://compartments.jensenlab.org/Entity?figures=subcell_cell_%&amp;knowledge=10&amp;textmining=10&amp;experiments=10&amp;predictions=10&amp;type1=9606&amp;type2=-22&amp;id1=ENSP00000244709","link")</f>
        <v>link</v>
      </c>
      <c r="AI2539" t="s">
        <v>65</v>
      </c>
      <c r="AK2539" t="str">
        <f>HYPERLINK("http://www.proteinatlas.org/Q9NP99","HPA005563")</f>
        <v>HPA005563</v>
      </c>
      <c r="AM2539">
        <v>54210</v>
      </c>
    </row>
    <row r="2540" spans="1:39" x14ac:dyDescent="0.35">
      <c r="A2540" t="s">
        <v>25058</v>
      </c>
      <c r="B2540" t="str">
        <f>HYPERLINK("http://www.uniprot.org/uniprot/Q9NPA1","Q9NPA1")</f>
        <v>Q9NPA1</v>
      </c>
      <c r="C2540" t="s">
        <v>25059</v>
      </c>
      <c r="D2540" t="s">
        <v>25060</v>
      </c>
      <c r="E2540" t="s">
        <v>39</v>
      </c>
      <c r="F2540" t="s">
        <v>40</v>
      </c>
      <c r="H2540">
        <v>279</v>
      </c>
      <c r="I2540">
        <v>2</v>
      </c>
      <c r="J2540">
        <v>0</v>
      </c>
      <c r="K2540" t="s">
        <v>25061</v>
      </c>
      <c r="L2540" t="s">
        <v>57</v>
      </c>
      <c r="N2540">
        <v>0.73250000000000004</v>
      </c>
      <c r="O2540" s="1">
        <v>2</v>
      </c>
      <c r="P2540" t="s">
        <v>25062</v>
      </c>
      <c r="Q2540" t="s">
        <v>25063</v>
      </c>
      <c r="S2540" t="s">
        <v>45</v>
      </c>
      <c r="T2540" t="s">
        <v>13807</v>
      </c>
      <c r="U2540" t="s">
        <v>25064</v>
      </c>
      <c r="V2540">
        <v>2</v>
      </c>
      <c r="AE2540" t="s">
        <v>48</v>
      </c>
      <c r="AF2540" t="s">
        <v>25065</v>
      </c>
      <c r="AG2540" t="s">
        <v>25066</v>
      </c>
      <c r="AH2540" t="str">
        <f>HYPERLINK("http://compartments.jensenlab.org/Entity?figures=subcell_cell_%&amp;knowledge=10&amp;textmining=10&amp;experiments=10&amp;predictions=10&amp;type1=9606&amp;type2=-22&amp;id1=ENSP00000319370","link")</f>
        <v>link</v>
      </c>
      <c r="AI2540" t="s">
        <v>65</v>
      </c>
      <c r="AJ2540" t="s">
        <v>51</v>
      </c>
      <c r="AK2540" t="str">
        <f>HYPERLINK("http://www.proteinatlas.org/Q9NPA1","HPA015665;HPA019185")</f>
        <v>HPA015665;HPA019185</v>
      </c>
      <c r="AL2540" t="s">
        <v>13811</v>
      </c>
      <c r="AM2540">
        <v>27094</v>
      </c>
    </row>
    <row r="2541" spans="1:39" x14ac:dyDescent="0.35">
      <c r="A2541" t="s">
        <v>25067</v>
      </c>
      <c r="B2541" t="str">
        <f>HYPERLINK("http://www.uniprot.org/uniprot/Q9NPA2","Q9NPA2")</f>
        <v>Q9NPA2</v>
      </c>
      <c r="C2541" t="s">
        <v>25068</v>
      </c>
      <c r="D2541" t="s">
        <v>25069</v>
      </c>
      <c r="E2541" t="s">
        <v>39</v>
      </c>
      <c r="F2541" t="s">
        <v>239</v>
      </c>
      <c r="H2541">
        <v>562</v>
      </c>
      <c r="I2541">
        <v>0</v>
      </c>
      <c r="J2541">
        <v>1</v>
      </c>
      <c r="K2541" t="s">
        <v>25070</v>
      </c>
      <c r="L2541" t="s">
        <v>57</v>
      </c>
      <c r="N2541">
        <v>0.33929999999999999</v>
      </c>
      <c r="O2541" s="1"/>
      <c r="P2541" t="s">
        <v>25071</v>
      </c>
      <c r="Q2541" t="s">
        <v>25072</v>
      </c>
      <c r="V2541">
        <v>0</v>
      </c>
      <c r="X2541">
        <v>512</v>
      </c>
      <c r="AE2541" t="s">
        <v>2699</v>
      </c>
      <c r="AF2541" t="s">
        <v>25073</v>
      </c>
      <c r="AG2541" t="s">
        <v>25074</v>
      </c>
      <c r="AH2541" t="str">
        <f>HYPERLINK("http://compartments.jensenlab.org/Entity?figures=subcell_cell_%&amp;knowledge=10&amp;textmining=10&amp;experiments=10&amp;predictions=10&amp;type1=9606&amp;type2=-22&amp;id1=ENSP00000337816","link")</f>
        <v>link</v>
      </c>
      <c r="AI2541" t="s">
        <v>1058</v>
      </c>
      <c r="AJ2541" t="s">
        <v>902</v>
      </c>
      <c r="AK2541" t="str">
        <f>HYPERLINK("http://www.proteinatlas.org/Q9NPA2","CAB025177")</f>
        <v>CAB025177</v>
      </c>
      <c r="AL2541" t="s">
        <v>10234</v>
      </c>
      <c r="AM2541">
        <v>64386</v>
      </c>
    </row>
    <row r="2542" spans="1:39" x14ac:dyDescent="0.35">
      <c r="A2542" t="s">
        <v>25075</v>
      </c>
      <c r="B2542" t="str">
        <f>HYPERLINK("http://www.uniprot.org/uniprot/Q9NPB9","Q9NPB9")</f>
        <v>Q9NPB9</v>
      </c>
      <c r="C2542" t="s">
        <v>25076</v>
      </c>
      <c r="D2542" t="s">
        <v>25077</v>
      </c>
      <c r="E2542" t="s">
        <v>39</v>
      </c>
      <c r="F2542" t="s">
        <v>40</v>
      </c>
      <c r="H2542">
        <v>350</v>
      </c>
      <c r="I2542">
        <v>7</v>
      </c>
      <c r="J2542">
        <v>0</v>
      </c>
      <c r="K2542" t="s">
        <v>25078</v>
      </c>
      <c r="L2542" t="s">
        <v>57</v>
      </c>
      <c r="N2542">
        <v>0.92420000000000002</v>
      </c>
      <c r="O2542" s="1">
        <v>1</v>
      </c>
      <c r="P2542" t="s">
        <v>25079</v>
      </c>
      <c r="Q2542" t="s">
        <v>25080</v>
      </c>
      <c r="S2542" t="s">
        <v>166</v>
      </c>
      <c r="T2542" t="s">
        <v>838</v>
      </c>
      <c r="U2542" t="s">
        <v>25081</v>
      </c>
      <c r="V2542">
        <v>3</v>
      </c>
      <c r="W2542">
        <v>19</v>
      </c>
      <c r="AE2542" t="s">
        <v>1074</v>
      </c>
      <c r="AF2542" t="s">
        <v>25082</v>
      </c>
      <c r="AG2542" t="s">
        <v>25083</v>
      </c>
      <c r="AH2542" t="str">
        <f>HYPERLINK("http://compartments.jensenlab.org/Entity?figures=subcell_cell_%&amp;knowledge=10&amp;textmining=10&amp;experiments=10&amp;predictions=10&amp;type1=9606&amp;type2=-22&amp;id1=ENSP00000249887","link")</f>
        <v>link</v>
      </c>
      <c r="AI2542" t="s">
        <v>65</v>
      </c>
      <c r="AJ2542" t="s">
        <v>51</v>
      </c>
      <c r="AK2542" t="str">
        <f>HYPERLINK("http://www.proteinatlas.org/Q9NPB9","no")</f>
        <v>no</v>
      </c>
      <c r="AM2542">
        <v>51554</v>
      </c>
    </row>
    <row r="2543" spans="1:39" x14ac:dyDescent="0.35">
      <c r="A2543" t="s">
        <v>25084</v>
      </c>
      <c r="B2543" t="str">
        <f>HYPERLINK("http://www.uniprot.org/uniprot/Q9NPC1","Q9NPC1")</f>
        <v>Q9NPC1</v>
      </c>
      <c r="C2543" t="s">
        <v>25085</v>
      </c>
      <c r="D2543" t="s">
        <v>25086</v>
      </c>
      <c r="E2543" t="s">
        <v>39</v>
      </c>
      <c r="F2543" t="s">
        <v>40</v>
      </c>
      <c r="H2543">
        <v>389</v>
      </c>
      <c r="I2543">
        <v>7</v>
      </c>
      <c r="J2543">
        <v>0</v>
      </c>
      <c r="K2543" t="s">
        <v>25087</v>
      </c>
      <c r="L2543" t="s">
        <v>57</v>
      </c>
      <c r="N2543">
        <v>0.72460000000000002</v>
      </c>
      <c r="O2543" s="1">
        <v>2</v>
      </c>
      <c r="P2543" t="s">
        <v>25088</v>
      </c>
      <c r="Q2543" t="s">
        <v>25089</v>
      </c>
      <c r="S2543" t="s">
        <v>166</v>
      </c>
      <c r="T2543" t="s">
        <v>838</v>
      </c>
      <c r="U2543">
        <v>41</v>
      </c>
      <c r="V2543">
        <v>1</v>
      </c>
      <c r="W2543">
        <v>41</v>
      </c>
      <c r="AE2543" t="s">
        <v>74</v>
      </c>
      <c r="AF2543" t="s">
        <v>25090</v>
      </c>
      <c r="AG2543" t="s">
        <v>25091</v>
      </c>
      <c r="AH2543" t="str">
        <f>HYPERLINK("http://compartments.jensenlab.org/Entity?figures=subcell_cell_%&amp;knowledge=10&amp;textmining=10&amp;experiments=10&amp;predictions=10&amp;type1=9606&amp;type2=-22&amp;id1=ENSP00000432146","link")</f>
        <v>link</v>
      </c>
      <c r="AK2543" t="str">
        <f>HYPERLINK("http://www.proteinatlas.org/Q9NPC1","CAB022689")</f>
        <v>CAB022689</v>
      </c>
      <c r="AM2543">
        <v>56413</v>
      </c>
    </row>
    <row r="2544" spans="1:39" x14ac:dyDescent="0.35">
      <c r="A2544" t="s">
        <v>25092</v>
      </c>
      <c r="B2544" t="str">
        <f>HYPERLINK("http://www.uniprot.org/uniprot/Q9NPD5","Q9NPD5")</f>
        <v>Q9NPD5</v>
      </c>
      <c r="C2544" t="s">
        <v>25093</v>
      </c>
      <c r="D2544" t="s">
        <v>25094</v>
      </c>
      <c r="E2544" t="s">
        <v>39</v>
      </c>
      <c r="F2544" t="s">
        <v>40</v>
      </c>
      <c r="H2544">
        <v>702</v>
      </c>
      <c r="I2544">
        <v>12</v>
      </c>
      <c r="J2544">
        <v>0</v>
      </c>
      <c r="K2544" t="s">
        <v>25095</v>
      </c>
      <c r="L2544" t="s">
        <v>57</v>
      </c>
      <c r="N2544">
        <v>0.84230000000000005</v>
      </c>
      <c r="O2544" s="1">
        <v>1</v>
      </c>
      <c r="P2544" t="s">
        <v>25096</v>
      </c>
      <c r="Q2544" t="s">
        <v>25097</v>
      </c>
      <c r="S2544" t="s">
        <v>45</v>
      </c>
      <c r="T2544" t="s">
        <v>797</v>
      </c>
      <c r="U2544" t="s">
        <v>25098</v>
      </c>
      <c r="V2544">
        <v>6</v>
      </c>
      <c r="W2544" t="s">
        <v>25099</v>
      </c>
      <c r="AE2544" t="s">
        <v>1460</v>
      </c>
      <c r="AF2544" t="s">
        <v>9678</v>
      </c>
      <c r="AG2544" t="s">
        <v>25100</v>
      </c>
      <c r="AH2544" t="str">
        <f>HYPERLINK("http://compartments.jensenlab.org/Entity?figures=subcell_cell_%&amp;knowledge=10&amp;textmining=10&amp;experiments=10&amp;predictions=10&amp;type1=9606&amp;type2=-22&amp;id1=ENSP00000261196","link")</f>
        <v>link</v>
      </c>
      <c r="AI2544" t="s">
        <v>65</v>
      </c>
      <c r="AJ2544" t="s">
        <v>2124</v>
      </c>
      <c r="AK2544" t="str">
        <f>HYPERLINK("http://www.proteinatlas.org/Q9NPD5","HPA004943;HPA050892")</f>
        <v>HPA004943;HPA050892</v>
      </c>
      <c r="AM2544">
        <v>28234</v>
      </c>
    </row>
    <row r="2545" spans="1:39" x14ac:dyDescent="0.35">
      <c r="A2545" t="s">
        <v>25101</v>
      </c>
      <c r="B2545" t="str">
        <f>HYPERLINK("http://www.uniprot.org/uniprot/Q9NPD7","Q9NPD7")</f>
        <v>Q9NPD7</v>
      </c>
      <c r="C2545" t="s">
        <v>25102</v>
      </c>
      <c r="D2545" t="s">
        <v>25103</v>
      </c>
      <c r="E2545" t="s">
        <v>39</v>
      </c>
      <c r="F2545" t="s">
        <v>239</v>
      </c>
      <c r="H2545">
        <v>142</v>
      </c>
      <c r="I2545">
        <v>0</v>
      </c>
      <c r="J2545">
        <v>1</v>
      </c>
      <c r="K2545" t="s">
        <v>25104</v>
      </c>
      <c r="L2545" t="s">
        <v>57</v>
      </c>
      <c r="N2545">
        <v>0.33329999999999999</v>
      </c>
      <c r="O2545" s="1"/>
      <c r="P2545" t="s">
        <v>25105</v>
      </c>
      <c r="Q2545" t="s">
        <v>25106</v>
      </c>
      <c r="V2545">
        <v>0</v>
      </c>
      <c r="AE2545" t="s">
        <v>25107</v>
      </c>
      <c r="AF2545" t="s">
        <v>25108</v>
      </c>
      <c r="AG2545" t="s">
        <v>25109</v>
      </c>
      <c r="AH2545" t="str">
        <f>HYPERLINK("http://compartments.jensenlab.org/Entity?figures=subcell_cell_%&amp;knowledge=10&amp;textmining=10&amp;experiments=10&amp;predictions=10&amp;type1=9606&amp;type2=-22&amp;id1=ENSP00000244766","link")</f>
        <v>link</v>
      </c>
      <c r="AI2545" t="s">
        <v>65</v>
      </c>
      <c r="AJ2545" t="s">
        <v>51</v>
      </c>
      <c r="AK2545" t="str">
        <f>HYPERLINK("http://www.proteinatlas.org/Q9NPD7","no")</f>
        <v>no</v>
      </c>
      <c r="AM2545">
        <v>51299</v>
      </c>
    </row>
    <row r="2546" spans="1:39" x14ac:dyDescent="0.35">
      <c r="A2546" t="s">
        <v>25110</v>
      </c>
      <c r="B2546" t="str">
        <f>HYPERLINK("http://www.uniprot.org/uniprot/Q9NPF0","Q9NPF0")</f>
        <v>Q9NPF0</v>
      </c>
      <c r="C2546" t="s">
        <v>25111</v>
      </c>
      <c r="D2546" t="s">
        <v>25112</v>
      </c>
      <c r="E2546" t="s">
        <v>39</v>
      </c>
      <c r="F2546" t="s">
        <v>40</v>
      </c>
      <c r="H2546">
        <v>282</v>
      </c>
      <c r="I2546">
        <v>1</v>
      </c>
      <c r="J2546">
        <v>1</v>
      </c>
      <c r="K2546" t="s">
        <v>25113</v>
      </c>
      <c r="L2546" t="s">
        <v>57</v>
      </c>
      <c r="N2546">
        <v>0.72850000000000004</v>
      </c>
      <c r="O2546" s="1">
        <v>2</v>
      </c>
      <c r="P2546" t="s">
        <v>25114</v>
      </c>
      <c r="Q2546" t="s">
        <v>25115</v>
      </c>
      <c r="R2546" t="s">
        <v>25112</v>
      </c>
      <c r="S2546" t="s">
        <v>60</v>
      </c>
      <c r="T2546" t="s">
        <v>60</v>
      </c>
      <c r="U2546" t="s">
        <v>25116</v>
      </c>
      <c r="V2546">
        <v>3</v>
      </c>
      <c r="Y2546" t="s">
        <v>25117</v>
      </c>
      <c r="AE2546" t="s">
        <v>144</v>
      </c>
      <c r="AF2546" t="s">
        <v>25118</v>
      </c>
      <c r="AG2546" t="s">
        <v>25119</v>
      </c>
      <c r="AH2546" t="str">
        <f>HYPERLINK("http://compartments.jensenlab.org/Entity?figures=subcell_cell_%&amp;knowledge=10&amp;textmining=10&amp;experiments=10&amp;predictions=10&amp;type1=9606&amp;type2=-22&amp;id1=ENSP00000301458","link")</f>
        <v>link</v>
      </c>
      <c r="AI2546" t="s">
        <v>65</v>
      </c>
      <c r="AJ2546" t="s">
        <v>345</v>
      </c>
      <c r="AK2546" t="str">
        <f>HYPERLINK("http://www.proteinatlas.org/Q9NPF0","HPA014500")</f>
        <v>HPA014500</v>
      </c>
      <c r="AM2546">
        <v>51293</v>
      </c>
    </row>
    <row r="2547" spans="1:39" x14ac:dyDescent="0.35">
      <c r="A2547" t="s">
        <v>25120</v>
      </c>
      <c r="B2547" t="str">
        <f>HYPERLINK("http://www.uniprot.org/uniprot/Q9NPG1","Q9NPG1")</f>
        <v>Q9NPG1</v>
      </c>
      <c r="C2547" t="s">
        <v>25121</v>
      </c>
      <c r="D2547" t="s">
        <v>25122</v>
      </c>
      <c r="E2547" t="s">
        <v>39</v>
      </c>
      <c r="F2547" t="s">
        <v>40</v>
      </c>
      <c r="H2547">
        <v>666</v>
      </c>
      <c r="I2547">
        <v>7</v>
      </c>
      <c r="J2547">
        <v>1</v>
      </c>
      <c r="K2547" t="s">
        <v>25123</v>
      </c>
      <c r="L2547" t="s">
        <v>57</v>
      </c>
      <c r="N2547">
        <v>0.86629999999999996</v>
      </c>
      <c r="O2547" s="1">
        <v>1</v>
      </c>
      <c r="P2547" t="s">
        <v>25124</v>
      </c>
      <c r="Q2547" t="s">
        <v>25125</v>
      </c>
      <c r="S2547" t="s">
        <v>166</v>
      </c>
      <c r="T2547" t="s">
        <v>827</v>
      </c>
      <c r="U2547" t="s">
        <v>25126</v>
      </c>
      <c r="V2547">
        <v>3</v>
      </c>
      <c r="AE2547" t="s">
        <v>25127</v>
      </c>
      <c r="AF2547" t="s">
        <v>25128</v>
      </c>
      <c r="AG2547" t="s">
        <v>25129</v>
      </c>
      <c r="AH2547" t="str">
        <f>HYPERLINK("http://compartments.jensenlab.org/Entity?figures=subcell_cell_%&amp;knowledge=10&amp;textmining=10&amp;experiments=10&amp;predictions=10&amp;type1=9606&amp;type2=-22&amp;id1=ENSP00000240093","link")</f>
        <v>link</v>
      </c>
      <c r="AI2547" t="s">
        <v>65</v>
      </c>
      <c r="AJ2547" t="s">
        <v>2124</v>
      </c>
      <c r="AK2547" t="str">
        <f>HYPERLINK("http://www.proteinatlas.org/Q9NPG1","CAB024995;HPA042320")</f>
        <v>CAB024995;HPA042320</v>
      </c>
      <c r="AM2547">
        <v>7976</v>
      </c>
    </row>
    <row r="2548" spans="1:39" x14ac:dyDescent="0.35">
      <c r="A2548" t="s">
        <v>25130</v>
      </c>
      <c r="B2548" t="str">
        <f>HYPERLINK("http://www.uniprot.org/uniprot/Q9NPG4","Q9NPG4")</f>
        <v>Q9NPG4</v>
      </c>
      <c r="C2548" t="s">
        <v>25131</v>
      </c>
      <c r="D2548" t="s">
        <v>25132</v>
      </c>
      <c r="E2548" t="s">
        <v>39</v>
      </c>
      <c r="F2548" t="s">
        <v>55</v>
      </c>
      <c r="H2548">
        <v>1184</v>
      </c>
      <c r="I2548">
        <v>1</v>
      </c>
      <c r="J2548">
        <v>1</v>
      </c>
      <c r="K2548" t="s">
        <v>25133</v>
      </c>
      <c r="L2548" t="s">
        <v>57</v>
      </c>
      <c r="M2548" t="s">
        <v>39</v>
      </c>
      <c r="N2548">
        <v>0.95830000000000004</v>
      </c>
      <c r="O2548" s="1">
        <v>1</v>
      </c>
      <c r="P2548" t="s">
        <v>25134</v>
      </c>
      <c r="Q2548" t="s">
        <v>25135</v>
      </c>
      <c r="S2548" t="s">
        <v>91</v>
      </c>
      <c r="T2548" t="s">
        <v>216</v>
      </c>
      <c r="U2548" t="s">
        <v>25136</v>
      </c>
      <c r="V2548">
        <v>4</v>
      </c>
      <c r="W2548" t="s">
        <v>25137</v>
      </c>
      <c r="AE2548" t="s">
        <v>8431</v>
      </c>
      <c r="AF2548" t="s">
        <v>23452</v>
      </c>
      <c r="AG2548" t="s">
        <v>25138</v>
      </c>
      <c r="AH2548" t="str">
        <f>HYPERLINK("http://compartments.jensenlab.org/Entity?figures=subcell_cell_%&amp;knowledge=10&amp;textmining=10&amp;experiments=10&amp;predictions=10&amp;type1=9606&amp;type2=-22&amp;id1=ENSP00000231484","link")</f>
        <v>link</v>
      </c>
      <c r="AI2548" t="s">
        <v>65</v>
      </c>
      <c r="AJ2548" t="s">
        <v>51</v>
      </c>
      <c r="AK2548" t="str">
        <f>HYPERLINK("http://www.proteinatlas.org/Q9NPG4","HPA051242")</f>
        <v>HPA051242</v>
      </c>
      <c r="AM2548">
        <v>51294</v>
      </c>
    </row>
    <row r="2549" spans="1:39" x14ac:dyDescent="0.35">
      <c r="A2549" t="s">
        <v>25139</v>
      </c>
      <c r="B2549" t="str">
        <f>HYPERLINK("http://www.uniprot.org/uniprot/Q9NPH3","Q9NPH3")</f>
        <v>Q9NPH3</v>
      </c>
      <c r="C2549" t="s">
        <v>25140</v>
      </c>
      <c r="D2549" t="s">
        <v>25141</v>
      </c>
      <c r="E2549" t="s">
        <v>39</v>
      </c>
      <c r="F2549" t="s">
        <v>55</v>
      </c>
      <c r="H2549">
        <v>570</v>
      </c>
      <c r="I2549">
        <v>1</v>
      </c>
      <c r="J2549">
        <v>1</v>
      </c>
      <c r="K2549" t="s">
        <v>25142</v>
      </c>
      <c r="L2549" t="s">
        <v>101</v>
      </c>
      <c r="M2549" t="s">
        <v>39</v>
      </c>
      <c r="N2549">
        <v>0.86750000000000005</v>
      </c>
      <c r="O2549" s="1">
        <v>1</v>
      </c>
      <c r="P2549" t="s">
        <v>25143</v>
      </c>
      <c r="Q2549" t="s">
        <v>25144</v>
      </c>
      <c r="S2549" t="s">
        <v>166</v>
      </c>
      <c r="T2549" t="s">
        <v>3171</v>
      </c>
      <c r="U2549" t="s">
        <v>25145</v>
      </c>
      <c r="V2549">
        <v>7</v>
      </c>
      <c r="W2549" t="s">
        <v>25145</v>
      </c>
      <c r="X2549" t="s">
        <v>25146</v>
      </c>
      <c r="Z2549" t="s">
        <v>107</v>
      </c>
      <c r="AA2549">
        <v>6</v>
      </c>
      <c r="AB2549" t="s">
        <v>25147</v>
      </c>
      <c r="AC2549" t="s">
        <v>25148</v>
      </c>
      <c r="AD2549" t="s">
        <v>25149</v>
      </c>
      <c r="AE2549" t="s">
        <v>1700</v>
      </c>
      <c r="AF2549" t="s">
        <v>25150</v>
      </c>
      <c r="AG2549" t="s">
        <v>25151</v>
      </c>
      <c r="AH2549" t="str">
        <f>HYPERLINK("http://compartments.jensenlab.org/Entity?figures=subcell_cell_%&amp;knowledge=10&amp;textmining=10&amp;experiments=10&amp;predictions=10&amp;type1=9606&amp;type2=-22&amp;id1=ENSP00000072516","link")</f>
        <v>link</v>
      </c>
      <c r="AI2549" t="s">
        <v>1058</v>
      </c>
      <c r="AK2549" t="str">
        <f>HYPERLINK("http://www.proteinatlas.org/Q9NPH3","HPA035293")</f>
        <v>HPA035293</v>
      </c>
      <c r="AM2549">
        <v>3556</v>
      </c>
    </row>
    <row r="2550" spans="1:39" x14ac:dyDescent="0.35">
      <c r="A2550" t="s">
        <v>25152</v>
      </c>
      <c r="B2550" t="str">
        <f>HYPERLINK("http://www.uniprot.org/uniprot/Q9NPH5","Q9NPH5")</f>
        <v>Q9NPH5</v>
      </c>
      <c r="C2550" t="s">
        <v>25153</v>
      </c>
      <c r="D2550" t="s">
        <v>25154</v>
      </c>
      <c r="E2550" t="s">
        <v>39</v>
      </c>
      <c r="F2550" t="s">
        <v>40</v>
      </c>
      <c r="H2550">
        <v>578</v>
      </c>
      <c r="I2550">
        <v>6</v>
      </c>
      <c r="J2550">
        <v>0</v>
      </c>
      <c r="K2550" t="s">
        <v>25155</v>
      </c>
      <c r="L2550" t="s">
        <v>57</v>
      </c>
      <c r="N2550">
        <v>0.66669999999999996</v>
      </c>
      <c r="O2550" s="1">
        <v>2</v>
      </c>
      <c r="P2550" t="s">
        <v>25156</v>
      </c>
      <c r="Q2550" t="s">
        <v>25157</v>
      </c>
      <c r="S2550" t="s">
        <v>947</v>
      </c>
      <c r="T2550" t="s">
        <v>25158</v>
      </c>
      <c r="U2550" t="s">
        <v>25159</v>
      </c>
      <c r="V2550">
        <v>4</v>
      </c>
      <c r="Y2550">
        <v>5</v>
      </c>
      <c r="AE2550" t="s">
        <v>25160</v>
      </c>
      <c r="AF2550" t="s">
        <v>25161</v>
      </c>
      <c r="AG2550" t="s">
        <v>25162</v>
      </c>
      <c r="AH2550" t="str">
        <f>HYPERLINK("http://compartments.jensenlab.org/Entity?figures=subcell_cell_%&amp;knowledge=10&amp;textmining=10&amp;experiments=10&amp;predictions=10&amp;type1=9606&amp;type2=-22&amp;id1=ENSP00000263317","link")</f>
        <v>link</v>
      </c>
      <c r="AI2550" t="s">
        <v>1500</v>
      </c>
      <c r="AJ2550" t="s">
        <v>12046</v>
      </c>
      <c r="AK2550" t="str">
        <f>HYPERLINK("http://www.proteinatlas.org/Q9NPH5","HPA015475")</f>
        <v>HPA015475</v>
      </c>
      <c r="AM2550">
        <v>50507</v>
      </c>
    </row>
    <row r="2551" spans="1:39" x14ac:dyDescent="0.35">
      <c r="A2551" t="s">
        <v>25163</v>
      </c>
      <c r="B2551" t="str">
        <f>HYPERLINK("http://www.uniprot.org/uniprot/Q9NPR2","Q9NPR2")</f>
        <v>Q9NPR2</v>
      </c>
      <c r="C2551" t="s">
        <v>25164</v>
      </c>
      <c r="D2551" t="s">
        <v>25165</v>
      </c>
      <c r="E2551" t="s">
        <v>39</v>
      </c>
      <c r="F2551" t="s">
        <v>40</v>
      </c>
      <c r="H2551">
        <v>832</v>
      </c>
      <c r="I2551">
        <v>1</v>
      </c>
      <c r="J2551">
        <v>1</v>
      </c>
      <c r="K2551" t="s">
        <v>25166</v>
      </c>
      <c r="L2551" t="s">
        <v>101</v>
      </c>
      <c r="N2551">
        <v>0.80840000000000001</v>
      </c>
      <c r="O2551" s="1">
        <v>1</v>
      </c>
      <c r="P2551" t="s">
        <v>25167</v>
      </c>
      <c r="Q2551" t="s">
        <v>25168</v>
      </c>
      <c r="S2551" t="s">
        <v>91</v>
      </c>
      <c r="T2551" t="s">
        <v>3379</v>
      </c>
      <c r="U2551" t="s">
        <v>25169</v>
      </c>
      <c r="V2551">
        <v>6</v>
      </c>
      <c r="Z2551" t="s">
        <v>107</v>
      </c>
      <c r="AA2551">
        <v>6</v>
      </c>
      <c r="AB2551" t="s">
        <v>25170</v>
      </c>
      <c r="AC2551" t="s">
        <v>25171</v>
      </c>
      <c r="AD2551" t="s">
        <v>25172</v>
      </c>
      <c r="AE2551" t="s">
        <v>144</v>
      </c>
      <c r="AF2551" t="s">
        <v>25173</v>
      </c>
      <c r="AG2551" t="s">
        <v>25174</v>
      </c>
      <c r="AH2551" t="str">
        <f>HYPERLINK("http://compartments.jensenlab.org/Entity?figures=subcell_cell_%&amp;knowledge=10&amp;textmining=10&amp;experiments=10&amp;predictions=10&amp;type1=9606&amp;type2=-22&amp;id1=ENSP00000368417","link")</f>
        <v>link</v>
      </c>
      <c r="AK2551" t="str">
        <f>HYPERLINK("http://www.proteinatlas.org/Q9NPR2","HPA013372")</f>
        <v>HPA013372</v>
      </c>
    </row>
    <row r="2552" spans="1:39" x14ac:dyDescent="0.35">
      <c r="A2552" t="s">
        <v>25175</v>
      </c>
      <c r="B2552" t="str">
        <f>HYPERLINK("http://www.uniprot.org/uniprot/Q9NPR9","Q9NPR9")</f>
        <v>Q9NPR9</v>
      </c>
      <c r="C2552" t="s">
        <v>25176</v>
      </c>
      <c r="D2552" t="s">
        <v>25177</v>
      </c>
      <c r="E2552" t="s">
        <v>39</v>
      </c>
      <c r="F2552" t="s">
        <v>40</v>
      </c>
      <c r="H2552">
        <v>543</v>
      </c>
      <c r="I2552">
        <v>7</v>
      </c>
      <c r="J2552">
        <v>0</v>
      </c>
      <c r="K2552" t="s">
        <v>25178</v>
      </c>
      <c r="L2552" t="s">
        <v>42</v>
      </c>
      <c r="N2552">
        <v>0.71260000000000001</v>
      </c>
      <c r="O2552" s="1">
        <v>2</v>
      </c>
      <c r="P2552" t="s">
        <v>25179</v>
      </c>
      <c r="Q2552" t="s">
        <v>25180</v>
      </c>
      <c r="S2552" t="s">
        <v>60</v>
      </c>
      <c r="T2552" t="s">
        <v>60</v>
      </c>
      <c r="U2552" t="s">
        <v>25181</v>
      </c>
      <c r="V2552">
        <v>5</v>
      </c>
      <c r="AE2552" t="s">
        <v>48</v>
      </c>
      <c r="AF2552" t="s">
        <v>226</v>
      </c>
      <c r="AG2552" t="s">
        <v>25182</v>
      </c>
      <c r="AH2552" t="str">
        <f>HYPERLINK("http://compartments.jensenlab.org/Entity?figures=subcell_cell_%&amp;knowledge=10&amp;textmining=10&amp;experiments=10&amp;predictions=10&amp;type1=9606&amp;type2=-22&amp;id1=ENSP00000264080","link")</f>
        <v>link</v>
      </c>
      <c r="AJ2552" t="s">
        <v>51</v>
      </c>
      <c r="AK2552" t="str">
        <f>HYPERLINK("http://www.proteinatlas.org/Q9NPR9","HPA041924;HPA041951;HPA063863")</f>
        <v>HPA041924;HPA041951;HPA063863</v>
      </c>
      <c r="AM2552">
        <v>56927</v>
      </c>
    </row>
    <row r="2553" spans="1:39" x14ac:dyDescent="0.35">
      <c r="A2553" t="s">
        <v>25183</v>
      </c>
      <c r="B2553" t="str">
        <f>HYPERLINK("http://www.uniprot.org/uniprot/Q9NPU4","Q9NPU4")</f>
        <v>Q9NPU4</v>
      </c>
      <c r="C2553" t="s">
        <v>25184</v>
      </c>
      <c r="D2553" t="s">
        <v>25185</v>
      </c>
      <c r="E2553" t="s">
        <v>39</v>
      </c>
      <c r="F2553" t="s">
        <v>40</v>
      </c>
      <c r="H2553">
        <v>173</v>
      </c>
      <c r="I2553">
        <v>1</v>
      </c>
      <c r="J2553">
        <v>1</v>
      </c>
      <c r="K2553" t="s">
        <v>25186</v>
      </c>
      <c r="L2553" t="s">
        <v>42</v>
      </c>
      <c r="N2553">
        <v>0.73450000000000004</v>
      </c>
      <c r="O2553" s="1">
        <v>2</v>
      </c>
      <c r="P2553" t="s">
        <v>25187</v>
      </c>
      <c r="Q2553" t="s">
        <v>25188</v>
      </c>
      <c r="S2553" t="s">
        <v>60</v>
      </c>
      <c r="T2553" t="s">
        <v>60</v>
      </c>
      <c r="U2553" t="s">
        <v>25189</v>
      </c>
      <c r="V2553">
        <v>2</v>
      </c>
      <c r="AE2553" t="s">
        <v>94</v>
      </c>
      <c r="AF2553" t="s">
        <v>15168</v>
      </c>
      <c r="AG2553" t="s">
        <v>25190</v>
      </c>
      <c r="AH2553" t="str">
        <f>HYPERLINK("http://compartments.jensenlab.org/Entity?figures=subcell_cell_%&amp;knowledge=10&amp;textmining=10&amp;experiments=10&amp;predictions=10&amp;type1=9606&amp;type2=-22&amp;id1=ENSP00000451731","link")</f>
        <v>link</v>
      </c>
      <c r="AK2553" t="str">
        <f>HYPERLINK("http://www.proteinatlas.org/Q9NPU4","HPA021614")</f>
        <v>HPA021614</v>
      </c>
    </row>
    <row r="2554" spans="1:39" x14ac:dyDescent="0.35">
      <c r="A2554" t="s">
        <v>25191</v>
      </c>
      <c r="B2554" t="str">
        <f>HYPERLINK("http://www.uniprot.org/uniprot/Q9NPY3","Q9NPY3")</f>
        <v>Q9NPY3</v>
      </c>
      <c r="C2554" t="s">
        <v>25192</v>
      </c>
      <c r="D2554" t="s">
        <v>25193</v>
      </c>
      <c r="E2554" t="s">
        <v>39</v>
      </c>
      <c r="F2554" t="s">
        <v>40</v>
      </c>
      <c r="H2554">
        <v>652</v>
      </c>
      <c r="I2554">
        <v>1</v>
      </c>
      <c r="J2554">
        <v>1</v>
      </c>
      <c r="K2554" t="s">
        <v>25194</v>
      </c>
      <c r="L2554" t="s">
        <v>57</v>
      </c>
      <c r="N2554">
        <v>0.73050000000000004</v>
      </c>
      <c r="O2554" s="1">
        <v>2</v>
      </c>
      <c r="P2554" t="s">
        <v>25195</v>
      </c>
      <c r="Q2554" t="s">
        <v>25196</v>
      </c>
      <c r="R2554" t="s">
        <v>25193</v>
      </c>
      <c r="S2554" t="s">
        <v>60</v>
      </c>
      <c r="T2554" t="s">
        <v>60</v>
      </c>
      <c r="U2554">
        <v>325</v>
      </c>
      <c r="V2554">
        <v>1</v>
      </c>
      <c r="W2554">
        <v>325</v>
      </c>
      <c r="X2554" t="s">
        <v>25197</v>
      </c>
      <c r="AE2554" t="s">
        <v>144</v>
      </c>
      <c r="AF2554" t="s">
        <v>25198</v>
      </c>
      <c r="AG2554" t="s">
        <v>25199</v>
      </c>
      <c r="AH2554" t="str">
        <f>HYPERLINK("http://compartments.jensenlab.org/Entity?figures=subcell_cell_%&amp;knowledge=10&amp;textmining=10&amp;experiments=10&amp;predictions=10&amp;type1=9606&amp;type2=-22&amp;id1=ENSP00000246006","link")</f>
        <v>link</v>
      </c>
      <c r="AJ2554" t="s">
        <v>51</v>
      </c>
      <c r="AK2554" t="str">
        <f>HYPERLINK("http://www.proteinatlas.org/Q9NPY3","HPA009300;HPA012368")</f>
        <v>HPA009300;HPA012368</v>
      </c>
      <c r="AM2554">
        <v>22918</v>
      </c>
    </row>
    <row r="2555" spans="1:39" x14ac:dyDescent="0.35">
      <c r="A2555" t="s">
        <v>25200</v>
      </c>
      <c r="B2555" t="str">
        <f>HYPERLINK("http://www.uniprot.org/uniprot/Q9NQ11","Q9NQ11")</f>
        <v>Q9NQ11</v>
      </c>
      <c r="C2555" t="s">
        <v>25201</v>
      </c>
      <c r="D2555" t="s">
        <v>25202</v>
      </c>
      <c r="E2555" t="s">
        <v>39</v>
      </c>
      <c r="F2555" t="s">
        <v>40</v>
      </c>
      <c r="H2555">
        <v>1180</v>
      </c>
      <c r="I2555">
        <v>12</v>
      </c>
      <c r="J2555">
        <v>0</v>
      </c>
      <c r="K2555" t="s">
        <v>25203</v>
      </c>
      <c r="L2555" t="s">
        <v>57</v>
      </c>
      <c r="N2555">
        <v>0.58479999999999999</v>
      </c>
      <c r="O2555" s="1">
        <v>2</v>
      </c>
      <c r="P2555" t="s">
        <v>25204</v>
      </c>
      <c r="Q2555" t="s">
        <v>25205</v>
      </c>
      <c r="S2555" t="s">
        <v>45</v>
      </c>
      <c r="T2555" t="s">
        <v>3982</v>
      </c>
      <c r="U2555" t="s">
        <v>25206</v>
      </c>
      <c r="V2555">
        <v>2</v>
      </c>
      <c r="AE2555" t="s">
        <v>25207</v>
      </c>
      <c r="AF2555" t="s">
        <v>25208</v>
      </c>
      <c r="AG2555" t="s">
        <v>25209</v>
      </c>
      <c r="AH2555" t="str">
        <f>HYPERLINK("http://compartments.jensenlab.org/Entity?figures=subcell_cell_%&amp;knowledge=10&amp;textmining=10&amp;experiments=10&amp;predictions=10&amp;type1=9606&amp;type2=-22&amp;id1=ENSP00000327214","link")</f>
        <v>link</v>
      </c>
      <c r="AI2555" t="s">
        <v>1487</v>
      </c>
      <c r="AJ2555" t="s">
        <v>2393</v>
      </c>
      <c r="AK2555" t="str">
        <f>HYPERLINK("http://www.proteinatlas.org/Q9NQ11","CAB037111")</f>
        <v>CAB037111</v>
      </c>
      <c r="AM2555">
        <v>23400</v>
      </c>
    </row>
    <row r="2556" spans="1:39" x14ac:dyDescent="0.35">
      <c r="A2556" t="s">
        <v>25210</v>
      </c>
      <c r="B2556" t="str">
        <f>HYPERLINK("http://www.uniprot.org/uniprot/Q9NQ25","Q9NQ25")</f>
        <v>Q9NQ25</v>
      </c>
      <c r="C2556" t="s">
        <v>25211</v>
      </c>
      <c r="D2556" t="s">
        <v>25212</v>
      </c>
      <c r="E2556" t="s">
        <v>39</v>
      </c>
      <c r="F2556" t="s">
        <v>40</v>
      </c>
      <c r="H2556">
        <v>335</v>
      </c>
      <c r="I2556">
        <v>1</v>
      </c>
      <c r="J2556">
        <v>1</v>
      </c>
      <c r="K2556" t="s">
        <v>25213</v>
      </c>
      <c r="L2556" t="s">
        <v>101</v>
      </c>
      <c r="N2556">
        <v>0.93610000000000004</v>
      </c>
      <c r="O2556" s="1">
        <v>1</v>
      </c>
      <c r="P2556" t="s">
        <v>25214</v>
      </c>
      <c r="Q2556" t="s">
        <v>25215</v>
      </c>
      <c r="R2556" t="s">
        <v>25216</v>
      </c>
      <c r="S2556" t="s">
        <v>60</v>
      </c>
      <c r="T2556" t="s">
        <v>60</v>
      </c>
      <c r="U2556" t="s">
        <v>25217</v>
      </c>
      <c r="V2556">
        <v>7</v>
      </c>
      <c r="Z2556" t="s">
        <v>107</v>
      </c>
      <c r="AA2556">
        <v>1</v>
      </c>
      <c r="AB2556" t="s">
        <v>25218</v>
      </c>
      <c r="AC2556" t="s">
        <v>25219</v>
      </c>
      <c r="AD2556" t="s">
        <v>25220</v>
      </c>
      <c r="AE2556" t="s">
        <v>144</v>
      </c>
      <c r="AF2556" t="s">
        <v>25221</v>
      </c>
      <c r="AG2556" t="s">
        <v>25222</v>
      </c>
      <c r="AH2556" t="str">
        <f>HYPERLINK("http://compartments.jensenlab.org/Entity?figures=subcell_cell_%&amp;knowledge=10&amp;textmining=10&amp;experiments=10&amp;predictions=10&amp;type1=9606&amp;type2=-22&amp;id1=ENSP00000357022","link")</f>
        <v>link</v>
      </c>
      <c r="AJ2556" t="s">
        <v>51</v>
      </c>
      <c r="AK2556" t="str">
        <f>HYPERLINK("http://www.proteinatlas.org/Q9NQ25","CAB015445;HPA055945")</f>
        <v>CAB015445;HPA055945</v>
      </c>
      <c r="AM2556">
        <v>57823</v>
      </c>
    </row>
    <row r="2557" spans="1:39" x14ac:dyDescent="0.35">
      <c r="A2557" t="s">
        <v>25223</v>
      </c>
      <c r="B2557" t="str">
        <f>HYPERLINK("http://www.uniprot.org/uniprot/Q9NQ34","Q9NQ34")</f>
        <v>Q9NQ34</v>
      </c>
      <c r="C2557" t="s">
        <v>25224</v>
      </c>
      <c r="D2557" t="s">
        <v>25225</v>
      </c>
      <c r="E2557" t="s">
        <v>39</v>
      </c>
      <c r="F2557" t="s">
        <v>40</v>
      </c>
      <c r="H2557">
        <v>198</v>
      </c>
      <c r="I2557">
        <v>1</v>
      </c>
      <c r="J2557">
        <v>1</v>
      </c>
      <c r="K2557" t="s">
        <v>25226</v>
      </c>
      <c r="L2557" t="s">
        <v>42</v>
      </c>
      <c r="N2557">
        <v>0.68859999999999999</v>
      </c>
      <c r="O2557" s="1">
        <v>2</v>
      </c>
      <c r="P2557" t="s">
        <v>25227</v>
      </c>
      <c r="Q2557" t="s">
        <v>25228</v>
      </c>
      <c r="S2557" t="s">
        <v>60</v>
      </c>
      <c r="T2557" t="s">
        <v>60</v>
      </c>
      <c r="U2557">
        <v>60</v>
      </c>
      <c r="V2557">
        <v>1</v>
      </c>
      <c r="AE2557" t="s">
        <v>94</v>
      </c>
      <c r="AF2557" t="s">
        <v>25229</v>
      </c>
      <c r="AG2557" t="s">
        <v>25230</v>
      </c>
      <c r="AH2557" t="str">
        <f>HYPERLINK("http://compartments.jensenlab.org/Entity?figures=subcell_cell_%&amp;knowledge=10&amp;textmining=10&amp;experiments=10&amp;predictions=10&amp;type1=9606&amp;type2=-22&amp;id1=ENSP00000433361","link")</f>
        <v>link</v>
      </c>
      <c r="AK2557" t="str">
        <f>HYPERLINK("http://www.proteinatlas.org/Q9NQ34","HPA037784")</f>
        <v>HPA037784</v>
      </c>
      <c r="AM2557">
        <v>56674</v>
      </c>
    </row>
    <row r="2558" spans="1:39" x14ac:dyDescent="0.35">
      <c r="A2558" t="s">
        <v>25231</v>
      </c>
      <c r="B2558" t="str">
        <f>HYPERLINK("http://www.uniprot.org/uniprot/Q9NQ40","Q9NQ40")</f>
        <v>Q9NQ40</v>
      </c>
      <c r="C2558" t="s">
        <v>25232</v>
      </c>
      <c r="D2558" t="s">
        <v>25233</v>
      </c>
      <c r="E2558" t="s">
        <v>39</v>
      </c>
      <c r="F2558" t="s">
        <v>55</v>
      </c>
      <c r="H2558">
        <v>469</v>
      </c>
      <c r="I2558">
        <v>11</v>
      </c>
      <c r="J2558">
        <v>0</v>
      </c>
      <c r="K2558" t="s">
        <v>25234</v>
      </c>
      <c r="L2558" t="s">
        <v>57</v>
      </c>
      <c r="M2558" t="s">
        <v>39</v>
      </c>
      <c r="N2558">
        <v>0.93679999999999997</v>
      </c>
      <c r="O2558" s="1">
        <v>1</v>
      </c>
      <c r="P2558" t="s">
        <v>25235</v>
      </c>
      <c r="Q2558" t="s">
        <v>25236</v>
      </c>
      <c r="S2558" t="s">
        <v>166</v>
      </c>
      <c r="T2558" t="s">
        <v>10476</v>
      </c>
      <c r="U2558" t="s">
        <v>25237</v>
      </c>
      <c r="V2558">
        <v>2</v>
      </c>
      <c r="W2558" t="s">
        <v>25238</v>
      </c>
      <c r="AE2558" t="s">
        <v>10045</v>
      </c>
      <c r="AF2558" t="s">
        <v>25239</v>
      </c>
      <c r="AG2558" t="s">
        <v>25240</v>
      </c>
      <c r="AH2558" t="str">
        <f>HYPERLINK("http://compartments.jensenlab.org/Entity?figures=subcell_cell_%&amp;knowledge=10&amp;textmining=10&amp;experiments=10&amp;predictions=10&amp;type1=9606&amp;type2=-22&amp;id1=ENSP00000217254","link")</f>
        <v>link</v>
      </c>
      <c r="AI2558" t="s">
        <v>65</v>
      </c>
      <c r="AJ2558" t="s">
        <v>51</v>
      </c>
      <c r="AK2558" t="str">
        <f>HYPERLINK("http://www.proteinatlas.org/Q9NQ40","HPA049391")</f>
        <v>HPA049391</v>
      </c>
      <c r="AM2558">
        <v>113278</v>
      </c>
    </row>
    <row r="2559" spans="1:39" x14ac:dyDescent="0.35">
      <c r="A2559" t="s">
        <v>25241</v>
      </c>
      <c r="B2559" t="str">
        <f>HYPERLINK("http://www.uniprot.org/uniprot/Q9NQ60","Q9NQ60")</f>
        <v>Q9NQ60</v>
      </c>
      <c r="C2559" t="s">
        <v>25242</v>
      </c>
      <c r="D2559" t="s">
        <v>25243</v>
      </c>
      <c r="E2559" t="s">
        <v>39</v>
      </c>
      <c r="F2559" t="s">
        <v>40</v>
      </c>
      <c r="H2559">
        <v>294</v>
      </c>
      <c r="I2559">
        <v>1</v>
      </c>
      <c r="J2559">
        <v>1</v>
      </c>
      <c r="K2559" t="s">
        <v>25244</v>
      </c>
      <c r="L2559" t="s">
        <v>57</v>
      </c>
      <c r="N2559">
        <v>0.78439999999999999</v>
      </c>
      <c r="O2559" s="1">
        <v>1</v>
      </c>
      <c r="P2559" t="s">
        <v>25245</v>
      </c>
      <c r="Q2559" t="s">
        <v>25246</v>
      </c>
      <c r="S2559" t="s">
        <v>60</v>
      </c>
      <c r="T2559" t="s">
        <v>60</v>
      </c>
      <c r="U2559" t="s">
        <v>25247</v>
      </c>
      <c r="V2559">
        <v>4</v>
      </c>
      <c r="AE2559" t="s">
        <v>25248</v>
      </c>
      <c r="AF2559" t="s">
        <v>25249</v>
      </c>
      <c r="AG2559" t="s">
        <v>25250</v>
      </c>
      <c r="AH2559" t="str">
        <f>HYPERLINK("http://compartments.jensenlab.org/Entity?figures=subcell_cell_%&amp;knowledge=10&amp;textmining=10&amp;experiments=10&amp;predictions=10&amp;type1=9606&amp;type2=-22&amp;id1=ENSP00000369371","link")</f>
        <v>link</v>
      </c>
      <c r="AJ2559" t="s">
        <v>1791</v>
      </c>
      <c r="AK2559" t="str">
        <f>HYPERLINK("http://www.proteinatlas.org/Q9NQ60","HPA015089;HPA015504")</f>
        <v>HPA015089;HPA015504</v>
      </c>
      <c r="AM2559">
        <v>54586</v>
      </c>
    </row>
    <row r="2560" spans="1:39" x14ac:dyDescent="0.35">
      <c r="A2560" t="s">
        <v>25251</v>
      </c>
      <c r="B2560" t="str">
        <f>HYPERLINK("http://www.uniprot.org/uniprot/Q9NQ84","Q9NQ84")</f>
        <v>Q9NQ84</v>
      </c>
      <c r="C2560" t="s">
        <v>25252</v>
      </c>
      <c r="D2560" t="s">
        <v>25253</v>
      </c>
      <c r="E2560" t="s">
        <v>39</v>
      </c>
      <c r="F2560" t="s">
        <v>40</v>
      </c>
      <c r="H2560">
        <v>441</v>
      </c>
      <c r="I2560">
        <v>7</v>
      </c>
      <c r="J2560">
        <v>1</v>
      </c>
      <c r="K2560" t="s">
        <v>25254</v>
      </c>
      <c r="L2560" t="s">
        <v>57</v>
      </c>
      <c r="N2560">
        <v>0.89419999999999999</v>
      </c>
      <c r="O2560" s="1">
        <v>1</v>
      </c>
      <c r="P2560" t="s">
        <v>25255</v>
      </c>
      <c r="Q2560" t="s">
        <v>25256</v>
      </c>
      <c r="S2560" t="s">
        <v>166</v>
      </c>
      <c r="T2560" t="s">
        <v>874</v>
      </c>
      <c r="U2560" t="s">
        <v>25257</v>
      </c>
      <c r="V2560">
        <v>1</v>
      </c>
      <c r="W2560">
        <v>405</v>
      </c>
      <c r="Y2560">
        <v>256</v>
      </c>
      <c r="AE2560" t="s">
        <v>18401</v>
      </c>
      <c r="AF2560" t="s">
        <v>25258</v>
      </c>
      <c r="AG2560" t="s">
        <v>25259</v>
      </c>
      <c r="AH2560" t="str">
        <f>HYPERLINK("http://compartments.jensenlab.org/Entity?figures=subcell_cell_%&amp;knowledge=10&amp;textmining=10&amp;experiments=10&amp;predictions=10&amp;type1=9606&amp;type2=-22&amp;id1=ENSP00000376403","link")</f>
        <v>link</v>
      </c>
      <c r="AK2560" t="str">
        <f>HYPERLINK("http://www.proteinatlas.org/Q9NQ84","HPA029776")</f>
        <v>HPA029776</v>
      </c>
      <c r="AM2560">
        <v>55890</v>
      </c>
    </row>
    <row r="2561" spans="1:39" x14ac:dyDescent="0.35">
      <c r="A2561" t="s">
        <v>25260</v>
      </c>
      <c r="B2561" t="str">
        <f>HYPERLINK("http://www.uniprot.org/uniprot/Q9NQ90","Q9NQ90")</f>
        <v>Q9NQ90</v>
      </c>
      <c r="C2561" t="s">
        <v>25261</v>
      </c>
      <c r="D2561" t="s">
        <v>25262</v>
      </c>
      <c r="E2561" t="s">
        <v>39</v>
      </c>
      <c r="F2561" t="s">
        <v>40</v>
      </c>
      <c r="H2561">
        <v>1003</v>
      </c>
      <c r="I2561">
        <v>8</v>
      </c>
      <c r="J2561">
        <v>0</v>
      </c>
      <c r="K2561" t="s">
        <v>25263</v>
      </c>
      <c r="L2561" t="s">
        <v>57</v>
      </c>
      <c r="N2561">
        <v>0.81640000000000001</v>
      </c>
      <c r="O2561" s="1">
        <v>1</v>
      </c>
      <c r="P2561" t="s">
        <v>25264</v>
      </c>
      <c r="S2561" t="s">
        <v>91</v>
      </c>
      <c r="T2561" t="s">
        <v>104</v>
      </c>
      <c r="U2561" t="s">
        <v>25265</v>
      </c>
      <c r="V2561">
        <v>4</v>
      </c>
      <c r="AE2561" t="s">
        <v>74</v>
      </c>
      <c r="AF2561" t="s">
        <v>25266</v>
      </c>
      <c r="AG2561" t="s">
        <v>25267</v>
      </c>
      <c r="AK2561" t="str">
        <f>HYPERLINK("http://www.proteinatlas.org/Q9NQ90","HPA036276")</f>
        <v>HPA036276</v>
      </c>
      <c r="AM2561">
        <v>57101</v>
      </c>
    </row>
    <row r="2562" spans="1:39" x14ac:dyDescent="0.35">
      <c r="A2562" t="s">
        <v>25268</v>
      </c>
      <c r="B2562" t="str">
        <f>HYPERLINK("http://www.uniprot.org/uniprot/Q9NQA5","Q9NQA5")</f>
        <v>Q9NQA5</v>
      </c>
      <c r="C2562" t="s">
        <v>25269</v>
      </c>
      <c r="D2562" t="s">
        <v>25270</v>
      </c>
      <c r="E2562" t="s">
        <v>39</v>
      </c>
      <c r="F2562" t="s">
        <v>40</v>
      </c>
      <c r="H2562">
        <v>729</v>
      </c>
      <c r="I2562">
        <v>6</v>
      </c>
      <c r="J2562">
        <v>0</v>
      </c>
      <c r="K2562" t="s">
        <v>25271</v>
      </c>
      <c r="L2562" t="s">
        <v>57</v>
      </c>
      <c r="N2562">
        <v>0.69059999999999999</v>
      </c>
      <c r="O2562" s="1">
        <v>2</v>
      </c>
      <c r="P2562" t="s">
        <v>25272</v>
      </c>
      <c r="Q2562" t="s">
        <v>25273</v>
      </c>
      <c r="S2562" t="s">
        <v>45</v>
      </c>
      <c r="T2562" t="s">
        <v>12824</v>
      </c>
      <c r="U2562" t="s">
        <v>25274</v>
      </c>
      <c r="V2562">
        <v>1</v>
      </c>
      <c r="W2562" t="s">
        <v>23977</v>
      </c>
      <c r="AE2562" t="s">
        <v>10045</v>
      </c>
      <c r="AF2562" t="s">
        <v>25275</v>
      </c>
      <c r="AG2562" t="s">
        <v>25276</v>
      </c>
      <c r="AH2562" t="str">
        <f>HYPERLINK("http://compartments.jensenlab.org/Entity?figures=subcell_cell_%&amp;knowledge=10&amp;textmining=10&amp;experiments=10&amp;predictions=10&amp;type1=9606&amp;type2=-22&amp;id1=ENSP00000406572","link")</f>
        <v>link</v>
      </c>
      <c r="AK2562" t="str">
        <f>HYPERLINK("http://www.proteinatlas.org/Q9NQA5","no")</f>
        <v>no</v>
      </c>
      <c r="AM2562">
        <v>56302</v>
      </c>
    </row>
    <row r="2563" spans="1:39" x14ac:dyDescent="0.35">
      <c r="A2563" t="s">
        <v>25277</v>
      </c>
      <c r="B2563" t="str">
        <f>HYPERLINK("http://www.uniprot.org/uniprot/Q9NQN1","Q9NQN1")</f>
        <v>Q9NQN1</v>
      </c>
      <c r="C2563" t="s">
        <v>25278</v>
      </c>
      <c r="D2563" t="s">
        <v>25279</v>
      </c>
      <c r="E2563" t="s">
        <v>39</v>
      </c>
      <c r="F2563" t="s">
        <v>55</v>
      </c>
      <c r="H2563">
        <v>319</v>
      </c>
      <c r="I2563">
        <v>7</v>
      </c>
      <c r="J2563">
        <v>0</v>
      </c>
      <c r="K2563" t="s">
        <v>25280</v>
      </c>
      <c r="L2563" t="s">
        <v>57</v>
      </c>
      <c r="M2563" t="s">
        <v>39</v>
      </c>
      <c r="N2563">
        <v>0.98799999999999999</v>
      </c>
      <c r="O2563" s="1">
        <v>1</v>
      </c>
      <c r="P2563" t="s">
        <v>25281</v>
      </c>
      <c r="Q2563" t="s">
        <v>25282</v>
      </c>
      <c r="S2563" t="s">
        <v>166</v>
      </c>
      <c r="T2563" t="s">
        <v>167</v>
      </c>
      <c r="U2563" t="s">
        <v>19566</v>
      </c>
      <c r="V2563">
        <v>1</v>
      </c>
      <c r="AE2563" t="s">
        <v>74</v>
      </c>
      <c r="AF2563" t="s">
        <v>169</v>
      </c>
      <c r="AG2563" t="s">
        <v>25283</v>
      </c>
      <c r="AH2563" t="str">
        <f>HYPERLINK("http://compartments.jensenlab.org/Entity?figures=subcell_cell_%&amp;knowledge=10&amp;textmining=10&amp;experiments=10&amp;predictions=10&amp;type1=9606&amp;type2=-22&amp;id1=ENSP00000344040","link")</f>
        <v>link</v>
      </c>
      <c r="AI2563" t="s">
        <v>65</v>
      </c>
      <c r="AJ2563" t="s">
        <v>51</v>
      </c>
      <c r="AK2563" t="str">
        <f>HYPERLINK("http://www.proteinatlas.org/Q9NQN1","no")</f>
        <v>no</v>
      </c>
      <c r="AM2563">
        <v>56656</v>
      </c>
    </row>
    <row r="2564" spans="1:39" x14ac:dyDescent="0.35">
      <c r="A2564" t="s">
        <v>25284</v>
      </c>
      <c r="B2564" t="str">
        <f>HYPERLINK("http://www.uniprot.org/uniprot/Q9NQS3","Q9NQS3")</f>
        <v>Q9NQS3</v>
      </c>
      <c r="C2564" t="s">
        <v>25285</v>
      </c>
      <c r="D2564" t="s">
        <v>25286</v>
      </c>
      <c r="E2564" t="s">
        <v>39</v>
      </c>
      <c r="F2564" t="s">
        <v>55</v>
      </c>
      <c r="H2564">
        <v>549</v>
      </c>
      <c r="I2564">
        <v>1</v>
      </c>
      <c r="J2564">
        <v>1</v>
      </c>
      <c r="K2564" t="s">
        <v>25287</v>
      </c>
      <c r="L2564" t="s">
        <v>101</v>
      </c>
      <c r="M2564" t="s">
        <v>39</v>
      </c>
      <c r="N2564">
        <v>0.9194</v>
      </c>
      <c r="O2564" s="1">
        <v>1</v>
      </c>
      <c r="P2564" t="s">
        <v>25288</v>
      </c>
      <c r="Q2564" t="s">
        <v>25289</v>
      </c>
      <c r="R2564" t="s">
        <v>25290</v>
      </c>
      <c r="S2564" t="s">
        <v>166</v>
      </c>
      <c r="T2564" t="s">
        <v>5627</v>
      </c>
      <c r="U2564" t="s">
        <v>25291</v>
      </c>
      <c r="V2564">
        <v>6</v>
      </c>
      <c r="Z2564" t="s">
        <v>107</v>
      </c>
      <c r="AA2564">
        <v>8</v>
      </c>
      <c r="AB2564" t="s">
        <v>25292</v>
      </c>
      <c r="AC2564" t="s">
        <v>25293</v>
      </c>
      <c r="AD2564" t="s">
        <v>25294</v>
      </c>
      <c r="AE2564" t="s">
        <v>25295</v>
      </c>
      <c r="AF2564" t="s">
        <v>25296</v>
      </c>
      <c r="AG2564" t="s">
        <v>25297</v>
      </c>
      <c r="AH2564" t="str">
        <f>HYPERLINK("http://compartments.jensenlab.org/Entity?figures=subcell_cell_%&amp;knowledge=10&amp;textmining=10&amp;experiments=10&amp;predictions=10&amp;type1=9606&amp;type2=-22&amp;id1=ENSP00000418070","link")</f>
        <v>link</v>
      </c>
      <c r="AI2564" t="s">
        <v>65</v>
      </c>
      <c r="AJ2564" t="s">
        <v>51</v>
      </c>
      <c r="AK2564" t="str">
        <f>HYPERLINK("http://www.proteinatlas.org/Q9NQS3","CAB009869;HPA011038;HPA052242")</f>
        <v>CAB009869;HPA011038;HPA052242</v>
      </c>
      <c r="AM2564">
        <v>25945</v>
      </c>
    </row>
    <row r="2565" spans="1:39" x14ac:dyDescent="0.35">
      <c r="A2565" t="s">
        <v>25298</v>
      </c>
      <c r="B2565" t="str">
        <f>HYPERLINK("http://www.uniprot.org/uniprot/Q9NQS5","Q9NQS5")</f>
        <v>Q9NQS5</v>
      </c>
      <c r="C2565" t="s">
        <v>25299</v>
      </c>
      <c r="D2565" t="s">
        <v>25300</v>
      </c>
      <c r="E2565" t="s">
        <v>39</v>
      </c>
      <c r="F2565" t="s">
        <v>55</v>
      </c>
      <c r="H2565">
        <v>396</v>
      </c>
      <c r="I2565">
        <v>7</v>
      </c>
      <c r="J2565">
        <v>0</v>
      </c>
      <c r="K2565" t="s">
        <v>25301</v>
      </c>
      <c r="L2565" t="s">
        <v>57</v>
      </c>
      <c r="M2565" t="s">
        <v>39</v>
      </c>
      <c r="N2565">
        <v>0.90480000000000005</v>
      </c>
      <c r="O2565" s="1">
        <v>1</v>
      </c>
      <c r="P2565" t="s">
        <v>25302</v>
      </c>
      <c r="Q2565" t="s">
        <v>25303</v>
      </c>
      <c r="S2565" t="s">
        <v>166</v>
      </c>
      <c r="T2565" t="s">
        <v>838</v>
      </c>
      <c r="U2565" t="s">
        <v>25304</v>
      </c>
      <c r="V2565">
        <v>2</v>
      </c>
      <c r="AE2565" t="s">
        <v>74</v>
      </c>
      <c r="AF2565" t="s">
        <v>13630</v>
      </c>
      <c r="AG2565" t="s">
        <v>25305</v>
      </c>
      <c r="AH2565" t="str">
        <f>HYPERLINK("http://compartments.jensenlab.org/Entity?figures=subcell_cell_%&amp;knowledge=10&amp;textmining=10&amp;experiments=10&amp;predictions=10&amp;type1=9606&amp;type2=-22&amp;id1=ENSP00000267015","link")</f>
        <v>link</v>
      </c>
      <c r="AI2565" t="s">
        <v>65</v>
      </c>
      <c r="AJ2565" t="s">
        <v>51</v>
      </c>
      <c r="AK2565" t="str">
        <f>HYPERLINK("http://www.proteinatlas.org/Q9NQS5","HPA027603")</f>
        <v>HPA027603</v>
      </c>
      <c r="AM2565">
        <v>53831</v>
      </c>
    </row>
    <row r="2566" spans="1:39" x14ac:dyDescent="0.35">
      <c r="A2566" t="s">
        <v>25306</v>
      </c>
      <c r="B2566" t="str">
        <f>HYPERLINK("http://www.uniprot.org/uniprot/Q9NQX7","Q9NQX7")</f>
        <v>Q9NQX7</v>
      </c>
      <c r="C2566" t="s">
        <v>25307</v>
      </c>
      <c r="D2566" t="s">
        <v>25308</v>
      </c>
      <c r="E2566" t="s">
        <v>39</v>
      </c>
      <c r="F2566" t="s">
        <v>40</v>
      </c>
      <c r="H2566">
        <v>267</v>
      </c>
      <c r="I2566">
        <v>1</v>
      </c>
      <c r="J2566">
        <v>0</v>
      </c>
      <c r="K2566" t="s">
        <v>25309</v>
      </c>
      <c r="L2566" t="s">
        <v>42</v>
      </c>
      <c r="N2566">
        <v>0.62870000000000004</v>
      </c>
      <c r="O2566" s="1">
        <v>2</v>
      </c>
      <c r="P2566" t="s">
        <v>25310</v>
      </c>
      <c r="Q2566" t="s">
        <v>25311</v>
      </c>
      <c r="S2566" t="s">
        <v>91</v>
      </c>
      <c r="T2566" t="s">
        <v>25312</v>
      </c>
      <c r="U2566">
        <v>169</v>
      </c>
      <c r="V2566">
        <v>1</v>
      </c>
      <c r="W2566">
        <v>169</v>
      </c>
      <c r="AE2566" t="s">
        <v>25313</v>
      </c>
      <c r="AF2566" t="s">
        <v>25314</v>
      </c>
      <c r="AG2566" t="s">
        <v>25315</v>
      </c>
      <c r="AH2566" t="str">
        <f>HYPERLINK("http://compartments.jensenlab.org/Entity?figures=subcell_cell_%&amp;knowledge=10&amp;textmining=10&amp;experiments=10&amp;predictions=10&amp;type1=9606&amp;type2=-22&amp;id1=ENSP00000322730","link")</f>
        <v>link</v>
      </c>
      <c r="AI2566" t="s">
        <v>4732</v>
      </c>
      <c r="AJ2566" t="s">
        <v>25316</v>
      </c>
      <c r="AK2566" t="str">
        <f>HYPERLINK("http://www.proteinatlas.org/Q9NQX7","no")</f>
        <v>no</v>
      </c>
      <c r="AM2566">
        <v>81618</v>
      </c>
    </row>
    <row r="2567" spans="1:39" x14ac:dyDescent="0.35">
      <c r="A2567" t="s">
        <v>25317</v>
      </c>
      <c r="B2567" t="str">
        <f>HYPERLINK("http://www.uniprot.org/uniprot/Q9NR16","Q9NR16")</f>
        <v>Q9NR16</v>
      </c>
      <c r="C2567" t="s">
        <v>25318</v>
      </c>
      <c r="D2567" t="s">
        <v>25319</v>
      </c>
      <c r="E2567" t="s">
        <v>39</v>
      </c>
      <c r="F2567" t="s">
        <v>40</v>
      </c>
      <c r="H2567">
        <v>1453</v>
      </c>
      <c r="I2567">
        <v>1</v>
      </c>
      <c r="J2567">
        <v>1</v>
      </c>
      <c r="K2567" t="s">
        <v>25320</v>
      </c>
      <c r="L2567" t="s">
        <v>57</v>
      </c>
      <c r="N2567">
        <v>0.95209999999999995</v>
      </c>
      <c r="O2567" s="1">
        <v>1</v>
      </c>
      <c r="P2567" t="s">
        <v>25321</v>
      </c>
      <c r="Q2567" t="s">
        <v>25322</v>
      </c>
      <c r="R2567" t="s">
        <v>25323</v>
      </c>
      <c r="S2567" t="s">
        <v>60</v>
      </c>
      <c r="T2567" t="s">
        <v>60</v>
      </c>
      <c r="U2567" t="s">
        <v>25324</v>
      </c>
      <c r="V2567">
        <v>17</v>
      </c>
      <c r="W2567" t="s">
        <v>25324</v>
      </c>
      <c r="AE2567" t="s">
        <v>5965</v>
      </c>
      <c r="AF2567" t="s">
        <v>25325</v>
      </c>
      <c r="AG2567" t="s">
        <v>25326</v>
      </c>
      <c r="AH2567" t="str">
        <f>HYPERLINK("http://compartments.jensenlab.org/Entity?figures=subcell_cell_%&amp;knowledge=10&amp;textmining=10&amp;experiments=10&amp;predictions=10&amp;type1=9606&amp;type2=-22&amp;id1=ENSP00000315945","link")</f>
        <v>link</v>
      </c>
      <c r="AI2567" t="s">
        <v>65</v>
      </c>
      <c r="AJ2567" t="s">
        <v>902</v>
      </c>
      <c r="AK2567" t="str">
        <f>HYPERLINK("http://www.proteinatlas.org/Q9NR16","HPA015663")</f>
        <v>HPA015663</v>
      </c>
      <c r="AM2567">
        <v>283316</v>
      </c>
    </row>
    <row r="2568" spans="1:39" x14ac:dyDescent="0.35">
      <c r="A2568" t="s">
        <v>25327</v>
      </c>
      <c r="B2568" t="str">
        <f>HYPERLINK("http://www.uniprot.org/uniprot/Q9NR61","Q9NR61")</f>
        <v>Q9NR61</v>
      </c>
      <c r="C2568" t="s">
        <v>25328</v>
      </c>
      <c r="D2568" t="s">
        <v>25329</v>
      </c>
      <c r="E2568" t="s">
        <v>39</v>
      </c>
      <c r="F2568" t="s">
        <v>40</v>
      </c>
      <c r="H2568">
        <v>685</v>
      </c>
      <c r="I2568">
        <v>1</v>
      </c>
      <c r="J2568">
        <v>1</v>
      </c>
      <c r="K2568" t="s">
        <v>25330</v>
      </c>
      <c r="L2568" t="s">
        <v>57</v>
      </c>
      <c r="N2568">
        <v>0.95209999999999995</v>
      </c>
      <c r="O2568" s="1">
        <v>1</v>
      </c>
      <c r="P2568" t="s">
        <v>25331</v>
      </c>
      <c r="Q2568" t="s">
        <v>25332</v>
      </c>
      <c r="S2568" t="s">
        <v>91</v>
      </c>
      <c r="T2568" t="s">
        <v>1054</v>
      </c>
      <c r="U2568" t="s">
        <v>25333</v>
      </c>
      <c r="V2568">
        <v>4</v>
      </c>
      <c r="AE2568" t="s">
        <v>144</v>
      </c>
      <c r="AF2568" t="s">
        <v>25334</v>
      </c>
      <c r="AG2568" t="s">
        <v>25335</v>
      </c>
      <c r="AH2568" t="str">
        <f>HYPERLINK("http://compartments.jensenlab.org/Entity?figures=subcell_cell_%&amp;knowledge=10&amp;textmining=10&amp;experiments=10&amp;predictions=10&amp;type1=9606&amp;type2=-22&amp;id1=ENSP00000249749","link")</f>
        <v>link</v>
      </c>
      <c r="AJ2568" t="s">
        <v>51</v>
      </c>
      <c r="AK2568" t="str">
        <f>HYPERLINK("http://www.proteinatlas.org/Q9NR61","HPA023392")</f>
        <v>HPA023392</v>
      </c>
      <c r="AM2568">
        <v>54567</v>
      </c>
    </row>
    <row r="2569" spans="1:39" x14ac:dyDescent="0.35">
      <c r="A2569" t="s">
        <v>25336</v>
      </c>
      <c r="B2569" t="str">
        <f>HYPERLINK("http://www.uniprot.org/uniprot/Q9NR96","Q9NR96")</f>
        <v>Q9NR96</v>
      </c>
      <c r="C2569" t="s">
        <v>25337</v>
      </c>
      <c r="D2569" t="s">
        <v>25338</v>
      </c>
      <c r="E2569" t="s">
        <v>39</v>
      </c>
      <c r="F2569" t="s">
        <v>40</v>
      </c>
      <c r="H2569">
        <v>1032</v>
      </c>
      <c r="I2569">
        <v>1</v>
      </c>
      <c r="J2569">
        <v>1</v>
      </c>
      <c r="K2569" t="s">
        <v>25339</v>
      </c>
      <c r="L2569" t="s">
        <v>101</v>
      </c>
      <c r="N2569">
        <v>0.74050000000000005</v>
      </c>
      <c r="O2569" s="1">
        <v>2</v>
      </c>
      <c r="P2569" t="s">
        <v>25340</v>
      </c>
      <c r="Q2569" t="s">
        <v>25341</v>
      </c>
      <c r="R2569" t="s">
        <v>25342</v>
      </c>
      <c r="S2569" t="s">
        <v>166</v>
      </c>
      <c r="T2569" t="s">
        <v>848</v>
      </c>
      <c r="U2569" t="s">
        <v>25343</v>
      </c>
      <c r="V2569">
        <v>13</v>
      </c>
      <c r="W2569" t="s">
        <v>25344</v>
      </c>
      <c r="Y2569" t="s">
        <v>25345</v>
      </c>
      <c r="Z2569" t="s">
        <v>107</v>
      </c>
      <c r="AA2569">
        <v>5</v>
      </c>
      <c r="AB2569" t="s">
        <v>25346</v>
      </c>
      <c r="AC2569" t="s">
        <v>25347</v>
      </c>
      <c r="AD2569" t="s">
        <v>25348</v>
      </c>
      <c r="AE2569" t="s">
        <v>25349</v>
      </c>
      <c r="AF2569" t="s">
        <v>25350</v>
      </c>
      <c r="AG2569" t="s">
        <v>25351</v>
      </c>
      <c r="AH2569" t="str">
        <f>HYPERLINK("http://compartments.jensenlab.org/Entity?figures=subcell_cell_%&amp;knowledge=10&amp;textmining=10&amp;experiments=10&amp;predictions=10&amp;type1=9606&amp;type2=-22&amp;id1=ENSP00000353874","link")</f>
        <v>link</v>
      </c>
      <c r="AI2569" t="s">
        <v>25352</v>
      </c>
      <c r="AJ2569" t="s">
        <v>11621</v>
      </c>
      <c r="AK2569" t="str">
        <f>HYPERLINK("http://www.proteinatlas.org/Q9NR96","HPA004731")</f>
        <v>HPA004731</v>
      </c>
      <c r="AL2569" t="s">
        <v>25353</v>
      </c>
      <c r="AM2569">
        <v>54106</v>
      </c>
    </row>
    <row r="2570" spans="1:39" x14ac:dyDescent="0.35">
      <c r="A2570" t="s">
        <v>25354</v>
      </c>
      <c r="B2570" t="str">
        <f>HYPERLINK("http://www.uniprot.org/uniprot/Q9NR97","Q9NR97")</f>
        <v>Q9NR97</v>
      </c>
      <c r="C2570" t="s">
        <v>25355</v>
      </c>
      <c r="D2570" t="s">
        <v>25356</v>
      </c>
      <c r="E2570" t="s">
        <v>39</v>
      </c>
      <c r="F2570" t="s">
        <v>40</v>
      </c>
      <c r="H2570">
        <v>1041</v>
      </c>
      <c r="I2570">
        <v>1</v>
      </c>
      <c r="J2570">
        <v>1</v>
      </c>
      <c r="K2570" t="s">
        <v>25357</v>
      </c>
      <c r="L2570" t="s">
        <v>57</v>
      </c>
      <c r="N2570">
        <v>0.79239999999999999</v>
      </c>
      <c r="O2570" s="1">
        <v>1</v>
      </c>
      <c r="P2570" t="s">
        <v>25358</v>
      </c>
      <c r="Q2570" t="s">
        <v>25359</v>
      </c>
      <c r="R2570" t="s">
        <v>25360</v>
      </c>
      <c r="S2570" t="s">
        <v>166</v>
      </c>
      <c r="T2570" t="s">
        <v>848</v>
      </c>
      <c r="U2570" t="s">
        <v>25361</v>
      </c>
      <c r="V2570">
        <v>21</v>
      </c>
      <c r="Y2570">
        <v>854</v>
      </c>
      <c r="AE2570" t="s">
        <v>144</v>
      </c>
      <c r="AF2570" t="s">
        <v>25362</v>
      </c>
      <c r="AG2570" t="s">
        <v>25363</v>
      </c>
      <c r="AH2570" t="str">
        <f>HYPERLINK("http://compartments.jensenlab.org/Entity?figures=subcell_cell_%&amp;knowledge=10&amp;textmining=10&amp;experiments=10&amp;predictions=10&amp;type1=9606&amp;type2=-22&amp;id1=ENSP00000218032","link")</f>
        <v>link</v>
      </c>
      <c r="AJ2570" t="s">
        <v>1630</v>
      </c>
      <c r="AK2570" t="str">
        <f>HYPERLINK("http://www.proteinatlas.org/Q9NR97","HPA001608")</f>
        <v>HPA001608</v>
      </c>
      <c r="AL2570" t="s">
        <v>25364</v>
      </c>
      <c r="AM2570">
        <v>51311</v>
      </c>
    </row>
    <row r="2571" spans="1:39" x14ac:dyDescent="0.35">
      <c r="A2571" t="s">
        <v>25365</v>
      </c>
      <c r="B2571" t="str">
        <f>HYPERLINK("http://www.uniprot.org/uniprot/Q9NRA2","Q9NRA2")</f>
        <v>Q9NRA2</v>
      </c>
      <c r="C2571" t="s">
        <v>25366</v>
      </c>
      <c r="D2571" t="s">
        <v>25367</v>
      </c>
      <c r="E2571" t="s">
        <v>39</v>
      </c>
      <c r="F2571" t="s">
        <v>40</v>
      </c>
      <c r="H2571">
        <v>495</v>
      </c>
      <c r="I2571">
        <v>12</v>
      </c>
      <c r="J2571">
        <v>0</v>
      </c>
      <c r="K2571" t="s">
        <v>25368</v>
      </c>
      <c r="L2571" t="s">
        <v>57</v>
      </c>
      <c r="N2571">
        <v>0.77049999999999996</v>
      </c>
      <c r="O2571" s="1">
        <v>1</v>
      </c>
      <c r="P2571" t="s">
        <v>25369</v>
      </c>
      <c r="Q2571" t="s">
        <v>25370</v>
      </c>
      <c r="S2571" t="s">
        <v>45</v>
      </c>
      <c r="T2571" t="s">
        <v>13311</v>
      </c>
      <c r="U2571" t="s">
        <v>25371</v>
      </c>
      <c r="V2571">
        <v>4</v>
      </c>
      <c r="W2571" t="s">
        <v>25371</v>
      </c>
      <c r="Y2571">
        <v>186</v>
      </c>
      <c r="AE2571" t="s">
        <v>25372</v>
      </c>
      <c r="AF2571" t="s">
        <v>25373</v>
      </c>
      <c r="AG2571" t="s">
        <v>25374</v>
      </c>
      <c r="AH2571" t="str">
        <f>HYPERLINK("http://compartments.jensenlab.org/Entity?figures=subcell_cell_%&amp;knowledge=10&amp;textmining=10&amp;experiments=10&amp;predictions=10&amp;type1=9606&amp;type2=-22&amp;id1=ENSP00000348019","link")</f>
        <v>link</v>
      </c>
      <c r="AI2571" t="s">
        <v>1487</v>
      </c>
      <c r="AJ2571" t="s">
        <v>2393</v>
      </c>
      <c r="AK2571" t="str">
        <f>HYPERLINK("http://www.proteinatlas.org/Q9NRA2","HPA044479")</f>
        <v>HPA044479</v>
      </c>
      <c r="AM2571">
        <v>26503</v>
      </c>
    </row>
    <row r="2572" spans="1:39" x14ac:dyDescent="0.35">
      <c r="A2572" t="s">
        <v>25375</v>
      </c>
      <c r="B2572" t="str">
        <f>HYPERLINK("http://www.uniprot.org/uniprot/Q9NRD8","Q9NRD8")</f>
        <v>Q9NRD8</v>
      </c>
      <c r="C2572" t="s">
        <v>25376</v>
      </c>
      <c r="D2572" t="s">
        <v>25377</v>
      </c>
      <c r="E2572" t="s">
        <v>39</v>
      </c>
      <c r="F2572" t="s">
        <v>40</v>
      </c>
      <c r="H2572">
        <v>1548</v>
      </c>
      <c r="I2572">
        <v>7</v>
      </c>
      <c r="J2572">
        <v>1</v>
      </c>
      <c r="K2572" t="s">
        <v>25378</v>
      </c>
      <c r="L2572" t="s">
        <v>57</v>
      </c>
      <c r="N2572">
        <v>0.87229999999999996</v>
      </c>
      <c r="O2572" s="1">
        <v>1</v>
      </c>
      <c r="P2572" t="s">
        <v>25379</v>
      </c>
      <c r="Q2572" t="s">
        <v>25380</v>
      </c>
      <c r="S2572" t="s">
        <v>947</v>
      </c>
      <c r="T2572" t="s">
        <v>25158</v>
      </c>
      <c r="U2572" t="s">
        <v>25381</v>
      </c>
      <c r="V2572">
        <v>5</v>
      </c>
      <c r="AE2572" t="s">
        <v>10045</v>
      </c>
      <c r="AF2572" t="s">
        <v>25382</v>
      </c>
      <c r="AG2572" t="s">
        <v>25383</v>
      </c>
      <c r="AH2572" t="str">
        <f>HYPERLINK("http://compartments.jensenlab.org/Entity?figures=subcell_cell_%&amp;knowledge=10&amp;textmining=10&amp;experiments=10&amp;predictions=10&amp;type1=9606&amp;type2=-22&amp;id1=ENSP00000475084","link")</f>
        <v>link</v>
      </c>
      <c r="AK2572" t="str">
        <f>HYPERLINK("http://www.proteinatlas.org/Q9NRD8","no")</f>
        <v>no</v>
      </c>
      <c r="AM2572">
        <v>50506</v>
      </c>
    </row>
    <row r="2573" spans="1:39" x14ac:dyDescent="0.35">
      <c r="A2573" t="s">
        <v>25384</v>
      </c>
      <c r="B2573" t="str">
        <f>HYPERLINK("http://www.uniprot.org/uniprot/Q9NRD9","Q9NRD9")</f>
        <v>Q9NRD9</v>
      </c>
      <c r="C2573" t="s">
        <v>25385</v>
      </c>
      <c r="D2573" t="s">
        <v>25386</v>
      </c>
      <c r="E2573" t="s">
        <v>39</v>
      </c>
      <c r="F2573" t="s">
        <v>55</v>
      </c>
      <c r="H2573">
        <v>1551</v>
      </c>
      <c r="I2573">
        <v>7</v>
      </c>
      <c r="J2573">
        <v>1</v>
      </c>
      <c r="K2573" t="s">
        <v>25387</v>
      </c>
      <c r="L2573" t="s">
        <v>57</v>
      </c>
      <c r="M2573" t="s">
        <v>39</v>
      </c>
      <c r="N2573">
        <v>0.84179999999999999</v>
      </c>
      <c r="O2573" s="1">
        <v>1</v>
      </c>
      <c r="P2573" t="s">
        <v>25388</v>
      </c>
      <c r="Q2573" t="s">
        <v>25389</v>
      </c>
      <c r="S2573" t="s">
        <v>947</v>
      </c>
      <c r="T2573" t="s">
        <v>25158</v>
      </c>
      <c r="U2573" t="s">
        <v>25390</v>
      </c>
      <c r="V2573">
        <v>5</v>
      </c>
      <c r="AE2573" t="s">
        <v>14823</v>
      </c>
      <c r="AF2573" t="s">
        <v>25391</v>
      </c>
      <c r="AG2573" t="s">
        <v>25392</v>
      </c>
      <c r="AH2573" t="str">
        <f>HYPERLINK("http://compartments.jensenlab.org/Entity?figures=subcell_cell_%&amp;knowledge=10&amp;textmining=10&amp;experiments=10&amp;predictions=10&amp;type1=9606&amp;type2=-22&amp;id1=ENSP00000317997","link")</f>
        <v>link</v>
      </c>
      <c r="AI2573" t="s">
        <v>65</v>
      </c>
      <c r="AJ2573" t="s">
        <v>51</v>
      </c>
      <c r="AK2573" t="str">
        <f>HYPERLINK("http://www.proteinatlas.org/Q9NRD9","HPA023544")</f>
        <v>HPA023544</v>
      </c>
      <c r="AM2573">
        <v>53905</v>
      </c>
    </row>
    <row r="2574" spans="1:39" x14ac:dyDescent="0.35">
      <c r="A2574" t="s">
        <v>25393</v>
      </c>
      <c r="B2574" t="str">
        <f>HYPERLINK("http://www.uniprot.org/uniprot/Q9NRJ7","Q9NRJ7")</f>
        <v>Q9NRJ7</v>
      </c>
      <c r="C2574" t="s">
        <v>25394</v>
      </c>
      <c r="D2574" t="s">
        <v>25395</v>
      </c>
      <c r="E2574" t="s">
        <v>39</v>
      </c>
      <c r="F2574" t="s">
        <v>40</v>
      </c>
      <c r="H2574">
        <v>776</v>
      </c>
      <c r="I2574">
        <v>1</v>
      </c>
      <c r="J2574">
        <v>1</v>
      </c>
      <c r="K2574" t="s">
        <v>25396</v>
      </c>
      <c r="L2574" t="s">
        <v>57</v>
      </c>
      <c r="N2574">
        <v>0.88219999999999998</v>
      </c>
      <c r="O2574" s="1">
        <v>1</v>
      </c>
      <c r="P2574" t="s">
        <v>25397</v>
      </c>
      <c r="Q2574" t="s">
        <v>25398</v>
      </c>
      <c r="S2574" t="s">
        <v>91</v>
      </c>
      <c r="T2574" t="s">
        <v>2108</v>
      </c>
      <c r="U2574" t="s">
        <v>25399</v>
      </c>
      <c r="V2574">
        <v>4</v>
      </c>
      <c r="AE2574" t="s">
        <v>144</v>
      </c>
      <c r="AF2574" t="s">
        <v>25400</v>
      </c>
      <c r="AG2574" t="s">
        <v>25401</v>
      </c>
      <c r="AH2574" t="str">
        <f>HYPERLINK("http://compartments.jensenlab.org/Entity?figures=subcell_cell_%&amp;knowledge=10&amp;textmining=10&amp;experiments=10&amp;predictions=10&amp;type1=9606&amp;type2=-22&amp;id1=ENSP00000477314","link")</f>
        <v>link</v>
      </c>
      <c r="AK2574" t="str">
        <f>HYPERLINK("http://www.proteinatlas.org/Q9NRJ7","no")</f>
        <v>no</v>
      </c>
      <c r="AM2574">
        <v>57717</v>
      </c>
    </row>
    <row r="2575" spans="1:39" x14ac:dyDescent="0.35">
      <c r="A2575" t="s">
        <v>25402</v>
      </c>
      <c r="B2575" t="str">
        <f>HYPERLINK("http://www.uniprot.org/uniprot/Q9NRM0","Q9NRM0")</f>
        <v>Q9NRM0</v>
      </c>
      <c r="C2575" t="s">
        <v>25403</v>
      </c>
      <c r="D2575" t="s">
        <v>25404</v>
      </c>
      <c r="E2575" t="s">
        <v>39</v>
      </c>
      <c r="F2575" t="s">
        <v>40</v>
      </c>
      <c r="H2575">
        <v>540</v>
      </c>
      <c r="I2575">
        <v>12</v>
      </c>
      <c r="J2575">
        <v>0</v>
      </c>
      <c r="K2575" t="s">
        <v>25405</v>
      </c>
      <c r="L2575" t="s">
        <v>101</v>
      </c>
      <c r="N2575">
        <v>0.87029999999999996</v>
      </c>
      <c r="O2575" s="1">
        <v>1</v>
      </c>
      <c r="P2575" t="s">
        <v>25406</v>
      </c>
      <c r="Q2575" t="s">
        <v>25407</v>
      </c>
      <c r="S2575" t="s">
        <v>45</v>
      </c>
      <c r="T2575" t="s">
        <v>3338</v>
      </c>
      <c r="U2575" t="s">
        <v>25408</v>
      </c>
      <c r="V2575">
        <v>2</v>
      </c>
      <c r="W2575" t="s">
        <v>25408</v>
      </c>
      <c r="X2575">
        <v>22</v>
      </c>
      <c r="Z2575" t="s">
        <v>123</v>
      </c>
      <c r="AA2575">
        <v>1</v>
      </c>
      <c r="AB2575" t="s">
        <v>25409</v>
      </c>
      <c r="AC2575">
        <v>90</v>
      </c>
      <c r="AD2575" t="s">
        <v>25410</v>
      </c>
      <c r="AE2575" t="s">
        <v>25411</v>
      </c>
      <c r="AF2575" t="s">
        <v>25412</v>
      </c>
      <c r="AG2575" t="s">
        <v>25413</v>
      </c>
      <c r="AH2575" t="str">
        <f>HYPERLINK("http://compartments.jensenlab.org/Entity?figures=subcell_cell_%&amp;knowledge=10&amp;textmining=10&amp;experiments=10&amp;predictions=10&amp;type1=9606&amp;type2=-22&amp;id1=ENSP00000264784","link")</f>
        <v>link</v>
      </c>
      <c r="AJ2575" t="s">
        <v>2873</v>
      </c>
      <c r="AK2575" t="str">
        <f>HYPERLINK("http://www.proteinatlas.org/Q9NRM0","HPA066229")</f>
        <v>HPA066229</v>
      </c>
      <c r="AM2575">
        <v>56606</v>
      </c>
    </row>
    <row r="2576" spans="1:39" x14ac:dyDescent="0.35">
      <c r="A2576" t="s">
        <v>25414</v>
      </c>
      <c r="B2576" t="str">
        <f>HYPERLINK("http://www.uniprot.org/uniprot/Q9NRM6","Q9NRM6")</f>
        <v>Q9NRM6</v>
      </c>
      <c r="C2576" t="s">
        <v>25415</v>
      </c>
      <c r="D2576" t="s">
        <v>25416</v>
      </c>
      <c r="E2576" t="s">
        <v>39</v>
      </c>
      <c r="F2576" t="s">
        <v>55</v>
      </c>
      <c r="H2576">
        <v>502</v>
      </c>
      <c r="I2576">
        <v>1</v>
      </c>
      <c r="J2576">
        <v>1</v>
      </c>
      <c r="K2576" t="s">
        <v>25417</v>
      </c>
      <c r="L2576" t="s">
        <v>101</v>
      </c>
      <c r="M2576" t="s">
        <v>39</v>
      </c>
      <c r="N2576">
        <v>0.96150000000000002</v>
      </c>
      <c r="O2576" s="1">
        <v>1</v>
      </c>
      <c r="P2576" t="s">
        <v>25418</v>
      </c>
      <c r="Q2576" t="s">
        <v>25419</v>
      </c>
      <c r="S2576" t="s">
        <v>166</v>
      </c>
      <c r="T2576" t="s">
        <v>18122</v>
      </c>
      <c r="U2576" t="s">
        <v>25420</v>
      </c>
      <c r="V2576">
        <v>6</v>
      </c>
      <c r="W2576" t="s">
        <v>25420</v>
      </c>
      <c r="Z2576" t="s">
        <v>107</v>
      </c>
      <c r="AA2576">
        <v>1</v>
      </c>
      <c r="AB2576" t="s">
        <v>25421</v>
      </c>
      <c r="AC2576">
        <v>183</v>
      </c>
      <c r="AD2576" t="s">
        <v>25422</v>
      </c>
      <c r="AE2576" t="s">
        <v>1250</v>
      </c>
      <c r="AF2576" t="s">
        <v>25423</v>
      </c>
      <c r="AG2576" t="s">
        <v>25424</v>
      </c>
      <c r="AH2576" t="str">
        <f>HYPERLINK("http://compartments.jensenlab.org/Entity?figures=subcell_cell_%&amp;knowledge=10&amp;textmining=10&amp;experiments=10&amp;predictions=10&amp;type1=9606&amp;type2=-22&amp;id1=ENSP00000288167","link")</f>
        <v>link</v>
      </c>
      <c r="AI2576" t="s">
        <v>1058</v>
      </c>
      <c r="AJ2576" t="s">
        <v>1767</v>
      </c>
      <c r="AK2576" t="str">
        <f>HYPERLINK("http://www.proteinatlas.org/Q9NRM6","HPA005482")</f>
        <v>HPA005482</v>
      </c>
      <c r="AM2576">
        <v>55540</v>
      </c>
    </row>
    <row r="2577" spans="1:39" x14ac:dyDescent="0.35">
      <c r="A2577" t="s">
        <v>25425</v>
      </c>
      <c r="B2577" t="str">
        <f>HYPERLINK("http://www.uniprot.org/uniprot/Q9NRR2","Q9NRR2")</f>
        <v>Q9NRR2</v>
      </c>
      <c r="C2577" t="s">
        <v>25426</v>
      </c>
      <c r="D2577" t="s">
        <v>25427</v>
      </c>
      <c r="E2577" t="s">
        <v>39</v>
      </c>
      <c r="F2577" t="s">
        <v>40</v>
      </c>
      <c r="H2577">
        <v>321</v>
      </c>
      <c r="I2577">
        <v>1</v>
      </c>
      <c r="J2577">
        <v>1</v>
      </c>
      <c r="K2577" t="s">
        <v>25428</v>
      </c>
      <c r="L2577" t="s">
        <v>42</v>
      </c>
      <c r="N2577">
        <v>0.71660000000000001</v>
      </c>
      <c r="O2577" s="1">
        <v>2</v>
      </c>
      <c r="P2577" t="s">
        <v>25429</v>
      </c>
      <c r="Q2577" t="s">
        <v>25430</v>
      </c>
      <c r="S2577" t="s">
        <v>60</v>
      </c>
      <c r="T2577" t="s">
        <v>60</v>
      </c>
      <c r="U2577">
        <v>85</v>
      </c>
      <c r="V2577">
        <v>1</v>
      </c>
      <c r="W2577">
        <v>85</v>
      </c>
      <c r="AE2577" t="s">
        <v>94</v>
      </c>
      <c r="AF2577" t="s">
        <v>25431</v>
      </c>
      <c r="AG2577" t="s">
        <v>25432</v>
      </c>
      <c r="AH2577" t="str">
        <f>HYPERLINK("http://compartments.jensenlab.org/Entity?figures=subcell_cell_%&amp;knowledge=10&amp;textmining=10&amp;experiments=10&amp;predictions=10&amp;type1=9606&amp;type2=-22&amp;id1=ENSP00000234798","link")</f>
        <v>link</v>
      </c>
      <c r="AJ2577" t="s">
        <v>51</v>
      </c>
      <c r="AK2577" t="str">
        <f>HYPERLINK("http://www.proteinatlas.org/Q9NRR2","HPA060458")</f>
        <v>HPA060458</v>
      </c>
      <c r="AM2577">
        <v>25823</v>
      </c>
    </row>
    <row r="2578" spans="1:39" x14ac:dyDescent="0.35">
      <c r="A2578" t="s">
        <v>25433</v>
      </c>
      <c r="B2578" t="str">
        <f>HYPERLINK("http://www.uniprot.org/uniprot/Q9NRX5","Q9NRX5")</f>
        <v>Q9NRX5</v>
      </c>
      <c r="C2578" t="s">
        <v>25434</v>
      </c>
      <c r="D2578" t="s">
        <v>25435</v>
      </c>
      <c r="E2578" t="s">
        <v>39</v>
      </c>
      <c r="F2578" t="s">
        <v>40</v>
      </c>
      <c r="H2578">
        <v>453</v>
      </c>
      <c r="I2578">
        <v>10</v>
      </c>
      <c r="J2578">
        <v>0</v>
      </c>
      <c r="K2578" t="s">
        <v>25436</v>
      </c>
      <c r="L2578" t="s">
        <v>101</v>
      </c>
      <c r="N2578">
        <v>0.89219999999999999</v>
      </c>
      <c r="O2578" s="1">
        <v>1</v>
      </c>
      <c r="P2578" t="s">
        <v>25437</v>
      </c>
      <c r="Q2578" t="s">
        <v>25438</v>
      </c>
      <c r="S2578" t="s">
        <v>45</v>
      </c>
      <c r="T2578" t="s">
        <v>384</v>
      </c>
      <c r="U2578" t="s">
        <v>25439</v>
      </c>
      <c r="V2578">
        <v>1</v>
      </c>
      <c r="Z2578" t="s">
        <v>123</v>
      </c>
      <c r="AA2578">
        <v>5</v>
      </c>
      <c r="AB2578" t="s">
        <v>25440</v>
      </c>
      <c r="AC2578">
        <v>298</v>
      </c>
      <c r="AD2578" t="s">
        <v>25441</v>
      </c>
      <c r="AE2578" t="s">
        <v>977</v>
      </c>
      <c r="AF2578" t="s">
        <v>25442</v>
      </c>
      <c r="AG2578" t="s">
        <v>25443</v>
      </c>
      <c r="AH2578" t="str">
        <f>HYPERLINK("http://compartments.jensenlab.org/Entity?figures=subcell_cell_%&amp;knowledge=10&amp;textmining=10&amp;experiments=10&amp;predictions=10&amp;type1=9606&amp;type2=-22&amp;id1=ENSP00000342962","link")</f>
        <v>link</v>
      </c>
      <c r="AI2578" t="s">
        <v>980</v>
      </c>
      <c r="AJ2578" t="s">
        <v>345</v>
      </c>
      <c r="AK2578" t="str">
        <f>HYPERLINK("http://www.proteinatlas.org/Q9NRX5","HPA035738;HPA035739")</f>
        <v>HPA035738;HPA035739</v>
      </c>
      <c r="AM2578">
        <v>57515</v>
      </c>
    </row>
    <row r="2579" spans="1:39" x14ac:dyDescent="0.35">
      <c r="A2579" t="s">
        <v>25444</v>
      </c>
      <c r="B2579" t="str">
        <f>HYPERLINK("http://www.uniprot.org/uniprot/Q9NS62","Q9NS62")</f>
        <v>Q9NS62</v>
      </c>
      <c r="C2579" t="s">
        <v>25445</v>
      </c>
      <c r="D2579" t="s">
        <v>25446</v>
      </c>
      <c r="E2579" t="s">
        <v>39</v>
      </c>
      <c r="F2579" t="s">
        <v>40</v>
      </c>
      <c r="H2579">
        <v>852</v>
      </c>
      <c r="I2579">
        <v>1</v>
      </c>
      <c r="J2579">
        <v>1</v>
      </c>
      <c r="K2579" t="s">
        <v>25447</v>
      </c>
      <c r="L2579" t="s">
        <v>101</v>
      </c>
      <c r="N2579">
        <v>0.93210000000000004</v>
      </c>
      <c r="O2579" s="1">
        <v>1</v>
      </c>
      <c r="P2579" t="s">
        <v>25448</v>
      </c>
      <c r="Q2579" t="s">
        <v>25449</v>
      </c>
      <c r="S2579" t="s">
        <v>60</v>
      </c>
      <c r="T2579" t="s">
        <v>60</v>
      </c>
      <c r="U2579" t="s">
        <v>25450</v>
      </c>
      <c r="V2579">
        <v>8</v>
      </c>
      <c r="W2579" t="s">
        <v>25450</v>
      </c>
      <c r="Y2579" t="s">
        <v>25451</v>
      </c>
      <c r="Z2579" t="s">
        <v>107</v>
      </c>
      <c r="AA2579">
        <v>2</v>
      </c>
      <c r="AB2579" t="s">
        <v>25452</v>
      </c>
      <c r="AC2579" t="s">
        <v>25453</v>
      </c>
      <c r="AD2579" t="s">
        <v>25454</v>
      </c>
      <c r="AE2579" t="s">
        <v>25455</v>
      </c>
      <c r="AF2579" t="s">
        <v>20641</v>
      </c>
      <c r="AG2579" t="s">
        <v>25456</v>
      </c>
      <c r="AH2579" t="str">
        <f>HYPERLINK("http://compartments.jensenlab.org/Entity?figures=subcell_cell_%&amp;knowledge=10&amp;textmining=10&amp;experiments=10&amp;predictions=10&amp;type1=9606&amp;type2=-22&amp;id1=ENSP00000258613","link")</f>
        <v>link</v>
      </c>
      <c r="AI2579" t="s">
        <v>113</v>
      </c>
      <c r="AJ2579" t="s">
        <v>902</v>
      </c>
      <c r="AK2579" t="str">
        <f>HYPERLINK("http://www.proteinatlas.org/Q9NS62","HPA012611;CAB020796")</f>
        <v>HPA012611;CAB020796</v>
      </c>
      <c r="AM2579">
        <v>55901</v>
      </c>
    </row>
    <row r="2580" spans="1:39" x14ac:dyDescent="0.35">
      <c r="A2580" t="s">
        <v>25457</v>
      </c>
      <c r="B2580" t="str">
        <f>HYPERLINK("http://www.uniprot.org/uniprot/Q9NS64","Q9NS64")</f>
        <v>Q9NS64</v>
      </c>
      <c r="C2580" t="s">
        <v>25458</v>
      </c>
      <c r="D2580" t="s">
        <v>25459</v>
      </c>
      <c r="E2580" t="s">
        <v>39</v>
      </c>
      <c r="F2580" t="s">
        <v>40</v>
      </c>
      <c r="H2580">
        <v>109</v>
      </c>
      <c r="I2580">
        <v>1</v>
      </c>
      <c r="J2580">
        <v>0</v>
      </c>
      <c r="K2580" t="s">
        <v>25460</v>
      </c>
      <c r="L2580" t="s">
        <v>42</v>
      </c>
      <c r="N2580">
        <v>0.66869999999999996</v>
      </c>
      <c r="O2580" s="1">
        <v>2</v>
      </c>
      <c r="P2580" t="s">
        <v>25461</v>
      </c>
      <c r="Q2580" t="s">
        <v>25462</v>
      </c>
      <c r="S2580" t="s">
        <v>60</v>
      </c>
      <c r="T2580" t="s">
        <v>60</v>
      </c>
      <c r="U2580" t="s">
        <v>25463</v>
      </c>
      <c r="V2580">
        <v>2</v>
      </c>
      <c r="AE2580" t="s">
        <v>25464</v>
      </c>
      <c r="AF2580" t="s">
        <v>25465</v>
      </c>
      <c r="AG2580" t="s">
        <v>25466</v>
      </c>
      <c r="AH2580" t="str">
        <f>HYPERLINK("http://compartments.jensenlab.org/Entity?figures=subcell_cell_%&amp;knowledge=10&amp;textmining=10&amp;experiments=10&amp;predictions=10&amp;type1=9606&amp;type2=-22&amp;id1=ENSP00000314946","link")</f>
        <v>link</v>
      </c>
      <c r="AJ2580" t="s">
        <v>2124</v>
      </c>
      <c r="AK2580" t="str">
        <f>HYPERLINK("http://www.proteinatlas.org/Q9NS64","no")</f>
        <v>no</v>
      </c>
      <c r="AM2580">
        <v>56475</v>
      </c>
    </row>
    <row r="2581" spans="1:39" x14ac:dyDescent="0.35">
      <c r="A2581" t="s">
        <v>25467</v>
      </c>
      <c r="B2581" t="str">
        <f>HYPERLINK("http://www.uniprot.org/uniprot/Q9NS66","Q9NS66")</f>
        <v>Q9NS66</v>
      </c>
      <c r="C2581" t="s">
        <v>25468</v>
      </c>
      <c r="D2581" t="s">
        <v>25469</v>
      </c>
      <c r="E2581" t="s">
        <v>39</v>
      </c>
      <c r="F2581" t="s">
        <v>40</v>
      </c>
      <c r="H2581">
        <v>373</v>
      </c>
      <c r="I2581">
        <v>7</v>
      </c>
      <c r="J2581">
        <v>0</v>
      </c>
      <c r="K2581" t="s">
        <v>25470</v>
      </c>
      <c r="L2581" t="s">
        <v>57</v>
      </c>
      <c r="N2581">
        <v>0.76649999999999996</v>
      </c>
      <c r="O2581" s="1">
        <v>1</v>
      </c>
      <c r="P2581" t="s">
        <v>25471</v>
      </c>
      <c r="Q2581" t="s">
        <v>25472</v>
      </c>
      <c r="S2581" t="s">
        <v>166</v>
      </c>
      <c r="T2581" t="s">
        <v>838</v>
      </c>
      <c r="U2581" t="s">
        <v>25473</v>
      </c>
      <c r="V2581">
        <v>2</v>
      </c>
      <c r="AE2581" t="s">
        <v>74</v>
      </c>
      <c r="AF2581" t="s">
        <v>1913</v>
      </c>
      <c r="AG2581" t="s">
        <v>25474</v>
      </c>
      <c r="AH2581" t="str">
        <f>HYPERLINK("http://compartments.jensenlab.org/Entity?figures=subcell_cell_%&amp;knowledge=10&amp;textmining=10&amp;experiments=10&amp;predictions=10&amp;type1=9606&amp;type2=-22&amp;id1=ENSP00000331600","link")</f>
        <v>link</v>
      </c>
      <c r="AI2581" t="s">
        <v>65</v>
      </c>
      <c r="AJ2581" t="s">
        <v>51</v>
      </c>
      <c r="AK2581" t="str">
        <f>HYPERLINK("http://www.proteinatlas.org/Q9NS66","HPA003905")</f>
        <v>HPA003905</v>
      </c>
      <c r="AM2581">
        <v>54328</v>
      </c>
    </row>
    <row r="2582" spans="1:39" x14ac:dyDescent="0.35">
      <c r="A2582" t="s">
        <v>25475</v>
      </c>
      <c r="B2582" t="str">
        <f>HYPERLINK("http://www.uniprot.org/uniprot/Q9NS67","Q9NS67")</f>
        <v>Q9NS67</v>
      </c>
      <c r="C2582" t="s">
        <v>25476</v>
      </c>
      <c r="D2582" t="s">
        <v>25477</v>
      </c>
      <c r="E2582" t="s">
        <v>39</v>
      </c>
      <c r="F2582" t="s">
        <v>40</v>
      </c>
      <c r="H2582">
        <v>375</v>
      </c>
      <c r="I2582">
        <v>7</v>
      </c>
      <c r="J2582">
        <v>0</v>
      </c>
      <c r="K2582" t="s">
        <v>25478</v>
      </c>
      <c r="L2582" t="s">
        <v>57</v>
      </c>
      <c r="N2582">
        <v>0.73650000000000004</v>
      </c>
      <c r="O2582" s="1">
        <v>2</v>
      </c>
      <c r="P2582" t="s">
        <v>25479</v>
      </c>
      <c r="Q2582" t="s">
        <v>25480</v>
      </c>
      <c r="S2582" t="s">
        <v>166</v>
      </c>
      <c r="T2582" t="s">
        <v>838</v>
      </c>
      <c r="U2582" t="s">
        <v>25481</v>
      </c>
      <c r="V2582">
        <v>1</v>
      </c>
      <c r="AE2582" t="s">
        <v>74</v>
      </c>
      <c r="AF2582" t="s">
        <v>1913</v>
      </c>
      <c r="AG2582" t="s">
        <v>25482</v>
      </c>
      <c r="AH2582" t="str">
        <f>HYPERLINK("http://compartments.jensenlab.org/Entity?figures=subcell_cell_%&amp;knowledge=10&amp;textmining=10&amp;experiments=10&amp;predictions=10&amp;type1=9606&amp;type2=-22&amp;id1=ENSP00000303149","link")</f>
        <v>link</v>
      </c>
      <c r="AI2582" t="s">
        <v>65</v>
      </c>
      <c r="AJ2582" t="s">
        <v>51</v>
      </c>
      <c r="AK2582" t="str">
        <f>HYPERLINK("http://www.proteinatlas.org/Q9NS67","HPA029395")</f>
        <v>HPA029395</v>
      </c>
      <c r="AM2582">
        <v>2850</v>
      </c>
    </row>
    <row r="2583" spans="1:39" x14ac:dyDescent="0.35">
      <c r="A2583" t="s">
        <v>25483</v>
      </c>
      <c r="B2583" t="str">
        <f>HYPERLINK("http://www.uniprot.org/uniprot/Q9NS68","Q9NS68")</f>
        <v>Q9NS68</v>
      </c>
      <c r="C2583" t="s">
        <v>25484</v>
      </c>
      <c r="D2583" t="s">
        <v>25485</v>
      </c>
      <c r="E2583" t="s">
        <v>39</v>
      </c>
      <c r="F2583" t="s">
        <v>40</v>
      </c>
      <c r="H2583">
        <v>423</v>
      </c>
      <c r="I2583">
        <v>1</v>
      </c>
      <c r="J2583">
        <v>1</v>
      </c>
      <c r="K2583" t="s">
        <v>25486</v>
      </c>
      <c r="L2583" t="s">
        <v>57</v>
      </c>
      <c r="N2583">
        <v>0.8962</v>
      </c>
      <c r="O2583" s="1">
        <v>1</v>
      </c>
      <c r="P2583" t="s">
        <v>25487</v>
      </c>
      <c r="Q2583" t="s">
        <v>25488</v>
      </c>
      <c r="S2583" t="s">
        <v>166</v>
      </c>
      <c r="T2583" t="s">
        <v>864</v>
      </c>
      <c r="U2583" t="s">
        <v>25489</v>
      </c>
      <c r="V2583">
        <v>1</v>
      </c>
      <c r="AE2583" t="s">
        <v>144</v>
      </c>
      <c r="AF2583" t="s">
        <v>25490</v>
      </c>
      <c r="AG2583" t="s">
        <v>25491</v>
      </c>
      <c r="AH2583" t="str">
        <f>HYPERLINK("http://compartments.jensenlab.org/Entity?figures=subcell_cell_%&amp;knowledge=10&amp;textmining=10&amp;experiments=10&amp;predictions=10&amp;type1=9606&amp;type2=-22&amp;id1=ENSP00000371693","link")</f>
        <v>link</v>
      </c>
      <c r="AJ2583" t="s">
        <v>51</v>
      </c>
      <c r="AK2583" t="str">
        <f>HYPERLINK("http://www.proteinatlas.org/Q9NS68","HPA010135")</f>
        <v>HPA010135</v>
      </c>
      <c r="AM2583">
        <v>55504</v>
      </c>
    </row>
    <row r="2584" spans="1:39" x14ac:dyDescent="0.35">
      <c r="A2584" t="s">
        <v>25492</v>
      </c>
      <c r="B2584" t="str">
        <f>HYPERLINK("http://www.uniprot.org/uniprot/Q9NS75","Q9NS75")</f>
        <v>Q9NS75</v>
      </c>
      <c r="C2584" t="s">
        <v>25493</v>
      </c>
      <c r="D2584" t="s">
        <v>25494</v>
      </c>
      <c r="E2584" t="s">
        <v>39</v>
      </c>
      <c r="F2584" t="s">
        <v>55</v>
      </c>
      <c r="H2584">
        <v>346</v>
      </c>
      <c r="I2584">
        <v>7</v>
      </c>
      <c r="J2584">
        <v>0</v>
      </c>
      <c r="K2584" t="s">
        <v>25495</v>
      </c>
      <c r="L2584" t="s">
        <v>57</v>
      </c>
      <c r="M2584" t="s">
        <v>39</v>
      </c>
      <c r="N2584">
        <v>0.98209999999999997</v>
      </c>
      <c r="O2584" s="1">
        <v>1</v>
      </c>
      <c r="P2584" t="s">
        <v>25496</v>
      </c>
      <c r="Q2584" t="s">
        <v>25497</v>
      </c>
      <c r="S2584" t="s">
        <v>166</v>
      </c>
      <c r="T2584" t="s">
        <v>838</v>
      </c>
      <c r="U2584" t="s">
        <v>25498</v>
      </c>
      <c r="V2584">
        <v>4</v>
      </c>
      <c r="X2584">
        <v>11</v>
      </c>
      <c r="AE2584" t="s">
        <v>74</v>
      </c>
      <c r="AF2584" t="s">
        <v>1913</v>
      </c>
      <c r="AG2584" t="s">
        <v>25499</v>
      </c>
      <c r="AH2584" t="str">
        <f>HYPERLINK("http://compartments.jensenlab.org/Entity?figures=subcell_cell_%&amp;knowledge=10&amp;textmining=10&amp;experiments=10&amp;predictions=10&amp;type1=9606&amp;type2=-22&amp;id1=ENSP00000282018","link")</f>
        <v>link</v>
      </c>
      <c r="AI2584" t="s">
        <v>65</v>
      </c>
      <c r="AJ2584" t="s">
        <v>51</v>
      </c>
      <c r="AK2584" t="str">
        <f>HYPERLINK("http://www.proteinatlas.org/Q9NS75","HPA046528")</f>
        <v>HPA046528</v>
      </c>
      <c r="AL2584" t="s">
        <v>6537</v>
      </c>
      <c r="AM2584">
        <v>57105</v>
      </c>
    </row>
    <row r="2585" spans="1:39" x14ac:dyDescent="0.35">
      <c r="A2585" t="s">
        <v>25500</v>
      </c>
      <c r="B2585" t="str">
        <f>HYPERLINK("http://www.uniprot.org/uniprot/Q9NS82","Q9NS82")</f>
        <v>Q9NS82</v>
      </c>
      <c r="C2585" t="s">
        <v>25501</v>
      </c>
      <c r="D2585" t="s">
        <v>25502</v>
      </c>
      <c r="E2585" t="s">
        <v>39</v>
      </c>
      <c r="F2585" t="s">
        <v>40</v>
      </c>
      <c r="H2585">
        <v>523</v>
      </c>
      <c r="I2585">
        <v>12</v>
      </c>
      <c r="J2585">
        <v>0</v>
      </c>
      <c r="K2585" t="s">
        <v>25503</v>
      </c>
      <c r="L2585" t="s">
        <v>42</v>
      </c>
      <c r="N2585">
        <v>0.64870000000000005</v>
      </c>
      <c r="O2585" s="1">
        <v>2</v>
      </c>
      <c r="S2585" t="s">
        <v>45</v>
      </c>
      <c r="T2585" t="s">
        <v>1743</v>
      </c>
      <c r="U2585">
        <v>176</v>
      </c>
      <c r="V2585">
        <v>0</v>
      </c>
      <c r="X2585" t="s">
        <v>25504</v>
      </c>
      <c r="AE2585" t="s">
        <v>48</v>
      </c>
      <c r="AF2585" t="s">
        <v>25505</v>
      </c>
      <c r="AG2585" t="s">
        <v>25506</v>
      </c>
      <c r="AK2585" t="str">
        <f>HYPERLINK("http://www.proteinatlas.org/Q9NS82","no")</f>
        <v>no</v>
      </c>
      <c r="AM2585">
        <v>56301</v>
      </c>
    </row>
    <row r="2586" spans="1:39" x14ac:dyDescent="0.35">
      <c r="A2586" t="s">
        <v>25507</v>
      </c>
      <c r="B2586" t="str">
        <f>HYPERLINK("http://www.uniprot.org/uniprot/Q9NS93","Q9NS93")</f>
        <v>Q9NS93</v>
      </c>
      <c r="C2586" t="s">
        <v>25508</v>
      </c>
      <c r="D2586" t="s">
        <v>25509</v>
      </c>
      <c r="E2586" t="s">
        <v>39</v>
      </c>
      <c r="F2586" t="s">
        <v>55</v>
      </c>
      <c r="H2586">
        <v>570</v>
      </c>
      <c r="I2586">
        <v>7</v>
      </c>
      <c r="J2586">
        <v>1</v>
      </c>
      <c r="K2586" t="s">
        <v>25510</v>
      </c>
      <c r="L2586" t="s">
        <v>42</v>
      </c>
      <c r="M2586" t="s">
        <v>39</v>
      </c>
      <c r="N2586">
        <v>0.68889999999999996</v>
      </c>
      <c r="O2586" s="1">
        <v>2</v>
      </c>
      <c r="P2586" t="s">
        <v>25511</v>
      </c>
      <c r="Q2586" t="s">
        <v>25512</v>
      </c>
      <c r="S2586" t="s">
        <v>60</v>
      </c>
      <c r="T2586" t="s">
        <v>60</v>
      </c>
      <c r="U2586" t="s">
        <v>25513</v>
      </c>
      <c r="V2586">
        <v>5</v>
      </c>
      <c r="AE2586" t="s">
        <v>74</v>
      </c>
      <c r="AF2586" t="s">
        <v>25514</v>
      </c>
      <c r="AG2586" t="s">
        <v>25515</v>
      </c>
      <c r="AH2586" t="str">
        <f>HYPERLINK("http://compartments.jensenlab.org/Entity?figures=subcell_cell_%&amp;knowledge=10&amp;textmining=10&amp;experiments=10&amp;predictions=10&amp;type1=9606&amp;type2=-22&amp;id1=ENSP00000342322","link")</f>
        <v>link</v>
      </c>
      <c r="AI2586" t="s">
        <v>65</v>
      </c>
      <c r="AJ2586" t="s">
        <v>51</v>
      </c>
      <c r="AK2586" t="str">
        <f>HYPERLINK("http://www.proteinatlas.org/Q9NS93","HPA041097")</f>
        <v>HPA041097</v>
      </c>
      <c r="AM2586">
        <v>51768</v>
      </c>
    </row>
    <row r="2587" spans="1:39" x14ac:dyDescent="0.35">
      <c r="A2587" t="s">
        <v>25516</v>
      </c>
      <c r="B2587" t="str">
        <f>HYPERLINK("http://www.uniprot.org/uniprot/Q9NSA0","Q9NSA0")</f>
        <v>Q9NSA0</v>
      </c>
      <c r="C2587" t="s">
        <v>25517</v>
      </c>
      <c r="D2587" t="s">
        <v>25518</v>
      </c>
      <c r="E2587" t="s">
        <v>39</v>
      </c>
      <c r="F2587" t="s">
        <v>55</v>
      </c>
      <c r="H2587">
        <v>550</v>
      </c>
      <c r="I2587">
        <v>12</v>
      </c>
      <c r="J2587">
        <v>0</v>
      </c>
      <c r="K2587" t="s">
        <v>25519</v>
      </c>
      <c r="L2587" t="s">
        <v>57</v>
      </c>
      <c r="M2587" t="s">
        <v>39</v>
      </c>
      <c r="N2587">
        <v>0.75360000000000005</v>
      </c>
      <c r="O2587" s="1">
        <v>1</v>
      </c>
      <c r="P2587" t="s">
        <v>25520</v>
      </c>
      <c r="Q2587" t="s">
        <v>25521</v>
      </c>
      <c r="S2587" t="s">
        <v>45</v>
      </c>
      <c r="T2587" t="s">
        <v>121</v>
      </c>
      <c r="U2587" t="s">
        <v>25522</v>
      </c>
      <c r="V2587">
        <v>4</v>
      </c>
      <c r="W2587" t="s">
        <v>25522</v>
      </c>
      <c r="AE2587" t="s">
        <v>74</v>
      </c>
      <c r="AF2587" t="s">
        <v>25523</v>
      </c>
      <c r="AG2587" t="s">
        <v>25524</v>
      </c>
      <c r="AH2587" t="str">
        <f>HYPERLINK("http://compartments.jensenlab.org/Entity?figures=subcell_cell_%&amp;knowledge=10&amp;textmining=10&amp;experiments=10&amp;predictions=10&amp;type1=9606&amp;type2=-22&amp;id1=ENSP00000301891","link")</f>
        <v>link</v>
      </c>
      <c r="AI2587" t="s">
        <v>65</v>
      </c>
      <c r="AJ2587" t="s">
        <v>51</v>
      </c>
      <c r="AK2587" t="str">
        <f>HYPERLINK("http://www.proteinatlas.org/Q9NSA0","HPA026076")</f>
        <v>HPA026076</v>
      </c>
      <c r="AL2587" t="s">
        <v>14439</v>
      </c>
      <c r="AM2587">
        <v>55867</v>
      </c>
    </row>
    <row r="2588" spans="1:39" x14ac:dyDescent="0.35">
      <c r="A2588" t="s">
        <v>25525</v>
      </c>
      <c r="B2588" t="str">
        <f>HYPERLINK("http://www.uniprot.org/uniprot/Q9NSD5","Q9NSD5")</f>
        <v>Q9NSD5</v>
      </c>
      <c r="C2588" t="s">
        <v>25526</v>
      </c>
      <c r="D2588" t="s">
        <v>25527</v>
      </c>
      <c r="E2588" t="s">
        <v>39</v>
      </c>
      <c r="F2588" t="s">
        <v>40</v>
      </c>
      <c r="H2588">
        <v>602</v>
      </c>
      <c r="I2588">
        <v>12</v>
      </c>
      <c r="J2588">
        <v>0</v>
      </c>
      <c r="K2588" t="s">
        <v>25528</v>
      </c>
      <c r="L2588" t="s">
        <v>57</v>
      </c>
      <c r="N2588">
        <v>0.91620000000000001</v>
      </c>
      <c r="O2588" s="1">
        <v>1</v>
      </c>
      <c r="P2588" t="s">
        <v>25529</v>
      </c>
      <c r="Q2588" t="s">
        <v>25530</v>
      </c>
      <c r="S2588" t="s">
        <v>45</v>
      </c>
      <c r="T2588" t="s">
        <v>6998</v>
      </c>
      <c r="U2588" t="s">
        <v>25531</v>
      </c>
      <c r="V2588">
        <v>4</v>
      </c>
      <c r="W2588" t="s">
        <v>25531</v>
      </c>
      <c r="AE2588" t="s">
        <v>74</v>
      </c>
      <c r="AF2588" t="s">
        <v>8141</v>
      </c>
      <c r="AG2588" t="s">
        <v>25532</v>
      </c>
      <c r="AH2588" t="str">
        <f>HYPERLINK("http://compartments.jensenlab.org/Entity?figures=subcell_cell_%&amp;knowledge=10&amp;textmining=10&amp;experiments=10&amp;predictions=10&amp;type1=9606&amp;type2=-22&amp;id1=ENSP00000339260","link")</f>
        <v>link</v>
      </c>
      <c r="AJ2588" t="s">
        <v>51</v>
      </c>
      <c r="AK2588" t="str">
        <f>HYPERLINK("http://www.proteinatlas.org/Q9NSD5","HPA052726")</f>
        <v>HPA052726</v>
      </c>
      <c r="AM2588">
        <v>6540</v>
      </c>
    </row>
    <row r="2589" spans="1:39" x14ac:dyDescent="0.35">
      <c r="A2589" t="s">
        <v>25533</v>
      </c>
      <c r="B2589" t="str">
        <f>HYPERLINK("http://www.uniprot.org/uniprot/Q9NSD7","Q9NSD7")</f>
        <v>Q9NSD7</v>
      </c>
      <c r="C2589" t="s">
        <v>25534</v>
      </c>
      <c r="D2589" t="s">
        <v>25535</v>
      </c>
      <c r="E2589" t="s">
        <v>39</v>
      </c>
      <c r="F2589" t="s">
        <v>55</v>
      </c>
      <c r="H2589">
        <v>469</v>
      </c>
      <c r="I2589">
        <v>7</v>
      </c>
      <c r="J2589">
        <v>0</v>
      </c>
      <c r="K2589" t="s">
        <v>25536</v>
      </c>
      <c r="L2589" t="s">
        <v>57</v>
      </c>
      <c r="M2589" t="s">
        <v>39</v>
      </c>
      <c r="N2589">
        <v>0.91620000000000001</v>
      </c>
      <c r="O2589" s="1">
        <v>1</v>
      </c>
      <c r="P2589" t="s">
        <v>25537</v>
      </c>
      <c r="Q2589" t="s">
        <v>25538</v>
      </c>
      <c r="S2589" t="s">
        <v>166</v>
      </c>
      <c r="T2589" t="s">
        <v>838</v>
      </c>
      <c r="U2589" t="s">
        <v>25539</v>
      </c>
      <c r="V2589">
        <v>2</v>
      </c>
      <c r="AE2589" t="s">
        <v>74</v>
      </c>
      <c r="AF2589" t="s">
        <v>1913</v>
      </c>
      <c r="AG2589" t="s">
        <v>25540</v>
      </c>
      <c r="AH2589" t="str">
        <f>HYPERLINK("http://compartments.jensenlab.org/Entity?figures=subcell_cell_%&amp;knowledge=10&amp;textmining=10&amp;experiments=10&amp;predictions=10&amp;type1=9606&amp;type2=-22&amp;id1=ENSP00000328708","link")</f>
        <v>link</v>
      </c>
      <c r="AI2589" t="s">
        <v>65</v>
      </c>
      <c r="AJ2589" t="s">
        <v>51</v>
      </c>
      <c r="AK2589" t="str">
        <f>HYPERLINK("http://www.proteinatlas.org/Q9NSD7","HPA027833")</f>
        <v>HPA027833</v>
      </c>
      <c r="AM2589">
        <v>51289</v>
      </c>
    </row>
    <row r="2590" spans="1:39" x14ac:dyDescent="0.35">
      <c r="A2590" t="s">
        <v>25541</v>
      </c>
      <c r="B2590" t="str">
        <f>HYPERLINK("http://www.uniprot.org/uniprot/Q9NSI5","Q9NSI5")</f>
        <v>Q9NSI5</v>
      </c>
      <c r="C2590" t="s">
        <v>25542</v>
      </c>
      <c r="D2590" t="s">
        <v>25543</v>
      </c>
      <c r="E2590" t="s">
        <v>39</v>
      </c>
      <c r="F2590" t="s">
        <v>40</v>
      </c>
      <c r="H2590">
        <v>407</v>
      </c>
      <c r="I2590">
        <v>1</v>
      </c>
      <c r="J2590">
        <v>0</v>
      </c>
      <c r="K2590" t="s">
        <v>25544</v>
      </c>
      <c r="L2590" t="s">
        <v>57</v>
      </c>
      <c r="N2590">
        <v>0.62280000000000002</v>
      </c>
      <c r="O2590" s="1">
        <v>2</v>
      </c>
      <c r="P2590" t="s">
        <v>25545</v>
      </c>
      <c r="Q2590" t="s">
        <v>25546</v>
      </c>
      <c r="S2590" t="s">
        <v>166</v>
      </c>
      <c r="T2590" t="s">
        <v>2505</v>
      </c>
      <c r="U2590" t="s">
        <v>25547</v>
      </c>
      <c r="V2590">
        <v>4</v>
      </c>
      <c r="W2590" t="s">
        <v>25547</v>
      </c>
      <c r="AE2590" t="s">
        <v>25548</v>
      </c>
      <c r="AF2590" t="s">
        <v>25549</v>
      </c>
      <c r="AG2590" t="s">
        <v>25550</v>
      </c>
      <c r="AH2590" t="str">
        <f>HYPERLINK("http://compartments.jensenlab.org/Entity?figures=subcell_cell_%&amp;knowledge=10&amp;textmining=10&amp;experiments=10&amp;predictions=10&amp;type1=9606&amp;type2=-22&amp;id1=ENSP00000369962","link")</f>
        <v>link</v>
      </c>
      <c r="AI2590" t="s">
        <v>65</v>
      </c>
      <c r="AJ2590" t="s">
        <v>51</v>
      </c>
      <c r="AK2590" t="str">
        <f>HYPERLINK("http://www.proteinatlas.org/Q9NSI5","HPA057282")</f>
        <v>HPA057282</v>
      </c>
      <c r="AM2590">
        <v>150084</v>
      </c>
    </row>
    <row r="2591" spans="1:39" x14ac:dyDescent="0.35">
      <c r="A2591" t="s">
        <v>25551</v>
      </c>
      <c r="B2591" t="str">
        <f>HYPERLINK("http://www.uniprot.org/uniprot/Q9NT68","Q9NT68")</f>
        <v>Q9NT68</v>
      </c>
      <c r="C2591" t="s">
        <v>25552</v>
      </c>
      <c r="D2591" t="s">
        <v>25553</v>
      </c>
      <c r="E2591" t="s">
        <v>39</v>
      </c>
      <c r="F2591" t="s">
        <v>55</v>
      </c>
      <c r="H2591">
        <v>2774</v>
      </c>
      <c r="I2591">
        <v>1</v>
      </c>
      <c r="J2591">
        <v>0</v>
      </c>
      <c r="K2591" t="s">
        <v>25554</v>
      </c>
      <c r="L2591" t="s">
        <v>101</v>
      </c>
      <c r="M2591" t="s">
        <v>39</v>
      </c>
      <c r="N2591">
        <v>0.59379999999999999</v>
      </c>
      <c r="O2591" s="1">
        <v>2</v>
      </c>
      <c r="P2591" t="s">
        <v>25555</v>
      </c>
      <c r="Q2591" t="s">
        <v>25556</v>
      </c>
      <c r="S2591" t="s">
        <v>91</v>
      </c>
      <c r="T2591" t="s">
        <v>15319</v>
      </c>
      <c r="U2591" t="s">
        <v>25557</v>
      </c>
      <c r="V2591">
        <v>15</v>
      </c>
      <c r="Y2591">
        <v>995</v>
      </c>
      <c r="Z2591" t="s">
        <v>107</v>
      </c>
      <c r="AA2591">
        <v>8</v>
      </c>
      <c r="AB2591" t="s">
        <v>25558</v>
      </c>
      <c r="AC2591" t="s">
        <v>25559</v>
      </c>
      <c r="AD2591" t="s">
        <v>25560</v>
      </c>
      <c r="AE2591" t="s">
        <v>25561</v>
      </c>
      <c r="AF2591" t="s">
        <v>25562</v>
      </c>
      <c r="AG2591" t="s">
        <v>25563</v>
      </c>
      <c r="AH2591" t="str">
        <f>HYPERLINK("http://compartments.jensenlab.org/Entity?figures=subcell_cell_%&amp;knowledge=10&amp;textmining=10&amp;experiments=10&amp;predictions=10&amp;type1=9606&amp;type2=-22&amp;id1=ENSP00000429430","link")</f>
        <v>link</v>
      </c>
      <c r="AK2591" t="str">
        <f>HYPERLINK("http://www.proteinatlas.org/Q9NT68","HPA038018;HPA038420")</f>
        <v>HPA038018;HPA038420</v>
      </c>
    </row>
    <row r="2592" spans="1:39" x14ac:dyDescent="0.35">
      <c r="A2592" t="s">
        <v>25564</v>
      </c>
      <c r="B2592" t="str">
        <f>HYPERLINK("http://www.uniprot.org/uniprot/Q9NT99","Q9NT99")</f>
        <v>Q9NT99</v>
      </c>
      <c r="C2592" t="s">
        <v>25565</v>
      </c>
      <c r="D2592" t="s">
        <v>25566</v>
      </c>
      <c r="E2592" t="s">
        <v>39</v>
      </c>
      <c r="F2592" t="s">
        <v>55</v>
      </c>
      <c r="H2592">
        <v>713</v>
      </c>
      <c r="I2592">
        <v>1</v>
      </c>
      <c r="J2592">
        <v>1</v>
      </c>
      <c r="K2592" t="s">
        <v>25567</v>
      </c>
      <c r="L2592" t="s">
        <v>101</v>
      </c>
      <c r="M2592" t="s">
        <v>39</v>
      </c>
      <c r="N2592">
        <v>0.88360000000000005</v>
      </c>
      <c r="O2592" s="1">
        <v>1</v>
      </c>
      <c r="P2592" t="s">
        <v>25568</v>
      </c>
      <c r="Q2592" t="s">
        <v>25569</v>
      </c>
      <c r="S2592" t="s">
        <v>91</v>
      </c>
      <c r="T2592" t="s">
        <v>260</v>
      </c>
      <c r="U2592" t="s">
        <v>25570</v>
      </c>
      <c r="V2592">
        <v>9</v>
      </c>
      <c r="Y2592">
        <v>321</v>
      </c>
      <c r="Z2592" t="s">
        <v>107</v>
      </c>
      <c r="AA2592">
        <v>2</v>
      </c>
      <c r="AB2592" t="s">
        <v>25571</v>
      </c>
      <c r="AC2592">
        <v>333</v>
      </c>
      <c r="AD2592" t="s">
        <v>25572</v>
      </c>
      <c r="AE2592" t="s">
        <v>25573</v>
      </c>
      <c r="AF2592" t="s">
        <v>25574</v>
      </c>
      <c r="AG2592" t="s">
        <v>25575</v>
      </c>
      <c r="AH2592" t="str">
        <f>HYPERLINK("http://compartments.jensenlab.org/Entity?figures=subcell_cell_%&amp;knowledge=10&amp;textmining=10&amp;experiments=10&amp;predictions=10&amp;type1=9606&amp;type2=-22&amp;id1=ENSP00000373853","link")</f>
        <v>link</v>
      </c>
      <c r="AJ2592" t="s">
        <v>51</v>
      </c>
      <c r="AK2592" t="str">
        <f>HYPERLINK("http://www.proteinatlas.org/Q9NT99","HPA058986")</f>
        <v>HPA058986</v>
      </c>
      <c r="AM2592">
        <v>94030</v>
      </c>
    </row>
    <row r="2593" spans="1:39" x14ac:dyDescent="0.35">
      <c r="A2593" t="s">
        <v>25576</v>
      </c>
      <c r="B2593" t="str">
        <f>HYPERLINK("http://www.uniprot.org/uniprot/Q9NTG1","Q9NTG1")</f>
        <v>Q9NTG1</v>
      </c>
      <c r="C2593" t="s">
        <v>25577</v>
      </c>
      <c r="D2593" t="s">
        <v>25578</v>
      </c>
      <c r="E2593" t="s">
        <v>39</v>
      </c>
      <c r="F2593" t="s">
        <v>40</v>
      </c>
      <c r="H2593">
        <v>2253</v>
      </c>
      <c r="I2593">
        <v>11</v>
      </c>
      <c r="J2593">
        <v>1</v>
      </c>
      <c r="K2593" t="s">
        <v>25579</v>
      </c>
      <c r="L2593" t="s">
        <v>57</v>
      </c>
      <c r="N2593">
        <v>0.90620000000000001</v>
      </c>
      <c r="O2593" s="1">
        <v>1</v>
      </c>
      <c r="P2593" t="s">
        <v>25580</v>
      </c>
      <c r="Q2593" t="s">
        <v>25581</v>
      </c>
      <c r="S2593" t="s">
        <v>45</v>
      </c>
      <c r="T2593" t="s">
        <v>11602</v>
      </c>
      <c r="U2593" t="s">
        <v>25582</v>
      </c>
      <c r="V2593">
        <v>18</v>
      </c>
      <c r="AE2593" t="s">
        <v>48</v>
      </c>
      <c r="AF2593" t="s">
        <v>25583</v>
      </c>
      <c r="AG2593" t="s">
        <v>25584</v>
      </c>
      <c r="AH2593" t="str">
        <f>HYPERLINK("http://compartments.jensenlab.org/Entity?figures=subcell_cell_%&amp;knowledge=10&amp;textmining=10&amp;experiments=10&amp;predictions=10&amp;type1=9606&amp;type2=-22&amp;id1=ENSP00000253255","link")</f>
        <v>link</v>
      </c>
      <c r="AJ2593" t="s">
        <v>51</v>
      </c>
      <c r="AK2593" t="str">
        <f>HYPERLINK("http://www.proteinatlas.org/Q9NTG1","HPA034587")</f>
        <v>HPA034587</v>
      </c>
      <c r="AM2593">
        <v>10343</v>
      </c>
    </row>
    <row r="2594" spans="1:39" x14ac:dyDescent="0.35">
      <c r="A2594" t="s">
        <v>25585</v>
      </c>
      <c r="B2594" t="str">
        <f>HYPERLINK("http://www.uniprot.org/uniprot/Q9NTN9","Q9NTN9")</f>
        <v>Q9NTN9</v>
      </c>
      <c r="C2594" t="s">
        <v>25586</v>
      </c>
      <c r="D2594" t="s">
        <v>25587</v>
      </c>
      <c r="E2594" t="s">
        <v>39</v>
      </c>
      <c r="F2594" t="s">
        <v>55</v>
      </c>
      <c r="H2594">
        <v>838</v>
      </c>
      <c r="I2594">
        <v>1</v>
      </c>
      <c r="J2594">
        <v>1</v>
      </c>
      <c r="K2594" t="s">
        <v>25588</v>
      </c>
      <c r="L2594" t="s">
        <v>101</v>
      </c>
      <c r="M2594" t="s">
        <v>39</v>
      </c>
      <c r="N2594">
        <v>0.95679999999999998</v>
      </c>
      <c r="O2594" s="1">
        <v>1</v>
      </c>
      <c r="P2594" t="s">
        <v>25589</v>
      </c>
      <c r="Q2594" t="s">
        <v>25590</v>
      </c>
      <c r="S2594" t="s">
        <v>91</v>
      </c>
      <c r="T2594" t="s">
        <v>3379</v>
      </c>
      <c r="U2594" t="s">
        <v>25591</v>
      </c>
      <c r="V2594">
        <v>6</v>
      </c>
      <c r="Z2594" t="s">
        <v>107</v>
      </c>
      <c r="AA2594">
        <v>1</v>
      </c>
      <c r="AB2594" t="s">
        <v>25592</v>
      </c>
      <c r="AC2594">
        <v>388</v>
      </c>
      <c r="AD2594" t="s">
        <v>25593</v>
      </c>
      <c r="AE2594" t="s">
        <v>332</v>
      </c>
      <c r="AF2594" t="s">
        <v>25594</v>
      </c>
      <c r="AG2594" t="s">
        <v>25595</v>
      </c>
      <c r="AH2594" t="str">
        <f>HYPERLINK("http://compartments.jensenlab.org/Entity?figures=subcell_cell_%&amp;knowledge=10&amp;textmining=10&amp;experiments=10&amp;predictions=10&amp;type1=9606&amp;type2=-22&amp;id1=ENSP00000359270","link")</f>
        <v>link</v>
      </c>
      <c r="AK2594" t="str">
        <f>HYPERLINK("http://www.proteinatlas.org/Q9NTN9","HPA038362")</f>
        <v>HPA038362</v>
      </c>
      <c r="AM2594">
        <v>57715</v>
      </c>
    </row>
    <row r="2595" spans="1:39" x14ac:dyDescent="0.35">
      <c r="A2595" t="s">
        <v>25596</v>
      </c>
      <c r="B2595" t="str">
        <f>HYPERLINK("http://www.uniprot.org/uniprot/Q9NTQ9","Q9NTQ9")</f>
        <v>Q9NTQ9</v>
      </c>
      <c r="C2595" t="s">
        <v>25597</v>
      </c>
      <c r="D2595" t="s">
        <v>25598</v>
      </c>
      <c r="E2595" t="s">
        <v>39</v>
      </c>
      <c r="F2595" t="s">
        <v>55</v>
      </c>
      <c r="H2595">
        <v>266</v>
      </c>
      <c r="I2595">
        <v>4</v>
      </c>
      <c r="J2595">
        <v>0</v>
      </c>
      <c r="K2595" t="s">
        <v>25599</v>
      </c>
      <c r="L2595" t="s">
        <v>57</v>
      </c>
      <c r="M2595" t="s">
        <v>39</v>
      </c>
      <c r="N2595">
        <v>0.58789999999999998</v>
      </c>
      <c r="O2595" s="1">
        <v>2</v>
      </c>
      <c r="P2595" t="s">
        <v>25600</v>
      </c>
      <c r="Q2595" t="s">
        <v>25601</v>
      </c>
      <c r="S2595" t="s">
        <v>91</v>
      </c>
      <c r="T2595" t="s">
        <v>2797</v>
      </c>
      <c r="U2595" t="s">
        <v>25602</v>
      </c>
      <c r="V2595">
        <v>0</v>
      </c>
      <c r="AE2595" t="s">
        <v>2798</v>
      </c>
      <c r="AF2595" t="s">
        <v>25603</v>
      </c>
      <c r="AG2595" t="s">
        <v>25604</v>
      </c>
      <c r="AH2595" t="str">
        <f>HYPERLINK("http://compartments.jensenlab.org/Entity?figures=subcell_cell_%&amp;knowledge=10&amp;textmining=10&amp;experiments=10&amp;predictions=10&amp;type1=9606&amp;type2=-22&amp;id1=ENSP00000345868","link")</f>
        <v>link</v>
      </c>
      <c r="AI2595" t="s">
        <v>65</v>
      </c>
      <c r="AJ2595" t="s">
        <v>51</v>
      </c>
      <c r="AK2595" t="str">
        <f>HYPERLINK("http://www.proteinatlas.org/Q9NTQ9","no")</f>
        <v>no</v>
      </c>
      <c r="AM2595">
        <v>127534</v>
      </c>
    </row>
    <row r="2596" spans="1:39" x14ac:dyDescent="0.35">
      <c r="A2596" t="s">
        <v>25605</v>
      </c>
      <c r="B2596" t="str">
        <f>HYPERLINK("http://www.uniprot.org/uniprot/Q9NU53","Q9NU53")</f>
        <v>Q9NU53</v>
      </c>
      <c r="C2596" t="s">
        <v>25606</v>
      </c>
      <c r="D2596" t="s">
        <v>25607</v>
      </c>
      <c r="E2596" t="s">
        <v>39</v>
      </c>
      <c r="F2596" t="s">
        <v>40</v>
      </c>
      <c r="H2596">
        <v>330</v>
      </c>
      <c r="I2596">
        <v>1</v>
      </c>
      <c r="J2596">
        <v>1</v>
      </c>
      <c r="K2596" t="s">
        <v>25608</v>
      </c>
      <c r="L2596" t="s">
        <v>57</v>
      </c>
      <c r="N2596">
        <v>0.77449999999999997</v>
      </c>
      <c r="O2596" s="1">
        <v>1</v>
      </c>
      <c r="P2596" t="s">
        <v>25609</v>
      </c>
      <c r="Q2596" t="s">
        <v>25610</v>
      </c>
      <c r="S2596" t="s">
        <v>60</v>
      </c>
      <c r="T2596" t="s">
        <v>60</v>
      </c>
      <c r="U2596" t="s">
        <v>25611</v>
      </c>
      <c r="V2596">
        <v>4</v>
      </c>
      <c r="AE2596" t="s">
        <v>144</v>
      </c>
      <c r="AF2596" t="s">
        <v>409</v>
      </c>
      <c r="AG2596" t="s">
        <v>25612</v>
      </c>
      <c r="AH2596" t="str">
        <f>HYPERLINK("http://compartments.jensenlab.org/Entity?figures=subcell_cell_%&amp;knowledge=10&amp;textmining=10&amp;experiments=10&amp;predictions=10&amp;type1=9606&amp;type2=-22&amp;id1=ENSP00000356389","link")</f>
        <v>link</v>
      </c>
      <c r="AJ2596" t="s">
        <v>51</v>
      </c>
      <c r="AK2596" t="str">
        <f>HYPERLINK("http://www.proteinatlas.org/Q9NU53","HPA017210;HPA041679")</f>
        <v>HPA017210;HPA041679</v>
      </c>
      <c r="AM2596">
        <v>116254</v>
      </c>
    </row>
    <row r="2597" spans="1:39" x14ac:dyDescent="0.35">
      <c r="A2597" t="s">
        <v>25613</v>
      </c>
      <c r="B2597" t="str">
        <f>HYPERLINK("http://www.uniprot.org/uniprot/Q9NUM3","Q9NUM3")</f>
        <v>Q9NUM3</v>
      </c>
      <c r="C2597" t="s">
        <v>25614</v>
      </c>
      <c r="D2597" t="s">
        <v>25615</v>
      </c>
      <c r="E2597" t="s">
        <v>39</v>
      </c>
      <c r="F2597" t="s">
        <v>40</v>
      </c>
      <c r="H2597">
        <v>307</v>
      </c>
      <c r="I2597">
        <v>8</v>
      </c>
      <c r="J2597">
        <v>0</v>
      </c>
      <c r="K2597" t="s">
        <v>25616</v>
      </c>
      <c r="L2597" t="s">
        <v>42</v>
      </c>
      <c r="N2597">
        <v>0.66469999999999996</v>
      </c>
      <c r="O2597" s="1">
        <v>2</v>
      </c>
      <c r="P2597" t="s">
        <v>25617</v>
      </c>
      <c r="Q2597" t="s">
        <v>25618</v>
      </c>
      <c r="S2597" t="s">
        <v>45</v>
      </c>
      <c r="T2597" t="s">
        <v>12712</v>
      </c>
      <c r="U2597" t="s">
        <v>25619</v>
      </c>
      <c r="V2597">
        <v>1</v>
      </c>
      <c r="AE2597" t="s">
        <v>48</v>
      </c>
      <c r="AF2597" t="s">
        <v>23748</v>
      </c>
      <c r="AG2597" t="s">
        <v>25620</v>
      </c>
      <c r="AH2597" t="str">
        <f>HYPERLINK("http://compartments.jensenlab.org/Entity?figures=subcell_cell_%&amp;knowledge=10&amp;textmining=10&amp;experiments=10&amp;predictions=10&amp;type1=9606&amp;type2=-22&amp;id1=ENSP00000336887","link")</f>
        <v>link</v>
      </c>
      <c r="AK2597" t="str">
        <f>HYPERLINK("http://www.proteinatlas.org/Q9NUM3","HPA007921")</f>
        <v>HPA007921</v>
      </c>
      <c r="AM2597">
        <v>55334</v>
      </c>
    </row>
    <row r="2598" spans="1:39" x14ac:dyDescent="0.35">
      <c r="A2598" t="s">
        <v>25621</v>
      </c>
      <c r="B2598" t="str">
        <f>HYPERLINK("http://www.uniprot.org/uniprot/Q9NUM4","Q9NUM4")</f>
        <v>Q9NUM4</v>
      </c>
      <c r="C2598" t="s">
        <v>25622</v>
      </c>
      <c r="D2598" t="s">
        <v>25623</v>
      </c>
      <c r="E2598" t="s">
        <v>39</v>
      </c>
      <c r="F2598" t="s">
        <v>40</v>
      </c>
      <c r="H2598">
        <v>274</v>
      </c>
      <c r="I2598">
        <v>1</v>
      </c>
      <c r="J2598">
        <v>0</v>
      </c>
      <c r="K2598" t="s">
        <v>25624</v>
      </c>
      <c r="L2598" t="s">
        <v>101</v>
      </c>
      <c r="N2598">
        <v>0.58679999999999999</v>
      </c>
      <c r="O2598" s="1">
        <v>2</v>
      </c>
      <c r="P2598" t="s">
        <v>25625</v>
      </c>
      <c r="Q2598" t="s">
        <v>25626</v>
      </c>
      <c r="S2598" t="s">
        <v>60</v>
      </c>
      <c r="T2598" t="s">
        <v>60</v>
      </c>
      <c r="U2598" t="s">
        <v>25627</v>
      </c>
      <c r="V2598">
        <v>5</v>
      </c>
      <c r="Z2598" t="s">
        <v>123</v>
      </c>
      <c r="AA2598">
        <v>3</v>
      </c>
      <c r="AB2598" t="s">
        <v>25628</v>
      </c>
      <c r="AC2598" t="s">
        <v>25629</v>
      </c>
      <c r="AD2598" t="s">
        <v>25630</v>
      </c>
      <c r="AE2598" t="s">
        <v>25631</v>
      </c>
      <c r="AF2598" t="s">
        <v>25632</v>
      </c>
      <c r="AG2598" t="s">
        <v>25633</v>
      </c>
      <c r="AH2598" t="str">
        <f>HYPERLINK("http://compartments.jensenlab.org/Entity?figures=subcell_cell_%&amp;knowledge=10&amp;textmining=10&amp;experiments=10&amp;predictions=10&amp;type1=9606&amp;type2=-22&amp;id1=ENSP00000379901","link")</f>
        <v>link</v>
      </c>
      <c r="AK2598" t="str">
        <f>HYPERLINK("http://www.proteinatlas.org/Q9NUM4","HPA058342")</f>
        <v>HPA058342</v>
      </c>
      <c r="AM2598">
        <v>54664</v>
      </c>
    </row>
    <row r="2599" spans="1:39" x14ac:dyDescent="0.35">
      <c r="A2599" t="s">
        <v>25634</v>
      </c>
      <c r="B2599" t="str">
        <f>HYPERLINK("http://www.uniprot.org/uniprot/Q9NUN5","Q9NUN5")</f>
        <v>Q9NUN5</v>
      </c>
      <c r="C2599" t="s">
        <v>25635</v>
      </c>
      <c r="D2599" t="s">
        <v>25636</v>
      </c>
      <c r="E2599" t="s">
        <v>39</v>
      </c>
      <c r="F2599" t="s">
        <v>40</v>
      </c>
      <c r="H2599">
        <v>540</v>
      </c>
      <c r="I2599">
        <v>9</v>
      </c>
      <c r="J2599">
        <v>0</v>
      </c>
      <c r="K2599" t="s">
        <v>25637</v>
      </c>
      <c r="L2599" t="s">
        <v>101</v>
      </c>
      <c r="N2599">
        <v>0.83430000000000004</v>
      </c>
      <c r="O2599" s="1">
        <v>1</v>
      </c>
      <c r="P2599" t="s">
        <v>25638</v>
      </c>
      <c r="Q2599" t="s">
        <v>25639</v>
      </c>
      <c r="S2599" t="s">
        <v>60</v>
      </c>
      <c r="T2599" t="s">
        <v>60</v>
      </c>
      <c r="U2599" t="s">
        <v>25640</v>
      </c>
      <c r="V2599">
        <v>6</v>
      </c>
      <c r="Y2599">
        <v>391</v>
      </c>
      <c r="Z2599" t="s">
        <v>123</v>
      </c>
      <c r="AA2599">
        <v>4</v>
      </c>
      <c r="AB2599" t="s">
        <v>25641</v>
      </c>
      <c r="AC2599" t="s">
        <v>25642</v>
      </c>
      <c r="AD2599" t="s">
        <v>25643</v>
      </c>
      <c r="AE2599" t="s">
        <v>2218</v>
      </c>
      <c r="AF2599" t="s">
        <v>25644</v>
      </c>
      <c r="AG2599" t="s">
        <v>25645</v>
      </c>
      <c r="AH2599" t="str">
        <f>HYPERLINK("http://compartments.jensenlab.org/Entity?figures=subcell_cell_%&amp;knowledge=10&amp;textmining=10&amp;experiments=10&amp;predictions=10&amp;type1=9606&amp;type2=-22&amp;id1=ENSP00000359609","link")</f>
        <v>link</v>
      </c>
      <c r="AI2599" t="s">
        <v>1487</v>
      </c>
      <c r="AJ2599" t="s">
        <v>1488</v>
      </c>
      <c r="AK2599" t="str">
        <f>HYPERLINK("http://www.proteinatlas.org/Q9NUN5","HPA019547")</f>
        <v>HPA019547</v>
      </c>
      <c r="AM2599">
        <v>55788</v>
      </c>
    </row>
    <row r="2600" spans="1:39" x14ac:dyDescent="0.35">
      <c r="A2600" t="s">
        <v>25646</v>
      </c>
      <c r="B2600" t="str">
        <f>HYPERLINK("http://www.uniprot.org/uniprot/Q9NV12","Q9NV12")</f>
        <v>Q9NV12</v>
      </c>
      <c r="C2600" t="s">
        <v>25647</v>
      </c>
      <c r="D2600" t="s">
        <v>25648</v>
      </c>
      <c r="E2600" t="s">
        <v>39</v>
      </c>
      <c r="F2600" t="s">
        <v>40</v>
      </c>
      <c r="H2600">
        <v>185</v>
      </c>
      <c r="I2600">
        <v>4</v>
      </c>
      <c r="J2600">
        <v>0</v>
      </c>
      <c r="K2600" t="s">
        <v>25649</v>
      </c>
      <c r="L2600" t="s">
        <v>57</v>
      </c>
      <c r="N2600">
        <v>0.63670000000000004</v>
      </c>
      <c r="O2600" s="1">
        <v>2</v>
      </c>
      <c r="P2600" t="s">
        <v>25650</v>
      </c>
      <c r="Q2600" t="s">
        <v>25651</v>
      </c>
      <c r="S2600" t="s">
        <v>60</v>
      </c>
      <c r="T2600" t="s">
        <v>60</v>
      </c>
      <c r="U2600">
        <v>38</v>
      </c>
      <c r="V2600">
        <v>1</v>
      </c>
      <c r="AE2600" t="s">
        <v>48</v>
      </c>
      <c r="AF2600" t="s">
        <v>83</v>
      </c>
      <c r="AG2600" t="s">
        <v>25652</v>
      </c>
      <c r="AH2600" t="str">
        <f>HYPERLINK("http://compartments.jensenlab.org/Entity?figures=subcell_cell_%&amp;knowledge=10&amp;textmining=10&amp;experiments=10&amp;predictions=10&amp;type1=9606&amp;type2=-22&amp;id1=ENSP00000275767","link")</f>
        <v>link</v>
      </c>
      <c r="AJ2600" t="s">
        <v>51</v>
      </c>
      <c r="AK2600" t="str">
        <f>HYPERLINK("http://www.proteinatlas.org/Q9NV12","HPA016871")</f>
        <v>HPA016871</v>
      </c>
      <c r="AM2600">
        <v>55281</v>
      </c>
    </row>
    <row r="2601" spans="1:39" x14ac:dyDescent="0.35">
      <c r="A2601" t="s">
        <v>25653</v>
      </c>
      <c r="B2601" t="str">
        <f>HYPERLINK("http://www.uniprot.org/uniprot/Q9NV96","Q9NV96")</f>
        <v>Q9NV96</v>
      </c>
      <c r="C2601" t="s">
        <v>25654</v>
      </c>
      <c r="D2601" t="s">
        <v>25655</v>
      </c>
      <c r="E2601" t="s">
        <v>39</v>
      </c>
      <c r="F2601" t="s">
        <v>40</v>
      </c>
      <c r="H2601">
        <v>361</v>
      </c>
      <c r="I2601">
        <v>2</v>
      </c>
      <c r="J2601">
        <v>0</v>
      </c>
      <c r="K2601" t="s">
        <v>25656</v>
      </c>
      <c r="L2601" t="s">
        <v>101</v>
      </c>
      <c r="N2601">
        <v>0.66469999999999996</v>
      </c>
      <c r="O2601" s="1">
        <v>2</v>
      </c>
      <c r="P2601" t="s">
        <v>25657</v>
      </c>
      <c r="Q2601" t="s">
        <v>25658</v>
      </c>
      <c r="S2601" t="s">
        <v>91</v>
      </c>
      <c r="T2601" t="s">
        <v>92</v>
      </c>
      <c r="U2601" t="s">
        <v>25659</v>
      </c>
      <c r="V2601">
        <v>4</v>
      </c>
      <c r="Z2601" t="s">
        <v>123</v>
      </c>
      <c r="AA2601">
        <v>7</v>
      </c>
      <c r="AB2601" t="s">
        <v>25660</v>
      </c>
      <c r="AC2601" t="s">
        <v>25661</v>
      </c>
      <c r="AD2601" t="s">
        <v>25662</v>
      </c>
      <c r="AE2601" t="s">
        <v>25663</v>
      </c>
      <c r="AF2601" t="s">
        <v>25664</v>
      </c>
      <c r="AG2601" t="s">
        <v>25665</v>
      </c>
      <c r="AH2601" t="str">
        <f>HYPERLINK("http://compartments.jensenlab.org/Entity?figures=subcell_cell_%&amp;knowledge=10&amp;textmining=10&amp;experiments=10&amp;predictions=10&amp;type1=9606&amp;type2=-22&amp;id1=ENSP00000230461","link")</f>
        <v>link</v>
      </c>
      <c r="AK2601" t="str">
        <f>HYPERLINK("http://www.proteinatlas.org/Q9NV96","HPA014561")</f>
        <v>HPA014561</v>
      </c>
      <c r="AM2601">
        <v>55754</v>
      </c>
    </row>
    <row r="2602" spans="1:39" x14ac:dyDescent="0.35">
      <c r="A2602" t="s">
        <v>25666</v>
      </c>
      <c r="B2602" t="str">
        <f>HYPERLINK("http://www.uniprot.org/uniprot/Q9NWF4","Q9NWF4")</f>
        <v>Q9NWF4</v>
      </c>
      <c r="C2602" t="s">
        <v>25667</v>
      </c>
      <c r="D2602" t="s">
        <v>25668</v>
      </c>
      <c r="E2602" t="s">
        <v>39</v>
      </c>
      <c r="F2602" t="s">
        <v>55</v>
      </c>
      <c r="H2602">
        <v>448</v>
      </c>
      <c r="I2602">
        <v>10</v>
      </c>
      <c r="J2602">
        <v>1</v>
      </c>
      <c r="K2602" t="s">
        <v>25669</v>
      </c>
      <c r="L2602" t="s">
        <v>42</v>
      </c>
      <c r="M2602" t="s">
        <v>39</v>
      </c>
      <c r="N2602">
        <v>0.75680000000000003</v>
      </c>
      <c r="O2602" s="1">
        <v>1</v>
      </c>
      <c r="P2602" t="s">
        <v>25670</v>
      </c>
      <c r="Q2602" t="s">
        <v>25671</v>
      </c>
      <c r="S2602" t="s">
        <v>166</v>
      </c>
      <c r="T2602" t="s">
        <v>10476</v>
      </c>
      <c r="U2602" t="s">
        <v>24627</v>
      </c>
      <c r="V2602">
        <v>1</v>
      </c>
      <c r="W2602" t="s">
        <v>24627</v>
      </c>
      <c r="AE2602" t="s">
        <v>74</v>
      </c>
      <c r="AF2602" t="s">
        <v>25672</v>
      </c>
      <c r="AG2602" t="s">
        <v>25673</v>
      </c>
      <c r="AH2602" t="str">
        <f>HYPERLINK("http://compartments.jensenlab.org/Entity?figures=subcell_cell_%&amp;knowledge=10&amp;textmining=10&amp;experiments=10&amp;predictions=10&amp;type1=9606&amp;type2=-22&amp;id1=ENSP00000254853","link")</f>
        <v>link</v>
      </c>
      <c r="AI2602" t="s">
        <v>65</v>
      </c>
      <c r="AJ2602" t="s">
        <v>51</v>
      </c>
      <c r="AK2602" t="str">
        <f>HYPERLINK("http://www.proteinatlas.org/Q9NWF4","CAB011449")</f>
        <v>CAB011449</v>
      </c>
      <c r="AM2602">
        <v>55065</v>
      </c>
    </row>
    <row r="2603" spans="1:39" x14ac:dyDescent="0.35">
      <c r="A2603" t="s">
        <v>25674</v>
      </c>
      <c r="B2603" t="str">
        <f>HYPERLINK("http://www.uniprot.org/uniprot/Q9NX52","Q9NX52")</f>
        <v>Q9NX52</v>
      </c>
      <c r="C2603" t="s">
        <v>25675</v>
      </c>
      <c r="D2603" t="s">
        <v>25676</v>
      </c>
      <c r="E2603" t="s">
        <v>39</v>
      </c>
      <c r="F2603" t="s">
        <v>55</v>
      </c>
      <c r="H2603">
        <v>303</v>
      </c>
      <c r="I2603">
        <v>7</v>
      </c>
      <c r="J2603">
        <v>0</v>
      </c>
      <c r="K2603" t="s">
        <v>25677</v>
      </c>
      <c r="L2603" t="s">
        <v>42</v>
      </c>
      <c r="M2603" t="s">
        <v>39</v>
      </c>
      <c r="N2603">
        <v>0.3085</v>
      </c>
      <c r="O2603" s="1"/>
      <c r="P2603" t="s">
        <v>25678</v>
      </c>
      <c r="Q2603" t="s">
        <v>25679</v>
      </c>
      <c r="S2603" t="s">
        <v>947</v>
      </c>
      <c r="T2603" t="s">
        <v>4787</v>
      </c>
      <c r="V2603">
        <v>0</v>
      </c>
      <c r="AE2603" t="s">
        <v>74</v>
      </c>
      <c r="AF2603" t="s">
        <v>25680</v>
      </c>
      <c r="AG2603" t="s">
        <v>25681</v>
      </c>
      <c r="AH2603" t="str">
        <f>HYPERLINK("http://compartments.jensenlab.org/Entity?figures=subcell_cell_%&amp;knowledge=10&amp;textmining=10&amp;experiments=10&amp;predictions=10&amp;type1=9606&amp;type2=-22&amp;id1=ENSP00000289248","link")</f>
        <v>link</v>
      </c>
      <c r="AI2603" t="s">
        <v>65</v>
      </c>
      <c r="AJ2603" t="s">
        <v>51</v>
      </c>
      <c r="AK2603" t="str">
        <f>HYPERLINK("http://www.proteinatlas.org/Q9NX52","HPA043807")</f>
        <v>HPA043807</v>
      </c>
      <c r="AM2603">
        <v>54933</v>
      </c>
    </row>
    <row r="2604" spans="1:39" x14ac:dyDescent="0.35">
      <c r="A2604" t="s">
        <v>25682</v>
      </c>
      <c r="B2604" t="str">
        <f>HYPERLINK("http://www.uniprot.org/uniprot/Q9NX61","Q9NX61")</f>
        <v>Q9NX61</v>
      </c>
      <c r="C2604" t="s">
        <v>25683</v>
      </c>
      <c r="D2604" t="s">
        <v>25684</v>
      </c>
      <c r="E2604" t="s">
        <v>39</v>
      </c>
      <c r="F2604" t="s">
        <v>40</v>
      </c>
      <c r="H2604">
        <v>479</v>
      </c>
      <c r="I2604">
        <v>8</v>
      </c>
      <c r="J2604">
        <v>1</v>
      </c>
      <c r="K2604" t="s">
        <v>25685</v>
      </c>
      <c r="L2604" t="s">
        <v>57</v>
      </c>
      <c r="N2604">
        <v>0.58479999999999999</v>
      </c>
      <c r="O2604" s="1">
        <v>2</v>
      </c>
      <c r="P2604" t="s">
        <v>25686</v>
      </c>
      <c r="Q2604" t="s">
        <v>25687</v>
      </c>
      <c r="S2604" t="s">
        <v>60</v>
      </c>
      <c r="T2604" t="s">
        <v>60</v>
      </c>
      <c r="U2604" t="s">
        <v>25688</v>
      </c>
      <c r="V2604">
        <v>1</v>
      </c>
      <c r="X2604" t="s">
        <v>25689</v>
      </c>
      <c r="AE2604" t="s">
        <v>48</v>
      </c>
      <c r="AF2604" t="s">
        <v>13398</v>
      </c>
      <c r="AG2604" t="s">
        <v>25690</v>
      </c>
      <c r="AH2604" t="str">
        <f>HYPERLINK("http://compartments.jensenlab.org/Entity?figures=subcell_cell_%&amp;knowledge=10&amp;textmining=10&amp;experiments=10&amp;predictions=10&amp;type1=9606&amp;type2=-22&amp;id1=ENSP00000162044","link")</f>
        <v>link</v>
      </c>
      <c r="AJ2604" t="s">
        <v>51</v>
      </c>
      <c r="AK2604" t="str">
        <f>HYPERLINK("http://www.proteinatlas.org/Q9NX61","HPA043365")</f>
        <v>HPA043365</v>
      </c>
      <c r="AM2604">
        <v>54929</v>
      </c>
    </row>
    <row r="2605" spans="1:39" x14ac:dyDescent="0.35">
      <c r="A2605" t="s">
        <v>25691</v>
      </c>
      <c r="B2605" t="str">
        <f>HYPERLINK("http://www.uniprot.org/uniprot/Q9NX77","Q9NX77")</f>
        <v>Q9NX77</v>
      </c>
      <c r="C2605" t="s">
        <v>25692</v>
      </c>
      <c r="D2605" t="s">
        <v>25693</v>
      </c>
      <c r="E2605" t="s">
        <v>39</v>
      </c>
      <c r="F2605" t="s">
        <v>40</v>
      </c>
      <c r="H2605">
        <v>482</v>
      </c>
      <c r="I2605">
        <v>2</v>
      </c>
      <c r="J2605">
        <v>0</v>
      </c>
      <c r="K2605" t="s">
        <v>25694</v>
      </c>
      <c r="L2605" t="s">
        <v>42</v>
      </c>
      <c r="N2605">
        <v>0.59279999999999999</v>
      </c>
      <c r="O2605" s="1">
        <v>2</v>
      </c>
      <c r="S2605" t="s">
        <v>91</v>
      </c>
      <c r="T2605" t="s">
        <v>1672</v>
      </c>
      <c r="U2605" t="s">
        <v>25695</v>
      </c>
      <c r="V2605">
        <v>4</v>
      </c>
      <c r="AE2605" t="s">
        <v>11232</v>
      </c>
      <c r="AF2605" t="s">
        <v>11299</v>
      </c>
      <c r="AG2605" t="s">
        <v>25696</v>
      </c>
      <c r="AK2605" t="str">
        <f>HYPERLINK("http://www.proteinatlas.org/Q9NX77","no")</f>
        <v>no</v>
      </c>
    </row>
    <row r="2606" spans="1:39" x14ac:dyDescent="0.35">
      <c r="A2606" t="s">
        <v>25697</v>
      </c>
      <c r="B2606" t="str">
        <f>HYPERLINK("http://www.uniprot.org/uniprot/Q9NXL6","Q9NXL6")</f>
        <v>Q9NXL6</v>
      </c>
      <c r="C2606" t="s">
        <v>25698</v>
      </c>
      <c r="D2606" t="s">
        <v>25699</v>
      </c>
      <c r="E2606" t="s">
        <v>39</v>
      </c>
      <c r="F2606" t="s">
        <v>40</v>
      </c>
      <c r="H2606">
        <v>827</v>
      </c>
      <c r="I2606">
        <v>11</v>
      </c>
      <c r="J2606">
        <v>1</v>
      </c>
      <c r="K2606" t="s">
        <v>25700</v>
      </c>
      <c r="L2606" t="s">
        <v>57</v>
      </c>
      <c r="N2606">
        <v>0.83830000000000005</v>
      </c>
      <c r="O2606" s="1">
        <v>1</v>
      </c>
      <c r="P2606" t="s">
        <v>25701</v>
      </c>
      <c r="Q2606" t="s">
        <v>25702</v>
      </c>
      <c r="S2606" t="s">
        <v>60</v>
      </c>
      <c r="T2606" t="s">
        <v>60</v>
      </c>
      <c r="U2606" t="s">
        <v>25703</v>
      </c>
      <c r="V2606">
        <v>8</v>
      </c>
      <c r="AE2606" t="s">
        <v>48</v>
      </c>
      <c r="AF2606" t="s">
        <v>13398</v>
      </c>
      <c r="AG2606" t="s">
        <v>25704</v>
      </c>
      <c r="AH2606" t="str">
        <f>HYPERLINK("http://compartments.jensenlab.org/Entity?figures=subcell_cell_%&amp;knowledge=10&amp;textmining=10&amp;experiments=10&amp;predictions=10&amp;type1=9606&amp;type2=-22&amp;id1=ENSP00000264852","link")</f>
        <v>link</v>
      </c>
      <c r="AJ2606" t="s">
        <v>51</v>
      </c>
      <c r="AK2606" t="str">
        <f>HYPERLINK("http://www.proteinatlas.org/Q9NXL6","HPA035862")</f>
        <v>HPA035862</v>
      </c>
      <c r="AM2606">
        <v>54847</v>
      </c>
    </row>
    <row r="2607" spans="1:39" x14ac:dyDescent="0.35">
      <c r="A2607" t="s">
        <v>25705</v>
      </c>
      <c r="B2607" t="str">
        <f>HYPERLINK("http://www.uniprot.org/uniprot/Q9NY15","Q9NY15")</f>
        <v>Q9NY15</v>
      </c>
      <c r="C2607" t="s">
        <v>25706</v>
      </c>
      <c r="D2607" t="s">
        <v>25707</v>
      </c>
      <c r="E2607" t="s">
        <v>39</v>
      </c>
      <c r="F2607" t="s">
        <v>40</v>
      </c>
      <c r="H2607">
        <v>2570</v>
      </c>
      <c r="I2607">
        <v>1</v>
      </c>
      <c r="J2607">
        <v>1</v>
      </c>
      <c r="K2607" t="s">
        <v>25708</v>
      </c>
      <c r="L2607" t="s">
        <v>101</v>
      </c>
      <c r="N2607">
        <v>0.92420000000000002</v>
      </c>
      <c r="O2607" s="1">
        <v>1</v>
      </c>
      <c r="S2607" t="s">
        <v>166</v>
      </c>
      <c r="T2607" t="s">
        <v>21072</v>
      </c>
      <c r="U2607" t="s">
        <v>25709</v>
      </c>
      <c r="V2607">
        <v>29</v>
      </c>
      <c r="W2607" t="s">
        <v>25710</v>
      </c>
      <c r="Z2607" t="s">
        <v>107</v>
      </c>
      <c r="AA2607">
        <v>1</v>
      </c>
      <c r="AB2607" t="s">
        <v>25711</v>
      </c>
      <c r="AC2607">
        <v>1178</v>
      </c>
      <c r="AD2607" t="s">
        <v>25712</v>
      </c>
      <c r="AE2607" t="s">
        <v>144</v>
      </c>
      <c r="AF2607" t="s">
        <v>25713</v>
      </c>
      <c r="AG2607" t="s">
        <v>25714</v>
      </c>
      <c r="AK2607" t="str">
        <f>HYPERLINK("http://www.proteinatlas.org/Q9NY15","no")</f>
        <v>no</v>
      </c>
      <c r="AM2607">
        <v>23166</v>
      </c>
    </row>
    <row r="2608" spans="1:39" x14ac:dyDescent="0.35">
      <c r="A2608" t="s">
        <v>25715</v>
      </c>
      <c r="B2608" t="str">
        <f>HYPERLINK("http://www.uniprot.org/uniprot/Q9NY25","Q9NY25")</f>
        <v>Q9NY25</v>
      </c>
      <c r="C2608" t="s">
        <v>25716</v>
      </c>
      <c r="D2608" t="s">
        <v>25717</v>
      </c>
      <c r="E2608" t="s">
        <v>39</v>
      </c>
      <c r="F2608" t="s">
        <v>55</v>
      </c>
      <c r="H2608">
        <v>188</v>
      </c>
      <c r="I2608">
        <v>1</v>
      </c>
      <c r="J2608">
        <v>0</v>
      </c>
      <c r="K2608" t="s">
        <v>25718</v>
      </c>
      <c r="L2608" t="s">
        <v>101</v>
      </c>
      <c r="M2608" t="s">
        <v>39</v>
      </c>
      <c r="N2608">
        <v>0.55689999999999995</v>
      </c>
      <c r="O2608" s="1">
        <v>3</v>
      </c>
      <c r="P2608" t="s">
        <v>25719</v>
      </c>
      <c r="Q2608" t="s">
        <v>25720</v>
      </c>
      <c r="S2608" t="s">
        <v>166</v>
      </c>
      <c r="T2608" t="s">
        <v>4251</v>
      </c>
      <c r="U2608" t="s">
        <v>25721</v>
      </c>
      <c r="V2608">
        <v>4</v>
      </c>
      <c r="W2608" t="s">
        <v>25721</v>
      </c>
      <c r="X2608" t="s">
        <v>25722</v>
      </c>
      <c r="Z2608" t="s">
        <v>107</v>
      </c>
      <c r="AA2608">
        <v>1</v>
      </c>
      <c r="AB2608" t="s">
        <v>25723</v>
      </c>
      <c r="AC2608">
        <v>93</v>
      </c>
      <c r="AD2608" t="s">
        <v>25724</v>
      </c>
      <c r="AE2608" t="s">
        <v>764</v>
      </c>
      <c r="AF2608" t="s">
        <v>25725</v>
      </c>
      <c r="AG2608" t="s">
        <v>25726</v>
      </c>
      <c r="AH2608" t="str">
        <f>HYPERLINK("http://compartments.jensenlab.org/Entity?figures=subcell_cell_%&amp;knowledge=10&amp;textmining=10&amp;experiments=10&amp;predictions=10&amp;type1=9606&amp;type2=-22&amp;id1=ENSP00000449999","link")</f>
        <v>link</v>
      </c>
      <c r="AK2608" t="str">
        <f>HYPERLINK("http://www.proteinatlas.org/Q9NY25","no")</f>
        <v>no</v>
      </c>
      <c r="AM2608">
        <v>23601</v>
      </c>
    </row>
    <row r="2609" spans="1:39" x14ac:dyDescent="0.35">
      <c r="A2609" t="s">
        <v>25727</v>
      </c>
      <c r="B2609" t="str">
        <f>HYPERLINK("http://www.uniprot.org/uniprot/Q9NY35","Q9NY35")</f>
        <v>Q9NY35</v>
      </c>
      <c r="C2609" t="s">
        <v>25728</v>
      </c>
      <c r="D2609" t="s">
        <v>25729</v>
      </c>
      <c r="E2609" t="s">
        <v>39</v>
      </c>
      <c r="F2609" t="s">
        <v>40</v>
      </c>
      <c r="H2609">
        <v>253</v>
      </c>
      <c r="I2609">
        <v>3</v>
      </c>
      <c r="J2609">
        <v>1</v>
      </c>
      <c r="K2609" t="s">
        <v>25730</v>
      </c>
      <c r="L2609" t="s">
        <v>1592</v>
      </c>
      <c r="N2609">
        <v>0.83030000000000004</v>
      </c>
      <c r="O2609" s="1">
        <v>1</v>
      </c>
      <c r="P2609" t="s">
        <v>25731</v>
      </c>
      <c r="Q2609" t="s">
        <v>25732</v>
      </c>
      <c r="S2609" t="s">
        <v>60</v>
      </c>
      <c r="T2609" t="s">
        <v>60</v>
      </c>
      <c r="U2609" t="s">
        <v>25733</v>
      </c>
      <c r="V2609">
        <v>4</v>
      </c>
      <c r="Z2609" t="s">
        <v>123</v>
      </c>
      <c r="AA2609">
        <v>8</v>
      </c>
      <c r="AB2609" t="s">
        <v>25734</v>
      </c>
      <c r="AC2609" t="s">
        <v>25735</v>
      </c>
      <c r="AD2609" t="s">
        <v>25736</v>
      </c>
      <c r="AE2609" t="s">
        <v>48</v>
      </c>
      <c r="AF2609" t="s">
        <v>2332</v>
      </c>
      <c r="AG2609" t="s">
        <v>25737</v>
      </c>
      <c r="AH2609" t="str">
        <f>HYPERLINK("http://compartments.jensenlab.org/Entity?figures=subcell_cell_%&amp;knowledge=10&amp;textmining=10&amp;experiments=10&amp;predictions=10&amp;type1=9606&amp;type2=-22&amp;id1=ENSP00000340247","link")</f>
        <v>link</v>
      </c>
      <c r="AK2609" t="str">
        <f>HYPERLINK("http://www.proteinatlas.org/Q9NY35","HPA029841;HPA029842")</f>
        <v>HPA029841;HPA029842</v>
      </c>
      <c r="AM2609">
        <v>56650</v>
      </c>
    </row>
    <row r="2610" spans="1:39" x14ac:dyDescent="0.35">
      <c r="A2610" t="s">
        <v>25738</v>
      </c>
      <c r="B2610" t="str">
        <f>HYPERLINK("http://www.uniprot.org/uniprot/Q9NY37","Q9NY37")</f>
        <v>Q9NY37</v>
      </c>
      <c r="C2610" t="s">
        <v>25739</v>
      </c>
      <c r="D2610" t="s">
        <v>25740</v>
      </c>
      <c r="E2610" t="s">
        <v>39</v>
      </c>
      <c r="F2610" t="s">
        <v>40</v>
      </c>
      <c r="H2610">
        <v>505</v>
      </c>
      <c r="I2610">
        <v>2</v>
      </c>
      <c r="J2610">
        <v>0</v>
      </c>
      <c r="K2610" t="s">
        <v>25741</v>
      </c>
      <c r="L2610" t="s">
        <v>57</v>
      </c>
      <c r="N2610">
        <v>0.6986</v>
      </c>
      <c r="O2610" s="1">
        <v>2</v>
      </c>
      <c r="P2610" t="s">
        <v>25742</v>
      </c>
      <c r="Q2610" t="s">
        <v>25743</v>
      </c>
      <c r="S2610" t="s">
        <v>60</v>
      </c>
      <c r="T2610" t="s">
        <v>60</v>
      </c>
      <c r="U2610" t="s">
        <v>25744</v>
      </c>
      <c r="V2610">
        <v>8</v>
      </c>
      <c r="AE2610" t="s">
        <v>74</v>
      </c>
      <c r="AF2610" t="s">
        <v>25745</v>
      </c>
      <c r="AG2610" t="s">
        <v>25746</v>
      </c>
      <c r="AH2610" t="str">
        <f>HYPERLINK("http://compartments.jensenlab.org/Entity?figures=subcell_cell_%&amp;knowledge=10&amp;textmining=10&amp;experiments=10&amp;predictions=10&amp;type1=9606&amp;type2=-22&amp;id1=ENSP00000442477","link")</f>
        <v>link</v>
      </c>
      <c r="AK2610" t="str">
        <f>HYPERLINK("http://www.proteinatlas.org/Q9NY37","HPA014903;HPA029444")</f>
        <v>HPA014903;HPA029444</v>
      </c>
      <c r="AM2610">
        <v>51802</v>
      </c>
    </row>
    <row r="2611" spans="1:39" x14ac:dyDescent="0.35">
      <c r="A2611" t="s">
        <v>25747</v>
      </c>
      <c r="B2611" t="str">
        <f>HYPERLINK("http://www.uniprot.org/uniprot/Q9NY46","Q9NY46")</f>
        <v>Q9NY46</v>
      </c>
      <c r="C2611" t="s">
        <v>25748</v>
      </c>
      <c r="D2611" t="s">
        <v>25749</v>
      </c>
      <c r="E2611" t="s">
        <v>39</v>
      </c>
      <c r="F2611" t="s">
        <v>40</v>
      </c>
      <c r="H2611">
        <v>2000</v>
      </c>
      <c r="I2611">
        <v>24</v>
      </c>
      <c r="J2611">
        <v>0</v>
      </c>
      <c r="K2611" t="s">
        <v>25750</v>
      </c>
      <c r="L2611" t="s">
        <v>57</v>
      </c>
      <c r="N2611">
        <v>0.7046</v>
      </c>
      <c r="O2611" s="1">
        <v>2</v>
      </c>
      <c r="P2611" t="s">
        <v>25751</v>
      </c>
      <c r="Q2611" t="s">
        <v>25752</v>
      </c>
      <c r="S2611" t="s">
        <v>45</v>
      </c>
      <c r="T2611" t="s">
        <v>8727</v>
      </c>
      <c r="U2611" t="s">
        <v>25753</v>
      </c>
      <c r="V2611">
        <v>8</v>
      </c>
      <c r="AE2611" t="s">
        <v>48</v>
      </c>
      <c r="AF2611" t="s">
        <v>25754</v>
      </c>
      <c r="AG2611" t="s">
        <v>25755</v>
      </c>
      <c r="AH2611" t="str">
        <f>HYPERLINK("http://compartments.jensenlab.org/Entity?figures=subcell_cell_%&amp;knowledge=10&amp;textmining=10&amp;experiments=10&amp;predictions=10&amp;type1=9606&amp;type2=-22&amp;id1=ENSP00000353206","link")</f>
        <v>link</v>
      </c>
      <c r="AK2611" t="str">
        <f>HYPERLINK("http://www.proteinatlas.org/Q9NY46","HPA035396;HPA035397")</f>
        <v>HPA035396;HPA035397</v>
      </c>
      <c r="AL2611" t="s">
        <v>25756</v>
      </c>
      <c r="AM2611">
        <v>6328</v>
      </c>
    </row>
    <row r="2612" spans="1:39" x14ac:dyDescent="0.35">
      <c r="A2612" t="s">
        <v>25757</v>
      </c>
      <c r="B2612" t="str">
        <f>HYPERLINK("http://www.uniprot.org/uniprot/Q9NY64","Q9NY64")</f>
        <v>Q9NY64</v>
      </c>
      <c r="C2612" t="s">
        <v>25758</v>
      </c>
      <c r="D2612" t="s">
        <v>25759</v>
      </c>
      <c r="E2612" t="s">
        <v>39</v>
      </c>
      <c r="F2612" t="s">
        <v>40</v>
      </c>
      <c r="H2612">
        <v>477</v>
      </c>
      <c r="I2612">
        <v>12</v>
      </c>
      <c r="J2612">
        <v>0</v>
      </c>
      <c r="K2612" t="s">
        <v>25760</v>
      </c>
      <c r="L2612" t="s">
        <v>57</v>
      </c>
      <c r="N2612">
        <v>0.68659999999999999</v>
      </c>
      <c r="O2612" s="1">
        <v>2</v>
      </c>
      <c r="P2612" t="s">
        <v>25761</v>
      </c>
      <c r="Q2612" t="s">
        <v>25762</v>
      </c>
      <c r="S2612" t="s">
        <v>45</v>
      </c>
      <c r="T2612" t="s">
        <v>3338</v>
      </c>
      <c r="U2612">
        <v>349</v>
      </c>
      <c r="V2612">
        <v>1</v>
      </c>
      <c r="AE2612" t="s">
        <v>18401</v>
      </c>
      <c r="AF2612" t="s">
        <v>25763</v>
      </c>
      <c r="AG2612" t="s">
        <v>25764</v>
      </c>
      <c r="AH2612" t="str">
        <f>HYPERLINK("http://compartments.jensenlab.org/Entity?figures=subcell_cell_%&amp;knowledge=10&amp;textmining=10&amp;experiments=10&amp;predictions=10&amp;type1=9606&amp;type2=-22&amp;id1=ENSP00000362469","link")</f>
        <v>link</v>
      </c>
      <c r="AI2612" t="s">
        <v>65</v>
      </c>
      <c r="AJ2612" t="s">
        <v>1801</v>
      </c>
      <c r="AK2612" t="str">
        <f>HYPERLINK("http://www.proteinatlas.org/Q9NY64","HPA011935")</f>
        <v>HPA011935</v>
      </c>
      <c r="AM2612">
        <v>29988</v>
      </c>
    </row>
    <row r="2613" spans="1:39" x14ac:dyDescent="0.35">
      <c r="A2613" t="s">
        <v>25765</v>
      </c>
      <c r="B2613" t="str">
        <f>HYPERLINK("http://www.uniprot.org/uniprot/Q9NY72","Q9NY72")</f>
        <v>Q9NY72</v>
      </c>
      <c r="C2613" t="s">
        <v>25766</v>
      </c>
      <c r="D2613" t="s">
        <v>25767</v>
      </c>
      <c r="E2613" t="s">
        <v>39</v>
      </c>
      <c r="F2613" t="s">
        <v>40</v>
      </c>
      <c r="H2613">
        <v>215</v>
      </c>
      <c r="I2613">
        <v>1</v>
      </c>
      <c r="J2613">
        <v>1</v>
      </c>
      <c r="K2613" t="s">
        <v>25768</v>
      </c>
      <c r="L2613" t="s">
        <v>57</v>
      </c>
      <c r="N2613">
        <v>0.74450000000000005</v>
      </c>
      <c r="O2613" s="1">
        <v>2</v>
      </c>
      <c r="P2613" t="s">
        <v>25769</v>
      </c>
      <c r="Q2613" t="s">
        <v>25770</v>
      </c>
      <c r="S2613" t="s">
        <v>45</v>
      </c>
      <c r="T2613" t="s">
        <v>2427</v>
      </c>
      <c r="U2613" t="s">
        <v>25771</v>
      </c>
      <c r="V2613">
        <v>4</v>
      </c>
      <c r="AE2613" t="s">
        <v>144</v>
      </c>
      <c r="AF2613" t="s">
        <v>25772</v>
      </c>
      <c r="AG2613" t="s">
        <v>25773</v>
      </c>
      <c r="AH2613" t="str">
        <f>HYPERLINK("http://compartments.jensenlab.org/Entity?figures=subcell_cell_%&amp;knowledge=10&amp;textmining=10&amp;experiments=10&amp;predictions=10&amp;type1=9606&amp;type2=-22&amp;id1=ENSP00000299333","link")</f>
        <v>link</v>
      </c>
      <c r="AJ2613" t="s">
        <v>51</v>
      </c>
      <c r="AK2613" t="str">
        <f>HYPERLINK("http://www.proteinatlas.org/Q9NY72","HPA042518")</f>
        <v>HPA042518</v>
      </c>
      <c r="AL2613" t="s">
        <v>2433</v>
      </c>
      <c r="AM2613">
        <v>55800</v>
      </c>
    </row>
    <row r="2614" spans="1:39" x14ac:dyDescent="0.35">
      <c r="A2614" t="s">
        <v>25774</v>
      </c>
      <c r="B2614" t="str">
        <f>HYPERLINK("http://www.uniprot.org/uniprot/Q9NY84","Q9NY84")</f>
        <v>Q9NY84</v>
      </c>
      <c r="C2614" t="s">
        <v>25775</v>
      </c>
      <c r="D2614" t="s">
        <v>25776</v>
      </c>
      <c r="E2614" t="s">
        <v>39</v>
      </c>
      <c r="F2614" t="s">
        <v>239</v>
      </c>
      <c r="H2614">
        <v>501</v>
      </c>
      <c r="I2614">
        <v>0</v>
      </c>
      <c r="J2614">
        <v>1</v>
      </c>
      <c r="K2614" t="s">
        <v>25777</v>
      </c>
      <c r="L2614" t="s">
        <v>57</v>
      </c>
      <c r="N2614">
        <v>0.74050000000000005</v>
      </c>
      <c r="O2614" s="1" t="s">
        <v>241</v>
      </c>
      <c r="P2614" t="s">
        <v>25778</v>
      </c>
      <c r="S2614" t="s">
        <v>60</v>
      </c>
      <c r="T2614" t="s">
        <v>60</v>
      </c>
      <c r="U2614" t="s">
        <v>25779</v>
      </c>
      <c r="V2614">
        <v>4</v>
      </c>
      <c r="W2614" t="s">
        <v>25779</v>
      </c>
      <c r="AE2614" t="s">
        <v>243</v>
      </c>
      <c r="AF2614" t="s">
        <v>3330</v>
      </c>
      <c r="AG2614" t="s">
        <v>25780</v>
      </c>
      <c r="AK2614" t="str">
        <f>HYPERLINK("http://www.proteinatlas.org/Q9NY84","HPA010818")</f>
        <v>HPA010818</v>
      </c>
      <c r="AM2614">
        <v>55350</v>
      </c>
    </row>
    <row r="2615" spans="1:39" x14ac:dyDescent="0.35">
      <c r="A2615" t="s">
        <v>25781</v>
      </c>
      <c r="B2615" t="str">
        <f>HYPERLINK("http://www.uniprot.org/uniprot/Q9NY91","Q9NY91")</f>
        <v>Q9NY91</v>
      </c>
      <c r="C2615" t="s">
        <v>25782</v>
      </c>
      <c r="D2615" t="s">
        <v>25783</v>
      </c>
      <c r="E2615" t="s">
        <v>39</v>
      </c>
      <c r="F2615" t="s">
        <v>40</v>
      </c>
      <c r="H2615">
        <v>659</v>
      </c>
      <c r="I2615">
        <v>11</v>
      </c>
      <c r="J2615">
        <v>0</v>
      </c>
      <c r="K2615" t="s">
        <v>25784</v>
      </c>
      <c r="L2615" t="s">
        <v>57</v>
      </c>
      <c r="N2615">
        <v>0.85629999999999995</v>
      </c>
      <c r="O2615" s="1">
        <v>1</v>
      </c>
      <c r="P2615" t="s">
        <v>25785</v>
      </c>
      <c r="Q2615" t="s">
        <v>25786</v>
      </c>
      <c r="S2615" t="s">
        <v>45</v>
      </c>
      <c r="T2615" t="s">
        <v>72</v>
      </c>
      <c r="U2615" t="s">
        <v>25787</v>
      </c>
      <c r="V2615">
        <v>2</v>
      </c>
      <c r="AE2615" t="s">
        <v>48</v>
      </c>
      <c r="AF2615" t="s">
        <v>25788</v>
      </c>
      <c r="AG2615" t="s">
        <v>25789</v>
      </c>
      <c r="AH2615" t="str">
        <f>HYPERLINK("http://compartments.jensenlab.org/Entity?figures=subcell_cell_%&amp;knowledge=10&amp;textmining=10&amp;experiments=10&amp;predictions=10&amp;type1=9606&amp;type2=-22&amp;id1=ENSP00000266086","link")</f>
        <v>link</v>
      </c>
      <c r="AJ2615" t="s">
        <v>51</v>
      </c>
      <c r="AK2615" t="str">
        <f>HYPERLINK("http://www.proteinatlas.org/Q9NY91","no")</f>
        <v>no</v>
      </c>
      <c r="AM2615">
        <v>6527</v>
      </c>
    </row>
    <row r="2616" spans="1:39" x14ac:dyDescent="0.35">
      <c r="A2616" t="s">
        <v>25790</v>
      </c>
      <c r="B2616" t="str">
        <f>HYPERLINK("http://www.uniprot.org/uniprot/Q9NYB5","Q9NYB5")</f>
        <v>Q9NYB5</v>
      </c>
      <c r="C2616" t="s">
        <v>25791</v>
      </c>
      <c r="D2616" t="s">
        <v>25792</v>
      </c>
      <c r="E2616" t="s">
        <v>39</v>
      </c>
      <c r="F2616" t="s">
        <v>40</v>
      </c>
      <c r="H2616">
        <v>712</v>
      </c>
      <c r="I2616">
        <v>12</v>
      </c>
      <c r="J2616">
        <v>0</v>
      </c>
      <c r="K2616" t="s">
        <v>25793</v>
      </c>
      <c r="L2616" t="s">
        <v>57</v>
      </c>
      <c r="N2616">
        <v>0.9022</v>
      </c>
      <c r="O2616" s="1">
        <v>1</v>
      </c>
      <c r="P2616" t="s">
        <v>25794</v>
      </c>
      <c r="Q2616" t="s">
        <v>25795</v>
      </c>
      <c r="S2616" t="s">
        <v>45</v>
      </c>
      <c r="T2616" t="s">
        <v>797</v>
      </c>
      <c r="U2616" t="s">
        <v>25796</v>
      </c>
      <c r="V2616">
        <v>4</v>
      </c>
      <c r="AE2616" t="s">
        <v>74</v>
      </c>
      <c r="AF2616" t="s">
        <v>25797</v>
      </c>
      <c r="AG2616" t="s">
        <v>25798</v>
      </c>
      <c r="AH2616" t="str">
        <f>HYPERLINK("http://compartments.jensenlab.org/Entity?figures=subcell_cell_%&amp;knowledge=10&amp;textmining=10&amp;experiments=10&amp;predictions=10&amp;type1=9606&amp;type2=-22&amp;id1=ENSP00000266509","link")</f>
        <v>link</v>
      </c>
      <c r="AI2616" t="s">
        <v>65</v>
      </c>
      <c r="AJ2616" t="s">
        <v>51</v>
      </c>
      <c r="AK2616" t="str">
        <f>HYPERLINK("http://www.proteinatlas.org/Q9NYB5","no")</f>
        <v>no</v>
      </c>
      <c r="AM2616">
        <v>53919</v>
      </c>
    </row>
    <row r="2617" spans="1:39" x14ac:dyDescent="0.35">
      <c r="A2617" t="s">
        <v>25799</v>
      </c>
      <c r="B2617" t="str">
        <f>HYPERLINK("http://www.uniprot.org/uniprot/Q9NYJ7","Q9NYJ7")</f>
        <v>Q9NYJ7</v>
      </c>
      <c r="C2617" t="s">
        <v>25800</v>
      </c>
      <c r="D2617" t="s">
        <v>25801</v>
      </c>
      <c r="E2617" t="s">
        <v>39</v>
      </c>
      <c r="F2617" t="s">
        <v>40</v>
      </c>
      <c r="H2617">
        <v>618</v>
      </c>
      <c r="I2617">
        <v>1</v>
      </c>
      <c r="J2617">
        <v>1</v>
      </c>
      <c r="K2617" t="s">
        <v>25802</v>
      </c>
      <c r="L2617" t="s">
        <v>57</v>
      </c>
      <c r="N2617">
        <v>0.60880000000000001</v>
      </c>
      <c r="O2617" s="1">
        <v>2</v>
      </c>
      <c r="P2617" t="s">
        <v>25803</v>
      </c>
      <c r="Q2617" t="s">
        <v>25804</v>
      </c>
      <c r="S2617" t="s">
        <v>91</v>
      </c>
      <c r="T2617" t="s">
        <v>1054</v>
      </c>
      <c r="V2617">
        <v>0</v>
      </c>
      <c r="AE2617" t="s">
        <v>144</v>
      </c>
      <c r="AF2617" t="s">
        <v>25805</v>
      </c>
      <c r="AG2617" t="s">
        <v>25806</v>
      </c>
      <c r="AH2617" t="str">
        <f>HYPERLINK("http://compartments.jensenlab.org/Entity?figures=subcell_cell_%&amp;knowledge=10&amp;textmining=10&amp;experiments=10&amp;predictions=10&amp;type1=9606&amp;type2=-22&amp;id1=ENSP00000205143","link")</f>
        <v>link</v>
      </c>
      <c r="AJ2617" t="s">
        <v>51</v>
      </c>
      <c r="AK2617" t="str">
        <f>HYPERLINK("http://www.proteinatlas.org/Q9NYJ7","HPA056533")</f>
        <v>HPA056533</v>
      </c>
      <c r="AM2617">
        <v>10683</v>
      </c>
    </row>
    <row r="2618" spans="1:39" x14ac:dyDescent="0.35">
      <c r="A2618" t="s">
        <v>25807</v>
      </c>
      <c r="B2618" t="str">
        <f>HYPERLINK("http://www.uniprot.org/uniprot/Q9NYK1","Q9NYK1")</f>
        <v>Q9NYK1</v>
      </c>
      <c r="C2618" t="s">
        <v>25808</v>
      </c>
      <c r="D2618" t="s">
        <v>25809</v>
      </c>
      <c r="E2618" t="s">
        <v>39</v>
      </c>
      <c r="F2618" t="s">
        <v>40</v>
      </c>
      <c r="H2618">
        <v>1049</v>
      </c>
      <c r="I2618">
        <v>1</v>
      </c>
      <c r="J2618">
        <v>1</v>
      </c>
      <c r="K2618" t="s">
        <v>25810</v>
      </c>
      <c r="L2618" t="s">
        <v>57</v>
      </c>
      <c r="N2618">
        <v>0.8024</v>
      </c>
      <c r="O2618" s="1">
        <v>1</v>
      </c>
      <c r="P2618" t="s">
        <v>25811</v>
      </c>
      <c r="Q2618" t="s">
        <v>25812</v>
      </c>
      <c r="S2618" t="s">
        <v>166</v>
      </c>
      <c r="T2618" t="s">
        <v>848</v>
      </c>
      <c r="U2618" t="s">
        <v>25813</v>
      </c>
      <c r="V2618">
        <v>16</v>
      </c>
      <c r="Y2618" t="s">
        <v>25814</v>
      </c>
      <c r="AE2618" t="s">
        <v>25349</v>
      </c>
      <c r="AF2618" t="s">
        <v>25815</v>
      </c>
      <c r="AG2618" t="s">
        <v>25816</v>
      </c>
      <c r="AH2618" t="str">
        <f>HYPERLINK("http://compartments.jensenlab.org/Entity?figures=subcell_cell_%&amp;knowledge=10&amp;textmining=10&amp;experiments=10&amp;predictions=10&amp;type1=9606&amp;type2=-22&amp;id1=ENSP00000370034","link")</f>
        <v>link</v>
      </c>
      <c r="AI2618" t="s">
        <v>980</v>
      </c>
      <c r="AJ2618" t="s">
        <v>1630</v>
      </c>
      <c r="AK2618" t="str">
        <f>HYPERLINK("http://www.proteinatlas.org/Q9NYK1","HPA059613")</f>
        <v>HPA059613</v>
      </c>
      <c r="AL2618" t="s">
        <v>25817</v>
      </c>
      <c r="AM2618">
        <v>51284</v>
      </c>
    </row>
    <row r="2619" spans="1:39" x14ac:dyDescent="0.35">
      <c r="A2619" t="s">
        <v>25818</v>
      </c>
      <c r="B2619" t="str">
        <f>HYPERLINK("http://www.uniprot.org/uniprot/Q9NYM4","Q9NYM4")</f>
        <v>Q9NYM4</v>
      </c>
      <c r="C2619" t="s">
        <v>25819</v>
      </c>
      <c r="D2619" t="s">
        <v>25820</v>
      </c>
      <c r="E2619" t="s">
        <v>39</v>
      </c>
      <c r="F2619" t="s">
        <v>55</v>
      </c>
      <c r="H2619">
        <v>423</v>
      </c>
      <c r="I2619">
        <v>7</v>
      </c>
      <c r="J2619">
        <v>1</v>
      </c>
      <c r="K2619" t="s">
        <v>25821</v>
      </c>
      <c r="L2619" t="s">
        <v>57</v>
      </c>
      <c r="M2619" t="s">
        <v>39</v>
      </c>
      <c r="N2619">
        <v>0.88759999999999994</v>
      </c>
      <c r="O2619" s="1">
        <v>1</v>
      </c>
      <c r="P2619" t="s">
        <v>25822</v>
      </c>
      <c r="Q2619" t="s">
        <v>25823</v>
      </c>
      <c r="S2619" t="s">
        <v>166</v>
      </c>
      <c r="T2619" t="s">
        <v>838</v>
      </c>
      <c r="U2619" t="s">
        <v>25824</v>
      </c>
      <c r="V2619">
        <v>3</v>
      </c>
      <c r="AE2619" t="s">
        <v>74</v>
      </c>
      <c r="AF2619" t="s">
        <v>2382</v>
      </c>
      <c r="AG2619" t="s">
        <v>25825</v>
      </c>
      <c r="AH2619" t="str">
        <f>HYPERLINK("http://compartments.jensenlab.org/Entity?figures=subcell_cell_%&amp;knowledge=10&amp;textmining=10&amp;experiments=10&amp;predictions=10&amp;type1=9606&amp;type2=-22&amp;id1=ENSP00000243673","link")</f>
        <v>link</v>
      </c>
      <c r="AI2619" t="s">
        <v>65</v>
      </c>
      <c r="AJ2619" t="s">
        <v>51</v>
      </c>
      <c r="AK2619" t="str">
        <f>HYPERLINK("http://www.proteinatlas.org/Q9NYM4","HPA044493")</f>
        <v>HPA044493</v>
      </c>
      <c r="AM2619">
        <v>10888</v>
      </c>
    </row>
    <row r="2620" spans="1:39" x14ac:dyDescent="0.35">
      <c r="A2620" t="s">
        <v>25826</v>
      </c>
      <c r="B2620" t="str">
        <f>HYPERLINK("http://www.uniprot.org/uniprot/Q9NYQ6","Q9NYQ6")</f>
        <v>Q9NYQ6</v>
      </c>
      <c r="C2620" t="s">
        <v>25827</v>
      </c>
      <c r="D2620" t="s">
        <v>25828</v>
      </c>
      <c r="E2620" t="s">
        <v>39</v>
      </c>
      <c r="F2620" t="s">
        <v>55</v>
      </c>
      <c r="H2620">
        <v>3014</v>
      </c>
      <c r="I2620">
        <v>7</v>
      </c>
      <c r="J2620">
        <v>1</v>
      </c>
      <c r="K2620" t="s">
        <v>25829</v>
      </c>
      <c r="L2620" t="s">
        <v>101</v>
      </c>
      <c r="M2620" t="s">
        <v>39</v>
      </c>
      <c r="N2620">
        <v>0.95830000000000004</v>
      </c>
      <c r="O2620" s="1">
        <v>1</v>
      </c>
      <c r="P2620" t="s">
        <v>25830</v>
      </c>
      <c r="Q2620" t="s">
        <v>25831</v>
      </c>
      <c r="S2620" t="s">
        <v>166</v>
      </c>
      <c r="T2620" t="s">
        <v>1149</v>
      </c>
      <c r="U2620" t="s">
        <v>25832</v>
      </c>
      <c r="V2620">
        <v>19</v>
      </c>
      <c r="W2620" t="s">
        <v>25832</v>
      </c>
      <c r="Z2620" t="s">
        <v>107</v>
      </c>
      <c r="AA2620">
        <v>6</v>
      </c>
      <c r="AB2620" t="s">
        <v>25833</v>
      </c>
      <c r="AC2620" t="s">
        <v>25834</v>
      </c>
      <c r="AD2620" t="s">
        <v>25835</v>
      </c>
      <c r="AE2620" t="s">
        <v>74</v>
      </c>
      <c r="AF2620" t="s">
        <v>25836</v>
      </c>
      <c r="AG2620" t="s">
        <v>25837</v>
      </c>
      <c r="AH2620" t="str">
        <f>HYPERLINK("http://compartments.jensenlab.org/Entity?figures=subcell_cell_%&amp;knowledge=10&amp;textmining=10&amp;experiments=10&amp;predictions=10&amp;type1=9606&amp;type2=-22&amp;id1=ENSP00000262738","link")</f>
        <v>link</v>
      </c>
      <c r="AI2620" t="s">
        <v>65</v>
      </c>
      <c r="AJ2620" t="s">
        <v>51</v>
      </c>
      <c r="AK2620" t="str">
        <f>HYPERLINK("http://www.proteinatlas.org/Q9NYQ6","HPA052976")</f>
        <v>HPA052976</v>
      </c>
      <c r="AM2620">
        <v>9620</v>
      </c>
    </row>
    <row r="2621" spans="1:39" x14ac:dyDescent="0.35">
      <c r="A2621" t="s">
        <v>25838</v>
      </c>
      <c r="B2621" t="str">
        <f>HYPERLINK("http://www.uniprot.org/uniprot/Q9NYQ7","Q9NYQ7")</f>
        <v>Q9NYQ7</v>
      </c>
      <c r="C2621" t="s">
        <v>25839</v>
      </c>
      <c r="D2621" t="s">
        <v>25840</v>
      </c>
      <c r="E2621" t="s">
        <v>39</v>
      </c>
      <c r="F2621" t="s">
        <v>55</v>
      </c>
      <c r="H2621">
        <v>3312</v>
      </c>
      <c r="I2621">
        <v>7</v>
      </c>
      <c r="J2621">
        <v>1</v>
      </c>
      <c r="K2621" t="s">
        <v>25841</v>
      </c>
      <c r="L2621" t="s">
        <v>101</v>
      </c>
      <c r="M2621" t="s">
        <v>39</v>
      </c>
      <c r="N2621">
        <v>0.9365</v>
      </c>
      <c r="O2621" s="1">
        <v>1</v>
      </c>
      <c r="P2621" t="s">
        <v>25842</v>
      </c>
      <c r="Q2621" t="s">
        <v>25843</v>
      </c>
      <c r="S2621" t="s">
        <v>166</v>
      </c>
      <c r="T2621" t="s">
        <v>1149</v>
      </c>
      <c r="U2621" t="s">
        <v>25844</v>
      </c>
      <c r="V2621">
        <v>17</v>
      </c>
      <c r="X2621" t="s">
        <v>25845</v>
      </c>
      <c r="Z2621" t="s">
        <v>107</v>
      </c>
      <c r="AA2621">
        <v>2</v>
      </c>
      <c r="AB2621" t="s">
        <v>25846</v>
      </c>
      <c r="AC2621" t="s">
        <v>25847</v>
      </c>
      <c r="AD2621" t="s">
        <v>25848</v>
      </c>
      <c r="AE2621" t="s">
        <v>74</v>
      </c>
      <c r="AF2621" t="s">
        <v>25849</v>
      </c>
      <c r="AG2621" t="s">
        <v>25850</v>
      </c>
      <c r="AH2621" t="str">
        <f>HYPERLINK("http://compartments.jensenlab.org/Entity?figures=subcell_cell_%&amp;knowledge=10&amp;textmining=10&amp;experiments=10&amp;predictions=10&amp;type1=9606&amp;type2=-22&amp;id1=ENSP00000164024","link")</f>
        <v>link</v>
      </c>
      <c r="AI2621" t="s">
        <v>65</v>
      </c>
      <c r="AJ2621" t="s">
        <v>51</v>
      </c>
      <c r="AK2621" t="str">
        <f>HYPERLINK("http://www.proteinatlas.org/Q9NYQ7","HPA062866")</f>
        <v>HPA062866</v>
      </c>
      <c r="AM2621">
        <v>1951</v>
      </c>
    </row>
    <row r="2622" spans="1:39" x14ac:dyDescent="0.35">
      <c r="A2622" t="s">
        <v>25851</v>
      </c>
      <c r="B2622" t="str">
        <f>HYPERLINK("http://www.uniprot.org/uniprot/Q9NYQ8","Q9NYQ8")</f>
        <v>Q9NYQ8</v>
      </c>
      <c r="C2622" t="s">
        <v>25852</v>
      </c>
      <c r="D2622" t="s">
        <v>25853</v>
      </c>
      <c r="E2622" t="s">
        <v>39</v>
      </c>
      <c r="F2622" t="s">
        <v>40</v>
      </c>
      <c r="H2622">
        <v>4349</v>
      </c>
      <c r="I2622">
        <v>1</v>
      </c>
      <c r="J2622">
        <v>1</v>
      </c>
      <c r="K2622" t="s">
        <v>25854</v>
      </c>
      <c r="L2622" t="s">
        <v>57</v>
      </c>
      <c r="N2622">
        <v>0.88819999999999999</v>
      </c>
      <c r="O2622" s="1">
        <v>1</v>
      </c>
      <c r="P2622" t="s">
        <v>25855</v>
      </c>
      <c r="Q2622" t="s">
        <v>25856</v>
      </c>
      <c r="S2622" t="s">
        <v>91</v>
      </c>
      <c r="T2622" t="s">
        <v>216</v>
      </c>
      <c r="U2622" t="s">
        <v>25857</v>
      </c>
      <c r="V2622">
        <v>41</v>
      </c>
      <c r="Y2622">
        <v>1336</v>
      </c>
      <c r="AE2622" t="s">
        <v>25858</v>
      </c>
      <c r="AF2622" t="s">
        <v>25859</v>
      </c>
      <c r="AG2622" t="s">
        <v>25860</v>
      </c>
      <c r="AH2622" t="str">
        <f>HYPERLINK("http://compartments.jensenlab.org/Entity?figures=subcell_cell_%&amp;knowledge=10&amp;textmining=10&amp;experiments=10&amp;predictions=10&amp;type1=9606&amp;type2=-22&amp;id1=ENSP00000261800","link")</f>
        <v>link</v>
      </c>
      <c r="AI2622" t="s">
        <v>7719</v>
      </c>
      <c r="AJ2622" t="s">
        <v>2873</v>
      </c>
      <c r="AK2622" t="str">
        <f>HYPERLINK("http://www.proteinatlas.org/Q9NYQ8","CAB033680")</f>
        <v>CAB033680</v>
      </c>
      <c r="AM2622">
        <v>2196</v>
      </c>
    </row>
    <row r="2623" spans="1:39" x14ac:dyDescent="0.35">
      <c r="A2623" t="s">
        <v>25861</v>
      </c>
      <c r="B2623" t="str">
        <f>HYPERLINK("http://www.uniprot.org/uniprot/Q9NYV7","Q9NYV7")</f>
        <v>Q9NYV7</v>
      </c>
      <c r="C2623" t="s">
        <v>25862</v>
      </c>
      <c r="D2623" t="s">
        <v>25863</v>
      </c>
      <c r="E2623" t="s">
        <v>39</v>
      </c>
      <c r="F2623" t="s">
        <v>40</v>
      </c>
      <c r="H2623">
        <v>291</v>
      </c>
      <c r="I2623">
        <v>7</v>
      </c>
      <c r="J2623">
        <v>0</v>
      </c>
      <c r="K2623" t="s">
        <v>25864</v>
      </c>
      <c r="L2623" t="s">
        <v>57</v>
      </c>
      <c r="N2623">
        <v>0.72460000000000002</v>
      </c>
      <c r="O2623" s="1">
        <v>2</v>
      </c>
      <c r="P2623" t="s">
        <v>25865</v>
      </c>
      <c r="Q2623" t="s">
        <v>25866</v>
      </c>
      <c r="S2623" t="s">
        <v>166</v>
      </c>
      <c r="T2623" t="s">
        <v>11156</v>
      </c>
      <c r="U2623" t="s">
        <v>25867</v>
      </c>
      <c r="V2623">
        <v>2</v>
      </c>
      <c r="W2623" t="s">
        <v>25867</v>
      </c>
      <c r="Y2623">
        <v>117</v>
      </c>
      <c r="AE2623" t="s">
        <v>48</v>
      </c>
      <c r="AF2623" t="s">
        <v>11158</v>
      </c>
      <c r="AG2623" t="s">
        <v>25868</v>
      </c>
      <c r="AH2623" t="str">
        <f>HYPERLINK("http://compartments.jensenlab.org/Entity?figures=subcell_cell_%&amp;knowledge=10&amp;textmining=10&amp;experiments=10&amp;predictions=10&amp;type1=9606&amp;type2=-22&amp;id1=ENSP00000249284","link")</f>
        <v>link</v>
      </c>
      <c r="AJ2623" t="s">
        <v>345</v>
      </c>
      <c r="AK2623" t="str">
        <f>HYPERLINK("http://www.proteinatlas.org/Q9NYV7","no")</f>
        <v>no</v>
      </c>
      <c r="AM2623">
        <v>50833</v>
      </c>
    </row>
    <row r="2624" spans="1:39" x14ac:dyDescent="0.35">
      <c r="A2624" t="s">
        <v>25869</v>
      </c>
      <c r="B2624" t="str">
        <f>HYPERLINK("http://www.uniprot.org/uniprot/Q9NYV8","Q9NYV8")</f>
        <v>Q9NYV8</v>
      </c>
      <c r="C2624" t="s">
        <v>25870</v>
      </c>
      <c r="D2624" t="s">
        <v>25871</v>
      </c>
      <c r="E2624" t="s">
        <v>39</v>
      </c>
      <c r="F2624" t="s">
        <v>40</v>
      </c>
      <c r="H2624">
        <v>317</v>
      </c>
      <c r="I2624">
        <v>7</v>
      </c>
      <c r="J2624">
        <v>0</v>
      </c>
      <c r="K2624" t="s">
        <v>25872</v>
      </c>
      <c r="L2624" t="s">
        <v>57</v>
      </c>
      <c r="N2624">
        <v>0.73250000000000004</v>
      </c>
      <c r="O2624" s="1">
        <v>2</v>
      </c>
      <c r="P2624" t="s">
        <v>25873</v>
      </c>
      <c r="Q2624" t="s">
        <v>25874</v>
      </c>
      <c r="S2624" t="s">
        <v>166</v>
      </c>
      <c r="T2624" t="s">
        <v>11156</v>
      </c>
      <c r="U2624" t="s">
        <v>25875</v>
      </c>
      <c r="V2624">
        <v>3</v>
      </c>
      <c r="AE2624" t="s">
        <v>48</v>
      </c>
      <c r="AF2624" t="s">
        <v>11158</v>
      </c>
      <c r="AG2624" t="s">
        <v>25876</v>
      </c>
      <c r="AH2624" t="str">
        <f>HYPERLINK("http://compartments.jensenlab.org/Entity?figures=subcell_cell_%&amp;knowledge=10&amp;textmining=10&amp;experiments=10&amp;predictions=10&amp;type1=9606&amp;type2=-22&amp;id1=ENSP00000441949","link")</f>
        <v>link</v>
      </c>
      <c r="AK2624" t="str">
        <f>HYPERLINK("http://www.proteinatlas.org/Q9NYV8","no")</f>
        <v>no</v>
      </c>
      <c r="AM2624">
        <v>50840</v>
      </c>
    </row>
    <row r="2625" spans="1:39" x14ac:dyDescent="0.35">
      <c r="A2625" t="s">
        <v>25877</v>
      </c>
      <c r="B2625" t="str">
        <f>HYPERLINK("http://www.uniprot.org/uniprot/Q9NYW0","Q9NYW0")</f>
        <v>Q9NYW0</v>
      </c>
      <c r="C2625" t="s">
        <v>25878</v>
      </c>
      <c r="D2625" t="s">
        <v>25879</v>
      </c>
      <c r="E2625" t="s">
        <v>39</v>
      </c>
      <c r="F2625" t="s">
        <v>40</v>
      </c>
      <c r="H2625">
        <v>307</v>
      </c>
      <c r="I2625">
        <v>7</v>
      </c>
      <c r="J2625">
        <v>0</v>
      </c>
      <c r="K2625" t="s">
        <v>25880</v>
      </c>
      <c r="L2625" t="s">
        <v>57</v>
      </c>
      <c r="N2625">
        <v>0.68059999999999998</v>
      </c>
      <c r="O2625" s="1">
        <v>2</v>
      </c>
      <c r="P2625" t="s">
        <v>25881</v>
      </c>
      <c r="Q2625" t="s">
        <v>25882</v>
      </c>
      <c r="S2625" t="s">
        <v>166</v>
      </c>
      <c r="T2625" t="s">
        <v>11156</v>
      </c>
      <c r="U2625" t="s">
        <v>25883</v>
      </c>
      <c r="V2625">
        <v>2</v>
      </c>
      <c r="AE2625" t="s">
        <v>48</v>
      </c>
      <c r="AF2625" t="s">
        <v>11158</v>
      </c>
      <c r="AG2625" t="s">
        <v>25884</v>
      </c>
      <c r="AH2625" t="str">
        <f>HYPERLINK("http://compartments.jensenlab.org/Entity?figures=subcell_cell_%&amp;knowledge=10&amp;textmining=10&amp;experiments=10&amp;predictions=10&amp;type1=9606&amp;type2=-22&amp;id1=ENSP00000240619","link")</f>
        <v>link</v>
      </c>
      <c r="AJ2625" t="s">
        <v>51</v>
      </c>
      <c r="AK2625" t="str">
        <f>HYPERLINK("http://www.proteinatlas.org/Q9NYW0","no")</f>
        <v>no</v>
      </c>
      <c r="AM2625">
        <v>50839</v>
      </c>
    </row>
    <row r="2626" spans="1:39" x14ac:dyDescent="0.35">
      <c r="A2626" t="s">
        <v>25885</v>
      </c>
      <c r="B2626" t="str">
        <f>HYPERLINK("http://www.uniprot.org/uniprot/Q9NYW1","Q9NYW1")</f>
        <v>Q9NYW1</v>
      </c>
      <c r="C2626" t="s">
        <v>25886</v>
      </c>
      <c r="D2626" t="s">
        <v>25887</v>
      </c>
      <c r="E2626" t="s">
        <v>39</v>
      </c>
      <c r="F2626" t="s">
        <v>40</v>
      </c>
      <c r="H2626">
        <v>312</v>
      </c>
      <c r="I2626">
        <v>7</v>
      </c>
      <c r="J2626">
        <v>0</v>
      </c>
      <c r="K2626" t="s">
        <v>25888</v>
      </c>
      <c r="L2626" t="s">
        <v>57</v>
      </c>
      <c r="N2626">
        <v>0.66869999999999996</v>
      </c>
      <c r="O2626" s="1">
        <v>2</v>
      </c>
      <c r="P2626" t="s">
        <v>25889</v>
      </c>
      <c r="Q2626" t="s">
        <v>25890</v>
      </c>
      <c r="S2626" t="s">
        <v>166</v>
      </c>
      <c r="T2626" t="s">
        <v>11156</v>
      </c>
      <c r="U2626" t="s">
        <v>25891</v>
      </c>
      <c r="V2626">
        <v>1</v>
      </c>
      <c r="AE2626" t="s">
        <v>48</v>
      </c>
      <c r="AF2626" t="s">
        <v>11158</v>
      </c>
      <c r="AG2626" t="s">
        <v>25892</v>
      </c>
      <c r="AH2626" t="str">
        <f>HYPERLINK("http://compartments.jensenlab.org/Entity?figures=subcell_cell_%&amp;knowledge=10&amp;textmining=10&amp;experiments=10&amp;predictions=10&amp;type1=9606&amp;type2=-22&amp;id1=ENSP00000240691","link")</f>
        <v>link</v>
      </c>
      <c r="AJ2626" t="s">
        <v>51</v>
      </c>
      <c r="AK2626" t="str">
        <f>HYPERLINK("http://www.proteinatlas.org/Q9NYW1","no")</f>
        <v>no</v>
      </c>
      <c r="AM2626">
        <v>50835</v>
      </c>
    </row>
    <row r="2627" spans="1:39" x14ac:dyDescent="0.35">
      <c r="A2627" t="s">
        <v>25893</v>
      </c>
      <c r="B2627" t="str">
        <f>HYPERLINK("http://www.uniprot.org/uniprot/Q9NYW2","Q9NYW2")</f>
        <v>Q9NYW2</v>
      </c>
      <c r="C2627" t="s">
        <v>25894</v>
      </c>
      <c r="D2627" t="s">
        <v>25895</v>
      </c>
      <c r="E2627" t="s">
        <v>39</v>
      </c>
      <c r="F2627" t="s">
        <v>40</v>
      </c>
      <c r="H2627">
        <v>309</v>
      </c>
      <c r="I2627">
        <v>7</v>
      </c>
      <c r="J2627">
        <v>0</v>
      </c>
      <c r="K2627" t="s">
        <v>25896</v>
      </c>
      <c r="L2627" t="s">
        <v>57</v>
      </c>
      <c r="N2627">
        <v>0.71860000000000002</v>
      </c>
      <c r="O2627" s="1">
        <v>2</v>
      </c>
      <c r="P2627" t="s">
        <v>25897</v>
      </c>
      <c r="Q2627" t="s">
        <v>25898</v>
      </c>
      <c r="S2627" t="s">
        <v>166</v>
      </c>
      <c r="T2627" t="s">
        <v>11156</v>
      </c>
      <c r="U2627">
        <v>167</v>
      </c>
      <c r="V2627">
        <v>1</v>
      </c>
      <c r="Y2627" t="s">
        <v>25899</v>
      </c>
      <c r="AE2627" t="s">
        <v>48</v>
      </c>
      <c r="AF2627" t="s">
        <v>11158</v>
      </c>
      <c r="AG2627" t="s">
        <v>25900</v>
      </c>
      <c r="AH2627" t="str">
        <f>HYPERLINK("http://compartments.jensenlab.org/Entity?figures=subcell_cell_%&amp;knowledge=10&amp;textmining=10&amp;experiments=10&amp;predictions=10&amp;type1=9606&amp;type2=-22&amp;id1=ENSP00000240615","link")</f>
        <v>link</v>
      </c>
      <c r="AJ2627" t="s">
        <v>51</v>
      </c>
      <c r="AK2627" t="str">
        <f>HYPERLINK("http://www.proteinatlas.org/Q9NYW2","no")</f>
        <v>no</v>
      </c>
      <c r="AM2627">
        <v>50836</v>
      </c>
    </row>
    <row r="2628" spans="1:39" x14ac:dyDescent="0.35">
      <c r="A2628" t="s">
        <v>25901</v>
      </c>
      <c r="B2628" t="str">
        <f>HYPERLINK("http://www.uniprot.org/uniprot/Q9NYW3","Q9NYW3")</f>
        <v>Q9NYW3</v>
      </c>
      <c r="C2628" t="s">
        <v>25902</v>
      </c>
      <c r="D2628" t="s">
        <v>25903</v>
      </c>
      <c r="E2628" t="s">
        <v>39</v>
      </c>
      <c r="F2628" t="s">
        <v>40</v>
      </c>
      <c r="H2628">
        <v>318</v>
      </c>
      <c r="I2628">
        <v>7</v>
      </c>
      <c r="J2628">
        <v>0</v>
      </c>
      <c r="K2628" t="s">
        <v>25904</v>
      </c>
      <c r="L2628" t="s">
        <v>57</v>
      </c>
      <c r="N2628">
        <v>0.87429999999999997</v>
      </c>
      <c r="O2628" s="1">
        <v>1</v>
      </c>
      <c r="P2628" t="s">
        <v>25905</v>
      </c>
      <c r="Q2628" t="s">
        <v>25906</v>
      </c>
      <c r="S2628" t="s">
        <v>166</v>
      </c>
      <c r="T2628" t="s">
        <v>11156</v>
      </c>
      <c r="U2628" t="s">
        <v>25907</v>
      </c>
      <c r="V2628">
        <v>2</v>
      </c>
      <c r="Y2628">
        <v>121</v>
      </c>
      <c r="AE2628" t="s">
        <v>48</v>
      </c>
      <c r="AF2628" t="s">
        <v>11158</v>
      </c>
      <c r="AG2628" t="s">
        <v>25908</v>
      </c>
      <c r="AH2628" t="str">
        <f>HYPERLINK("http://compartments.jensenlab.org/Entity?figures=subcell_cell_%&amp;knowledge=10&amp;textmining=10&amp;experiments=10&amp;predictions=10&amp;type1=9606&amp;type2=-22&amp;id1=ENSP00000240687","link")</f>
        <v>link</v>
      </c>
      <c r="AJ2628" t="s">
        <v>51</v>
      </c>
      <c r="AK2628" t="str">
        <f>HYPERLINK("http://www.proteinatlas.org/Q9NYW3","no")</f>
        <v>no</v>
      </c>
      <c r="AM2628">
        <v>50837</v>
      </c>
    </row>
    <row r="2629" spans="1:39" x14ac:dyDescent="0.35">
      <c r="A2629" t="s">
        <v>25909</v>
      </c>
      <c r="B2629" t="str">
        <f>HYPERLINK("http://www.uniprot.org/uniprot/Q9NYW5","Q9NYW5")</f>
        <v>Q9NYW5</v>
      </c>
      <c r="C2629" t="s">
        <v>25910</v>
      </c>
      <c r="D2629" t="s">
        <v>25911</v>
      </c>
      <c r="E2629" t="s">
        <v>39</v>
      </c>
      <c r="F2629" t="s">
        <v>40</v>
      </c>
      <c r="H2629">
        <v>299</v>
      </c>
      <c r="I2629">
        <v>7</v>
      </c>
      <c r="J2629">
        <v>0</v>
      </c>
      <c r="K2629" t="s">
        <v>25912</v>
      </c>
      <c r="L2629" t="s">
        <v>57</v>
      </c>
      <c r="N2629">
        <v>0.65669999999999995</v>
      </c>
      <c r="O2629" s="1">
        <v>2</v>
      </c>
      <c r="P2629" t="s">
        <v>25913</v>
      </c>
      <c r="Q2629" t="s">
        <v>25914</v>
      </c>
      <c r="S2629" t="s">
        <v>166</v>
      </c>
      <c r="T2629" t="s">
        <v>11156</v>
      </c>
      <c r="U2629" t="s">
        <v>25915</v>
      </c>
      <c r="V2629">
        <v>3</v>
      </c>
      <c r="AE2629" t="s">
        <v>11176</v>
      </c>
      <c r="AF2629" t="s">
        <v>11177</v>
      </c>
      <c r="AG2629" t="s">
        <v>25916</v>
      </c>
      <c r="AH2629" t="str">
        <f>HYPERLINK("http://compartments.jensenlab.org/Entity?figures=subcell_cell_%&amp;knowledge=10&amp;textmining=10&amp;experiments=10&amp;predictions=10&amp;type1=9606&amp;type2=-22&amp;id1=ENSP00000247881","link")</f>
        <v>link</v>
      </c>
      <c r="AI2629" t="s">
        <v>65</v>
      </c>
      <c r="AJ2629" t="s">
        <v>51</v>
      </c>
      <c r="AK2629" t="str">
        <f>HYPERLINK("http://www.proteinatlas.org/Q9NYW5","no")</f>
        <v>no</v>
      </c>
      <c r="AM2629">
        <v>50832</v>
      </c>
    </row>
    <row r="2630" spans="1:39" x14ac:dyDescent="0.35">
      <c r="A2630" t="s">
        <v>25917</v>
      </c>
      <c r="B2630" t="str">
        <f>HYPERLINK("http://www.uniprot.org/uniprot/Q9NYW6","Q9NYW6")</f>
        <v>Q9NYW6</v>
      </c>
      <c r="C2630" t="s">
        <v>25918</v>
      </c>
      <c r="D2630" t="s">
        <v>25919</v>
      </c>
      <c r="E2630" t="s">
        <v>39</v>
      </c>
      <c r="F2630" t="s">
        <v>40</v>
      </c>
      <c r="H2630">
        <v>316</v>
      </c>
      <c r="I2630">
        <v>7</v>
      </c>
      <c r="J2630">
        <v>0</v>
      </c>
      <c r="K2630" t="s">
        <v>25920</v>
      </c>
      <c r="L2630" t="s">
        <v>57</v>
      </c>
      <c r="N2630">
        <v>0.66869999999999996</v>
      </c>
      <c r="O2630" s="1">
        <v>2</v>
      </c>
      <c r="P2630" t="s">
        <v>25921</v>
      </c>
      <c r="Q2630" t="s">
        <v>25922</v>
      </c>
      <c r="S2630" t="s">
        <v>166</v>
      </c>
      <c r="T2630" t="s">
        <v>11156</v>
      </c>
      <c r="U2630" t="s">
        <v>25923</v>
      </c>
      <c r="V2630">
        <v>1</v>
      </c>
      <c r="Y2630">
        <v>121</v>
      </c>
      <c r="AE2630" t="s">
        <v>48</v>
      </c>
      <c r="AF2630" t="s">
        <v>25924</v>
      </c>
      <c r="AG2630" t="s">
        <v>25925</v>
      </c>
      <c r="AH2630" t="str">
        <f>HYPERLINK("http://compartments.jensenlab.org/Entity?figures=subcell_cell_%&amp;knowledge=10&amp;textmining=10&amp;experiments=10&amp;predictions=10&amp;type1=9606&amp;type2=-22&amp;id1=ENSP00000247879","link")</f>
        <v>link</v>
      </c>
      <c r="AJ2630" t="s">
        <v>51</v>
      </c>
      <c r="AK2630" t="str">
        <f>HYPERLINK("http://www.proteinatlas.org/Q9NYW6","no")</f>
        <v>no</v>
      </c>
      <c r="AM2630">
        <v>50831</v>
      </c>
    </row>
    <row r="2631" spans="1:39" x14ac:dyDescent="0.35">
      <c r="A2631" t="s">
        <v>25926</v>
      </c>
      <c r="B2631" t="str">
        <f>HYPERLINK("http://www.uniprot.org/uniprot/Q9NYW7","Q9NYW7")</f>
        <v>Q9NYW7</v>
      </c>
      <c r="C2631" t="s">
        <v>25927</v>
      </c>
      <c r="D2631" t="s">
        <v>25928</v>
      </c>
      <c r="E2631" t="s">
        <v>39</v>
      </c>
      <c r="F2631" t="s">
        <v>40</v>
      </c>
      <c r="H2631">
        <v>299</v>
      </c>
      <c r="I2631">
        <v>7</v>
      </c>
      <c r="J2631">
        <v>0</v>
      </c>
      <c r="K2631" t="s">
        <v>25929</v>
      </c>
      <c r="L2631" t="s">
        <v>57</v>
      </c>
      <c r="N2631">
        <v>0.73250000000000004</v>
      </c>
      <c r="O2631" s="1">
        <v>2</v>
      </c>
      <c r="P2631" t="s">
        <v>25930</v>
      </c>
      <c r="Q2631" t="s">
        <v>25931</v>
      </c>
      <c r="S2631" t="s">
        <v>166</v>
      </c>
      <c r="T2631" t="s">
        <v>11156</v>
      </c>
      <c r="U2631">
        <v>163</v>
      </c>
      <c r="V2631">
        <v>1</v>
      </c>
      <c r="AE2631" t="s">
        <v>48</v>
      </c>
      <c r="AF2631" t="s">
        <v>11158</v>
      </c>
      <c r="AG2631" t="s">
        <v>25932</v>
      </c>
      <c r="AH2631" t="str">
        <f>HYPERLINK("http://compartments.jensenlab.org/Entity?figures=subcell_cell_%&amp;knowledge=10&amp;textmining=10&amp;experiments=10&amp;predictions=10&amp;type1=9606&amp;type2=-22&amp;id1=ENSP00000371932","link")</f>
        <v>link</v>
      </c>
      <c r="AJ2631" t="s">
        <v>51</v>
      </c>
      <c r="AK2631" t="str">
        <f>HYPERLINK("http://www.proteinatlas.org/Q9NYW7","HPA051879")</f>
        <v>HPA051879</v>
      </c>
      <c r="AM2631">
        <v>50834</v>
      </c>
    </row>
    <row r="2632" spans="1:39" x14ac:dyDescent="0.35">
      <c r="A2632" t="s">
        <v>25933</v>
      </c>
      <c r="B2632" t="str">
        <f>HYPERLINK("http://www.uniprot.org/uniprot/Q9NYX4","Q9NYX4")</f>
        <v>Q9NYX4</v>
      </c>
      <c r="C2632" t="s">
        <v>25934</v>
      </c>
      <c r="D2632" t="s">
        <v>25935</v>
      </c>
      <c r="E2632" t="s">
        <v>39</v>
      </c>
      <c r="F2632" t="s">
        <v>55</v>
      </c>
      <c r="H2632">
        <v>217</v>
      </c>
      <c r="I2632">
        <v>1</v>
      </c>
      <c r="J2632">
        <v>0</v>
      </c>
      <c r="K2632" t="s">
        <v>25936</v>
      </c>
      <c r="L2632" t="s">
        <v>57</v>
      </c>
      <c r="M2632" t="s">
        <v>39</v>
      </c>
      <c r="N2632">
        <v>0.30409999999999998</v>
      </c>
      <c r="O2632" s="1"/>
      <c r="P2632" t="s">
        <v>25937</v>
      </c>
      <c r="Q2632" t="s">
        <v>25938</v>
      </c>
      <c r="S2632" t="s">
        <v>60</v>
      </c>
      <c r="T2632" t="s">
        <v>60</v>
      </c>
      <c r="U2632">
        <v>73</v>
      </c>
      <c r="V2632">
        <v>1</v>
      </c>
      <c r="AE2632" t="s">
        <v>25939</v>
      </c>
      <c r="AF2632" t="s">
        <v>25940</v>
      </c>
      <c r="AG2632" t="s">
        <v>25941</v>
      </c>
      <c r="AH2632" t="str">
        <f>HYPERLINK("http://compartments.jensenlab.org/Entity?figures=subcell_cell_%&amp;knowledge=10&amp;textmining=10&amp;experiments=10&amp;predictions=10&amp;type1=9606&amp;type2=-22&amp;id1=ENSP00000252939","link")</f>
        <v>link</v>
      </c>
      <c r="AI2632" t="s">
        <v>65</v>
      </c>
      <c r="AJ2632" t="s">
        <v>51</v>
      </c>
      <c r="AK2632" t="str">
        <f>HYPERLINK("http://www.proteinatlas.org/Q9NYX4","HPA042283")</f>
        <v>HPA042283</v>
      </c>
      <c r="AL2632" t="s">
        <v>25942</v>
      </c>
      <c r="AM2632">
        <v>50632</v>
      </c>
    </row>
    <row r="2633" spans="1:39" x14ac:dyDescent="0.35">
      <c r="A2633" t="s">
        <v>25943</v>
      </c>
      <c r="B2633" t="str">
        <f>HYPERLINK("http://www.uniprot.org/uniprot/Q9NYZ4","Q9NYZ4")</f>
        <v>Q9NYZ4</v>
      </c>
      <c r="C2633" t="s">
        <v>25944</v>
      </c>
      <c r="D2633" t="s">
        <v>25945</v>
      </c>
      <c r="E2633" t="s">
        <v>39</v>
      </c>
      <c r="F2633" t="s">
        <v>40</v>
      </c>
      <c r="H2633">
        <v>499</v>
      </c>
      <c r="I2633">
        <v>1</v>
      </c>
      <c r="J2633">
        <v>1</v>
      </c>
      <c r="K2633" t="s">
        <v>25946</v>
      </c>
      <c r="L2633" t="s">
        <v>57</v>
      </c>
      <c r="N2633">
        <v>0.94010000000000005</v>
      </c>
      <c r="O2633" s="1">
        <v>1</v>
      </c>
      <c r="P2633" t="s">
        <v>25947</v>
      </c>
      <c r="Q2633" t="s">
        <v>25948</v>
      </c>
      <c r="R2633" t="s">
        <v>25949</v>
      </c>
      <c r="S2633" t="s">
        <v>91</v>
      </c>
      <c r="T2633" t="s">
        <v>555</v>
      </c>
      <c r="U2633" t="s">
        <v>25950</v>
      </c>
      <c r="V2633">
        <v>3</v>
      </c>
      <c r="AE2633" t="s">
        <v>144</v>
      </c>
      <c r="AF2633" t="s">
        <v>25951</v>
      </c>
      <c r="AG2633" t="s">
        <v>25952</v>
      </c>
      <c r="AH2633" t="str">
        <f>HYPERLINK("http://compartments.jensenlab.org/Entity?figures=subcell_cell_%&amp;knowledge=10&amp;textmining=10&amp;experiments=10&amp;predictions=10&amp;type1=9606&amp;type2=-22&amp;id1=ENSP00000321077","link")</f>
        <v>link</v>
      </c>
      <c r="AJ2633" t="s">
        <v>51</v>
      </c>
      <c r="AK2633" t="str">
        <f>HYPERLINK("http://www.proteinatlas.org/Q9NYZ4","HPA012556")</f>
        <v>HPA012556</v>
      </c>
      <c r="AM2633">
        <v>27181</v>
      </c>
    </row>
    <row r="2634" spans="1:39" x14ac:dyDescent="0.35">
      <c r="A2634" t="s">
        <v>25953</v>
      </c>
      <c r="B2634" t="str">
        <f>HYPERLINK("http://www.uniprot.org/uniprot/Q9NZ53","Q9NZ53")</f>
        <v>Q9NZ53</v>
      </c>
      <c r="C2634" t="s">
        <v>25954</v>
      </c>
      <c r="D2634" t="s">
        <v>25955</v>
      </c>
      <c r="E2634" t="s">
        <v>39</v>
      </c>
      <c r="F2634" t="s">
        <v>40</v>
      </c>
      <c r="H2634">
        <v>605</v>
      </c>
      <c r="I2634">
        <v>1</v>
      </c>
      <c r="J2634">
        <v>1</v>
      </c>
      <c r="K2634" t="s">
        <v>25956</v>
      </c>
      <c r="L2634" t="s">
        <v>101</v>
      </c>
      <c r="N2634">
        <v>0.91220000000000001</v>
      </c>
      <c r="O2634" s="1">
        <v>1</v>
      </c>
      <c r="P2634" t="s">
        <v>25957</v>
      </c>
      <c r="Q2634" t="s">
        <v>25958</v>
      </c>
      <c r="S2634" t="s">
        <v>60</v>
      </c>
      <c r="T2634" t="s">
        <v>60</v>
      </c>
      <c r="U2634" t="s">
        <v>25959</v>
      </c>
      <c r="V2634">
        <v>4</v>
      </c>
      <c r="W2634" t="s">
        <v>25960</v>
      </c>
      <c r="Z2634" t="s">
        <v>107</v>
      </c>
      <c r="AA2634">
        <v>1</v>
      </c>
      <c r="AB2634" t="s">
        <v>25961</v>
      </c>
      <c r="AC2634">
        <v>480</v>
      </c>
      <c r="AD2634" t="s">
        <v>25962</v>
      </c>
      <c r="AE2634" t="s">
        <v>144</v>
      </c>
      <c r="AF2634" t="s">
        <v>25963</v>
      </c>
      <c r="AG2634" t="s">
        <v>25964</v>
      </c>
      <c r="AH2634" t="str">
        <f>HYPERLINK("http://compartments.jensenlab.org/Entity?figures=subcell_cell_%&amp;knowledge=10&amp;textmining=10&amp;experiments=10&amp;predictions=10&amp;type1=9606&amp;type2=-22&amp;id1=ENSP00000345359","link")</f>
        <v>link</v>
      </c>
      <c r="AJ2634" t="s">
        <v>51</v>
      </c>
      <c r="AK2634" t="str">
        <f>HYPERLINK("http://www.proteinatlas.org/Q9NZ53","CAB024934;HPA042265")</f>
        <v>CAB024934;HPA042265</v>
      </c>
      <c r="AM2634">
        <v>50512</v>
      </c>
    </row>
    <row r="2635" spans="1:39" x14ac:dyDescent="0.35">
      <c r="A2635" t="s">
        <v>25965</v>
      </c>
      <c r="B2635" t="str">
        <f>HYPERLINK("http://www.uniprot.org/uniprot/Q9NZ94","Q9NZ94")</f>
        <v>Q9NZ94</v>
      </c>
      <c r="C2635" t="s">
        <v>25966</v>
      </c>
      <c r="D2635" t="s">
        <v>25967</v>
      </c>
      <c r="E2635" t="s">
        <v>39</v>
      </c>
      <c r="F2635" t="s">
        <v>40</v>
      </c>
      <c r="H2635">
        <v>848</v>
      </c>
      <c r="I2635">
        <v>1</v>
      </c>
      <c r="J2635">
        <v>1</v>
      </c>
      <c r="K2635" t="s">
        <v>25968</v>
      </c>
      <c r="L2635" t="s">
        <v>57</v>
      </c>
      <c r="N2635">
        <v>0.79239999999999999</v>
      </c>
      <c r="O2635" s="1">
        <v>1</v>
      </c>
      <c r="P2635" t="s">
        <v>25969</v>
      </c>
      <c r="Q2635" t="s">
        <v>25970</v>
      </c>
      <c r="S2635" t="s">
        <v>91</v>
      </c>
      <c r="T2635" t="s">
        <v>17600</v>
      </c>
      <c r="U2635" t="s">
        <v>25971</v>
      </c>
      <c r="V2635">
        <v>2</v>
      </c>
      <c r="W2635" t="s">
        <v>25971</v>
      </c>
      <c r="AE2635" t="s">
        <v>11111</v>
      </c>
      <c r="AF2635" t="s">
        <v>25972</v>
      </c>
      <c r="AG2635" t="s">
        <v>25973</v>
      </c>
      <c r="AH2635" t="str">
        <f>HYPERLINK("http://compartments.jensenlab.org/Entity?figures=subcell_cell_%&amp;knowledge=10&amp;textmining=10&amp;experiments=10&amp;predictions=10&amp;type1=9606&amp;type2=-22&amp;id1=ENSP00000351591","link")</f>
        <v>link</v>
      </c>
      <c r="AK2635" t="str">
        <f>HYPERLINK("http://www.proteinatlas.org/Q9NZ94","HPA003183")</f>
        <v>HPA003183</v>
      </c>
      <c r="AM2635">
        <v>54413</v>
      </c>
    </row>
    <row r="2636" spans="1:39" x14ac:dyDescent="0.35">
      <c r="A2636" t="s">
        <v>25974</v>
      </c>
      <c r="B2636" t="str">
        <f>HYPERLINK("http://www.uniprot.org/uniprot/Q9NZC2","Q9NZC2")</f>
        <v>Q9NZC2</v>
      </c>
      <c r="C2636" t="s">
        <v>25975</v>
      </c>
      <c r="D2636" t="s">
        <v>25976</v>
      </c>
      <c r="E2636" t="s">
        <v>39</v>
      </c>
      <c r="F2636" t="s">
        <v>40</v>
      </c>
      <c r="H2636">
        <v>230</v>
      </c>
      <c r="I2636">
        <v>1</v>
      </c>
      <c r="J2636">
        <v>1</v>
      </c>
      <c r="K2636" t="s">
        <v>25977</v>
      </c>
      <c r="L2636" t="s">
        <v>57</v>
      </c>
      <c r="N2636">
        <v>0.90620000000000001</v>
      </c>
      <c r="O2636" s="1">
        <v>1</v>
      </c>
      <c r="P2636" t="s">
        <v>25978</v>
      </c>
      <c r="Q2636" t="s">
        <v>25979</v>
      </c>
      <c r="S2636" t="s">
        <v>166</v>
      </c>
      <c r="T2636" t="s">
        <v>14741</v>
      </c>
      <c r="U2636" t="s">
        <v>25980</v>
      </c>
      <c r="V2636">
        <v>2</v>
      </c>
      <c r="W2636" t="s">
        <v>25980</v>
      </c>
      <c r="X2636" t="s">
        <v>25981</v>
      </c>
      <c r="AE2636" t="s">
        <v>1700</v>
      </c>
      <c r="AF2636" t="s">
        <v>25982</v>
      </c>
      <c r="AG2636" t="s">
        <v>25983</v>
      </c>
      <c r="AH2636" t="str">
        <f>HYPERLINK("http://compartments.jensenlab.org/Entity?figures=subcell_cell_%&amp;knowledge=10&amp;textmining=10&amp;experiments=10&amp;predictions=10&amp;type1=9606&amp;type2=-22&amp;id1=ENSP00000362205","link")</f>
        <v>link</v>
      </c>
      <c r="AI2636" t="s">
        <v>65</v>
      </c>
      <c r="AJ2636" t="s">
        <v>902</v>
      </c>
      <c r="AK2636" t="str">
        <f>HYPERLINK("http://www.proteinatlas.org/Q9NZC2","HPA010917;HPA012571")</f>
        <v>HPA010917;HPA012571</v>
      </c>
      <c r="AM2636">
        <v>54209</v>
      </c>
    </row>
    <row r="2637" spans="1:39" x14ac:dyDescent="0.35">
      <c r="A2637" t="s">
        <v>25984</v>
      </c>
      <c r="B2637" t="str">
        <f>HYPERLINK("http://www.uniprot.org/uniprot/Q9NZD1","Q9NZD1")</f>
        <v>Q9NZD1</v>
      </c>
      <c r="C2637" t="s">
        <v>25985</v>
      </c>
      <c r="D2637" t="s">
        <v>25986</v>
      </c>
      <c r="E2637" t="s">
        <v>39</v>
      </c>
      <c r="F2637" t="s">
        <v>55</v>
      </c>
      <c r="H2637">
        <v>345</v>
      </c>
      <c r="I2637">
        <v>7</v>
      </c>
      <c r="J2637">
        <v>0</v>
      </c>
      <c r="K2637" t="s">
        <v>25987</v>
      </c>
      <c r="L2637" t="s">
        <v>57</v>
      </c>
      <c r="M2637" t="s">
        <v>39</v>
      </c>
      <c r="N2637">
        <v>0.83779999999999999</v>
      </c>
      <c r="O2637" s="1">
        <v>1</v>
      </c>
      <c r="P2637" t="s">
        <v>25988</v>
      </c>
      <c r="Q2637" t="s">
        <v>25989</v>
      </c>
      <c r="S2637" t="s">
        <v>166</v>
      </c>
      <c r="T2637" t="s">
        <v>874</v>
      </c>
      <c r="U2637">
        <v>160</v>
      </c>
      <c r="V2637">
        <v>1</v>
      </c>
      <c r="Y2637">
        <v>217</v>
      </c>
      <c r="AE2637" t="s">
        <v>74</v>
      </c>
      <c r="AF2637" t="s">
        <v>25990</v>
      </c>
      <c r="AG2637" t="s">
        <v>25991</v>
      </c>
      <c r="AH2637" t="str">
        <f>HYPERLINK("http://compartments.jensenlab.org/Entity?figures=subcell_cell_%&amp;knowledge=10&amp;textmining=10&amp;experiments=10&amp;predictions=10&amp;type1=9606&amp;type2=-22&amp;id1=ENSP00000228887","link")</f>
        <v>link</v>
      </c>
      <c r="AI2637" t="s">
        <v>65</v>
      </c>
      <c r="AJ2637" t="s">
        <v>51</v>
      </c>
      <c r="AK2637" t="str">
        <f>HYPERLINK("http://www.proteinatlas.org/Q9NZD1","no")</f>
        <v>no</v>
      </c>
      <c r="AM2637">
        <v>55507</v>
      </c>
    </row>
    <row r="2638" spans="1:39" x14ac:dyDescent="0.35">
      <c r="A2638" t="s">
        <v>25992</v>
      </c>
      <c r="B2638" t="str">
        <f>HYPERLINK("http://www.uniprot.org/uniprot/Q9NZH0","Q9NZH0")</f>
        <v>Q9NZH0</v>
      </c>
      <c r="C2638" t="s">
        <v>25993</v>
      </c>
      <c r="D2638" t="s">
        <v>25994</v>
      </c>
      <c r="E2638" t="s">
        <v>39</v>
      </c>
      <c r="F2638" t="s">
        <v>40</v>
      </c>
      <c r="H2638">
        <v>403</v>
      </c>
      <c r="I2638">
        <v>7</v>
      </c>
      <c r="J2638">
        <v>1</v>
      </c>
      <c r="K2638" t="s">
        <v>25995</v>
      </c>
      <c r="L2638" t="s">
        <v>57</v>
      </c>
      <c r="N2638">
        <v>0.61680000000000001</v>
      </c>
      <c r="O2638" s="1">
        <v>2</v>
      </c>
      <c r="P2638" t="s">
        <v>25996</v>
      </c>
      <c r="Q2638" t="s">
        <v>25997</v>
      </c>
      <c r="S2638" t="s">
        <v>166</v>
      </c>
      <c r="T2638" t="s">
        <v>874</v>
      </c>
      <c r="U2638" t="s">
        <v>25998</v>
      </c>
      <c r="V2638">
        <v>0</v>
      </c>
      <c r="W2638" t="s">
        <v>25998</v>
      </c>
      <c r="Y2638">
        <v>247</v>
      </c>
      <c r="AE2638" t="s">
        <v>25999</v>
      </c>
      <c r="AF2638" t="s">
        <v>25258</v>
      </c>
      <c r="AG2638" t="s">
        <v>26000</v>
      </c>
      <c r="AH2638" t="str">
        <f>HYPERLINK("http://compartments.jensenlab.org/Entity?figures=subcell_cell_%&amp;knowledge=10&amp;textmining=10&amp;experiments=10&amp;predictions=10&amp;type1=9606&amp;type2=-22&amp;id1=ENSP00000300571","link")</f>
        <v>link</v>
      </c>
      <c r="AI2638" t="s">
        <v>65</v>
      </c>
      <c r="AJ2638" t="s">
        <v>8448</v>
      </c>
      <c r="AK2638" t="str">
        <f>HYPERLINK("http://www.proteinatlas.org/Q9NZH0","HPA015247")</f>
        <v>HPA015247</v>
      </c>
      <c r="AM2638">
        <v>51704</v>
      </c>
    </row>
    <row r="2639" spans="1:39" x14ac:dyDescent="0.35">
      <c r="A2639" t="s">
        <v>26001</v>
      </c>
      <c r="B2639" t="str">
        <f>HYPERLINK("http://www.uniprot.org/uniprot/Q9NZM1","Q9NZM1")</f>
        <v>Q9NZM1</v>
      </c>
      <c r="C2639" t="s">
        <v>26002</v>
      </c>
      <c r="D2639" t="s">
        <v>26003</v>
      </c>
      <c r="E2639" t="s">
        <v>39</v>
      </c>
      <c r="F2639" t="s">
        <v>55</v>
      </c>
      <c r="H2639">
        <v>2061</v>
      </c>
      <c r="I2639">
        <v>3</v>
      </c>
      <c r="J2639">
        <v>0</v>
      </c>
      <c r="K2639" t="s">
        <v>26004</v>
      </c>
      <c r="L2639" t="s">
        <v>3024</v>
      </c>
      <c r="M2639" t="s">
        <v>39</v>
      </c>
      <c r="N2639">
        <v>0.15709999999999999</v>
      </c>
      <c r="O2639" s="1"/>
      <c r="P2639" t="s">
        <v>26005</v>
      </c>
      <c r="Q2639" t="s">
        <v>26006</v>
      </c>
      <c r="S2639" t="s">
        <v>91</v>
      </c>
      <c r="T2639" t="s">
        <v>26007</v>
      </c>
      <c r="U2639" t="s">
        <v>26008</v>
      </c>
      <c r="V2639">
        <v>5</v>
      </c>
      <c r="Z2639" t="s">
        <v>107</v>
      </c>
      <c r="AA2639">
        <v>1</v>
      </c>
      <c r="AB2639" t="s">
        <v>26009</v>
      </c>
      <c r="AC2639">
        <v>1754</v>
      </c>
      <c r="AD2639" t="s">
        <v>26010</v>
      </c>
      <c r="AE2639" t="s">
        <v>26011</v>
      </c>
      <c r="AF2639" t="s">
        <v>26012</v>
      </c>
      <c r="AG2639" t="s">
        <v>26013</v>
      </c>
      <c r="AH2639" t="str">
        <f>HYPERLINK("http://compartments.jensenlab.org/Entity?figures=subcell_cell_%&amp;knowledge=10&amp;textmining=10&amp;experiments=10&amp;predictions=10&amp;type1=9606&amp;type2=-22&amp;id1=ENSP00000352208","link")</f>
        <v>link</v>
      </c>
      <c r="AI2639" t="s">
        <v>7719</v>
      </c>
      <c r="AJ2639" t="s">
        <v>2873</v>
      </c>
      <c r="AK2639" t="str">
        <f>HYPERLINK("http://www.proteinatlas.org/Q9NZM1","HPA014245")</f>
        <v>HPA014245</v>
      </c>
      <c r="AM2639">
        <v>26509</v>
      </c>
    </row>
    <row r="2640" spans="1:39" x14ac:dyDescent="0.35">
      <c r="A2640" t="s">
        <v>26014</v>
      </c>
      <c r="B2640" t="str">
        <f>HYPERLINK("http://www.uniprot.org/uniprot/Q9NZN1","Q9NZN1")</f>
        <v>Q9NZN1</v>
      </c>
      <c r="C2640" t="s">
        <v>26015</v>
      </c>
      <c r="D2640" t="s">
        <v>26016</v>
      </c>
      <c r="E2640" t="s">
        <v>39</v>
      </c>
      <c r="F2640" t="s">
        <v>40</v>
      </c>
      <c r="H2640">
        <v>696</v>
      </c>
      <c r="I2640">
        <v>1</v>
      </c>
      <c r="J2640">
        <v>1</v>
      </c>
      <c r="K2640" t="s">
        <v>26017</v>
      </c>
      <c r="L2640" t="s">
        <v>57</v>
      </c>
      <c r="N2640">
        <v>0.86029999999999995</v>
      </c>
      <c r="O2640" s="1">
        <v>1</v>
      </c>
      <c r="P2640" t="s">
        <v>26018</v>
      </c>
      <c r="Q2640" t="s">
        <v>26019</v>
      </c>
      <c r="S2640" t="s">
        <v>166</v>
      </c>
      <c r="T2640" t="s">
        <v>3171</v>
      </c>
      <c r="U2640" t="s">
        <v>26020</v>
      </c>
      <c r="V2640">
        <v>6</v>
      </c>
      <c r="W2640" t="s">
        <v>26020</v>
      </c>
      <c r="AE2640" t="s">
        <v>26021</v>
      </c>
      <c r="AF2640" t="s">
        <v>26022</v>
      </c>
      <c r="AG2640" t="s">
        <v>26023</v>
      </c>
      <c r="AH2640" t="str">
        <f>HYPERLINK("http://compartments.jensenlab.org/Entity?figures=subcell_cell_%&amp;knowledge=10&amp;textmining=10&amp;experiments=10&amp;predictions=10&amp;type1=9606&amp;type2=-22&amp;id1=ENSP00000368278","link")</f>
        <v>link</v>
      </c>
      <c r="AK2640" t="str">
        <f>HYPERLINK("http://www.proteinatlas.org/Q9NZN1","HPA000564")</f>
        <v>HPA000564</v>
      </c>
      <c r="AM2640">
        <v>11141</v>
      </c>
    </row>
    <row r="2641" spans="1:39" x14ac:dyDescent="0.35">
      <c r="A2641" t="s">
        <v>26024</v>
      </c>
      <c r="B2641" t="str">
        <f>HYPERLINK("http://www.uniprot.org/uniprot/Q9NZP0","Q9NZP0")</f>
        <v>Q9NZP0</v>
      </c>
      <c r="C2641" t="s">
        <v>26025</v>
      </c>
      <c r="D2641" t="s">
        <v>26026</v>
      </c>
      <c r="E2641" t="s">
        <v>39</v>
      </c>
      <c r="F2641" t="s">
        <v>55</v>
      </c>
      <c r="H2641">
        <v>311</v>
      </c>
      <c r="I2641">
        <v>7</v>
      </c>
      <c r="J2641">
        <v>0</v>
      </c>
      <c r="K2641" t="s">
        <v>26027</v>
      </c>
      <c r="L2641" t="s">
        <v>57</v>
      </c>
      <c r="M2641" t="s">
        <v>39</v>
      </c>
      <c r="N2641">
        <v>0.9204</v>
      </c>
      <c r="O2641" s="1">
        <v>1</v>
      </c>
      <c r="P2641" t="s">
        <v>26028</v>
      </c>
      <c r="Q2641" t="s">
        <v>26029</v>
      </c>
      <c r="S2641" t="s">
        <v>166</v>
      </c>
      <c r="T2641" t="s">
        <v>167</v>
      </c>
      <c r="U2641" t="s">
        <v>26030</v>
      </c>
      <c r="V2641">
        <v>2</v>
      </c>
      <c r="AE2641" t="s">
        <v>74</v>
      </c>
      <c r="AF2641" t="s">
        <v>169</v>
      </c>
      <c r="AG2641" t="s">
        <v>26031</v>
      </c>
      <c r="AH2641" t="str">
        <f>HYPERLINK("http://compartments.jensenlab.org/Entity?figures=subcell_cell_%&amp;knowledge=10&amp;textmining=10&amp;experiments=10&amp;predictions=10&amp;type1=9606&amp;type2=-22&amp;id1=ENSP00000368989","link")</f>
        <v>link</v>
      </c>
      <c r="AI2641" t="s">
        <v>65</v>
      </c>
      <c r="AJ2641" t="s">
        <v>51</v>
      </c>
      <c r="AK2641" t="str">
        <f>HYPERLINK("http://www.proteinatlas.org/Q9NZP0","no")</f>
        <v>no</v>
      </c>
      <c r="AM2641">
        <v>254786</v>
      </c>
    </row>
    <row r="2642" spans="1:39" x14ac:dyDescent="0.35">
      <c r="A2642" t="s">
        <v>26032</v>
      </c>
      <c r="B2642" t="str">
        <f>HYPERLINK("http://www.uniprot.org/uniprot/Q9NZP2","Q9NZP2")</f>
        <v>Q9NZP2</v>
      </c>
      <c r="C2642" t="s">
        <v>26033</v>
      </c>
      <c r="D2642" t="s">
        <v>26034</v>
      </c>
      <c r="E2642" t="s">
        <v>39</v>
      </c>
      <c r="F2642" t="s">
        <v>55</v>
      </c>
      <c r="H2642">
        <v>312</v>
      </c>
      <c r="I2642">
        <v>7</v>
      </c>
      <c r="J2642">
        <v>0</v>
      </c>
      <c r="K2642" t="s">
        <v>26035</v>
      </c>
      <c r="L2642" t="s">
        <v>57</v>
      </c>
      <c r="M2642" t="s">
        <v>39</v>
      </c>
      <c r="N2642">
        <v>0.98399999999999999</v>
      </c>
      <c r="O2642" s="1">
        <v>1</v>
      </c>
      <c r="P2642" t="s">
        <v>26036</v>
      </c>
      <c r="Q2642" t="s">
        <v>26037</v>
      </c>
      <c r="S2642" t="s">
        <v>166</v>
      </c>
      <c r="T2642" t="s">
        <v>167</v>
      </c>
      <c r="U2642" t="s">
        <v>26038</v>
      </c>
      <c r="V2642">
        <v>2</v>
      </c>
      <c r="AE2642" t="s">
        <v>74</v>
      </c>
      <c r="AF2642" t="s">
        <v>169</v>
      </c>
      <c r="AG2642" t="s">
        <v>26039</v>
      </c>
      <c r="AH2642" t="str">
        <f>HYPERLINK("http://compartments.jensenlab.org/Entity?figures=subcell_cell_%&amp;knowledge=10&amp;textmining=10&amp;experiments=10&amp;predictions=10&amp;type1=9606&amp;type2=-22&amp;id1=ENSP00000323606","link")</f>
        <v>link</v>
      </c>
      <c r="AI2642" t="s">
        <v>65</v>
      </c>
      <c r="AJ2642" t="s">
        <v>51</v>
      </c>
      <c r="AK2642" t="str">
        <f>HYPERLINK("http://www.proteinatlas.org/Q9NZP2","no")</f>
        <v>no</v>
      </c>
      <c r="AM2642">
        <v>341416</v>
      </c>
    </row>
    <row r="2643" spans="1:39" x14ac:dyDescent="0.35">
      <c r="A2643" t="s">
        <v>26040</v>
      </c>
      <c r="B2643" t="str">
        <f>HYPERLINK("http://www.uniprot.org/uniprot/Q9NZP5","Q9NZP5")</f>
        <v>Q9NZP5</v>
      </c>
      <c r="C2643" t="s">
        <v>26041</v>
      </c>
      <c r="D2643" t="s">
        <v>26042</v>
      </c>
      <c r="E2643" t="s">
        <v>39</v>
      </c>
      <c r="F2643" t="s">
        <v>55</v>
      </c>
      <c r="H2643">
        <v>309</v>
      </c>
      <c r="I2643">
        <v>7</v>
      </c>
      <c r="J2643">
        <v>0</v>
      </c>
      <c r="K2643" t="s">
        <v>26043</v>
      </c>
      <c r="L2643" t="s">
        <v>57</v>
      </c>
      <c r="N2643">
        <v>0.99199999999999999</v>
      </c>
      <c r="O2643" s="1">
        <v>1</v>
      </c>
      <c r="P2643" t="s">
        <v>26044</v>
      </c>
      <c r="Q2643" t="s">
        <v>26045</v>
      </c>
      <c r="S2643" t="s">
        <v>166</v>
      </c>
      <c r="T2643" t="s">
        <v>167</v>
      </c>
      <c r="U2643">
        <v>7</v>
      </c>
      <c r="V2643">
        <v>1</v>
      </c>
      <c r="AE2643" t="s">
        <v>74</v>
      </c>
      <c r="AF2643" t="s">
        <v>169</v>
      </c>
      <c r="AG2643" t="s">
        <v>26046</v>
      </c>
      <c r="AH2643" t="str">
        <f>HYPERLINK("http://compartments.jensenlab.org/Entity?figures=subcell_cell_%&amp;knowledge=10&amp;textmining=10&amp;experiments=10&amp;predictions=10&amp;type1=9606&amp;type2=-22&amp;id1=ENSP00000351466","link")</f>
        <v>link</v>
      </c>
      <c r="AI2643" t="s">
        <v>65</v>
      </c>
      <c r="AJ2643" t="s">
        <v>51</v>
      </c>
      <c r="AK2643" t="str">
        <f>HYPERLINK("http://www.proteinatlas.org/Q9NZP5","no")</f>
        <v>no</v>
      </c>
      <c r="AM2643">
        <v>81050</v>
      </c>
    </row>
    <row r="2644" spans="1:39" x14ac:dyDescent="0.35">
      <c r="A2644" t="s">
        <v>26047</v>
      </c>
      <c r="B2644" t="str">
        <f>HYPERLINK("http://www.uniprot.org/uniprot/Q9NZQ7","Q9NZQ7")</f>
        <v>Q9NZQ7</v>
      </c>
      <c r="C2644" t="s">
        <v>26048</v>
      </c>
      <c r="D2644" t="s">
        <v>26049</v>
      </c>
      <c r="E2644" t="s">
        <v>39</v>
      </c>
      <c r="F2644" t="s">
        <v>55</v>
      </c>
      <c r="H2644">
        <v>290</v>
      </c>
      <c r="I2644">
        <v>1</v>
      </c>
      <c r="J2644">
        <v>1</v>
      </c>
      <c r="K2644" t="s">
        <v>26050</v>
      </c>
      <c r="L2644" t="s">
        <v>101</v>
      </c>
      <c r="M2644" t="s">
        <v>39</v>
      </c>
      <c r="N2644">
        <v>0.90669999999999995</v>
      </c>
      <c r="O2644" s="1">
        <v>1</v>
      </c>
      <c r="P2644" t="s">
        <v>26051</v>
      </c>
      <c r="Q2644" t="s">
        <v>26052</v>
      </c>
      <c r="R2644" t="s">
        <v>26049</v>
      </c>
      <c r="S2644" t="s">
        <v>60</v>
      </c>
      <c r="T2644" t="s">
        <v>60</v>
      </c>
      <c r="U2644" t="s">
        <v>26053</v>
      </c>
      <c r="V2644">
        <v>4</v>
      </c>
      <c r="W2644" t="s">
        <v>26053</v>
      </c>
      <c r="X2644" t="s">
        <v>26054</v>
      </c>
      <c r="Z2644" t="s">
        <v>107</v>
      </c>
      <c r="AA2644">
        <v>9</v>
      </c>
      <c r="AB2644" t="s">
        <v>26055</v>
      </c>
      <c r="AC2644" t="s">
        <v>26053</v>
      </c>
      <c r="AD2644" t="s">
        <v>26056</v>
      </c>
      <c r="AE2644" t="s">
        <v>1213</v>
      </c>
      <c r="AF2644" t="s">
        <v>26057</v>
      </c>
      <c r="AG2644" t="s">
        <v>26058</v>
      </c>
      <c r="AH2644" t="str">
        <f>HYPERLINK("http://compartments.jensenlab.org/Entity?figures=subcell_cell_%&amp;knowledge=10&amp;textmining=10&amp;experiments=10&amp;predictions=10&amp;type1=9606&amp;type2=-22&amp;id1=ENSP00000370989","link")</f>
        <v>link</v>
      </c>
      <c r="AI2644" t="s">
        <v>65</v>
      </c>
      <c r="AJ2644" t="s">
        <v>51</v>
      </c>
      <c r="AK2644" t="str">
        <f>HYPERLINK("http://www.proteinatlas.org/Q9NZQ7","CAB030018")</f>
        <v>CAB030018</v>
      </c>
      <c r="AM2644">
        <v>29126</v>
      </c>
    </row>
    <row r="2645" spans="1:39" x14ac:dyDescent="0.35">
      <c r="A2645" t="s">
        <v>26059</v>
      </c>
      <c r="B2645" t="str">
        <f>HYPERLINK("http://www.uniprot.org/uniprot/Q9NZR2","Q9NZR2")</f>
        <v>Q9NZR2</v>
      </c>
      <c r="C2645" t="s">
        <v>26060</v>
      </c>
      <c r="D2645" t="s">
        <v>26061</v>
      </c>
      <c r="E2645" t="s">
        <v>39</v>
      </c>
      <c r="F2645" t="s">
        <v>40</v>
      </c>
      <c r="H2645">
        <v>4599</v>
      </c>
      <c r="I2645">
        <v>1</v>
      </c>
      <c r="J2645">
        <v>1</v>
      </c>
      <c r="K2645" t="s">
        <v>26062</v>
      </c>
      <c r="L2645" t="s">
        <v>101</v>
      </c>
      <c r="N2645">
        <v>0.95809999999999995</v>
      </c>
      <c r="O2645" s="1">
        <v>1</v>
      </c>
      <c r="P2645" t="s">
        <v>26063</v>
      </c>
      <c r="Q2645" t="s">
        <v>26064</v>
      </c>
      <c r="S2645" t="s">
        <v>166</v>
      </c>
      <c r="T2645" t="s">
        <v>2518</v>
      </c>
      <c r="U2645" t="s">
        <v>26065</v>
      </c>
      <c r="V2645">
        <v>46</v>
      </c>
      <c r="Y2645" t="s">
        <v>26066</v>
      </c>
      <c r="Z2645" t="s">
        <v>107</v>
      </c>
      <c r="AA2645">
        <v>1</v>
      </c>
      <c r="AB2645" t="s">
        <v>26067</v>
      </c>
      <c r="AC2645">
        <v>3034</v>
      </c>
      <c r="AD2645" t="s">
        <v>26068</v>
      </c>
      <c r="AE2645" t="s">
        <v>144</v>
      </c>
      <c r="AF2645" t="s">
        <v>26069</v>
      </c>
      <c r="AG2645" t="s">
        <v>26070</v>
      </c>
      <c r="AH2645" t="str">
        <f>HYPERLINK("http://compartments.jensenlab.org/Entity?figures=subcell_cell_%&amp;knowledge=10&amp;textmining=10&amp;experiments=10&amp;predictions=10&amp;type1=9606&amp;type2=-22&amp;id1=ENSP00000374135","link")</f>
        <v>link</v>
      </c>
      <c r="AJ2645" t="s">
        <v>51</v>
      </c>
      <c r="AK2645" t="str">
        <f>HYPERLINK("http://www.proteinatlas.org/Q9NZR2","no")</f>
        <v>no</v>
      </c>
      <c r="AM2645">
        <v>53353</v>
      </c>
    </row>
    <row r="2646" spans="1:39" x14ac:dyDescent="0.35">
      <c r="A2646" t="s">
        <v>26071</v>
      </c>
      <c r="B2646" t="str">
        <f>HYPERLINK("http://www.uniprot.org/uniprot/Q9NZS2","Q9NZS2")</f>
        <v>Q9NZS2</v>
      </c>
      <c r="C2646" t="s">
        <v>26072</v>
      </c>
      <c r="D2646" t="s">
        <v>26073</v>
      </c>
      <c r="E2646" t="s">
        <v>39</v>
      </c>
      <c r="F2646" t="s">
        <v>40</v>
      </c>
      <c r="H2646">
        <v>232</v>
      </c>
      <c r="I2646">
        <v>1</v>
      </c>
      <c r="J2646">
        <v>0</v>
      </c>
      <c r="K2646" t="s">
        <v>26074</v>
      </c>
      <c r="L2646" t="s">
        <v>101</v>
      </c>
      <c r="N2646">
        <v>0.79039999999999999</v>
      </c>
      <c r="O2646" s="1">
        <v>1</v>
      </c>
      <c r="P2646" t="s">
        <v>26075</v>
      </c>
      <c r="Q2646" t="s">
        <v>26076</v>
      </c>
      <c r="S2646" t="s">
        <v>166</v>
      </c>
      <c r="T2646" t="s">
        <v>4251</v>
      </c>
      <c r="U2646" t="s">
        <v>26077</v>
      </c>
      <c r="V2646">
        <v>4</v>
      </c>
      <c r="W2646" t="s">
        <v>26078</v>
      </c>
      <c r="Z2646" t="s">
        <v>123</v>
      </c>
      <c r="AA2646">
        <v>2</v>
      </c>
      <c r="AB2646" t="s">
        <v>26079</v>
      </c>
      <c r="AC2646">
        <v>77</v>
      </c>
      <c r="AD2646" t="s">
        <v>26080</v>
      </c>
      <c r="AE2646" t="s">
        <v>359</v>
      </c>
      <c r="AF2646" t="s">
        <v>12132</v>
      </c>
      <c r="AG2646" t="s">
        <v>26081</v>
      </c>
      <c r="AH2646" t="str">
        <f>HYPERLINK("http://compartments.jensenlab.org/Entity?figures=subcell_cell_%&amp;knowledge=10&amp;textmining=10&amp;experiments=10&amp;predictions=10&amp;type1=9606&amp;type2=-22&amp;id1=ENSP00000279545","link")</f>
        <v>link</v>
      </c>
      <c r="AK2646" t="str">
        <f>HYPERLINK("http://www.proteinatlas.org/Q9NZS2","no")</f>
        <v>no</v>
      </c>
      <c r="AM2646">
        <v>51348</v>
      </c>
    </row>
    <row r="2647" spans="1:39" x14ac:dyDescent="0.35">
      <c r="A2647" t="s">
        <v>26082</v>
      </c>
      <c r="B2647" t="str">
        <f>HYPERLINK("http://www.uniprot.org/uniprot/Q9NZU0","Q9NZU0")</f>
        <v>Q9NZU0</v>
      </c>
      <c r="C2647" t="s">
        <v>26083</v>
      </c>
      <c r="D2647" t="s">
        <v>26084</v>
      </c>
      <c r="E2647" t="s">
        <v>39</v>
      </c>
      <c r="F2647" t="s">
        <v>40</v>
      </c>
      <c r="H2647">
        <v>649</v>
      </c>
      <c r="I2647">
        <v>1</v>
      </c>
      <c r="J2647">
        <v>1</v>
      </c>
      <c r="K2647" t="s">
        <v>26085</v>
      </c>
      <c r="L2647" t="s">
        <v>57</v>
      </c>
      <c r="N2647">
        <v>0.98799999999999999</v>
      </c>
      <c r="O2647" s="1">
        <v>1</v>
      </c>
      <c r="P2647" t="s">
        <v>26086</v>
      </c>
      <c r="Q2647" t="s">
        <v>26087</v>
      </c>
      <c r="S2647" t="s">
        <v>91</v>
      </c>
      <c r="T2647" t="s">
        <v>260</v>
      </c>
      <c r="U2647" t="s">
        <v>26088</v>
      </c>
      <c r="V2647">
        <v>3</v>
      </c>
      <c r="W2647" t="s">
        <v>26089</v>
      </c>
      <c r="AE2647" t="s">
        <v>144</v>
      </c>
      <c r="AF2647" t="s">
        <v>26090</v>
      </c>
      <c r="AG2647" t="s">
        <v>26091</v>
      </c>
      <c r="AH2647" t="str">
        <f>HYPERLINK("http://compartments.jensenlab.org/Entity?figures=subcell_cell_%&amp;knowledge=10&amp;textmining=10&amp;experiments=10&amp;predictions=10&amp;type1=9606&amp;type2=-22&amp;id1=ENSP00000339912","link")</f>
        <v>link</v>
      </c>
      <c r="AI2647" t="s">
        <v>1058</v>
      </c>
      <c r="AJ2647" t="s">
        <v>902</v>
      </c>
      <c r="AK2647" t="str">
        <f>HYPERLINK("http://www.proteinatlas.org/Q9NZU0","CAB026166;HPA056033")</f>
        <v>CAB026166;HPA056033</v>
      </c>
      <c r="AM2647">
        <v>23767</v>
      </c>
    </row>
    <row r="2648" spans="1:39" x14ac:dyDescent="0.35">
      <c r="A2648" t="s">
        <v>26092</v>
      </c>
      <c r="B2648" t="str">
        <f>HYPERLINK("http://www.uniprot.org/uniprot/Q9NZU1","Q9NZU1")</f>
        <v>Q9NZU1</v>
      </c>
      <c r="C2648" t="s">
        <v>26093</v>
      </c>
      <c r="D2648" t="s">
        <v>26094</v>
      </c>
      <c r="E2648" t="s">
        <v>39</v>
      </c>
      <c r="F2648" t="s">
        <v>55</v>
      </c>
      <c r="H2648">
        <v>646</v>
      </c>
      <c r="I2648">
        <v>1</v>
      </c>
      <c r="J2648">
        <v>1</v>
      </c>
      <c r="K2648" t="s">
        <v>26095</v>
      </c>
      <c r="L2648" t="s">
        <v>101</v>
      </c>
      <c r="M2648" t="s">
        <v>39</v>
      </c>
      <c r="N2648">
        <v>0.92190000000000005</v>
      </c>
      <c r="O2648" s="1">
        <v>1</v>
      </c>
      <c r="P2648" t="s">
        <v>26096</v>
      </c>
      <c r="Q2648" t="s">
        <v>26097</v>
      </c>
      <c r="S2648" t="s">
        <v>91</v>
      </c>
      <c r="T2648" t="s">
        <v>260</v>
      </c>
      <c r="U2648" t="s">
        <v>26098</v>
      </c>
      <c r="V2648">
        <v>2</v>
      </c>
      <c r="W2648" t="s">
        <v>26099</v>
      </c>
      <c r="Z2648" t="s">
        <v>107</v>
      </c>
      <c r="AA2648">
        <v>2</v>
      </c>
      <c r="AB2648" t="s">
        <v>26100</v>
      </c>
      <c r="AC2648" t="s">
        <v>26099</v>
      </c>
      <c r="AD2648" t="s">
        <v>26101</v>
      </c>
      <c r="AE2648" t="s">
        <v>144</v>
      </c>
      <c r="AF2648" t="s">
        <v>26102</v>
      </c>
      <c r="AG2648" t="s">
        <v>26103</v>
      </c>
      <c r="AH2648" t="str">
        <f>HYPERLINK("http://compartments.jensenlab.org/Entity?figures=subcell_cell_%&amp;knowledge=10&amp;textmining=10&amp;experiments=10&amp;predictions=10&amp;type1=9606&amp;type2=-22&amp;id1=ENSP00000246841","link")</f>
        <v>link</v>
      </c>
      <c r="AI2648" t="s">
        <v>1058</v>
      </c>
      <c r="AJ2648" t="s">
        <v>902</v>
      </c>
      <c r="AK2648" t="str">
        <f>HYPERLINK("http://www.proteinatlas.org/Q9NZU1","HPA054589")</f>
        <v>HPA054589</v>
      </c>
      <c r="AM2648">
        <v>23769</v>
      </c>
    </row>
    <row r="2649" spans="1:39" x14ac:dyDescent="0.35">
      <c r="A2649" t="s">
        <v>26104</v>
      </c>
      <c r="B2649" t="str">
        <f>HYPERLINK("http://www.uniprot.org/uniprot/Q9NZV1","Q9NZV1")</f>
        <v>Q9NZV1</v>
      </c>
      <c r="C2649" t="s">
        <v>26105</v>
      </c>
      <c r="D2649" t="s">
        <v>26106</v>
      </c>
      <c r="E2649" t="s">
        <v>39</v>
      </c>
      <c r="F2649" t="s">
        <v>55</v>
      </c>
      <c r="H2649">
        <v>1036</v>
      </c>
      <c r="I2649">
        <v>1</v>
      </c>
      <c r="J2649">
        <v>1</v>
      </c>
      <c r="K2649" t="s">
        <v>26107</v>
      </c>
      <c r="L2649" t="s">
        <v>101</v>
      </c>
      <c r="M2649" t="s">
        <v>39</v>
      </c>
      <c r="N2649">
        <v>0.92820000000000003</v>
      </c>
      <c r="O2649" s="1">
        <v>1</v>
      </c>
      <c r="P2649" t="s">
        <v>26108</v>
      </c>
      <c r="Q2649" t="s">
        <v>26109</v>
      </c>
      <c r="S2649" t="s">
        <v>60</v>
      </c>
      <c r="T2649" t="s">
        <v>60</v>
      </c>
      <c r="U2649" t="s">
        <v>26110</v>
      </c>
      <c r="V2649">
        <v>5</v>
      </c>
      <c r="W2649" t="s">
        <v>26111</v>
      </c>
      <c r="Y2649" t="s">
        <v>26112</v>
      </c>
      <c r="Z2649" t="s">
        <v>107</v>
      </c>
      <c r="AA2649">
        <v>1</v>
      </c>
      <c r="AB2649" t="s">
        <v>26113</v>
      </c>
      <c r="AC2649">
        <v>71</v>
      </c>
      <c r="AD2649" t="s">
        <v>26114</v>
      </c>
      <c r="AE2649" t="s">
        <v>1250</v>
      </c>
      <c r="AF2649" t="s">
        <v>26115</v>
      </c>
      <c r="AG2649" t="s">
        <v>26116</v>
      </c>
      <c r="AH2649" t="str">
        <f>HYPERLINK("http://compartments.jensenlab.org/Entity?figures=subcell_cell_%&amp;knowledge=10&amp;textmining=10&amp;experiments=10&amp;predictions=10&amp;type1=9606&amp;type2=-22&amp;id1=ENSP00000280527","link")</f>
        <v>link</v>
      </c>
      <c r="AI2649" t="s">
        <v>1058</v>
      </c>
      <c r="AJ2649" t="s">
        <v>902</v>
      </c>
      <c r="AK2649" t="str">
        <f>HYPERLINK("http://www.proteinatlas.org/Q9NZV1","HPA000556")</f>
        <v>HPA000556</v>
      </c>
      <c r="AM2649">
        <v>51232</v>
      </c>
    </row>
    <row r="2650" spans="1:39" x14ac:dyDescent="0.35">
      <c r="A2650" t="s">
        <v>26117</v>
      </c>
      <c r="B2650" t="str">
        <f>HYPERLINK("http://www.uniprot.org/uniprot/Q9P0K1","Q9P0K1")</f>
        <v>Q9P0K1</v>
      </c>
      <c r="C2650" t="s">
        <v>26118</v>
      </c>
      <c r="D2650" t="s">
        <v>26119</v>
      </c>
      <c r="E2650" t="s">
        <v>39</v>
      </c>
      <c r="F2650" t="s">
        <v>40</v>
      </c>
      <c r="H2650">
        <v>906</v>
      </c>
      <c r="I2650">
        <v>1</v>
      </c>
      <c r="J2650">
        <v>1</v>
      </c>
      <c r="K2650" t="s">
        <v>26120</v>
      </c>
      <c r="L2650" t="s">
        <v>101</v>
      </c>
      <c r="N2650">
        <v>0.96809999999999996</v>
      </c>
      <c r="O2650" s="1">
        <v>1</v>
      </c>
      <c r="P2650" t="s">
        <v>26121</v>
      </c>
      <c r="Q2650" t="s">
        <v>26122</v>
      </c>
      <c r="S2650" t="s">
        <v>947</v>
      </c>
      <c r="T2650" t="s">
        <v>1208</v>
      </c>
      <c r="U2650" t="s">
        <v>26123</v>
      </c>
      <c r="V2650">
        <v>6</v>
      </c>
      <c r="Z2650" t="s">
        <v>107</v>
      </c>
      <c r="AA2650">
        <v>3</v>
      </c>
      <c r="AB2650" t="s">
        <v>26124</v>
      </c>
      <c r="AC2650" t="s">
        <v>26125</v>
      </c>
      <c r="AD2650" t="s">
        <v>26126</v>
      </c>
      <c r="AE2650" t="s">
        <v>26127</v>
      </c>
      <c r="AF2650" t="s">
        <v>26128</v>
      </c>
      <c r="AG2650" t="s">
        <v>26129</v>
      </c>
      <c r="AH2650" t="str">
        <f>HYPERLINK("http://compartments.jensenlab.org/Entity?figures=subcell_cell_%&amp;knowledge=10&amp;textmining=10&amp;experiments=10&amp;predictions=10&amp;type1=9606&amp;type2=-22&amp;id1=ENSP00000265727","link")</f>
        <v>link</v>
      </c>
      <c r="AJ2650" t="s">
        <v>51</v>
      </c>
      <c r="AK2650" t="str">
        <f>HYPERLINK("http://www.proteinatlas.org/Q9P0K1","HPA045282")</f>
        <v>HPA045282</v>
      </c>
      <c r="AM2650">
        <v>53616</v>
      </c>
    </row>
    <row r="2651" spans="1:39" x14ac:dyDescent="0.35">
      <c r="A2651" t="s">
        <v>26130</v>
      </c>
      <c r="B2651" t="str">
        <f>HYPERLINK("http://www.uniprot.org/uniprot/Q9P0L9","Q9P0L9")</f>
        <v>Q9P0L9</v>
      </c>
      <c r="C2651" t="s">
        <v>26131</v>
      </c>
      <c r="D2651" t="s">
        <v>26132</v>
      </c>
      <c r="E2651" t="s">
        <v>39</v>
      </c>
      <c r="F2651" t="s">
        <v>40</v>
      </c>
      <c r="H2651">
        <v>805</v>
      </c>
      <c r="I2651">
        <v>6</v>
      </c>
      <c r="J2651">
        <v>0</v>
      </c>
      <c r="K2651" t="s">
        <v>26133</v>
      </c>
      <c r="L2651" t="s">
        <v>57</v>
      </c>
      <c r="N2651">
        <v>0.73850000000000005</v>
      </c>
      <c r="O2651" s="1">
        <v>2</v>
      </c>
      <c r="P2651" t="s">
        <v>26134</v>
      </c>
      <c r="Q2651" t="s">
        <v>26135</v>
      </c>
      <c r="S2651" t="s">
        <v>45</v>
      </c>
      <c r="T2651" t="s">
        <v>12824</v>
      </c>
      <c r="U2651" t="s">
        <v>26136</v>
      </c>
      <c r="V2651">
        <v>4</v>
      </c>
      <c r="W2651" t="s">
        <v>26136</v>
      </c>
      <c r="Y2651">
        <v>171</v>
      </c>
      <c r="AE2651" t="s">
        <v>26137</v>
      </c>
      <c r="AF2651" t="s">
        <v>26138</v>
      </c>
      <c r="AG2651" t="s">
        <v>26139</v>
      </c>
      <c r="AH2651" t="str">
        <f>HYPERLINK("http://compartments.jensenlab.org/Entity?figures=subcell_cell_%&amp;knowledge=10&amp;textmining=10&amp;experiments=10&amp;predictions=10&amp;type1=9606&amp;type2=-22&amp;id1=ENSP00000325296","link")</f>
        <v>link</v>
      </c>
      <c r="AJ2651" t="s">
        <v>345</v>
      </c>
      <c r="AK2651" t="str">
        <f>HYPERLINK("http://www.proteinatlas.org/Q9P0L9","CAB022621")</f>
        <v>CAB022621</v>
      </c>
      <c r="AM2651">
        <v>9033</v>
      </c>
    </row>
    <row r="2652" spans="1:39" x14ac:dyDescent="0.35">
      <c r="A2652" t="s">
        <v>26140</v>
      </c>
      <c r="B2652" t="str">
        <f>HYPERLINK("http://www.uniprot.org/uniprot/Q9P0T7","Q9P0T7")</f>
        <v>Q9P0T7</v>
      </c>
      <c r="C2652" t="s">
        <v>26141</v>
      </c>
      <c r="D2652" t="s">
        <v>26142</v>
      </c>
      <c r="E2652" t="s">
        <v>39</v>
      </c>
      <c r="F2652" t="s">
        <v>40</v>
      </c>
      <c r="H2652">
        <v>183</v>
      </c>
      <c r="I2652">
        <v>1</v>
      </c>
      <c r="J2652">
        <v>1</v>
      </c>
      <c r="K2652" t="s">
        <v>26143</v>
      </c>
      <c r="L2652" t="s">
        <v>101</v>
      </c>
      <c r="N2652">
        <v>0.91220000000000001</v>
      </c>
      <c r="O2652" s="1">
        <v>1</v>
      </c>
      <c r="P2652" t="s">
        <v>26144</v>
      </c>
      <c r="Q2652" t="s">
        <v>26145</v>
      </c>
      <c r="S2652" t="s">
        <v>60</v>
      </c>
      <c r="T2652" t="s">
        <v>60</v>
      </c>
      <c r="U2652" t="s">
        <v>26146</v>
      </c>
      <c r="V2652">
        <v>3</v>
      </c>
      <c r="Z2652" t="s">
        <v>107</v>
      </c>
      <c r="AA2652">
        <v>1</v>
      </c>
      <c r="AB2652" t="s">
        <v>26147</v>
      </c>
      <c r="AC2652">
        <v>47</v>
      </c>
      <c r="AD2652" t="s">
        <v>26148</v>
      </c>
      <c r="AE2652" t="s">
        <v>7424</v>
      </c>
      <c r="AF2652" t="s">
        <v>26149</v>
      </c>
      <c r="AG2652" t="s">
        <v>26150</v>
      </c>
      <c r="AH2652" t="str">
        <f>HYPERLINK("http://compartments.jensenlab.org/Entity?figures=subcell_cell_%&amp;knowledge=10&amp;textmining=10&amp;experiments=10&amp;predictions=10&amp;type1=9606&amp;type2=-22&amp;id1=ENSP00000356299","link")</f>
        <v>link</v>
      </c>
      <c r="AK2652" t="str">
        <f>HYPERLINK("http://www.proteinatlas.org/Q9P0T7","HPA035616")</f>
        <v>HPA035616</v>
      </c>
      <c r="AM2652">
        <v>252839</v>
      </c>
    </row>
    <row r="2653" spans="1:39" x14ac:dyDescent="0.35">
      <c r="A2653" t="s">
        <v>26151</v>
      </c>
      <c r="B2653" t="str">
        <f>HYPERLINK("http://www.uniprot.org/uniprot/Q9P0V8","Q9P0V8")</f>
        <v>Q9P0V8</v>
      </c>
      <c r="C2653" t="s">
        <v>26152</v>
      </c>
      <c r="D2653" t="s">
        <v>26153</v>
      </c>
      <c r="E2653" t="s">
        <v>39</v>
      </c>
      <c r="F2653" t="s">
        <v>40</v>
      </c>
      <c r="H2653">
        <v>285</v>
      </c>
      <c r="I2653">
        <v>1</v>
      </c>
      <c r="J2653">
        <v>1</v>
      </c>
      <c r="K2653" t="s">
        <v>26154</v>
      </c>
      <c r="L2653" t="s">
        <v>57</v>
      </c>
      <c r="N2653">
        <v>0.85629999999999995</v>
      </c>
      <c r="O2653" s="1">
        <v>1</v>
      </c>
      <c r="P2653" t="s">
        <v>26155</v>
      </c>
      <c r="Q2653" t="s">
        <v>26156</v>
      </c>
      <c r="R2653" t="s">
        <v>26157</v>
      </c>
      <c r="S2653" t="s">
        <v>60</v>
      </c>
      <c r="T2653" t="s">
        <v>60</v>
      </c>
      <c r="U2653" t="s">
        <v>26158</v>
      </c>
      <c r="V2653">
        <v>3</v>
      </c>
      <c r="AE2653" t="s">
        <v>144</v>
      </c>
      <c r="AF2653" t="s">
        <v>26159</v>
      </c>
      <c r="AG2653" t="s">
        <v>26160</v>
      </c>
      <c r="AH2653" t="str">
        <f>HYPERLINK("http://compartments.jensenlab.org/Entity?figures=subcell_cell_%&amp;knowledge=10&amp;textmining=10&amp;experiments=10&amp;predictions=10&amp;type1=9606&amp;type2=-22&amp;id1=ENSP00000289707","link")</f>
        <v>link</v>
      </c>
      <c r="AJ2653" t="s">
        <v>51</v>
      </c>
      <c r="AK2653" t="str">
        <f>HYPERLINK("http://www.proteinatlas.org/Q9P0V8","no")</f>
        <v>no</v>
      </c>
      <c r="AM2653">
        <v>56833</v>
      </c>
    </row>
    <row r="2654" spans="1:39" x14ac:dyDescent="0.35">
      <c r="A2654" t="s">
        <v>26161</v>
      </c>
      <c r="B2654" t="str">
        <f>HYPERLINK("http://www.uniprot.org/uniprot/Q9P0X4","Q9P0X4")</f>
        <v>Q9P0X4</v>
      </c>
      <c r="C2654" t="s">
        <v>26162</v>
      </c>
      <c r="D2654" t="s">
        <v>26163</v>
      </c>
      <c r="E2654" t="s">
        <v>39</v>
      </c>
      <c r="F2654" t="s">
        <v>40</v>
      </c>
      <c r="H2654">
        <v>2223</v>
      </c>
      <c r="I2654">
        <v>24</v>
      </c>
      <c r="J2654">
        <v>0</v>
      </c>
      <c r="K2654" t="s">
        <v>26164</v>
      </c>
      <c r="L2654" t="s">
        <v>57</v>
      </c>
      <c r="N2654">
        <v>0.62670000000000003</v>
      </c>
      <c r="O2654" s="1">
        <v>2</v>
      </c>
      <c r="P2654" t="s">
        <v>26165</v>
      </c>
      <c r="Q2654" t="s">
        <v>26166</v>
      </c>
      <c r="S2654" t="s">
        <v>45</v>
      </c>
      <c r="T2654" t="s">
        <v>1841</v>
      </c>
      <c r="U2654" t="s">
        <v>26167</v>
      </c>
      <c r="V2654">
        <v>4</v>
      </c>
      <c r="AE2654" t="s">
        <v>48</v>
      </c>
      <c r="AF2654" t="s">
        <v>26168</v>
      </c>
      <c r="AG2654" t="s">
        <v>26169</v>
      </c>
      <c r="AH2654" t="str">
        <f>HYPERLINK("http://compartments.jensenlab.org/Entity?figures=subcell_cell_%&amp;knowledge=10&amp;textmining=10&amp;experiments=10&amp;predictions=10&amp;type1=9606&amp;type2=-22&amp;id1=ENSP00000385019","link")</f>
        <v>link</v>
      </c>
      <c r="AI2654" t="s">
        <v>65</v>
      </c>
      <c r="AJ2654" t="s">
        <v>51</v>
      </c>
      <c r="AK2654" t="str">
        <f>HYPERLINK("http://www.proteinatlas.org/Q9P0X4","no")</f>
        <v>no</v>
      </c>
      <c r="AL2654" t="s">
        <v>26170</v>
      </c>
      <c r="AM2654">
        <v>8911</v>
      </c>
    </row>
    <row r="2655" spans="1:39" x14ac:dyDescent="0.35">
      <c r="A2655" t="s">
        <v>26171</v>
      </c>
      <c r="B2655" t="str">
        <f>HYPERLINK("http://www.uniprot.org/uniprot/Q9P121","Q9P121")</f>
        <v>Q9P121</v>
      </c>
      <c r="C2655" t="s">
        <v>26172</v>
      </c>
      <c r="D2655" t="s">
        <v>26173</v>
      </c>
      <c r="E2655" t="s">
        <v>39</v>
      </c>
      <c r="F2655" t="s">
        <v>239</v>
      </c>
      <c r="H2655">
        <v>344</v>
      </c>
      <c r="I2655">
        <v>0</v>
      </c>
      <c r="J2655">
        <v>1</v>
      </c>
      <c r="K2655" t="s">
        <v>26174</v>
      </c>
      <c r="L2655" t="s">
        <v>57</v>
      </c>
      <c r="N2655">
        <v>0.77839999999999998</v>
      </c>
      <c r="O2655" s="1" t="s">
        <v>997</v>
      </c>
      <c r="P2655" t="s">
        <v>26175</v>
      </c>
      <c r="Q2655" t="s">
        <v>26176</v>
      </c>
      <c r="S2655" t="s">
        <v>60</v>
      </c>
      <c r="T2655" t="s">
        <v>60</v>
      </c>
      <c r="U2655" t="s">
        <v>26177</v>
      </c>
      <c r="V2655">
        <v>7</v>
      </c>
      <c r="W2655" t="s">
        <v>26177</v>
      </c>
      <c r="AE2655" t="s">
        <v>243</v>
      </c>
      <c r="AF2655" t="s">
        <v>26178</v>
      </c>
      <c r="AG2655" t="s">
        <v>26179</v>
      </c>
      <c r="AH2655" t="str">
        <f>HYPERLINK("http://compartments.jensenlab.org/Entity?figures=subcell_cell_%&amp;knowledge=10&amp;textmining=10&amp;experiments=10&amp;predictions=10&amp;type1=9606&amp;type2=-22&amp;id1=ENSP00000363918","link")</f>
        <v>link</v>
      </c>
      <c r="AK2655" t="str">
        <f>HYPERLINK("http://www.proteinatlas.org/Q9P121","CAB024875")</f>
        <v>CAB024875</v>
      </c>
      <c r="AM2655">
        <v>50863</v>
      </c>
    </row>
    <row r="2656" spans="1:39" x14ac:dyDescent="0.35">
      <c r="A2656" t="s">
        <v>26180</v>
      </c>
      <c r="B2656" t="str">
        <f>HYPERLINK("http://www.uniprot.org/uniprot/Q9P126","Q9P126")</f>
        <v>Q9P126</v>
      </c>
      <c r="C2656" t="s">
        <v>26181</v>
      </c>
      <c r="D2656" t="s">
        <v>26182</v>
      </c>
      <c r="E2656" t="s">
        <v>39</v>
      </c>
      <c r="F2656" t="s">
        <v>40</v>
      </c>
      <c r="H2656">
        <v>229</v>
      </c>
      <c r="I2656">
        <v>1</v>
      </c>
      <c r="J2656">
        <v>0</v>
      </c>
      <c r="K2656" t="s">
        <v>26183</v>
      </c>
      <c r="L2656" t="s">
        <v>101</v>
      </c>
      <c r="N2656">
        <v>0.78239999999999998</v>
      </c>
      <c r="O2656" s="1">
        <v>1</v>
      </c>
      <c r="P2656" t="s">
        <v>26184</v>
      </c>
      <c r="Q2656" t="s">
        <v>26185</v>
      </c>
      <c r="S2656" t="s">
        <v>166</v>
      </c>
      <c r="T2656" t="s">
        <v>4251</v>
      </c>
      <c r="U2656" t="s">
        <v>26186</v>
      </c>
      <c r="V2656">
        <v>3</v>
      </c>
      <c r="W2656" t="s">
        <v>26186</v>
      </c>
      <c r="Z2656" t="s">
        <v>123</v>
      </c>
      <c r="AA2656">
        <v>1</v>
      </c>
      <c r="AB2656" t="s">
        <v>26187</v>
      </c>
      <c r="AC2656">
        <v>120</v>
      </c>
      <c r="AD2656" t="s">
        <v>26188</v>
      </c>
      <c r="AE2656" t="s">
        <v>359</v>
      </c>
      <c r="AF2656" t="s">
        <v>26189</v>
      </c>
      <c r="AG2656" t="s">
        <v>26190</v>
      </c>
      <c r="AH2656" t="str">
        <f>HYPERLINK("http://compartments.jensenlab.org/Entity?figures=subcell_cell_%&amp;knowledge=10&amp;textmining=10&amp;experiments=10&amp;predictions=10&amp;type1=9606&amp;type2=-22&amp;id1=ENSP00000298527","link")</f>
        <v>link</v>
      </c>
      <c r="AJ2656" t="s">
        <v>51</v>
      </c>
      <c r="AK2656" t="str">
        <f>HYPERLINK("http://www.proteinatlas.org/Q9P126","no")</f>
        <v>no</v>
      </c>
      <c r="AM2656">
        <v>51266</v>
      </c>
    </row>
    <row r="2657" spans="1:39" x14ac:dyDescent="0.35">
      <c r="A2657" t="s">
        <v>26191</v>
      </c>
      <c r="B2657" t="str">
        <f>HYPERLINK("http://www.uniprot.org/uniprot/Q9P1P5","Q9P1P5")</f>
        <v>Q9P1P5</v>
      </c>
      <c r="C2657" t="s">
        <v>26192</v>
      </c>
      <c r="D2657" t="s">
        <v>26193</v>
      </c>
      <c r="E2657" t="s">
        <v>39</v>
      </c>
      <c r="F2657" t="s">
        <v>55</v>
      </c>
      <c r="H2657">
        <v>351</v>
      </c>
      <c r="I2657">
        <v>7</v>
      </c>
      <c r="J2657">
        <v>0</v>
      </c>
      <c r="K2657" t="s">
        <v>26194</v>
      </c>
      <c r="L2657" t="s">
        <v>57</v>
      </c>
      <c r="M2657" t="s">
        <v>39</v>
      </c>
      <c r="N2657">
        <v>0.87080000000000002</v>
      </c>
      <c r="O2657" s="1">
        <v>1</v>
      </c>
      <c r="P2657" t="s">
        <v>26195</v>
      </c>
      <c r="Q2657" t="s">
        <v>26196</v>
      </c>
      <c r="S2657" t="s">
        <v>166</v>
      </c>
      <c r="T2657" t="s">
        <v>838</v>
      </c>
      <c r="U2657" t="s">
        <v>26197</v>
      </c>
      <c r="V2657">
        <v>3</v>
      </c>
      <c r="AE2657" t="s">
        <v>74</v>
      </c>
      <c r="AF2657" t="s">
        <v>1723</v>
      </c>
      <c r="AG2657" t="s">
        <v>26198</v>
      </c>
      <c r="AH2657" t="str">
        <f>HYPERLINK("http://compartments.jensenlab.org/Entity?figures=subcell_cell_%&amp;knowledge=10&amp;textmining=10&amp;experiments=10&amp;predictions=10&amp;type1=9606&amp;type2=-22&amp;id1=ENSP00000356908","link")</f>
        <v>link</v>
      </c>
      <c r="AI2657" t="s">
        <v>65</v>
      </c>
      <c r="AJ2657" t="s">
        <v>51</v>
      </c>
      <c r="AK2657" t="str">
        <f>HYPERLINK("http://www.proteinatlas.org/Q9P1P5","no")</f>
        <v>no</v>
      </c>
      <c r="AM2657">
        <v>9287</v>
      </c>
    </row>
    <row r="2658" spans="1:39" x14ac:dyDescent="0.35">
      <c r="A2658" t="s">
        <v>26199</v>
      </c>
      <c r="B2658" t="str">
        <f>HYPERLINK("http://www.uniprot.org/uniprot/Q9P1Q5","Q9P1Q5")</f>
        <v>Q9P1Q5</v>
      </c>
      <c r="C2658" t="s">
        <v>26200</v>
      </c>
      <c r="D2658" t="s">
        <v>26201</v>
      </c>
      <c r="E2658" t="s">
        <v>39</v>
      </c>
      <c r="F2658" t="s">
        <v>55</v>
      </c>
      <c r="H2658">
        <v>309</v>
      </c>
      <c r="I2658">
        <v>7</v>
      </c>
      <c r="J2658">
        <v>0</v>
      </c>
      <c r="K2658" t="s">
        <v>26202</v>
      </c>
      <c r="L2658" t="s">
        <v>57</v>
      </c>
      <c r="N2658">
        <v>0.7964</v>
      </c>
      <c r="O2658" s="1">
        <v>1</v>
      </c>
      <c r="P2658" t="s">
        <v>26203</v>
      </c>
      <c r="Q2658" t="s">
        <v>26204</v>
      </c>
      <c r="S2658" t="s">
        <v>166</v>
      </c>
      <c r="T2658" t="s">
        <v>167</v>
      </c>
      <c r="U2658" t="s">
        <v>26205</v>
      </c>
      <c r="V2658">
        <v>2</v>
      </c>
      <c r="AE2658" t="s">
        <v>74</v>
      </c>
      <c r="AF2658" t="s">
        <v>169</v>
      </c>
      <c r="AG2658" t="s">
        <v>26206</v>
      </c>
      <c r="AH2658" t="str">
        <f>HYPERLINK("http://compartments.jensenlab.org/Entity?figures=subcell_cell_%&amp;knowledge=10&amp;textmining=10&amp;experiments=10&amp;predictions=10&amp;type1=9606&amp;type2=-22&amp;id1=ENSP00000305207","link")</f>
        <v>link</v>
      </c>
      <c r="AI2658" t="s">
        <v>65</v>
      </c>
      <c r="AJ2658" t="s">
        <v>51</v>
      </c>
      <c r="AK2658" t="str">
        <f>HYPERLINK("http://www.proteinatlas.org/Q9P1Q5","no")</f>
        <v>no</v>
      </c>
      <c r="AM2658">
        <v>8383</v>
      </c>
    </row>
    <row r="2659" spans="1:39" x14ac:dyDescent="0.35">
      <c r="A2659" t="s">
        <v>26207</v>
      </c>
      <c r="B2659" t="str">
        <f>HYPERLINK("http://www.uniprot.org/uniprot/Q9P1W3","Q9P1W3")</f>
        <v>Q9P1W3</v>
      </c>
      <c r="C2659" t="s">
        <v>26208</v>
      </c>
      <c r="D2659" t="s">
        <v>26209</v>
      </c>
      <c r="E2659" t="s">
        <v>39</v>
      </c>
      <c r="F2659" t="s">
        <v>40</v>
      </c>
      <c r="H2659">
        <v>806</v>
      </c>
      <c r="I2659">
        <v>10</v>
      </c>
      <c r="J2659">
        <v>0</v>
      </c>
      <c r="K2659" t="s">
        <v>26210</v>
      </c>
      <c r="L2659" t="s">
        <v>118</v>
      </c>
      <c r="N2659">
        <v>0.79039999999999999</v>
      </c>
      <c r="O2659" s="1">
        <v>1</v>
      </c>
      <c r="P2659" t="s">
        <v>26211</v>
      </c>
      <c r="Q2659" t="s">
        <v>26212</v>
      </c>
      <c r="S2659" t="s">
        <v>91</v>
      </c>
      <c r="T2659" t="s">
        <v>2981</v>
      </c>
      <c r="U2659" t="s">
        <v>26213</v>
      </c>
      <c r="V2659">
        <v>4</v>
      </c>
      <c r="Z2659" t="s">
        <v>123</v>
      </c>
      <c r="AA2659">
        <v>1</v>
      </c>
      <c r="AB2659" t="s">
        <v>26214</v>
      </c>
      <c r="AC2659">
        <v>16</v>
      </c>
      <c r="AD2659" t="s">
        <v>26215</v>
      </c>
      <c r="AE2659" t="s">
        <v>48</v>
      </c>
      <c r="AF2659" t="s">
        <v>26216</v>
      </c>
      <c r="AG2659" t="s">
        <v>26217</v>
      </c>
      <c r="AH2659" t="str">
        <f>HYPERLINK("http://compartments.jensenlab.org/Entity?figures=subcell_cell_%&amp;knowledge=10&amp;textmining=10&amp;experiments=10&amp;predictions=10&amp;type1=9606&amp;type2=-22&amp;id1=ENSP00000298351","link")</f>
        <v>link</v>
      </c>
      <c r="AJ2659" t="s">
        <v>51</v>
      </c>
      <c r="AK2659" t="str">
        <f>HYPERLINK("http://www.proteinatlas.org/Q9P1W3","HPA030657")</f>
        <v>HPA030657</v>
      </c>
      <c r="AM2659">
        <v>57156</v>
      </c>
    </row>
    <row r="2660" spans="1:39" x14ac:dyDescent="0.35">
      <c r="A2660" t="s">
        <v>26218</v>
      </c>
      <c r="B2660" t="str">
        <f>HYPERLINK("http://www.uniprot.org/uniprot/Q9P1W8","Q9P1W8")</f>
        <v>Q9P1W8</v>
      </c>
      <c r="C2660" t="s">
        <v>26219</v>
      </c>
      <c r="D2660" t="s">
        <v>26220</v>
      </c>
      <c r="E2660" t="s">
        <v>39</v>
      </c>
      <c r="F2660" t="s">
        <v>40</v>
      </c>
      <c r="H2660">
        <v>387</v>
      </c>
      <c r="I2660">
        <v>1</v>
      </c>
      <c r="J2660">
        <v>1</v>
      </c>
      <c r="K2660" t="s">
        <v>26221</v>
      </c>
      <c r="L2660" t="s">
        <v>101</v>
      </c>
      <c r="N2660">
        <v>0.61880000000000002</v>
      </c>
      <c r="O2660" s="1">
        <v>2</v>
      </c>
      <c r="P2660" t="s">
        <v>26222</v>
      </c>
      <c r="Q2660" t="s">
        <v>26223</v>
      </c>
      <c r="R2660" t="s">
        <v>26224</v>
      </c>
      <c r="S2660" t="s">
        <v>91</v>
      </c>
      <c r="T2660" t="s">
        <v>886</v>
      </c>
      <c r="U2660" t="s">
        <v>26225</v>
      </c>
      <c r="V2660">
        <v>4</v>
      </c>
      <c r="X2660" t="s">
        <v>26226</v>
      </c>
      <c r="Y2660">
        <v>310</v>
      </c>
      <c r="Z2660" t="s">
        <v>107</v>
      </c>
      <c r="AA2660">
        <v>2</v>
      </c>
      <c r="AB2660" t="s">
        <v>26227</v>
      </c>
      <c r="AC2660" t="s">
        <v>26228</v>
      </c>
      <c r="AD2660" t="s">
        <v>26229</v>
      </c>
      <c r="AE2660" t="s">
        <v>144</v>
      </c>
      <c r="AF2660" t="s">
        <v>26230</v>
      </c>
      <c r="AG2660" t="s">
        <v>26231</v>
      </c>
      <c r="AH2660" t="str">
        <f>HYPERLINK("http://compartments.jensenlab.org/Entity?figures=subcell_cell_%&amp;knowledge=10&amp;textmining=10&amp;experiments=10&amp;predictions=10&amp;type1=9606&amp;type2=-22&amp;id1=ENSP00000305529","link")</f>
        <v>link</v>
      </c>
      <c r="AJ2660" t="s">
        <v>113</v>
      </c>
      <c r="AK2660" t="str">
        <f>HYPERLINK("http://www.proteinatlas.org/Q9P1W8","no")</f>
        <v>no</v>
      </c>
      <c r="AM2660">
        <v>55423</v>
      </c>
    </row>
    <row r="2661" spans="1:39" x14ac:dyDescent="0.35">
      <c r="A2661" t="s">
        <v>26232</v>
      </c>
      <c r="B2661" t="str">
        <f>HYPERLINK("http://www.uniprot.org/uniprot/Q9P232","Q9P232")</f>
        <v>Q9P232</v>
      </c>
      <c r="C2661" t="s">
        <v>26233</v>
      </c>
      <c r="D2661" t="s">
        <v>26234</v>
      </c>
      <c r="E2661" t="s">
        <v>39</v>
      </c>
      <c r="F2661" t="s">
        <v>239</v>
      </c>
      <c r="H2661">
        <v>1028</v>
      </c>
      <c r="I2661">
        <v>0</v>
      </c>
      <c r="J2661">
        <v>1</v>
      </c>
      <c r="K2661" t="s">
        <v>26235</v>
      </c>
      <c r="L2661" t="s">
        <v>996</v>
      </c>
      <c r="N2661">
        <v>0.73850000000000005</v>
      </c>
      <c r="O2661" s="1" t="s">
        <v>241</v>
      </c>
      <c r="P2661" t="s">
        <v>26236</v>
      </c>
      <c r="Q2661" t="s">
        <v>26237</v>
      </c>
      <c r="S2661" t="s">
        <v>60</v>
      </c>
      <c r="T2661" t="s">
        <v>60</v>
      </c>
      <c r="U2661" t="s">
        <v>26238</v>
      </c>
      <c r="V2661">
        <v>12</v>
      </c>
      <c r="W2661" t="s">
        <v>26239</v>
      </c>
      <c r="Z2661" t="s">
        <v>107</v>
      </c>
      <c r="AA2661">
        <v>3</v>
      </c>
      <c r="AB2661" t="s">
        <v>26240</v>
      </c>
      <c r="AC2661" t="s">
        <v>26241</v>
      </c>
      <c r="AD2661" t="s">
        <v>26242</v>
      </c>
      <c r="AE2661" t="s">
        <v>243</v>
      </c>
      <c r="AF2661" t="s">
        <v>26243</v>
      </c>
      <c r="AG2661" t="s">
        <v>26244</v>
      </c>
      <c r="AH2661" t="str">
        <f>HYPERLINK("http://compartments.jensenlab.org/Entity?figures=subcell_cell_%&amp;knowledge=10&amp;textmining=10&amp;experiments=10&amp;predictions=10&amp;type1=9606&amp;type2=-22&amp;id1=ENSP00000263665","link")</f>
        <v>link</v>
      </c>
      <c r="AI2661" t="s">
        <v>65</v>
      </c>
      <c r="AJ2661" t="s">
        <v>51</v>
      </c>
      <c r="AK2661" t="str">
        <f>HYPERLINK("http://www.proteinatlas.org/Q9P232","HPA003341")</f>
        <v>HPA003341</v>
      </c>
      <c r="AM2661">
        <v>5067</v>
      </c>
    </row>
    <row r="2662" spans="1:39" x14ac:dyDescent="0.35">
      <c r="A2662" t="s">
        <v>26245</v>
      </c>
      <c r="B2662" t="str">
        <f>HYPERLINK("http://www.uniprot.org/uniprot/Q9P244","Q9P244")</f>
        <v>Q9P244</v>
      </c>
      <c r="C2662" t="s">
        <v>26246</v>
      </c>
      <c r="D2662" t="s">
        <v>26247</v>
      </c>
      <c r="E2662" t="s">
        <v>39</v>
      </c>
      <c r="F2662" t="s">
        <v>55</v>
      </c>
      <c r="H2662">
        <v>771</v>
      </c>
      <c r="I2662">
        <v>1</v>
      </c>
      <c r="J2662">
        <v>1</v>
      </c>
      <c r="K2662" t="s">
        <v>26248</v>
      </c>
      <c r="L2662" t="s">
        <v>101</v>
      </c>
      <c r="M2662" t="s">
        <v>39</v>
      </c>
      <c r="N2662">
        <v>0.83240000000000003</v>
      </c>
      <c r="O2662" s="1">
        <v>1</v>
      </c>
      <c r="P2662" t="s">
        <v>26249</v>
      </c>
      <c r="Q2662" t="s">
        <v>26250</v>
      </c>
      <c r="S2662" t="s">
        <v>91</v>
      </c>
      <c r="T2662" t="s">
        <v>260</v>
      </c>
      <c r="U2662" t="s">
        <v>26251</v>
      </c>
      <c r="V2662">
        <v>4</v>
      </c>
      <c r="Z2662" t="s">
        <v>107</v>
      </c>
      <c r="AA2662">
        <v>2</v>
      </c>
      <c r="AB2662" t="s">
        <v>26252</v>
      </c>
      <c r="AC2662" t="s">
        <v>26253</v>
      </c>
      <c r="AD2662" t="s">
        <v>26254</v>
      </c>
      <c r="AE2662" t="s">
        <v>26255</v>
      </c>
      <c r="AF2662" t="s">
        <v>26256</v>
      </c>
      <c r="AG2662" t="s">
        <v>26257</v>
      </c>
      <c r="AH2662" t="str">
        <f>HYPERLINK("http://compartments.jensenlab.org/Entity?figures=subcell_cell_%&amp;knowledge=10&amp;textmining=10&amp;experiments=10&amp;predictions=10&amp;type1=9606&amp;type2=-22&amp;id1=ENSP00000248668","link")</f>
        <v>link</v>
      </c>
      <c r="AJ2662" t="s">
        <v>1811</v>
      </c>
      <c r="AK2662" t="str">
        <f>HYPERLINK("http://www.proteinatlas.org/Q9P244","HPA017383")</f>
        <v>HPA017383</v>
      </c>
      <c r="AM2662">
        <v>57622</v>
      </c>
    </row>
    <row r="2663" spans="1:39" x14ac:dyDescent="0.35">
      <c r="A2663" t="s">
        <v>26258</v>
      </c>
      <c r="B2663" t="str">
        <f>HYPERLINK("http://www.uniprot.org/uniprot/Q9P273","Q9P273")</f>
        <v>Q9P273</v>
      </c>
      <c r="C2663" t="s">
        <v>26259</v>
      </c>
      <c r="D2663" t="s">
        <v>26260</v>
      </c>
      <c r="E2663" t="s">
        <v>39</v>
      </c>
      <c r="F2663" t="s">
        <v>40</v>
      </c>
      <c r="H2663">
        <v>2699</v>
      </c>
      <c r="I2663">
        <v>1</v>
      </c>
      <c r="J2663">
        <v>0</v>
      </c>
      <c r="K2663" t="s">
        <v>26261</v>
      </c>
      <c r="L2663" t="s">
        <v>101</v>
      </c>
      <c r="N2663">
        <v>0.76649999999999996</v>
      </c>
      <c r="O2663" s="1">
        <v>1</v>
      </c>
      <c r="P2663" t="s">
        <v>26262</v>
      </c>
      <c r="Q2663" t="s">
        <v>26263</v>
      </c>
      <c r="S2663" t="s">
        <v>91</v>
      </c>
      <c r="T2663" t="s">
        <v>15319</v>
      </c>
      <c r="U2663" t="s">
        <v>26264</v>
      </c>
      <c r="V2663">
        <v>18</v>
      </c>
      <c r="Y2663">
        <v>930</v>
      </c>
      <c r="Z2663" t="s">
        <v>123</v>
      </c>
      <c r="AA2663">
        <v>14</v>
      </c>
      <c r="AB2663" t="s">
        <v>26265</v>
      </c>
      <c r="AC2663" t="s">
        <v>26266</v>
      </c>
      <c r="AD2663" t="s">
        <v>26267</v>
      </c>
      <c r="AE2663" t="s">
        <v>26268</v>
      </c>
      <c r="AF2663" t="s">
        <v>26269</v>
      </c>
      <c r="AG2663" t="s">
        <v>26270</v>
      </c>
      <c r="AH2663" t="str">
        <f>HYPERLINK("http://compartments.jensenlab.org/Entity?figures=subcell_cell_%&amp;knowledge=10&amp;textmining=10&amp;experiments=10&amp;predictions=10&amp;type1=9606&amp;type2=-22&amp;id1=ENSP00000424226","link")</f>
        <v>link</v>
      </c>
      <c r="AK2663" t="str">
        <f>HYPERLINK("http://www.proteinatlas.org/Q9P273","HPA047043")</f>
        <v>HPA047043</v>
      </c>
      <c r="AM2663">
        <v>55714</v>
      </c>
    </row>
    <row r="2664" spans="1:39" x14ac:dyDescent="0.35">
      <c r="A2664" t="s">
        <v>26271</v>
      </c>
      <c r="B2664" t="str">
        <f>HYPERLINK("http://www.uniprot.org/uniprot/Q9P283","Q9P283")</f>
        <v>Q9P283</v>
      </c>
      <c r="C2664" t="s">
        <v>26272</v>
      </c>
      <c r="D2664" t="s">
        <v>26273</v>
      </c>
      <c r="E2664" t="s">
        <v>39</v>
      </c>
      <c r="F2664" t="s">
        <v>40</v>
      </c>
      <c r="H2664">
        <v>1151</v>
      </c>
      <c r="I2664">
        <v>1</v>
      </c>
      <c r="J2664">
        <v>0</v>
      </c>
      <c r="K2664" t="s">
        <v>26274</v>
      </c>
      <c r="L2664" t="s">
        <v>57</v>
      </c>
      <c r="N2664">
        <v>0.74650000000000005</v>
      </c>
      <c r="O2664" s="1">
        <v>2</v>
      </c>
      <c r="P2664" t="s">
        <v>26275</v>
      </c>
      <c r="Q2664" t="s">
        <v>26276</v>
      </c>
      <c r="S2664" t="s">
        <v>91</v>
      </c>
      <c r="T2664" t="s">
        <v>3379</v>
      </c>
      <c r="U2664" t="s">
        <v>26277</v>
      </c>
      <c r="V2664">
        <v>13</v>
      </c>
      <c r="Y2664" t="s">
        <v>26278</v>
      </c>
      <c r="AE2664" t="s">
        <v>1305</v>
      </c>
      <c r="AF2664" t="s">
        <v>26279</v>
      </c>
      <c r="AG2664" t="s">
        <v>26280</v>
      </c>
      <c r="AH2664" t="str">
        <f>HYPERLINK("http://compartments.jensenlab.org/Entity?figures=subcell_cell_%&amp;knowledge=10&amp;textmining=10&amp;experiments=10&amp;predictions=10&amp;type1=9606&amp;type2=-22&amp;id1=ENSP00000350215","link")</f>
        <v>link</v>
      </c>
      <c r="AJ2664" t="s">
        <v>51</v>
      </c>
      <c r="AK2664" t="str">
        <f>HYPERLINK("http://www.proteinatlas.org/Q9P283","HPA017084")</f>
        <v>HPA017084</v>
      </c>
      <c r="AM2664">
        <v>54437</v>
      </c>
    </row>
    <row r="2665" spans="1:39" x14ac:dyDescent="0.35">
      <c r="A2665" t="s">
        <v>26281</v>
      </c>
      <c r="B2665" t="str">
        <f>HYPERLINK("http://www.uniprot.org/uniprot/Q9P296","Q9P296")</f>
        <v>Q9P296</v>
      </c>
      <c r="C2665" t="s">
        <v>26282</v>
      </c>
      <c r="D2665" t="s">
        <v>26283</v>
      </c>
      <c r="E2665" t="s">
        <v>39</v>
      </c>
      <c r="F2665" t="s">
        <v>40</v>
      </c>
      <c r="H2665">
        <v>337</v>
      </c>
      <c r="I2665">
        <v>7</v>
      </c>
      <c r="J2665">
        <v>0</v>
      </c>
      <c r="K2665" t="s">
        <v>26284</v>
      </c>
      <c r="L2665" t="s">
        <v>57</v>
      </c>
      <c r="N2665">
        <v>0.85629999999999995</v>
      </c>
      <c r="O2665" s="1">
        <v>1</v>
      </c>
      <c r="P2665" t="s">
        <v>26285</v>
      </c>
      <c r="Q2665" t="s">
        <v>26286</v>
      </c>
      <c r="S2665" t="s">
        <v>166</v>
      </c>
      <c r="T2665" t="s">
        <v>838</v>
      </c>
      <c r="U2665">
        <v>3</v>
      </c>
      <c r="V2665">
        <v>1</v>
      </c>
      <c r="AE2665" t="s">
        <v>74</v>
      </c>
      <c r="AF2665" t="s">
        <v>967</v>
      </c>
      <c r="AG2665" t="s">
        <v>26287</v>
      </c>
      <c r="AH2665" t="str">
        <f>HYPERLINK("http://compartments.jensenlab.org/Entity?figures=subcell_cell_%&amp;knowledge=10&amp;textmining=10&amp;experiments=10&amp;predictions=10&amp;type1=9606&amp;type2=-22&amp;id1=ENSP00000472620","link")</f>
        <v>link</v>
      </c>
      <c r="AK2665" t="str">
        <f>HYPERLINK("http://www.proteinatlas.org/Q9P296","HPA016629")</f>
        <v>HPA016629</v>
      </c>
      <c r="AM2665">
        <v>27202</v>
      </c>
    </row>
    <row r="2666" spans="1:39" x14ac:dyDescent="0.35">
      <c r="A2666" t="s">
        <v>26288</v>
      </c>
      <c r="B2666" t="str">
        <f>HYPERLINK("http://www.uniprot.org/uniprot/Q9P2B2","Q9P2B2")</f>
        <v>Q9P2B2</v>
      </c>
      <c r="C2666" t="s">
        <v>26289</v>
      </c>
      <c r="D2666" t="s">
        <v>26290</v>
      </c>
      <c r="E2666" t="s">
        <v>39</v>
      </c>
      <c r="F2666" t="s">
        <v>40</v>
      </c>
      <c r="H2666">
        <v>879</v>
      </c>
      <c r="I2666">
        <v>1</v>
      </c>
      <c r="J2666">
        <v>1</v>
      </c>
      <c r="K2666" t="s">
        <v>26291</v>
      </c>
      <c r="L2666" t="s">
        <v>101</v>
      </c>
      <c r="N2666">
        <v>0.78639999999999999</v>
      </c>
      <c r="O2666" s="1">
        <v>1</v>
      </c>
      <c r="P2666" t="s">
        <v>26292</v>
      </c>
      <c r="Q2666" t="s">
        <v>26293</v>
      </c>
      <c r="R2666" t="s">
        <v>26294</v>
      </c>
      <c r="S2666" t="s">
        <v>60</v>
      </c>
      <c r="T2666" t="s">
        <v>60</v>
      </c>
      <c r="U2666" t="s">
        <v>26295</v>
      </c>
      <c r="V2666">
        <v>9</v>
      </c>
      <c r="Z2666" t="s">
        <v>107</v>
      </c>
      <c r="AA2666">
        <v>23</v>
      </c>
      <c r="AB2666" t="s">
        <v>26296</v>
      </c>
      <c r="AC2666" t="s">
        <v>26297</v>
      </c>
      <c r="AD2666" t="s">
        <v>26298</v>
      </c>
      <c r="AE2666" t="s">
        <v>26299</v>
      </c>
      <c r="AF2666" t="s">
        <v>26300</v>
      </c>
      <c r="AG2666" t="s">
        <v>26301</v>
      </c>
      <c r="AH2666" t="str">
        <f>HYPERLINK("http://compartments.jensenlab.org/Entity?figures=subcell_cell_%&amp;knowledge=10&amp;textmining=10&amp;experiments=10&amp;predictions=10&amp;type1=9606&amp;type2=-22&amp;id1=ENSP00000376899","link")</f>
        <v>link</v>
      </c>
      <c r="AI2666" t="s">
        <v>980</v>
      </c>
      <c r="AJ2666" t="s">
        <v>12342</v>
      </c>
      <c r="AK2666" t="str">
        <f>HYPERLINK("http://www.proteinatlas.org/Q9P2B2","HPA017074")</f>
        <v>HPA017074</v>
      </c>
      <c r="AM2666">
        <v>5738</v>
      </c>
    </row>
    <row r="2667" spans="1:39" x14ac:dyDescent="0.35">
      <c r="A2667" t="s">
        <v>26302</v>
      </c>
      <c r="B2667" t="str">
        <f>HYPERLINK("http://www.uniprot.org/uniprot/Q9P2E7","Q9P2E7")</f>
        <v>Q9P2E7</v>
      </c>
      <c r="C2667" t="s">
        <v>26303</v>
      </c>
      <c r="D2667" t="s">
        <v>26304</v>
      </c>
      <c r="E2667" t="s">
        <v>39</v>
      </c>
      <c r="F2667" t="s">
        <v>40</v>
      </c>
      <c r="H2667">
        <v>1040</v>
      </c>
      <c r="I2667">
        <v>1</v>
      </c>
      <c r="J2667">
        <v>1</v>
      </c>
      <c r="K2667" t="s">
        <v>26305</v>
      </c>
      <c r="L2667" t="s">
        <v>57</v>
      </c>
      <c r="N2667">
        <v>0.91420000000000001</v>
      </c>
      <c r="O2667" s="1">
        <v>1</v>
      </c>
      <c r="P2667" t="s">
        <v>26306</v>
      </c>
      <c r="Q2667" t="s">
        <v>26307</v>
      </c>
      <c r="S2667" t="s">
        <v>91</v>
      </c>
      <c r="T2667" t="s">
        <v>216</v>
      </c>
      <c r="U2667" t="s">
        <v>26308</v>
      </c>
      <c r="V2667">
        <v>3</v>
      </c>
      <c r="AE2667" t="s">
        <v>332</v>
      </c>
      <c r="AF2667" t="s">
        <v>1347</v>
      </c>
      <c r="AG2667" t="s">
        <v>26309</v>
      </c>
      <c r="AH2667" t="str">
        <f>HYPERLINK("http://compartments.jensenlab.org/Entity?figures=subcell_cell_%&amp;knowledge=10&amp;textmining=10&amp;experiments=10&amp;predictions=10&amp;type1=9606&amp;type2=-22&amp;id1=ENSP00000264360","link")</f>
        <v>link</v>
      </c>
      <c r="AI2667" t="s">
        <v>65</v>
      </c>
      <c r="AJ2667" t="s">
        <v>51</v>
      </c>
      <c r="AK2667" t="str">
        <f>HYPERLINK("http://www.proteinatlas.org/Q9P2E7","HPA011220")</f>
        <v>HPA011220</v>
      </c>
      <c r="AM2667">
        <v>57575</v>
      </c>
    </row>
    <row r="2668" spans="1:39" x14ac:dyDescent="0.35">
      <c r="A2668" t="s">
        <v>26310</v>
      </c>
      <c r="B2668" t="str">
        <f>HYPERLINK("http://www.uniprot.org/uniprot/Q9P2J2","Q9P2J2")</f>
        <v>Q9P2J2</v>
      </c>
      <c r="C2668" t="s">
        <v>26311</v>
      </c>
      <c r="D2668" t="s">
        <v>26312</v>
      </c>
      <c r="E2668" t="s">
        <v>39</v>
      </c>
      <c r="F2668" t="s">
        <v>40</v>
      </c>
      <c r="H2668">
        <v>1179</v>
      </c>
      <c r="I2668">
        <v>1</v>
      </c>
      <c r="J2668">
        <v>1</v>
      </c>
      <c r="K2668" t="s">
        <v>26313</v>
      </c>
      <c r="L2668" t="s">
        <v>57</v>
      </c>
      <c r="N2668">
        <v>0.94010000000000005</v>
      </c>
      <c r="O2668" s="1">
        <v>1</v>
      </c>
      <c r="P2668" t="s">
        <v>26314</v>
      </c>
      <c r="Q2668" t="s">
        <v>26315</v>
      </c>
      <c r="S2668" t="s">
        <v>91</v>
      </c>
      <c r="T2668" t="s">
        <v>555</v>
      </c>
      <c r="U2668" t="s">
        <v>26316</v>
      </c>
      <c r="V2668">
        <v>9</v>
      </c>
      <c r="AE2668" t="s">
        <v>11111</v>
      </c>
      <c r="AF2668" t="s">
        <v>26317</v>
      </c>
      <c r="AG2668" t="s">
        <v>26318</v>
      </c>
      <c r="AH2668" t="str">
        <f>HYPERLINK("http://compartments.jensenlab.org/Entity?figures=subcell_cell_%&amp;knowledge=10&amp;textmining=10&amp;experiments=10&amp;predictions=10&amp;type1=9606&amp;type2=-22&amp;id1=ENSP00000357073","link")</f>
        <v>link</v>
      </c>
      <c r="AI2668" t="s">
        <v>65</v>
      </c>
      <c r="AJ2668" t="s">
        <v>51</v>
      </c>
      <c r="AK2668" t="str">
        <f>HYPERLINK("http://www.proteinatlas.org/Q9P2J2","HPA037753")</f>
        <v>HPA037753</v>
      </c>
      <c r="AM2668">
        <v>57549</v>
      </c>
    </row>
    <row r="2669" spans="1:39" x14ac:dyDescent="0.35">
      <c r="A2669" t="s">
        <v>26319</v>
      </c>
      <c r="B2669" t="str">
        <f>HYPERLINK("http://www.uniprot.org/uniprot/Q9P2K9","Q9P2K9")</f>
        <v>Q9P2K9</v>
      </c>
      <c r="C2669" t="s">
        <v>26320</v>
      </c>
      <c r="D2669" t="s">
        <v>26321</v>
      </c>
      <c r="E2669" t="s">
        <v>39</v>
      </c>
      <c r="F2669" t="s">
        <v>40</v>
      </c>
      <c r="H2669">
        <v>1392</v>
      </c>
      <c r="I2669">
        <v>12</v>
      </c>
      <c r="J2669">
        <v>0</v>
      </c>
      <c r="K2669" t="s">
        <v>26322</v>
      </c>
      <c r="L2669" t="s">
        <v>57</v>
      </c>
      <c r="N2669">
        <v>0.74650000000000005</v>
      </c>
      <c r="O2669" s="1">
        <v>2</v>
      </c>
      <c r="P2669" t="s">
        <v>26323</v>
      </c>
      <c r="Q2669" t="s">
        <v>26324</v>
      </c>
      <c r="S2669" t="s">
        <v>60</v>
      </c>
      <c r="T2669" t="s">
        <v>60</v>
      </c>
      <c r="U2669" t="s">
        <v>26325</v>
      </c>
      <c r="V2669">
        <v>8</v>
      </c>
      <c r="Y2669" t="s">
        <v>26326</v>
      </c>
      <c r="AE2669" t="s">
        <v>48</v>
      </c>
      <c r="AF2669" t="s">
        <v>472</v>
      </c>
      <c r="AG2669" t="s">
        <v>26327</v>
      </c>
      <c r="AH2669" t="str">
        <f>HYPERLINK("http://compartments.jensenlab.org/Entity?figures=subcell_cell_%&amp;knowledge=10&amp;textmining=10&amp;experiments=10&amp;predictions=10&amp;type1=9606&amp;type2=-22&amp;id1=ENSP00000294484","link")</f>
        <v>link</v>
      </c>
      <c r="AJ2669" t="s">
        <v>12046</v>
      </c>
      <c r="AK2669" t="str">
        <f>HYPERLINK("http://www.proteinatlas.org/Q9P2K9","HPA054579")</f>
        <v>HPA054579</v>
      </c>
      <c r="AM2669">
        <v>57540</v>
      </c>
    </row>
    <row r="2670" spans="1:39" x14ac:dyDescent="0.35">
      <c r="A2670" t="s">
        <v>26328</v>
      </c>
      <c r="B2670" t="str">
        <f>HYPERLINK("http://www.uniprot.org/uniprot/Q9P2S2","Q9P2S2")</f>
        <v>Q9P2S2</v>
      </c>
      <c r="C2670" t="s">
        <v>26329</v>
      </c>
      <c r="D2670" t="s">
        <v>11116</v>
      </c>
      <c r="E2670" t="s">
        <v>39</v>
      </c>
      <c r="F2670" t="s">
        <v>40</v>
      </c>
      <c r="H2670">
        <v>1712</v>
      </c>
      <c r="I2670">
        <v>1</v>
      </c>
      <c r="J2670">
        <v>1</v>
      </c>
      <c r="K2670" t="s">
        <v>26330</v>
      </c>
      <c r="L2670" t="s">
        <v>57</v>
      </c>
      <c r="N2670">
        <v>0.64270000000000005</v>
      </c>
      <c r="O2670" s="1">
        <v>2</v>
      </c>
      <c r="P2670" t="s">
        <v>11118</v>
      </c>
      <c r="Q2670" t="s">
        <v>26331</v>
      </c>
      <c r="S2670" t="s">
        <v>166</v>
      </c>
      <c r="T2670" t="s">
        <v>11109</v>
      </c>
      <c r="U2670" t="s">
        <v>26332</v>
      </c>
      <c r="V2670">
        <v>4</v>
      </c>
      <c r="AE2670" t="s">
        <v>144</v>
      </c>
      <c r="AF2670" t="s">
        <v>26333</v>
      </c>
      <c r="AG2670" t="s">
        <v>26334</v>
      </c>
      <c r="AH2670" t="str">
        <f>HYPERLINK("http://compartments.jensenlab.org/Entity?figures=subcell_cell_%&amp;knowledge=10&amp;textmining=10&amp;experiments=10&amp;predictions=10&amp;type1=9606&amp;type2=-22&amp;id1=ENSP00000265459","link")</f>
        <v>link</v>
      </c>
      <c r="AJ2670" t="s">
        <v>51</v>
      </c>
      <c r="AK2670" t="str">
        <f>HYPERLINK("http://www.proteinatlas.org/Q9P2S2","no")</f>
        <v>no</v>
      </c>
      <c r="AM2670">
        <v>9379</v>
      </c>
    </row>
    <row r="2671" spans="1:39" x14ac:dyDescent="0.35">
      <c r="A2671" t="s">
        <v>26335</v>
      </c>
      <c r="B2671" t="str">
        <f>HYPERLINK("http://www.uniprot.org/uniprot/Q9P2U7","Q9P2U7")</f>
        <v>Q9P2U7</v>
      </c>
      <c r="C2671" t="s">
        <v>26336</v>
      </c>
      <c r="D2671" t="s">
        <v>26337</v>
      </c>
      <c r="E2671" t="s">
        <v>39</v>
      </c>
      <c r="F2671" t="s">
        <v>40</v>
      </c>
      <c r="H2671">
        <v>560</v>
      </c>
      <c r="I2671">
        <v>12</v>
      </c>
      <c r="J2671">
        <v>0</v>
      </c>
      <c r="K2671" t="s">
        <v>26338</v>
      </c>
      <c r="L2671" t="s">
        <v>57</v>
      </c>
      <c r="N2671">
        <v>0.64070000000000005</v>
      </c>
      <c r="O2671" s="1">
        <v>2</v>
      </c>
      <c r="P2671" t="s">
        <v>26339</v>
      </c>
      <c r="Q2671" t="s">
        <v>26340</v>
      </c>
      <c r="S2671" t="s">
        <v>45</v>
      </c>
      <c r="T2671" t="s">
        <v>13311</v>
      </c>
      <c r="U2671" t="s">
        <v>26341</v>
      </c>
      <c r="V2671">
        <v>2</v>
      </c>
      <c r="Y2671">
        <v>194</v>
      </c>
      <c r="AE2671" t="s">
        <v>18320</v>
      </c>
      <c r="AF2671" t="s">
        <v>26342</v>
      </c>
      <c r="AG2671" t="s">
        <v>26343</v>
      </c>
      <c r="AH2671" t="str">
        <f>HYPERLINK("http://compartments.jensenlab.org/Entity?figures=subcell_cell_%&amp;knowledge=10&amp;textmining=10&amp;experiments=10&amp;predictions=10&amp;type1=9606&amp;type2=-22&amp;id1=ENSP00000221485","link")</f>
        <v>link</v>
      </c>
      <c r="AJ2671" t="s">
        <v>51</v>
      </c>
      <c r="AK2671" t="str">
        <f>HYPERLINK("http://www.proteinatlas.org/Q9P2U7","CAB037183;HPA050458;HPA063679")</f>
        <v>CAB037183;HPA050458;HPA063679</v>
      </c>
      <c r="AM2671">
        <v>57030</v>
      </c>
    </row>
    <row r="2672" spans="1:39" x14ac:dyDescent="0.35">
      <c r="A2672" t="s">
        <v>26344</v>
      </c>
      <c r="B2672" t="str">
        <f>HYPERLINK("http://www.uniprot.org/uniprot/Q9P2U8","Q9P2U8")</f>
        <v>Q9P2U8</v>
      </c>
      <c r="C2672" t="s">
        <v>26345</v>
      </c>
      <c r="D2672" t="s">
        <v>26346</v>
      </c>
      <c r="E2672" t="s">
        <v>39</v>
      </c>
      <c r="F2672" t="s">
        <v>40</v>
      </c>
      <c r="H2672">
        <v>582</v>
      </c>
      <c r="I2672">
        <v>12</v>
      </c>
      <c r="J2672">
        <v>0</v>
      </c>
      <c r="K2672" t="s">
        <v>26347</v>
      </c>
      <c r="L2672" t="s">
        <v>57</v>
      </c>
      <c r="N2672">
        <v>0.58879999999999999</v>
      </c>
      <c r="O2672" s="1">
        <v>2</v>
      </c>
      <c r="P2672" t="s">
        <v>26348</v>
      </c>
      <c r="Q2672" t="s">
        <v>26349</v>
      </c>
      <c r="S2672" t="s">
        <v>45</v>
      </c>
      <c r="T2672" t="s">
        <v>13311</v>
      </c>
      <c r="U2672" t="s">
        <v>26350</v>
      </c>
      <c r="V2672">
        <v>3</v>
      </c>
      <c r="Y2672">
        <v>202</v>
      </c>
      <c r="AE2672" t="s">
        <v>18320</v>
      </c>
      <c r="AF2672" t="s">
        <v>26351</v>
      </c>
      <c r="AG2672" t="s">
        <v>26352</v>
      </c>
      <c r="AH2672" t="str">
        <f>HYPERLINK("http://compartments.jensenlab.org/Entity?figures=subcell_cell_%&amp;knowledge=10&amp;textmining=10&amp;experiments=10&amp;predictions=10&amp;type1=9606&amp;type2=-22&amp;id1=ENSP00000263160","link")</f>
        <v>link</v>
      </c>
      <c r="AJ2672" t="s">
        <v>1791</v>
      </c>
      <c r="AK2672" t="str">
        <f>HYPERLINK("http://www.proteinatlas.org/Q9P2U8","CAB037130;HPA039226")</f>
        <v>CAB037130;HPA039226</v>
      </c>
      <c r="AM2672">
        <v>57084</v>
      </c>
    </row>
    <row r="2673" spans="1:39" x14ac:dyDescent="0.35">
      <c r="A2673" t="s">
        <v>26353</v>
      </c>
      <c r="B2673" t="str">
        <f>HYPERLINK("http://www.uniprot.org/uniprot/Q9P2V4","Q9P2V4")</f>
        <v>Q9P2V4</v>
      </c>
      <c r="C2673" t="s">
        <v>26354</v>
      </c>
      <c r="D2673" t="s">
        <v>26355</v>
      </c>
      <c r="E2673" t="s">
        <v>39</v>
      </c>
      <c r="F2673" t="s">
        <v>40</v>
      </c>
      <c r="H2673">
        <v>623</v>
      </c>
      <c r="I2673">
        <v>1</v>
      </c>
      <c r="J2673">
        <v>1</v>
      </c>
      <c r="K2673" t="s">
        <v>26356</v>
      </c>
      <c r="L2673" t="s">
        <v>57</v>
      </c>
      <c r="N2673">
        <v>0.9002</v>
      </c>
      <c r="O2673" s="1">
        <v>1</v>
      </c>
      <c r="S2673" t="s">
        <v>91</v>
      </c>
      <c r="T2673" t="s">
        <v>260</v>
      </c>
      <c r="U2673" t="s">
        <v>26357</v>
      </c>
      <c r="V2673">
        <v>3</v>
      </c>
      <c r="AE2673" t="s">
        <v>2788</v>
      </c>
      <c r="AF2673" t="s">
        <v>26358</v>
      </c>
      <c r="AG2673" t="s">
        <v>26359</v>
      </c>
      <c r="AK2673" t="str">
        <f>HYPERLINK("http://www.proteinatlas.org/Q9P2V4","no")</f>
        <v>no</v>
      </c>
      <c r="AM2673">
        <v>26103</v>
      </c>
    </row>
    <row r="2674" spans="1:39" x14ac:dyDescent="0.35">
      <c r="A2674" t="s">
        <v>26360</v>
      </c>
      <c r="B2674" t="str">
        <f>HYPERLINK("http://www.uniprot.org/uniprot/Q9TNN7","Q9TNN7")</f>
        <v>Q9TNN7</v>
      </c>
      <c r="C2674" t="s">
        <v>26361</v>
      </c>
      <c r="D2674" t="s">
        <v>3849</v>
      </c>
      <c r="E2674" t="s">
        <v>39</v>
      </c>
      <c r="F2674" t="s">
        <v>40</v>
      </c>
      <c r="H2674">
        <v>366</v>
      </c>
      <c r="I2674">
        <v>1</v>
      </c>
      <c r="J2674">
        <v>1</v>
      </c>
      <c r="K2674" t="s">
        <v>4930</v>
      </c>
      <c r="L2674" t="s">
        <v>57</v>
      </c>
      <c r="N2674">
        <v>0.81040000000000001</v>
      </c>
      <c r="O2674" s="1">
        <v>1</v>
      </c>
      <c r="P2674" t="s">
        <v>7883</v>
      </c>
      <c r="Q2674" t="s">
        <v>7884</v>
      </c>
      <c r="S2674" t="s">
        <v>91</v>
      </c>
      <c r="T2674" t="s">
        <v>3641</v>
      </c>
      <c r="U2674">
        <v>110</v>
      </c>
      <c r="V2674">
        <v>1</v>
      </c>
      <c r="AE2674" t="s">
        <v>144</v>
      </c>
      <c r="AF2674" t="s">
        <v>4918</v>
      </c>
      <c r="AG2674" t="s">
        <v>26362</v>
      </c>
      <c r="AH2674" t="str">
        <f>HYPERLINK("http://compartments.jensenlab.org/Entity?figures=subcell_cell_%&amp;knowledge=10&amp;textmining=10&amp;experiments=10&amp;predictions=10&amp;type1=9606&amp;type2=-22&amp;id1=ENSP00000383195","link")</f>
        <v>link</v>
      </c>
      <c r="AK2674" t="str">
        <f>HYPERLINK("http://www.proteinatlas.org/Q9TNN7","no")</f>
        <v>no</v>
      </c>
    </row>
    <row r="2675" spans="1:39" x14ac:dyDescent="0.35">
      <c r="A2675" t="s">
        <v>26363</v>
      </c>
      <c r="B2675" t="str">
        <f>HYPERLINK("http://www.uniprot.org/uniprot/Q9TQE0","Q9TQE0")</f>
        <v>Q9TQE0</v>
      </c>
      <c r="C2675" t="s">
        <v>26364</v>
      </c>
      <c r="D2675" t="s">
        <v>3712</v>
      </c>
      <c r="E2675" t="s">
        <v>39</v>
      </c>
      <c r="F2675" t="s">
        <v>40</v>
      </c>
      <c r="H2675">
        <v>266</v>
      </c>
      <c r="I2675">
        <v>1</v>
      </c>
      <c r="J2675">
        <v>1</v>
      </c>
      <c r="K2675" t="s">
        <v>3713</v>
      </c>
      <c r="L2675" t="s">
        <v>57</v>
      </c>
      <c r="N2675">
        <v>0.94410000000000005</v>
      </c>
      <c r="O2675" s="1">
        <v>1</v>
      </c>
      <c r="P2675" t="s">
        <v>5404</v>
      </c>
      <c r="Q2675" t="s">
        <v>26365</v>
      </c>
      <c r="S2675" t="s">
        <v>91</v>
      </c>
      <c r="T2675" t="s">
        <v>3641</v>
      </c>
      <c r="U2675">
        <v>48</v>
      </c>
      <c r="V2675">
        <v>1</v>
      </c>
      <c r="W2675">
        <v>48</v>
      </c>
      <c r="AE2675" t="s">
        <v>3717</v>
      </c>
      <c r="AF2675" t="s">
        <v>5408</v>
      </c>
      <c r="AG2675" t="s">
        <v>26366</v>
      </c>
      <c r="AH2675" t="str">
        <f>HYPERLINK("http://compartments.jensenlab.org/Entity?figures=subcell_cell_%&amp;knowledge=10&amp;textmining=10&amp;experiments=10&amp;predictions=10&amp;type1=9606&amp;type2=-22&amp;id1=ENSP00000405960","link")</f>
        <v>link</v>
      </c>
      <c r="AK2675" t="str">
        <f>HYPERLINK("http://www.proteinatlas.org/Q9TQE0","no")</f>
        <v>no</v>
      </c>
    </row>
    <row r="2676" spans="1:39" x14ac:dyDescent="0.35">
      <c r="A2676" t="s">
        <v>26367</v>
      </c>
      <c r="B2676" t="str">
        <f>HYPERLINK("http://www.uniprot.org/uniprot/Q9UBD6","Q9UBD6")</f>
        <v>Q9UBD6</v>
      </c>
      <c r="C2676" t="s">
        <v>26368</v>
      </c>
      <c r="D2676" t="s">
        <v>26369</v>
      </c>
      <c r="E2676" t="s">
        <v>39</v>
      </c>
      <c r="F2676" t="s">
        <v>55</v>
      </c>
      <c r="H2676">
        <v>479</v>
      </c>
      <c r="I2676">
        <v>12</v>
      </c>
      <c r="J2676">
        <v>0</v>
      </c>
      <c r="K2676" t="s">
        <v>26370</v>
      </c>
      <c r="L2676" t="s">
        <v>57</v>
      </c>
      <c r="M2676" t="s">
        <v>39</v>
      </c>
      <c r="N2676">
        <v>0.52070000000000005</v>
      </c>
      <c r="O2676" s="1">
        <v>3</v>
      </c>
      <c r="P2676" t="s">
        <v>26371</v>
      </c>
      <c r="Q2676" t="s">
        <v>26372</v>
      </c>
      <c r="S2676" t="s">
        <v>45</v>
      </c>
      <c r="T2676" t="s">
        <v>11772</v>
      </c>
      <c r="U2676" t="s">
        <v>26373</v>
      </c>
      <c r="V2676">
        <v>1</v>
      </c>
      <c r="W2676" t="s">
        <v>26374</v>
      </c>
      <c r="Y2676">
        <v>229</v>
      </c>
      <c r="AE2676" t="s">
        <v>14823</v>
      </c>
      <c r="AF2676" t="s">
        <v>26375</v>
      </c>
      <c r="AG2676" t="s">
        <v>26376</v>
      </c>
      <c r="AH2676" t="str">
        <f>HYPERLINK("http://compartments.jensenlab.org/Entity?figures=subcell_cell_%&amp;knowledge=10&amp;textmining=10&amp;experiments=10&amp;predictions=10&amp;type1=9606&amp;type2=-22&amp;id1=ENSP00000268122","link")</f>
        <v>link</v>
      </c>
      <c r="AI2676" t="s">
        <v>65</v>
      </c>
      <c r="AJ2676" t="s">
        <v>51</v>
      </c>
      <c r="AK2676" t="str">
        <f>HYPERLINK("http://www.proteinatlas.org/Q9UBD6","HPA041874;HPA043317")</f>
        <v>HPA041874;HPA043317</v>
      </c>
      <c r="AM2676">
        <v>51458</v>
      </c>
    </row>
    <row r="2677" spans="1:39" x14ac:dyDescent="0.35">
      <c r="A2677" t="s">
        <v>26377</v>
      </c>
      <c r="B2677" t="str">
        <f>HYPERLINK("http://www.uniprot.org/uniprot/Q9UBG0","Q9UBG0")</f>
        <v>Q9UBG0</v>
      </c>
      <c r="C2677" t="s">
        <v>26378</v>
      </c>
      <c r="D2677" t="s">
        <v>26379</v>
      </c>
      <c r="E2677" t="s">
        <v>39</v>
      </c>
      <c r="F2677" t="s">
        <v>40</v>
      </c>
      <c r="H2677">
        <v>1479</v>
      </c>
      <c r="I2677">
        <v>1</v>
      </c>
      <c r="J2677">
        <v>1</v>
      </c>
      <c r="K2677" t="s">
        <v>26380</v>
      </c>
      <c r="L2677" t="s">
        <v>101</v>
      </c>
      <c r="N2677">
        <v>0.91220000000000001</v>
      </c>
      <c r="O2677" s="1">
        <v>1</v>
      </c>
      <c r="P2677" t="s">
        <v>26381</v>
      </c>
      <c r="Q2677" t="s">
        <v>26382</v>
      </c>
      <c r="R2677" t="s">
        <v>26383</v>
      </c>
      <c r="S2677" t="s">
        <v>166</v>
      </c>
      <c r="T2677" t="s">
        <v>2180</v>
      </c>
      <c r="U2677" t="s">
        <v>26384</v>
      </c>
      <c r="V2677">
        <v>14</v>
      </c>
      <c r="Z2677" t="s">
        <v>107</v>
      </c>
      <c r="AA2677">
        <v>18</v>
      </c>
      <c r="AB2677" t="s">
        <v>26385</v>
      </c>
      <c r="AC2677" t="s">
        <v>26386</v>
      </c>
      <c r="AD2677" t="s">
        <v>26387</v>
      </c>
      <c r="AE2677" t="s">
        <v>144</v>
      </c>
      <c r="AF2677" t="s">
        <v>26388</v>
      </c>
      <c r="AG2677" t="s">
        <v>26389</v>
      </c>
      <c r="AH2677" t="str">
        <f>HYPERLINK("http://compartments.jensenlab.org/Entity?figures=subcell_cell_%&amp;knowledge=10&amp;textmining=10&amp;experiments=10&amp;predictions=10&amp;type1=9606&amp;type2=-22&amp;id1=ENSP00000307513","link")</f>
        <v>link</v>
      </c>
      <c r="AJ2677" t="s">
        <v>51</v>
      </c>
      <c r="AK2677" t="str">
        <f>HYPERLINK("http://www.proteinatlas.org/Q9UBG0","HPA041991")</f>
        <v>HPA041991</v>
      </c>
      <c r="AM2677">
        <v>9902</v>
      </c>
    </row>
    <row r="2678" spans="1:39" x14ac:dyDescent="0.35">
      <c r="A2678" t="s">
        <v>26390</v>
      </c>
      <c r="B2678" t="str">
        <f>HYPERLINK("http://www.uniprot.org/uniprot/Q9UBL9","Q9UBL9")</f>
        <v>Q9UBL9</v>
      </c>
      <c r="C2678" t="s">
        <v>26391</v>
      </c>
      <c r="D2678" t="s">
        <v>26392</v>
      </c>
      <c r="E2678" t="s">
        <v>39</v>
      </c>
      <c r="F2678" t="s">
        <v>40</v>
      </c>
      <c r="H2678">
        <v>471</v>
      </c>
      <c r="I2678">
        <v>2</v>
      </c>
      <c r="J2678">
        <v>0</v>
      </c>
      <c r="K2678" t="s">
        <v>26393</v>
      </c>
      <c r="L2678" t="s">
        <v>57</v>
      </c>
      <c r="N2678">
        <v>0.63470000000000004</v>
      </c>
      <c r="O2678" s="1">
        <v>2</v>
      </c>
      <c r="P2678" t="s">
        <v>26394</v>
      </c>
      <c r="Q2678" t="s">
        <v>26395</v>
      </c>
      <c r="S2678" t="s">
        <v>45</v>
      </c>
      <c r="T2678" t="s">
        <v>1644</v>
      </c>
      <c r="U2678" t="s">
        <v>26396</v>
      </c>
      <c r="V2678">
        <v>3</v>
      </c>
      <c r="AE2678" t="s">
        <v>74</v>
      </c>
      <c r="AF2678" t="s">
        <v>26397</v>
      </c>
      <c r="AG2678" t="s">
        <v>26398</v>
      </c>
      <c r="AH2678" t="str">
        <f>HYPERLINK("http://compartments.jensenlab.org/Entity?figures=subcell_cell_%&amp;knowledge=10&amp;textmining=10&amp;experiments=10&amp;predictions=10&amp;type1=9606&amp;type2=-22&amp;id1=ENSP00000373762","link")</f>
        <v>link</v>
      </c>
      <c r="AK2678" t="str">
        <f>HYPERLINK("http://www.proteinatlas.org/Q9UBL9","HPA014025")</f>
        <v>HPA014025</v>
      </c>
      <c r="AM2678">
        <v>22953</v>
      </c>
    </row>
    <row r="2679" spans="1:39" x14ac:dyDescent="0.35">
      <c r="A2679" t="s">
        <v>26399</v>
      </c>
      <c r="B2679" t="str">
        <f>HYPERLINK("http://www.uniprot.org/uniprot/Q9UBN1","Q9UBN1")</f>
        <v>Q9UBN1</v>
      </c>
      <c r="C2679" t="s">
        <v>26400</v>
      </c>
      <c r="D2679" t="s">
        <v>26401</v>
      </c>
      <c r="E2679" t="s">
        <v>39</v>
      </c>
      <c r="F2679" t="s">
        <v>40</v>
      </c>
      <c r="H2679">
        <v>327</v>
      </c>
      <c r="I2679">
        <v>4</v>
      </c>
      <c r="J2679">
        <v>0</v>
      </c>
      <c r="K2679" t="s">
        <v>26402</v>
      </c>
      <c r="L2679" t="s">
        <v>57</v>
      </c>
      <c r="N2679">
        <v>0.76849999999999996</v>
      </c>
      <c r="O2679" s="1">
        <v>1</v>
      </c>
      <c r="P2679" t="s">
        <v>26403</v>
      </c>
      <c r="Q2679" t="s">
        <v>26404</v>
      </c>
      <c r="S2679" t="s">
        <v>45</v>
      </c>
      <c r="T2679" t="s">
        <v>341</v>
      </c>
      <c r="U2679" t="s">
        <v>26405</v>
      </c>
      <c r="V2679">
        <v>2</v>
      </c>
      <c r="Y2679" t="s">
        <v>26406</v>
      </c>
      <c r="AE2679" t="s">
        <v>74</v>
      </c>
      <c r="AF2679" t="s">
        <v>26407</v>
      </c>
      <c r="AG2679" t="s">
        <v>26408</v>
      </c>
      <c r="AH2679" t="str">
        <f>HYPERLINK("http://compartments.jensenlab.org/Entity?figures=subcell_cell_%&amp;knowledge=10&amp;textmining=10&amp;experiments=10&amp;predictions=10&amp;type1=9606&amp;type2=-22&amp;id1=ENSP00000262138","link")</f>
        <v>link</v>
      </c>
      <c r="AI2679" t="s">
        <v>65</v>
      </c>
      <c r="AJ2679" t="s">
        <v>51</v>
      </c>
      <c r="AK2679" t="str">
        <f>HYPERLINK("http://www.proteinatlas.org/Q9UBN1","HPA060718")</f>
        <v>HPA060718</v>
      </c>
      <c r="AM2679">
        <v>27092</v>
      </c>
    </row>
    <row r="2680" spans="1:39" x14ac:dyDescent="0.35">
      <c r="A2680" t="s">
        <v>26409</v>
      </c>
      <c r="B2680" t="str">
        <f>HYPERLINK("http://www.uniprot.org/uniprot/Q9UBN6","Q9UBN6")</f>
        <v>Q9UBN6</v>
      </c>
      <c r="C2680" t="s">
        <v>26410</v>
      </c>
      <c r="D2680" t="s">
        <v>26411</v>
      </c>
      <c r="E2680" t="s">
        <v>39</v>
      </c>
      <c r="F2680" t="s">
        <v>40</v>
      </c>
      <c r="H2680">
        <v>386</v>
      </c>
      <c r="I2680">
        <v>1</v>
      </c>
      <c r="J2680">
        <v>1</v>
      </c>
      <c r="K2680" t="s">
        <v>26412</v>
      </c>
      <c r="L2680" t="s">
        <v>57</v>
      </c>
      <c r="N2680">
        <v>0.90820000000000001</v>
      </c>
      <c r="O2680" s="1">
        <v>1</v>
      </c>
      <c r="P2680" t="s">
        <v>26413</v>
      </c>
      <c r="Q2680" t="s">
        <v>26414</v>
      </c>
      <c r="R2680" t="s">
        <v>26415</v>
      </c>
      <c r="S2680" t="s">
        <v>166</v>
      </c>
      <c r="T2680" t="s">
        <v>864</v>
      </c>
      <c r="U2680" t="s">
        <v>26416</v>
      </c>
      <c r="V2680">
        <v>3</v>
      </c>
      <c r="X2680" t="s">
        <v>26417</v>
      </c>
      <c r="AE2680" t="s">
        <v>144</v>
      </c>
      <c r="AF2680" t="s">
        <v>26418</v>
      </c>
      <c r="AG2680" t="s">
        <v>26419</v>
      </c>
      <c r="AH2680" t="str">
        <f>HYPERLINK("http://compartments.jensenlab.org/Entity?figures=subcell_cell_%&amp;knowledge=10&amp;textmining=10&amp;experiments=10&amp;predictions=10&amp;type1=9606&amp;type2=-22&amp;id1=ENSP00000310263","link")</f>
        <v>link</v>
      </c>
      <c r="AJ2680" t="s">
        <v>51</v>
      </c>
      <c r="AK2680" t="str">
        <f>HYPERLINK("http://www.proteinatlas.org/Q9UBN6","no")</f>
        <v>no</v>
      </c>
      <c r="AM2680">
        <v>8793</v>
      </c>
    </row>
    <row r="2681" spans="1:39" x14ac:dyDescent="0.35">
      <c r="A2681" t="s">
        <v>26420</v>
      </c>
      <c r="B2681" t="str">
        <f>HYPERLINK("http://www.uniprot.org/uniprot/Q9UBS5","Q9UBS5")</f>
        <v>Q9UBS5</v>
      </c>
      <c r="C2681" t="s">
        <v>26421</v>
      </c>
      <c r="D2681" t="s">
        <v>26422</v>
      </c>
      <c r="E2681" t="s">
        <v>39</v>
      </c>
      <c r="F2681" t="s">
        <v>40</v>
      </c>
      <c r="H2681">
        <v>961</v>
      </c>
      <c r="I2681">
        <v>7</v>
      </c>
      <c r="J2681">
        <v>1</v>
      </c>
      <c r="K2681" t="s">
        <v>26423</v>
      </c>
      <c r="L2681" t="s">
        <v>57</v>
      </c>
      <c r="N2681">
        <v>0.95809999999999995</v>
      </c>
      <c r="O2681" s="1">
        <v>1</v>
      </c>
      <c r="P2681" t="s">
        <v>26424</v>
      </c>
      <c r="Q2681" t="s">
        <v>26425</v>
      </c>
      <c r="S2681" t="s">
        <v>166</v>
      </c>
      <c r="T2681" t="s">
        <v>874</v>
      </c>
      <c r="U2681" t="s">
        <v>26426</v>
      </c>
      <c r="V2681">
        <v>8</v>
      </c>
      <c r="W2681" t="s">
        <v>26427</v>
      </c>
      <c r="AE2681" t="s">
        <v>26428</v>
      </c>
      <c r="AF2681" t="s">
        <v>26429</v>
      </c>
      <c r="AG2681" t="s">
        <v>26430</v>
      </c>
      <c r="AH2681" t="str">
        <f>HYPERLINK("http://compartments.jensenlab.org/Entity?figures=subcell_cell_%&amp;knowledge=10&amp;textmining=10&amp;experiments=10&amp;predictions=10&amp;type1=9606&amp;type2=-22&amp;id1=ENSP00000366233","link")</f>
        <v>link</v>
      </c>
      <c r="AI2681" t="s">
        <v>11089</v>
      </c>
      <c r="AJ2681" t="s">
        <v>26431</v>
      </c>
      <c r="AK2681" t="str">
        <f>HYPERLINK("http://www.proteinatlas.org/Q9UBS5","HPA050483")</f>
        <v>HPA050483</v>
      </c>
      <c r="AL2681" t="s">
        <v>26432</v>
      </c>
      <c r="AM2681">
        <v>2550</v>
      </c>
    </row>
    <row r="2682" spans="1:39" x14ac:dyDescent="0.35">
      <c r="A2682" t="s">
        <v>26433</v>
      </c>
      <c r="B2682" t="str">
        <f>HYPERLINK("http://www.uniprot.org/uniprot/Q9UBS9","Q9UBS9")</f>
        <v>Q9UBS9</v>
      </c>
      <c r="C2682" t="s">
        <v>26434</v>
      </c>
      <c r="D2682" t="s">
        <v>26435</v>
      </c>
      <c r="E2682" t="s">
        <v>39</v>
      </c>
      <c r="F2682" t="s">
        <v>40</v>
      </c>
      <c r="H2682">
        <v>1254</v>
      </c>
      <c r="I2682">
        <v>1</v>
      </c>
      <c r="J2682">
        <v>1</v>
      </c>
      <c r="K2682" t="s">
        <v>26436</v>
      </c>
      <c r="L2682" t="s">
        <v>118</v>
      </c>
      <c r="N2682">
        <v>0.81640000000000001</v>
      </c>
      <c r="O2682" s="1">
        <v>1</v>
      </c>
      <c r="P2682" t="s">
        <v>26437</v>
      </c>
      <c r="Q2682" t="s">
        <v>26438</v>
      </c>
      <c r="S2682" t="s">
        <v>60</v>
      </c>
      <c r="T2682" t="s">
        <v>60</v>
      </c>
      <c r="U2682" t="s">
        <v>26439</v>
      </c>
      <c r="V2682">
        <v>14</v>
      </c>
      <c r="X2682">
        <v>546</v>
      </c>
      <c r="Z2682" t="s">
        <v>107</v>
      </c>
      <c r="AA2682">
        <v>2</v>
      </c>
      <c r="AB2682" t="s">
        <v>26440</v>
      </c>
      <c r="AC2682" t="s">
        <v>26441</v>
      </c>
      <c r="AD2682" t="s">
        <v>26442</v>
      </c>
      <c r="AE2682" t="s">
        <v>26443</v>
      </c>
      <c r="AF2682" t="s">
        <v>26444</v>
      </c>
      <c r="AG2682" t="s">
        <v>26445</v>
      </c>
      <c r="AH2682" t="str">
        <f>HYPERLINK("http://compartments.jensenlab.org/Entity?figures=subcell_cell_%&amp;knowledge=10&amp;textmining=10&amp;experiments=10&amp;predictions=10&amp;type1=9606&amp;type2=-22&amp;id1=ENSP00000263688","link")</f>
        <v>link</v>
      </c>
      <c r="AI2682" t="s">
        <v>980</v>
      </c>
      <c r="AJ2682" t="s">
        <v>3965</v>
      </c>
      <c r="AK2682" t="str">
        <f>HYPERLINK("http://www.proteinatlas.org/Q9UBS9","HPA047251")</f>
        <v>HPA047251</v>
      </c>
      <c r="AM2682">
        <v>51430</v>
      </c>
    </row>
    <row r="2683" spans="1:39" x14ac:dyDescent="0.35">
      <c r="A2683" t="s">
        <v>26446</v>
      </c>
      <c r="B2683" t="str">
        <f>HYPERLINK("http://www.uniprot.org/uniprot/Q9UBY0","Q9UBY0")</f>
        <v>Q9UBY0</v>
      </c>
      <c r="C2683" t="s">
        <v>26447</v>
      </c>
      <c r="D2683" t="s">
        <v>26448</v>
      </c>
      <c r="E2683" t="s">
        <v>39</v>
      </c>
      <c r="F2683" t="s">
        <v>40</v>
      </c>
      <c r="H2683">
        <v>812</v>
      </c>
      <c r="I2683">
        <v>10</v>
      </c>
      <c r="J2683">
        <v>0</v>
      </c>
      <c r="K2683" t="s">
        <v>26449</v>
      </c>
      <c r="L2683" t="s">
        <v>57</v>
      </c>
      <c r="N2683">
        <v>0.61280000000000001</v>
      </c>
      <c r="O2683" s="1">
        <v>2</v>
      </c>
      <c r="P2683" t="s">
        <v>26450</v>
      </c>
      <c r="Q2683" t="s">
        <v>26451</v>
      </c>
      <c r="S2683" t="s">
        <v>45</v>
      </c>
      <c r="T2683" t="s">
        <v>6330</v>
      </c>
      <c r="U2683" t="s">
        <v>26452</v>
      </c>
      <c r="V2683">
        <v>1</v>
      </c>
      <c r="AE2683" t="s">
        <v>48</v>
      </c>
      <c r="AF2683" t="s">
        <v>26453</v>
      </c>
      <c r="AG2683" t="s">
        <v>26454</v>
      </c>
      <c r="AH2683" t="str">
        <f>HYPERLINK("http://compartments.jensenlab.org/Entity?figures=subcell_cell_%&amp;knowledge=10&amp;textmining=10&amp;experiments=10&amp;predictions=10&amp;type1=9606&amp;type2=-22&amp;id1=ENSP00000233969","link")</f>
        <v>link</v>
      </c>
      <c r="AJ2683" t="s">
        <v>51</v>
      </c>
      <c r="AK2683" t="str">
        <f>HYPERLINK("http://www.proteinatlas.org/Q9UBY0","HPA035121;HPA035122")</f>
        <v>HPA035121;HPA035122</v>
      </c>
      <c r="AM2683">
        <v>6549</v>
      </c>
    </row>
    <row r="2684" spans="1:39" x14ac:dyDescent="0.35">
      <c r="A2684" t="s">
        <v>26455</v>
      </c>
      <c r="B2684" t="str">
        <f>HYPERLINK("http://www.uniprot.org/uniprot/Q9UBY5","Q9UBY5")</f>
        <v>Q9UBY5</v>
      </c>
      <c r="C2684" t="s">
        <v>26456</v>
      </c>
      <c r="D2684" t="s">
        <v>26457</v>
      </c>
      <c r="E2684" t="s">
        <v>39</v>
      </c>
      <c r="F2684" t="s">
        <v>40</v>
      </c>
      <c r="H2684">
        <v>353</v>
      </c>
      <c r="I2684">
        <v>7</v>
      </c>
      <c r="J2684">
        <v>0</v>
      </c>
      <c r="K2684" t="s">
        <v>26458</v>
      </c>
      <c r="L2684" t="s">
        <v>57</v>
      </c>
      <c r="N2684">
        <v>0.95809999999999995</v>
      </c>
      <c r="O2684" s="1">
        <v>1</v>
      </c>
      <c r="P2684" t="s">
        <v>26459</v>
      </c>
      <c r="Q2684" t="s">
        <v>26460</v>
      </c>
      <c r="S2684" t="s">
        <v>166</v>
      </c>
      <c r="T2684" t="s">
        <v>838</v>
      </c>
      <c r="U2684" t="s">
        <v>26461</v>
      </c>
      <c r="V2684">
        <v>2</v>
      </c>
      <c r="W2684">
        <v>139</v>
      </c>
      <c r="X2684">
        <v>321</v>
      </c>
      <c r="AE2684" t="s">
        <v>74</v>
      </c>
      <c r="AF2684" t="s">
        <v>8418</v>
      </c>
      <c r="AG2684" t="s">
        <v>26462</v>
      </c>
      <c r="AH2684" t="str">
        <f>HYPERLINK("http://compartments.jensenlab.org/Entity?figures=subcell_cell_%&amp;knowledge=10&amp;textmining=10&amp;experiments=10&amp;predictions=10&amp;type1=9606&amp;type2=-22&amp;id1=ENSP00000359643","link")</f>
        <v>link</v>
      </c>
      <c r="AI2684" t="s">
        <v>65</v>
      </c>
      <c r="AJ2684" t="s">
        <v>1801</v>
      </c>
      <c r="AK2684" t="str">
        <f>HYPERLINK("http://www.proteinatlas.org/Q9UBY5","HPA013421")</f>
        <v>HPA013421</v>
      </c>
      <c r="AM2684">
        <v>23566</v>
      </c>
    </row>
    <row r="2685" spans="1:39" x14ac:dyDescent="0.35">
      <c r="A2685" t="s">
        <v>26463</v>
      </c>
      <c r="B2685" t="str">
        <f>HYPERLINK("http://www.uniprot.org/uniprot/Q9UEF7","Q9UEF7")</f>
        <v>Q9UEF7</v>
      </c>
      <c r="C2685" t="s">
        <v>26464</v>
      </c>
      <c r="D2685" t="s">
        <v>26465</v>
      </c>
      <c r="E2685" t="s">
        <v>39</v>
      </c>
      <c r="F2685" t="s">
        <v>55</v>
      </c>
      <c r="H2685">
        <v>1012</v>
      </c>
      <c r="I2685">
        <v>1</v>
      </c>
      <c r="J2685">
        <v>1</v>
      </c>
      <c r="K2685" t="s">
        <v>26466</v>
      </c>
      <c r="L2685" t="s">
        <v>57</v>
      </c>
      <c r="M2685" t="s">
        <v>39</v>
      </c>
      <c r="N2685">
        <v>0.67179999999999995</v>
      </c>
      <c r="O2685" s="1">
        <v>2</v>
      </c>
      <c r="P2685" t="s">
        <v>26467</v>
      </c>
      <c r="Q2685" t="s">
        <v>26468</v>
      </c>
      <c r="S2685" t="s">
        <v>947</v>
      </c>
      <c r="T2685" t="s">
        <v>4765</v>
      </c>
      <c r="U2685" t="s">
        <v>26469</v>
      </c>
      <c r="V2685">
        <v>8</v>
      </c>
      <c r="W2685" t="s">
        <v>26469</v>
      </c>
      <c r="X2685">
        <v>108</v>
      </c>
      <c r="AE2685" t="s">
        <v>1700</v>
      </c>
      <c r="AF2685" t="s">
        <v>26470</v>
      </c>
      <c r="AG2685" t="s">
        <v>26471</v>
      </c>
      <c r="AH2685" t="str">
        <f>HYPERLINK("http://compartments.jensenlab.org/Entity?figures=subcell_cell_%&amp;knowledge=10&amp;textmining=10&amp;experiments=10&amp;predictions=10&amp;type1=9606&amp;type2=-22&amp;id1=ENSP00000369442","link")</f>
        <v>link</v>
      </c>
      <c r="AI2685" t="s">
        <v>1058</v>
      </c>
      <c r="AJ2685" t="s">
        <v>902</v>
      </c>
      <c r="AK2685" t="str">
        <f>HYPERLINK("http://www.proteinatlas.org/Q9UEF7","no")</f>
        <v>no</v>
      </c>
      <c r="AM2685">
        <v>9365</v>
      </c>
    </row>
    <row r="2686" spans="1:39" x14ac:dyDescent="0.35">
      <c r="A2686" t="s">
        <v>26472</v>
      </c>
      <c r="B2686" t="str">
        <f>HYPERLINK("http://www.uniprot.org/uniprot/Q9UF02","Q9UF02")</f>
        <v>Q9UF02</v>
      </c>
      <c r="C2686" t="s">
        <v>26473</v>
      </c>
      <c r="D2686" t="s">
        <v>26474</v>
      </c>
      <c r="E2686" t="s">
        <v>39</v>
      </c>
      <c r="F2686" t="s">
        <v>40</v>
      </c>
      <c r="H2686">
        <v>275</v>
      </c>
      <c r="I2686">
        <v>3</v>
      </c>
      <c r="J2686">
        <v>1</v>
      </c>
      <c r="K2686" t="s">
        <v>26475</v>
      </c>
      <c r="L2686" t="s">
        <v>42</v>
      </c>
      <c r="N2686">
        <v>0.7964</v>
      </c>
      <c r="O2686" s="1">
        <v>1</v>
      </c>
      <c r="P2686" t="s">
        <v>26476</v>
      </c>
      <c r="Q2686" t="s">
        <v>26477</v>
      </c>
      <c r="S2686" t="s">
        <v>45</v>
      </c>
      <c r="T2686" t="s">
        <v>341</v>
      </c>
      <c r="U2686" t="s">
        <v>26478</v>
      </c>
      <c r="V2686">
        <v>2</v>
      </c>
      <c r="Y2686" t="s">
        <v>26479</v>
      </c>
      <c r="AE2686" t="s">
        <v>21172</v>
      </c>
      <c r="AF2686" t="s">
        <v>21173</v>
      </c>
      <c r="AG2686" t="s">
        <v>26480</v>
      </c>
      <c r="AH2686" t="str">
        <f>HYPERLINK("http://compartments.jensenlab.org/Entity?figures=subcell_cell_%&amp;knowledge=10&amp;textmining=10&amp;experiments=10&amp;predictions=10&amp;type1=9606&amp;type2=-22&amp;id1=ENSP00000303092","link")</f>
        <v>link</v>
      </c>
      <c r="AK2686" t="str">
        <f>HYPERLINK("http://www.proteinatlas.org/Q9UF02","HPA050115")</f>
        <v>HPA050115</v>
      </c>
      <c r="AM2686">
        <v>27091</v>
      </c>
    </row>
    <row r="2687" spans="1:39" x14ac:dyDescent="0.35">
      <c r="A2687" t="s">
        <v>26481</v>
      </c>
      <c r="B2687" t="str">
        <f>HYPERLINK("http://www.uniprot.org/uniprot/Q9UF33","Q9UF33")</f>
        <v>Q9UF33</v>
      </c>
      <c r="C2687" t="s">
        <v>26482</v>
      </c>
      <c r="D2687" t="s">
        <v>26483</v>
      </c>
      <c r="E2687" t="s">
        <v>39</v>
      </c>
      <c r="F2687" t="s">
        <v>40</v>
      </c>
      <c r="H2687">
        <v>1036</v>
      </c>
      <c r="I2687">
        <v>1</v>
      </c>
      <c r="J2687">
        <v>1</v>
      </c>
      <c r="K2687" t="s">
        <v>26484</v>
      </c>
      <c r="L2687" t="s">
        <v>57</v>
      </c>
      <c r="N2687">
        <v>0.88219999999999998</v>
      </c>
      <c r="O2687" s="1">
        <v>1</v>
      </c>
      <c r="P2687" t="s">
        <v>26485</v>
      </c>
      <c r="S2687" t="s">
        <v>166</v>
      </c>
      <c r="T2687" t="s">
        <v>1432</v>
      </c>
      <c r="U2687" t="s">
        <v>26486</v>
      </c>
      <c r="V2687">
        <v>3</v>
      </c>
      <c r="AE2687" t="s">
        <v>144</v>
      </c>
      <c r="AF2687" t="s">
        <v>26487</v>
      </c>
      <c r="AG2687" t="s">
        <v>26488</v>
      </c>
      <c r="AK2687" t="str">
        <f>HYPERLINK("http://www.proteinatlas.org/Q9UF33","HPA007397;HPA058047")</f>
        <v>HPA007397;HPA058047</v>
      </c>
      <c r="AM2687">
        <v>285220</v>
      </c>
    </row>
    <row r="2688" spans="1:39" x14ac:dyDescent="0.35">
      <c r="A2688" t="s">
        <v>26489</v>
      </c>
      <c r="B2688" t="str">
        <f>HYPERLINK("http://www.uniprot.org/uniprot/Q9UGF5","Q9UGF5")</f>
        <v>Q9UGF5</v>
      </c>
      <c r="C2688" t="s">
        <v>26490</v>
      </c>
      <c r="D2688" t="s">
        <v>26491</v>
      </c>
      <c r="E2688" t="s">
        <v>39</v>
      </c>
      <c r="F2688" t="s">
        <v>55</v>
      </c>
      <c r="H2688">
        <v>321</v>
      </c>
      <c r="I2688">
        <v>7</v>
      </c>
      <c r="J2688">
        <v>0</v>
      </c>
      <c r="K2688" t="s">
        <v>26492</v>
      </c>
      <c r="L2688" t="s">
        <v>57</v>
      </c>
      <c r="M2688" t="s">
        <v>39</v>
      </c>
      <c r="N2688">
        <v>0.98909999999999998</v>
      </c>
      <c r="O2688" s="1">
        <v>1</v>
      </c>
      <c r="P2688" t="s">
        <v>26493</v>
      </c>
      <c r="Q2688" t="s">
        <v>26494</v>
      </c>
      <c r="S2688" t="s">
        <v>166</v>
      </c>
      <c r="T2688" t="s">
        <v>167</v>
      </c>
      <c r="U2688" t="s">
        <v>26495</v>
      </c>
      <c r="V2688">
        <v>2</v>
      </c>
      <c r="AE2688" t="s">
        <v>74</v>
      </c>
      <c r="AF2688" t="s">
        <v>169</v>
      </c>
      <c r="AG2688" t="s">
        <v>26496</v>
      </c>
      <c r="AH2688" t="str">
        <f>HYPERLINK("http://compartments.jensenlab.org/Entity?figures=subcell_cell_%&amp;knowledge=10&amp;textmining=10&amp;experiments=10&amp;predictions=10&amp;type1=9606&amp;type2=-22&amp;id1=ENSP00000230221","link")</f>
        <v>link</v>
      </c>
      <c r="AI2688" t="s">
        <v>11089</v>
      </c>
      <c r="AJ2688" t="s">
        <v>11090</v>
      </c>
      <c r="AK2688" t="str">
        <f>HYPERLINK("http://www.proteinatlas.org/Q9UGF5","HPA045575")</f>
        <v>HPA045575</v>
      </c>
      <c r="AM2688">
        <v>442191</v>
      </c>
    </row>
    <row r="2689" spans="1:39" x14ac:dyDescent="0.35">
      <c r="A2689" t="s">
        <v>26497</v>
      </c>
      <c r="B2689" t="str">
        <f>HYPERLINK("http://www.uniprot.org/uniprot/Q9UGF6","Q9UGF6")</f>
        <v>Q9UGF6</v>
      </c>
      <c r="C2689" t="s">
        <v>26498</v>
      </c>
      <c r="D2689" t="s">
        <v>26499</v>
      </c>
      <c r="E2689" t="s">
        <v>39</v>
      </c>
      <c r="F2689" t="s">
        <v>55</v>
      </c>
      <c r="H2689">
        <v>321</v>
      </c>
      <c r="I2689">
        <v>7</v>
      </c>
      <c r="J2689">
        <v>0</v>
      </c>
      <c r="K2689" t="s">
        <v>26500</v>
      </c>
      <c r="L2689" t="s">
        <v>57</v>
      </c>
      <c r="M2689" t="s">
        <v>39</v>
      </c>
      <c r="N2689">
        <v>0.99470000000000003</v>
      </c>
      <c r="O2689" s="1">
        <v>1</v>
      </c>
      <c r="P2689" t="s">
        <v>26501</v>
      </c>
      <c r="Q2689" t="s">
        <v>26502</v>
      </c>
      <c r="S2689" t="s">
        <v>166</v>
      </c>
      <c r="T2689" t="s">
        <v>167</v>
      </c>
      <c r="U2689" t="s">
        <v>26503</v>
      </c>
      <c r="V2689">
        <v>2</v>
      </c>
      <c r="AE2689" t="s">
        <v>74</v>
      </c>
      <c r="AF2689" t="s">
        <v>169</v>
      </c>
      <c r="AG2689" t="s">
        <v>26504</v>
      </c>
      <c r="AH2689" t="str">
        <f>HYPERLINK("http://compartments.jensenlab.org/Entity?figures=subcell_cell_%&amp;knowledge=10&amp;textmining=10&amp;experiments=10&amp;predictions=10&amp;type1=9606&amp;type2=-22&amp;id1=ENSP00000230223","link")</f>
        <v>link</v>
      </c>
      <c r="AI2689" t="s">
        <v>65</v>
      </c>
      <c r="AJ2689" t="s">
        <v>51</v>
      </c>
      <c r="AK2689" t="str">
        <f>HYPERLINK("http://www.proteinatlas.org/Q9UGF6","HPA046707")</f>
        <v>HPA046707</v>
      </c>
      <c r="AM2689">
        <v>81696</v>
      </c>
    </row>
    <row r="2690" spans="1:39" x14ac:dyDescent="0.35">
      <c r="A2690" t="s">
        <v>26505</v>
      </c>
      <c r="B2690" t="str">
        <f>HYPERLINK("http://www.uniprot.org/uniprot/Q9UGF7","Q9UGF7")</f>
        <v>Q9UGF7</v>
      </c>
      <c r="C2690" t="s">
        <v>26506</v>
      </c>
      <c r="D2690" t="s">
        <v>26507</v>
      </c>
      <c r="E2690" t="s">
        <v>39</v>
      </c>
      <c r="F2690" t="s">
        <v>40</v>
      </c>
      <c r="H2690">
        <v>316</v>
      </c>
      <c r="I2690">
        <v>7</v>
      </c>
      <c r="J2690">
        <v>0</v>
      </c>
      <c r="K2690" t="s">
        <v>26508</v>
      </c>
      <c r="L2690" t="s">
        <v>57</v>
      </c>
      <c r="N2690">
        <v>0.94010000000000005</v>
      </c>
      <c r="O2690" s="1">
        <v>1</v>
      </c>
      <c r="P2690" t="s">
        <v>26509</v>
      </c>
      <c r="Q2690" t="s">
        <v>26510</v>
      </c>
      <c r="S2690" t="s">
        <v>166</v>
      </c>
      <c r="T2690" t="s">
        <v>167</v>
      </c>
      <c r="U2690" t="s">
        <v>26511</v>
      </c>
      <c r="V2690">
        <v>1</v>
      </c>
      <c r="AE2690" t="s">
        <v>74</v>
      </c>
      <c r="AF2690" t="s">
        <v>169</v>
      </c>
      <c r="AG2690" t="s">
        <v>26512</v>
      </c>
      <c r="AH2690" t="str">
        <f>HYPERLINK("http://compartments.jensenlab.org/Entity?figures=subcell_cell_%&amp;knowledge=10&amp;textmining=10&amp;experiments=10&amp;predictions=10&amp;type1=9606&amp;type2=-22&amp;id1=ENSP00000373048","link")</f>
        <v>link</v>
      </c>
      <c r="AK2690" t="str">
        <f>HYPERLINK("http://www.proteinatlas.org/Q9UGF7","no")</f>
        <v>no</v>
      </c>
      <c r="AM2690">
        <v>81797</v>
      </c>
    </row>
    <row r="2691" spans="1:39" x14ac:dyDescent="0.35">
      <c r="A2691" t="s">
        <v>26513</v>
      </c>
      <c r="B2691" t="str">
        <f>HYPERLINK("http://www.uniprot.org/uniprot/Q9UGH3","Q9UGH3")</f>
        <v>Q9UGH3</v>
      </c>
      <c r="C2691" t="s">
        <v>26514</v>
      </c>
      <c r="D2691" t="s">
        <v>26515</v>
      </c>
      <c r="E2691" t="s">
        <v>39</v>
      </c>
      <c r="F2691" t="s">
        <v>55</v>
      </c>
      <c r="H2691">
        <v>650</v>
      </c>
      <c r="I2691">
        <v>12</v>
      </c>
      <c r="J2691">
        <v>0</v>
      </c>
      <c r="K2691" t="s">
        <v>26516</v>
      </c>
      <c r="L2691" t="s">
        <v>101</v>
      </c>
      <c r="M2691" t="s">
        <v>39</v>
      </c>
      <c r="N2691">
        <v>0.76370000000000005</v>
      </c>
      <c r="O2691" s="1">
        <v>1</v>
      </c>
      <c r="P2691" t="s">
        <v>26517</v>
      </c>
      <c r="Q2691" t="s">
        <v>26518</v>
      </c>
      <c r="S2691" t="s">
        <v>45</v>
      </c>
      <c r="T2691" t="s">
        <v>26519</v>
      </c>
      <c r="U2691" t="s">
        <v>26520</v>
      </c>
      <c r="V2691">
        <v>2</v>
      </c>
      <c r="W2691" t="s">
        <v>26521</v>
      </c>
      <c r="Z2691" t="s">
        <v>107</v>
      </c>
      <c r="AA2691">
        <v>1</v>
      </c>
      <c r="AB2691" t="s">
        <v>26522</v>
      </c>
      <c r="AC2691" t="s">
        <v>26523</v>
      </c>
      <c r="AD2691" t="s">
        <v>26524</v>
      </c>
      <c r="AE2691" t="s">
        <v>74</v>
      </c>
      <c r="AF2691" t="s">
        <v>26525</v>
      </c>
      <c r="AG2691" t="s">
        <v>26526</v>
      </c>
      <c r="AH2691" t="str">
        <f>HYPERLINK("http://compartments.jensenlab.org/Entity?figures=subcell_cell_%&amp;knowledge=10&amp;textmining=10&amp;experiments=10&amp;predictions=10&amp;type1=9606&amp;type2=-22&amp;id1=ENSP00000344322","link")</f>
        <v>link</v>
      </c>
      <c r="AI2691" t="s">
        <v>65</v>
      </c>
      <c r="AJ2691" t="s">
        <v>2124</v>
      </c>
      <c r="AK2691" t="str">
        <f>HYPERLINK("http://www.proteinatlas.org/Q9UGH3","HPA052825")</f>
        <v>HPA052825</v>
      </c>
      <c r="AM2691">
        <v>9962</v>
      </c>
    </row>
    <row r="2692" spans="1:39" x14ac:dyDescent="0.35">
      <c r="A2692" t="s">
        <v>26527</v>
      </c>
      <c r="B2692" t="str">
        <f>HYPERLINK("http://www.uniprot.org/uniprot/Q9UGM1","Q9UGM1")</f>
        <v>Q9UGM1</v>
      </c>
      <c r="C2692" t="s">
        <v>26528</v>
      </c>
      <c r="D2692" t="s">
        <v>26529</v>
      </c>
      <c r="E2692" t="s">
        <v>39</v>
      </c>
      <c r="F2692" t="s">
        <v>40</v>
      </c>
      <c r="H2692">
        <v>479</v>
      </c>
      <c r="I2692">
        <v>4</v>
      </c>
      <c r="J2692">
        <v>1</v>
      </c>
      <c r="K2692" t="s">
        <v>26530</v>
      </c>
      <c r="L2692" t="s">
        <v>57</v>
      </c>
      <c r="N2692">
        <v>0.88219999999999998</v>
      </c>
      <c r="O2692" s="1">
        <v>1</v>
      </c>
      <c r="P2692" t="s">
        <v>26531</v>
      </c>
      <c r="Q2692" t="s">
        <v>26532</v>
      </c>
      <c r="S2692" t="s">
        <v>45</v>
      </c>
      <c r="T2692" t="s">
        <v>195</v>
      </c>
      <c r="U2692" t="s">
        <v>26533</v>
      </c>
      <c r="V2692">
        <v>2</v>
      </c>
      <c r="AE2692" t="s">
        <v>619</v>
      </c>
      <c r="AF2692" t="s">
        <v>26534</v>
      </c>
      <c r="AG2692" t="s">
        <v>26535</v>
      </c>
      <c r="AH2692" t="str">
        <f>HYPERLINK("http://compartments.jensenlab.org/Entity?figures=subcell_cell_%&amp;knowledge=10&amp;textmining=10&amp;experiments=10&amp;predictions=10&amp;type1=9606&amp;type2=-22&amp;id1=ENSP00000312663","link")</f>
        <v>link</v>
      </c>
      <c r="AI2692" t="s">
        <v>65</v>
      </c>
      <c r="AJ2692" t="s">
        <v>51</v>
      </c>
      <c r="AK2692" t="str">
        <f>HYPERLINK("http://www.proteinatlas.org/Q9UGM1","no")</f>
        <v>no</v>
      </c>
      <c r="AL2692" t="s">
        <v>7955</v>
      </c>
      <c r="AM2692">
        <v>55584</v>
      </c>
    </row>
    <row r="2693" spans="1:39" x14ac:dyDescent="0.35">
      <c r="A2693" t="s">
        <v>26536</v>
      </c>
      <c r="B2693" t="str">
        <f>HYPERLINK("http://www.uniprot.org/uniprot/Q9UGN4","Q9UGN4")</f>
        <v>Q9UGN4</v>
      </c>
      <c r="C2693" t="s">
        <v>26537</v>
      </c>
      <c r="D2693" t="s">
        <v>26538</v>
      </c>
      <c r="E2693" t="s">
        <v>39</v>
      </c>
      <c r="F2693" t="s">
        <v>40</v>
      </c>
      <c r="H2693">
        <v>299</v>
      </c>
      <c r="I2693">
        <v>1</v>
      </c>
      <c r="J2693">
        <v>1</v>
      </c>
      <c r="K2693" t="s">
        <v>26539</v>
      </c>
      <c r="L2693" t="s">
        <v>57</v>
      </c>
      <c r="N2693">
        <v>0.86229999999999996</v>
      </c>
      <c r="O2693" s="1">
        <v>1</v>
      </c>
      <c r="P2693" t="s">
        <v>26540</v>
      </c>
      <c r="Q2693" t="s">
        <v>26541</v>
      </c>
      <c r="R2693" t="s">
        <v>26542</v>
      </c>
      <c r="S2693" t="s">
        <v>166</v>
      </c>
      <c r="T2693" t="s">
        <v>12245</v>
      </c>
      <c r="U2693" t="s">
        <v>26543</v>
      </c>
      <c r="V2693">
        <v>2</v>
      </c>
      <c r="Y2693">
        <v>2</v>
      </c>
      <c r="AE2693" t="s">
        <v>332</v>
      </c>
      <c r="AF2693" t="s">
        <v>26544</v>
      </c>
      <c r="AG2693" t="s">
        <v>26545</v>
      </c>
      <c r="AH2693" t="str">
        <f>HYPERLINK("http://compartments.jensenlab.org/Entity?figures=subcell_cell_%&amp;knowledge=10&amp;textmining=10&amp;experiments=10&amp;predictions=10&amp;type1=9606&amp;type2=-22&amp;id1=ENSP00000353259","link")</f>
        <v>link</v>
      </c>
      <c r="AI2693" t="s">
        <v>65</v>
      </c>
      <c r="AJ2693" t="s">
        <v>51</v>
      </c>
      <c r="AK2693" t="str">
        <f>HYPERLINK("http://www.proteinatlas.org/Q9UGN4","HPA011645")</f>
        <v>HPA011645</v>
      </c>
      <c r="AM2693">
        <v>11314</v>
      </c>
    </row>
    <row r="2694" spans="1:39" x14ac:dyDescent="0.35">
      <c r="A2694" t="s">
        <v>26546</v>
      </c>
      <c r="B2694" t="str">
        <f>HYPERLINK("http://www.uniprot.org/uniprot/Q9UGQ3","Q9UGQ3")</f>
        <v>Q9UGQ3</v>
      </c>
      <c r="C2694" t="s">
        <v>26547</v>
      </c>
      <c r="D2694" t="s">
        <v>26548</v>
      </c>
      <c r="E2694" t="s">
        <v>39</v>
      </c>
      <c r="F2694" t="s">
        <v>40</v>
      </c>
      <c r="H2694">
        <v>507</v>
      </c>
      <c r="I2694">
        <v>12</v>
      </c>
      <c r="J2694">
        <v>0</v>
      </c>
      <c r="K2694" t="s">
        <v>26549</v>
      </c>
      <c r="L2694" t="s">
        <v>57</v>
      </c>
      <c r="N2694">
        <v>0.65869999999999995</v>
      </c>
      <c r="O2694" s="1">
        <v>2</v>
      </c>
      <c r="P2694" t="s">
        <v>26550</v>
      </c>
      <c r="Q2694" t="s">
        <v>26551</v>
      </c>
      <c r="S2694" t="s">
        <v>45</v>
      </c>
      <c r="T2694" t="s">
        <v>3338</v>
      </c>
      <c r="U2694" t="s">
        <v>26552</v>
      </c>
      <c r="V2694">
        <v>1</v>
      </c>
      <c r="AE2694" t="s">
        <v>74</v>
      </c>
      <c r="AF2694" t="s">
        <v>26553</v>
      </c>
      <c r="AG2694" t="s">
        <v>26554</v>
      </c>
      <c r="AH2694" t="str">
        <f>HYPERLINK("http://compartments.jensenlab.org/Entity?figures=subcell_cell_%&amp;knowledge=10&amp;textmining=10&amp;experiments=10&amp;predictions=10&amp;type1=9606&amp;type2=-22&amp;id1=ENSP00000360966","link")</f>
        <v>link</v>
      </c>
      <c r="AI2694" t="s">
        <v>65</v>
      </c>
      <c r="AJ2694" t="s">
        <v>51</v>
      </c>
      <c r="AK2694" t="str">
        <f>HYPERLINK("http://www.proteinatlas.org/Q9UGQ3","HPA042272;CAB046014")</f>
        <v>HPA042272;CAB046014</v>
      </c>
      <c r="AM2694">
        <v>11182</v>
      </c>
    </row>
    <row r="2695" spans="1:39" x14ac:dyDescent="0.35">
      <c r="A2695" t="s">
        <v>26555</v>
      </c>
      <c r="B2695" t="str">
        <f>HYPERLINK("http://www.uniprot.org/uniprot/Q9UGT4","Q9UGT4")</f>
        <v>Q9UGT4</v>
      </c>
      <c r="C2695" t="s">
        <v>26556</v>
      </c>
      <c r="D2695" t="s">
        <v>26557</v>
      </c>
      <c r="E2695" t="s">
        <v>39</v>
      </c>
      <c r="F2695" t="s">
        <v>55</v>
      </c>
      <c r="H2695">
        <v>822</v>
      </c>
      <c r="I2695">
        <v>1</v>
      </c>
      <c r="J2695">
        <v>1</v>
      </c>
      <c r="K2695" t="s">
        <v>26558</v>
      </c>
      <c r="L2695" t="s">
        <v>101</v>
      </c>
      <c r="M2695" t="s">
        <v>39</v>
      </c>
      <c r="N2695">
        <v>0.81869999999999998</v>
      </c>
      <c r="O2695" s="1">
        <v>1</v>
      </c>
      <c r="P2695" t="s">
        <v>26559</v>
      </c>
      <c r="Q2695" t="s">
        <v>26560</v>
      </c>
      <c r="S2695" t="s">
        <v>60</v>
      </c>
      <c r="T2695" t="s">
        <v>60</v>
      </c>
      <c r="U2695" t="s">
        <v>26561</v>
      </c>
      <c r="V2695">
        <v>8</v>
      </c>
      <c r="Y2695" t="s">
        <v>26562</v>
      </c>
      <c r="Z2695" t="s">
        <v>107</v>
      </c>
      <c r="AA2695">
        <v>7</v>
      </c>
      <c r="AB2695" t="s">
        <v>26563</v>
      </c>
      <c r="AC2695" t="s">
        <v>26564</v>
      </c>
      <c r="AD2695" t="s">
        <v>26565</v>
      </c>
      <c r="AE2695" t="s">
        <v>332</v>
      </c>
      <c r="AF2695" t="s">
        <v>26566</v>
      </c>
      <c r="AG2695" t="s">
        <v>26567</v>
      </c>
      <c r="AH2695" t="str">
        <f>HYPERLINK("http://compartments.jensenlab.org/Entity?figures=subcell_cell_%&amp;knowledge=10&amp;textmining=10&amp;experiments=10&amp;predictions=10&amp;type1=9606&amp;type2=-22&amp;id1=ENSP00000351075","link")</f>
        <v>link</v>
      </c>
      <c r="AJ2695" t="s">
        <v>51</v>
      </c>
      <c r="AK2695" t="str">
        <f>HYPERLINK("http://www.proteinatlas.org/Q9UGT4","HPA004117")</f>
        <v>HPA004117</v>
      </c>
      <c r="AM2695">
        <v>56241</v>
      </c>
    </row>
    <row r="2696" spans="1:39" x14ac:dyDescent="0.35">
      <c r="A2696" t="s">
        <v>26568</v>
      </c>
      <c r="B2696" t="str">
        <f>HYPERLINK("http://www.uniprot.org/uniprot/Q9UHC6","Q9UHC6")</f>
        <v>Q9UHC6</v>
      </c>
      <c r="C2696" t="s">
        <v>26569</v>
      </c>
      <c r="D2696" t="s">
        <v>26570</v>
      </c>
      <c r="E2696" t="s">
        <v>39</v>
      </c>
      <c r="F2696" t="s">
        <v>40</v>
      </c>
      <c r="H2696">
        <v>1331</v>
      </c>
      <c r="I2696">
        <v>1</v>
      </c>
      <c r="J2696">
        <v>1</v>
      </c>
      <c r="K2696" t="s">
        <v>26571</v>
      </c>
      <c r="L2696" t="s">
        <v>101</v>
      </c>
      <c r="N2696">
        <v>0.98</v>
      </c>
      <c r="O2696" s="1">
        <v>1</v>
      </c>
      <c r="P2696" t="s">
        <v>26572</v>
      </c>
      <c r="Q2696" t="s">
        <v>26573</v>
      </c>
      <c r="S2696" t="s">
        <v>166</v>
      </c>
      <c r="T2696" t="s">
        <v>11402</v>
      </c>
      <c r="U2696" t="s">
        <v>26574</v>
      </c>
      <c r="V2696">
        <v>12</v>
      </c>
      <c r="W2696" t="s">
        <v>26575</v>
      </c>
      <c r="Z2696" t="s">
        <v>107</v>
      </c>
      <c r="AA2696">
        <v>1</v>
      </c>
      <c r="AB2696" t="s">
        <v>26576</v>
      </c>
      <c r="AC2696">
        <v>289</v>
      </c>
      <c r="AD2696" t="s">
        <v>26577</v>
      </c>
      <c r="AE2696" t="s">
        <v>26127</v>
      </c>
      <c r="AF2696" t="s">
        <v>26578</v>
      </c>
      <c r="AG2696" t="s">
        <v>26579</v>
      </c>
      <c r="AH2696" t="str">
        <f>HYPERLINK("http://compartments.jensenlab.org/Entity?figures=subcell_cell_%&amp;knowledge=10&amp;textmining=10&amp;experiments=10&amp;predictions=10&amp;type1=9606&amp;type2=-22&amp;id1=ENSP00000354778","link")</f>
        <v>link</v>
      </c>
      <c r="AJ2696" t="s">
        <v>12327</v>
      </c>
      <c r="AK2696" t="str">
        <f>HYPERLINK("http://www.proteinatlas.org/Q9UHC6","HPA002739")</f>
        <v>HPA002739</v>
      </c>
      <c r="AM2696">
        <v>26047</v>
      </c>
    </row>
    <row r="2697" spans="1:39" x14ac:dyDescent="0.35">
      <c r="A2697" t="s">
        <v>26580</v>
      </c>
      <c r="B2697" t="str">
        <f>HYPERLINK("http://www.uniprot.org/uniprot/Q9UHC9","Q9UHC9")</f>
        <v>Q9UHC9</v>
      </c>
      <c r="C2697" t="s">
        <v>26581</v>
      </c>
      <c r="D2697" t="s">
        <v>26582</v>
      </c>
      <c r="E2697" t="s">
        <v>39</v>
      </c>
      <c r="F2697" t="s">
        <v>40</v>
      </c>
      <c r="H2697">
        <v>1359</v>
      </c>
      <c r="I2697">
        <v>13</v>
      </c>
      <c r="J2697">
        <v>1</v>
      </c>
      <c r="K2697" t="s">
        <v>26583</v>
      </c>
      <c r="L2697" t="s">
        <v>57</v>
      </c>
      <c r="N2697">
        <v>0.92610000000000003</v>
      </c>
      <c r="O2697" s="1">
        <v>1</v>
      </c>
      <c r="P2697" t="s">
        <v>26584</v>
      </c>
      <c r="Q2697" t="s">
        <v>26585</v>
      </c>
      <c r="S2697" t="s">
        <v>60</v>
      </c>
      <c r="T2697" t="s">
        <v>60</v>
      </c>
      <c r="U2697" t="s">
        <v>26586</v>
      </c>
      <c r="V2697">
        <v>11</v>
      </c>
      <c r="Y2697" t="s">
        <v>26587</v>
      </c>
      <c r="AE2697" t="s">
        <v>26588</v>
      </c>
      <c r="AF2697" t="s">
        <v>26589</v>
      </c>
      <c r="AG2697" t="s">
        <v>26590</v>
      </c>
      <c r="AH2697" t="str">
        <f>HYPERLINK("http://compartments.jensenlab.org/Entity?figures=subcell_cell_%&amp;knowledge=10&amp;textmining=10&amp;experiments=10&amp;predictions=10&amp;type1=9606&amp;type2=-22&amp;id1=ENSP00000289547","link")</f>
        <v>link</v>
      </c>
      <c r="AI2697" t="s">
        <v>65</v>
      </c>
      <c r="AJ2697" t="s">
        <v>51</v>
      </c>
      <c r="AK2697" t="str">
        <f>HYPERLINK("http://www.proteinatlas.org/Q9UHC9","no")</f>
        <v>no</v>
      </c>
      <c r="AL2697" t="s">
        <v>26591</v>
      </c>
      <c r="AM2697">
        <v>29881</v>
      </c>
    </row>
    <row r="2698" spans="1:39" x14ac:dyDescent="0.35">
      <c r="A2698" t="s">
        <v>26592</v>
      </c>
      <c r="B2698" t="str">
        <f>HYPERLINK("http://www.uniprot.org/uniprot/Q9UHF4","Q9UHF4")</f>
        <v>Q9UHF4</v>
      </c>
      <c r="C2698" t="s">
        <v>26593</v>
      </c>
      <c r="D2698" t="s">
        <v>26594</v>
      </c>
      <c r="E2698" t="s">
        <v>39</v>
      </c>
      <c r="F2698" t="s">
        <v>40</v>
      </c>
      <c r="H2698">
        <v>553</v>
      </c>
      <c r="I2698">
        <v>1</v>
      </c>
      <c r="J2698">
        <v>1</v>
      </c>
      <c r="K2698" t="s">
        <v>26595</v>
      </c>
      <c r="L2698" t="s">
        <v>57</v>
      </c>
      <c r="N2698">
        <v>0.80640000000000001</v>
      </c>
      <c r="O2698" s="1">
        <v>1</v>
      </c>
      <c r="P2698" t="s">
        <v>26596</v>
      </c>
      <c r="Q2698" t="s">
        <v>26597</v>
      </c>
      <c r="S2698" t="s">
        <v>166</v>
      </c>
      <c r="T2698" t="s">
        <v>5643</v>
      </c>
      <c r="U2698" t="s">
        <v>26598</v>
      </c>
      <c r="V2698">
        <v>6</v>
      </c>
      <c r="AE2698" t="s">
        <v>144</v>
      </c>
      <c r="AF2698" t="s">
        <v>26599</v>
      </c>
      <c r="AG2698" t="s">
        <v>26600</v>
      </c>
      <c r="AH2698" t="str">
        <f>HYPERLINK("http://compartments.jensenlab.org/Entity?figures=subcell_cell_%&amp;knowledge=10&amp;textmining=10&amp;experiments=10&amp;predictions=10&amp;type1=9606&amp;type2=-22&amp;id1=ENSP00000314976","link")</f>
        <v>link</v>
      </c>
      <c r="AJ2698" t="s">
        <v>51</v>
      </c>
      <c r="AK2698" t="str">
        <f>HYPERLINK("http://www.proteinatlas.org/Q9UHF4","CAB024990;HPA042281")</f>
        <v>CAB024990;HPA042281</v>
      </c>
      <c r="AM2698">
        <v>53832</v>
      </c>
    </row>
    <row r="2699" spans="1:39" x14ac:dyDescent="0.35">
      <c r="A2699" t="s">
        <v>26601</v>
      </c>
      <c r="B2699" t="str">
        <f>HYPERLINK("http://www.uniprot.org/uniprot/Q9UHI7","Q9UHI7")</f>
        <v>Q9UHI7</v>
      </c>
      <c r="C2699" t="s">
        <v>26602</v>
      </c>
      <c r="D2699" t="s">
        <v>26603</v>
      </c>
      <c r="E2699" t="s">
        <v>39</v>
      </c>
      <c r="F2699" t="s">
        <v>40</v>
      </c>
      <c r="H2699">
        <v>598</v>
      </c>
      <c r="I2699">
        <v>12</v>
      </c>
      <c r="J2699">
        <v>0</v>
      </c>
      <c r="K2699" t="s">
        <v>26604</v>
      </c>
      <c r="L2699" t="s">
        <v>57</v>
      </c>
      <c r="N2699">
        <v>0.63070000000000004</v>
      </c>
      <c r="O2699" s="1">
        <v>2</v>
      </c>
      <c r="P2699" t="s">
        <v>26605</v>
      </c>
      <c r="Q2699" t="s">
        <v>26606</v>
      </c>
      <c r="S2699" t="s">
        <v>45</v>
      </c>
      <c r="T2699" t="s">
        <v>26519</v>
      </c>
      <c r="U2699" t="s">
        <v>26607</v>
      </c>
      <c r="V2699">
        <v>2</v>
      </c>
      <c r="W2699">
        <v>230</v>
      </c>
      <c r="AE2699" t="s">
        <v>74</v>
      </c>
      <c r="AF2699" t="s">
        <v>26608</v>
      </c>
      <c r="AG2699" t="s">
        <v>26609</v>
      </c>
      <c r="AH2699" t="str">
        <f>HYPERLINK("http://compartments.jensenlab.org/Entity?figures=subcell_cell_%&amp;knowledge=10&amp;textmining=10&amp;experiments=10&amp;predictions=10&amp;type1=9606&amp;type2=-22&amp;id1=ENSP00000302701","link")</f>
        <v>link</v>
      </c>
      <c r="AI2699" t="s">
        <v>65</v>
      </c>
      <c r="AJ2699" t="s">
        <v>113</v>
      </c>
      <c r="AK2699" t="str">
        <f>HYPERLINK("http://www.proteinatlas.org/Q9UHI7","HPA047612")</f>
        <v>HPA047612</v>
      </c>
      <c r="AL2699" t="s">
        <v>4771</v>
      </c>
      <c r="AM2699">
        <v>9963</v>
      </c>
    </row>
    <row r="2700" spans="1:39" x14ac:dyDescent="0.35">
      <c r="A2700" t="s">
        <v>26610</v>
      </c>
      <c r="B2700" t="str">
        <f>HYPERLINK("http://www.uniprot.org/uniprot/Q9UHM6","Q9UHM6")</f>
        <v>Q9UHM6</v>
      </c>
      <c r="C2700" t="s">
        <v>26611</v>
      </c>
      <c r="D2700" t="s">
        <v>26612</v>
      </c>
      <c r="E2700" t="s">
        <v>39</v>
      </c>
      <c r="F2700" t="s">
        <v>40</v>
      </c>
      <c r="H2700">
        <v>478</v>
      </c>
      <c r="I2700">
        <v>7</v>
      </c>
      <c r="J2700">
        <v>0</v>
      </c>
      <c r="K2700" t="s">
        <v>26613</v>
      </c>
      <c r="L2700" t="s">
        <v>57</v>
      </c>
      <c r="N2700">
        <v>0.70660000000000001</v>
      </c>
      <c r="O2700" s="1">
        <v>2</v>
      </c>
      <c r="P2700" t="s">
        <v>26614</v>
      </c>
      <c r="Q2700" t="s">
        <v>26615</v>
      </c>
      <c r="S2700" t="s">
        <v>166</v>
      </c>
      <c r="T2700" t="s">
        <v>838</v>
      </c>
      <c r="U2700" t="s">
        <v>26616</v>
      </c>
      <c r="V2700">
        <v>0</v>
      </c>
      <c r="AE2700" t="s">
        <v>74</v>
      </c>
      <c r="AF2700" t="s">
        <v>26617</v>
      </c>
      <c r="AG2700" t="s">
        <v>26618</v>
      </c>
      <c r="AH2700" t="str">
        <f>HYPERLINK("http://compartments.jensenlab.org/Entity?figures=subcell_cell_%&amp;knowledge=10&amp;textmining=10&amp;experiments=10&amp;predictions=10&amp;type1=9606&amp;type2=-22&amp;id1=ENSP00000241891","link")</f>
        <v>link</v>
      </c>
      <c r="AK2700" t="str">
        <f>HYPERLINK("http://www.proteinatlas.org/Q9UHM6","HPA039147")</f>
        <v>HPA039147</v>
      </c>
      <c r="AM2700">
        <v>94233</v>
      </c>
    </row>
    <row r="2701" spans="1:39" x14ac:dyDescent="0.35">
      <c r="A2701" t="s">
        <v>26619</v>
      </c>
      <c r="B2701" t="str">
        <f>HYPERLINK("http://www.uniprot.org/uniprot/Q9UHP7","Q9UHP7")</f>
        <v>Q9UHP7</v>
      </c>
      <c r="C2701" t="s">
        <v>26620</v>
      </c>
      <c r="D2701" t="s">
        <v>26621</v>
      </c>
      <c r="E2701" t="s">
        <v>39</v>
      </c>
      <c r="F2701" t="s">
        <v>55</v>
      </c>
      <c r="H2701">
        <v>191</v>
      </c>
      <c r="I2701">
        <v>1</v>
      </c>
      <c r="J2701">
        <v>0</v>
      </c>
      <c r="K2701" t="s">
        <v>26622</v>
      </c>
      <c r="L2701" t="s">
        <v>101</v>
      </c>
      <c r="M2701" t="s">
        <v>39</v>
      </c>
      <c r="N2701">
        <v>0.68889999999999996</v>
      </c>
      <c r="O2701" s="1">
        <v>2</v>
      </c>
      <c r="P2701" t="s">
        <v>26623</v>
      </c>
      <c r="Q2701" t="s">
        <v>26624</v>
      </c>
      <c r="S2701" t="s">
        <v>166</v>
      </c>
      <c r="T2701" t="s">
        <v>4251</v>
      </c>
      <c r="U2701" t="s">
        <v>26625</v>
      </c>
      <c r="V2701">
        <v>2</v>
      </c>
      <c r="W2701" t="s">
        <v>26625</v>
      </c>
      <c r="Z2701" t="s">
        <v>107</v>
      </c>
      <c r="AA2701">
        <v>1</v>
      </c>
      <c r="AB2701" t="s">
        <v>26626</v>
      </c>
      <c r="AC2701">
        <v>147</v>
      </c>
      <c r="AD2701" t="s">
        <v>26627</v>
      </c>
      <c r="AE2701" t="s">
        <v>26628</v>
      </c>
      <c r="AF2701" t="s">
        <v>26629</v>
      </c>
      <c r="AG2701" t="s">
        <v>26630</v>
      </c>
      <c r="AH2701" t="str">
        <f>HYPERLINK("http://compartments.jensenlab.org/Entity?figures=subcell_cell_%&amp;knowledge=10&amp;textmining=10&amp;experiments=10&amp;predictions=10&amp;type1=9606&amp;type2=-22&amp;id1=ENSP00000290855","link")</f>
        <v>link</v>
      </c>
      <c r="AK2701" t="str">
        <f>HYPERLINK("http://www.proteinatlas.org/Q9UHP7","HPA017649;HPA047584")</f>
        <v>HPA017649;HPA047584</v>
      </c>
      <c r="AM2701">
        <v>29121</v>
      </c>
    </row>
    <row r="2702" spans="1:39" x14ac:dyDescent="0.35">
      <c r="A2702" t="s">
        <v>26631</v>
      </c>
      <c r="B2702" t="str">
        <f>HYPERLINK("http://www.uniprot.org/uniprot/Q9UHW9","Q9UHW9")</f>
        <v>Q9UHW9</v>
      </c>
      <c r="C2702" t="s">
        <v>26632</v>
      </c>
      <c r="D2702" t="s">
        <v>26633</v>
      </c>
      <c r="E2702" t="s">
        <v>39</v>
      </c>
      <c r="F2702" t="s">
        <v>55</v>
      </c>
      <c r="H2702">
        <v>1150</v>
      </c>
      <c r="I2702">
        <v>12</v>
      </c>
      <c r="J2702">
        <v>0</v>
      </c>
      <c r="K2702" t="s">
        <v>26634</v>
      </c>
      <c r="L2702" t="s">
        <v>101</v>
      </c>
      <c r="M2702" t="s">
        <v>39</v>
      </c>
      <c r="N2702">
        <v>0.84740000000000004</v>
      </c>
      <c r="O2702" s="1">
        <v>1</v>
      </c>
      <c r="P2702" t="s">
        <v>26635</v>
      </c>
      <c r="Q2702" t="s">
        <v>26636</v>
      </c>
      <c r="S2702" t="s">
        <v>45</v>
      </c>
      <c r="T2702" t="s">
        <v>46</v>
      </c>
      <c r="U2702" t="s">
        <v>26637</v>
      </c>
      <c r="V2702">
        <v>5</v>
      </c>
      <c r="Z2702" t="s">
        <v>107</v>
      </c>
      <c r="AA2702">
        <v>2</v>
      </c>
      <c r="AB2702" t="s">
        <v>26638</v>
      </c>
      <c r="AC2702">
        <v>398</v>
      </c>
      <c r="AD2702" t="s">
        <v>26639</v>
      </c>
      <c r="AE2702" t="s">
        <v>1460</v>
      </c>
      <c r="AF2702" t="s">
        <v>26640</v>
      </c>
      <c r="AG2702" t="s">
        <v>26641</v>
      </c>
      <c r="AH2702" t="str">
        <f>HYPERLINK("http://compartments.jensenlab.org/Entity?figures=subcell_cell_%&amp;knowledge=10&amp;textmining=10&amp;experiments=10&amp;predictions=10&amp;type1=9606&amp;type2=-22&amp;id1=ENSP00000346112","link")</f>
        <v>link</v>
      </c>
      <c r="AI2702" t="s">
        <v>65</v>
      </c>
      <c r="AJ2702" t="s">
        <v>51</v>
      </c>
      <c r="AK2702" t="str">
        <f>HYPERLINK("http://www.proteinatlas.org/Q9UHW9","HPA034563")</f>
        <v>HPA034563</v>
      </c>
      <c r="AL2702" t="s">
        <v>26642</v>
      </c>
      <c r="AM2702">
        <v>9990</v>
      </c>
    </row>
    <row r="2703" spans="1:39" x14ac:dyDescent="0.35">
      <c r="A2703" t="s">
        <v>26643</v>
      </c>
      <c r="B2703" t="str">
        <f>HYPERLINK("http://www.uniprot.org/uniprot/Q9UHX3","Q9UHX3")</f>
        <v>Q9UHX3</v>
      </c>
      <c r="C2703" t="s">
        <v>26644</v>
      </c>
      <c r="D2703" t="s">
        <v>26645</v>
      </c>
      <c r="E2703" t="s">
        <v>39</v>
      </c>
      <c r="F2703" t="s">
        <v>55</v>
      </c>
      <c r="H2703">
        <v>823</v>
      </c>
      <c r="I2703">
        <v>7</v>
      </c>
      <c r="J2703">
        <v>1</v>
      </c>
      <c r="K2703" t="s">
        <v>26646</v>
      </c>
      <c r="L2703" t="s">
        <v>101</v>
      </c>
      <c r="M2703" t="s">
        <v>39</v>
      </c>
      <c r="N2703">
        <v>0.97770000000000001</v>
      </c>
      <c r="O2703" s="1">
        <v>1</v>
      </c>
      <c r="P2703" t="s">
        <v>26647</v>
      </c>
      <c r="Q2703" t="s">
        <v>26648</v>
      </c>
      <c r="R2703" t="s">
        <v>26649</v>
      </c>
      <c r="S2703" t="s">
        <v>166</v>
      </c>
      <c r="T2703" t="s">
        <v>1149</v>
      </c>
      <c r="U2703" t="s">
        <v>26650</v>
      </c>
      <c r="V2703">
        <v>8</v>
      </c>
      <c r="X2703" t="s">
        <v>26651</v>
      </c>
      <c r="Z2703" t="s">
        <v>107</v>
      </c>
      <c r="AA2703">
        <v>3</v>
      </c>
      <c r="AB2703" t="s">
        <v>26652</v>
      </c>
      <c r="AC2703">
        <v>41</v>
      </c>
      <c r="AD2703" t="s">
        <v>26653</v>
      </c>
      <c r="AE2703" t="s">
        <v>26654</v>
      </c>
      <c r="AF2703" t="s">
        <v>26655</v>
      </c>
      <c r="AG2703" t="s">
        <v>26656</v>
      </c>
      <c r="AH2703" t="str">
        <f>HYPERLINK("http://compartments.jensenlab.org/Entity?figures=subcell_cell_%&amp;knowledge=10&amp;textmining=10&amp;experiments=10&amp;predictions=10&amp;type1=9606&amp;type2=-22&amp;id1=ENSP00000319883","link")</f>
        <v>link</v>
      </c>
      <c r="AI2703" t="s">
        <v>65</v>
      </c>
      <c r="AJ2703" t="s">
        <v>51</v>
      </c>
      <c r="AK2703" t="str">
        <f>HYPERLINK("http://www.proteinatlas.org/Q9UHX3","no")</f>
        <v>no</v>
      </c>
      <c r="AM2703">
        <v>30817</v>
      </c>
    </row>
    <row r="2704" spans="1:39" x14ac:dyDescent="0.35">
      <c r="A2704" t="s">
        <v>26657</v>
      </c>
      <c r="B2704" t="str">
        <f>HYPERLINK("http://www.uniprot.org/uniprot/Q9UI33","Q9UI33")</f>
        <v>Q9UI33</v>
      </c>
      <c r="C2704" t="s">
        <v>26658</v>
      </c>
      <c r="D2704" t="s">
        <v>26659</v>
      </c>
      <c r="E2704" t="s">
        <v>39</v>
      </c>
      <c r="F2704" t="s">
        <v>40</v>
      </c>
      <c r="H2704">
        <v>1791</v>
      </c>
      <c r="I2704">
        <v>25</v>
      </c>
      <c r="J2704">
        <v>0</v>
      </c>
      <c r="K2704" t="s">
        <v>26660</v>
      </c>
      <c r="L2704" t="s">
        <v>42</v>
      </c>
      <c r="N2704">
        <v>0.73050000000000004</v>
      </c>
      <c r="O2704" s="1">
        <v>2</v>
      </c>
      <c r="P2704" t="s">
        <v>26661</v>
      </c>
      <c r="Q2704" t="s">
        <v>26662</v>
      </c>
      <c r="S2704" t="s">
        <v>45</v>
      </c>
      <c r="T2704" t="s">
        <v>8727</v>
      </c>
      <c r="U2704" t="s">
        <v>26663</v>
      </c>
      <c r="V2704">
        <v>6</v>
      </c>
      <c r="Y2704">
        <v>1039</v>
      </c>
      <c r="AE2704" t="s">
        <v>48</v>
      </c>
      <c r="AF2704" t="s">
        <v>26664</v>
      </c>
      <c r="AG2704" t="s">
        <v>26665</v>
      </c>
      <c r="AH2704" t="str">
        <f>HYPERLINK("http://compartments.jensenlab.org/Entity?figures=subcell_cell_%&amp;knowledge=10&amp;textmining=10&amp;experiments=10&amp;predictions=10&amp;type1=9606&amp;type2=-22&amp;id1=ENSP00000307599","link")</f>
        <v>link</v>
      </c>
      <c r="AJ2704" t="s">
        <v>51</v>
      </c>
      <c r="AK2704" t="str">
        <f>HYPERLINK("http://www.proteinatlas.org/Q9UI33","HPA036746")</f>
        <v>HPA036746</v>
      </c>
      <c r="AL2704" t="s">
        <v>26666</v>
      </c>
      <c r="AM2704">
        <v>11280</v>
      </c>
    </row>
    <row r="2705" spans="1:39" x14ac:dyDescent="0.35">
      <c r="A2705" t="s">
        <v>26667</v>
      </c>
      <c r="B2705" t="str">
        <f>HYPERLINK("http://www.uniprot.org/uniprot/Q9UI40","Q9UI40")</f>
        <v>Q9UI40</v>
      </c>
      <c r="C2705" t="s">
        <v>26668</v>
      </c>
      <c r="D2705" t="s">
        <v>26669</v>
      </c>
      <c r="E2705" t="s">
        <v>39</v>
      </c>
      <c r="F2705" t="s">
        <v>40</v>
      </c>
      <c r="H2705">
        <v>661</v>
      </c>
      <c r="I2705">
        <v>11</v>
      </c>
      <c r="J2705">
        <v>0</v>
      </c>
      <c r="K2705" t="s">
        <v>26670</v>
      </c>
      <c r="L2705" t="s">
        <v>57</v>
      </c>
      <c r="N2705">
        <v>0.77839999999999998</v>
      </c>
      <c r="O2705" s="1">
        <v>1</v>
      </c>
      <c r="P2705" t="s">
        <v>26671</v>
      </c>
      <c r="Q2705" t="s">
        <v>26672</v>
      </c>
      <c r="S2705" t="s">
        <v>45</v>
      </c>
      <c r="T2705" t="s">
        <v>15297</v>
      </c>
      <c r="U2705" t="s">
        <v>26673</v>
      </c>
      <c r="V2705">
        <v>1</v>
      </c>
      <c r="AE2705" t="s">
        <v>48</v>
      </c>
      <c r="AF2705" t="s">
        <v>26674</v>
      </c>
      <c r="AG2705" t="s">
        <v>26675</v>
      </c>
      <c r="AH2705" t="str">
        <f>HYPERLINK("http://compartments.jensenlab.org/Entity?figures=subcell_cell_%&amp;knowledge=10&amp;textmining=10&amp;experiments=10&amp;predictions=10&amp;type1=9606&amp;type2=-22&amp;id1=ENSP00000344801","link")</f>
        <v>link</v>
      </c>
      <c r="AJ2705" t="s">
        <v>51</v>
      </c>
      <c r="AK2705" t="str">
        <f>HYPERLINK("http://www.proteinatlas.org/Q9UI40","HPA057278")</f>
        <v>HPA057278</v>
      </c>
      <c r="AM2705">
        <v>25769</v>
      </c>
    </row>
    <row r="2706" spans="1:39" x14ac:dyDescent="0.35">
      <c r="A2706" t="s">
        <v>26676</v>
      </c>
      <c r="B2706" t="str">
        <f>HYPERLINK("http://www.uniprot.org/uniprot/Q9UIB8","Q9UIB8")</f>
        <v>Q9UIB8</v>
      </c>
      <c r="C2706" t="s">
        <v>26677</v>
      </c>
      <c r="D2706" t="s">
        <v>26678</v>
      </c>
      <c r="E2706" t="s">
        <v>39</v>
      </c>
      <c r="F2706" t="s">
        <v>55</v>
      </c>
      <c r="H2706">
        <v>345</v>
      </c>
      <c r="I2706">
        <v>1</v>
      </c>
      <c r="J2706">
        <v>1</v>
      </c>
      <c r="K2706" t="s">
        <v>26679</v>
      </c>
      <c r="L2706" t="s">
        <v>101</v>
      </c>
      <c r="M2706" t="s">
        <v>39</v>
      </c>
      <c r="N2706">
        <v>0.91720000000000002</v>
      </c>
      <c r="O2706" s="1">
        <v>1</v>
      </c>
      <c r="P2706" t="s">
        <v>26680</v>
      </c>
      <c r="Q2706" t="s">
        <v>26681</v>
      </c>
      <c r="R2706" t="s">
        <v>26678</v>
      </c>
      <c r="S2706" t="s">
        <v>60</v>
      </c>
      <c r="T2706" t="s">
        <v>60</v>
      </c>
      <c r="U2706" t="s">
        <v>26682</v>
      </c>
      <c r="V2706">
        <v>5</v>
      </c>
      <c r="W2706" t="s">
        <v>26683</v>
      </c>
      <c r="X2706" t="s">
        <v>26684</v>
      </c>
      <c r="Z2706" t="s">
        <v>107</v>
      </c>
      <c r="AA2706">
        <v>4</v>
      </c>
      <c r="AB2706" t="s">
        <v>26685</v>
      </c>
      <c r="AC2706">
        <v>201</v>
      </c>
      <c r="AD2706" t="s">
        <v>26686</v>
      </c>
      <c r="AE2706" t="s">
        <v>332</v>
      </c>
      <c r="AF2706" t="s">
        <v>26687</v>
      </c>
      <c r="AG2706" t="s">
        <v>26688</v>
      </c>
      <c r="AH2706" t="str">
        <f>HYPERLINK("http://compartments.jensenlab.org/Entity?figures=subcell_cell_%&amp;knowledge=10&amp;textmining=10&amp;experiments=10&amp;predictions=10&amp;type1=9606&amp;type2=-22&amp;id1=ENSP00000312367","link")</f>
        <v>link</v>
      </c>
      <c r="AK2706" t="str">
        <f>HYPERLINK("http://www.proteinatlas.org/Q9UIB8","no")</f>
        <v>no</v>
      </c>
      <c r="AM2706">
        <v>8832</v>
      </c>
    </row>
    <row r="2707" spans="1:39" x14ac:dyDescent="0.35">
      <c r="A2707" t="s">
        <v>26689</v>
      </c>
      <c r="B2707" t="str">
        <f>HYPERLINK("http://www.uniprot.org/uniprot/Q9UIG8","Q9UIG8")</f>
        <v>Q9UIG8</v>
      </c>
      <c r="C2707" t="s">
        <v>26690</v>
      </c>
      <c r="D2707" t="s">
        <v>26691</v>
      </c>
      <c r="E2707" t="s">
        <v>39</v>
      </c>
      <c r="F2707" t="s">
        <v>55</v>
      </c>
      <c r="H2707">
        <v>710</v>
      </c>
      <c r="I2707">
        <v>12</v>
      </c>
      <c r="J2707">
        <v>0</v>
      </c>
      <c r="K2707" t="s">
        <v>26692</v>
      </c>
      <c r="L2707" t="s">
        <v>101</v>
      </c>
      <c r="M2707" t="s">
        <v>39</v>
      </c>
      <c r="N2707">
        <v>0.89780000000000004</v>
      </c>
      <c r="O2707" s="1">
        <v>1</v>
      </c>
      <c r="P2707" t="s">
        <v>26693</v>
      </c>
      <c r="Q2707" t="s">
        <v>26694</v>
      </c>
      <c r="S2707" t="s">
        <v>45</v>
      </c>
      <c r="T2707" t="s">
        <v>797</v>
      </c>
      <c r="U2707" t="s">
        <v>26695</v>
      </c>
      <c r="V2707">
        <v>7</v>
      </c>
      <c r="Z2707" t="s">
        <v>107</v>
      </c>
      <c r="AA2707">
        <v>2</v>
      </c>
      <c r="AB2707" t="s">
        <v>26696</v>
      </c>
      <c r="AC2707" t="s">
        <v>26697</v>
      </c>
      <c r="AD2707" t="s">
        <v>26698</v>
      </c>
      <c r="AE2707" t="s">
        <v>74</v>
      </c>
      <c r="AF2707" t="s">
        <v>9678</v>
      </c>
      <c r="AG2707" t="s">
        <v>26699</v>
      </c>
      <c r="AH2707" t="str">
        <f>HYPERLINK("http://compartments.jensenlab.org/Entity?figures=subcell_cell_%&amp;knowledge=10&amp;textmining=10&amp;experiments=10&amp;predictions=10&amp;type1=9606&amp;type2=-22&amp;id1=ENSP00000320634","link")</f>
        <v>link</v>
      </c>
      <c r="AI2707" t="s">
        <v>65</v>
      </c>
      <c r="AJ2707" t="s">
        <v>51</v>
      </c>
      <c r="AK2707" t="str">
        <f>HYPERLINK("http://www.proteinatlas.org/Q9UIG8","no")</f>
        <v>no</v>
      </c>
      <c r="AM2707">
        <v>28232</v>
      </c>
    </row>
    <row r="2708" spans="1:39" x14ac:dyDescent="0.35">
      <c r="A2708" t="s">
        <v>26700</v>
      </c>
      <c r="B2708" t="str">
        <f>HYPERLINK("http://www.uniprot.org/uniprot/Q9UIK5","Q9UIK5")</f>
        <v>Q9UIK5</v>
      </c>
      <c r="C2708" t="s">
        <v>26701</v>
      </c>
      <c r="D2708" t="s">
        <v>26702</v>
      </c>
      <c r="E2708" t="s">
        <v>39</v>
      </c>
      <c r="F2708" t="s">
        <v>40</v>
      </c>
      <c r="H2708">
        <v>374</v>
      </c>
      <c r="I2708">
        <v>1</v>
      </c>
      <c r="J2708">
        <v>1</v>
      </c>
      <c r="K2708" t="s">
        <v>26703</v>
      </c>
      <c r="L2708" t="s">
        <v>57</v>
      </c>
      <c r="N2708">
        <v>0.87619999999999998</v>
      </c>
      <c r="O2708" s="1">
        <v>1</v>
      </c>
      <c r="P2708" t="s">
        <v>26704</v>
      </c>
      <c r="Q2708" t="s">
        <v>26705</v>
      </c>
      <c r="S2708" t="s">
        <v>60</v>
      </c>
      <c r="T2708" t="s">
        <v>60</v>
      </c>
      <c r="U2708" t="s">
        <v>26706</v>
      </c>
      <c r="V2708">
        <v>2</v>
      </c>
      <c r="W2708" t="s">
        <v>26707</v>
      </c>
      <c r="AE2708" t="s">
        <v>25455</v>
      </c>
      <c r="AF2708" t="s">
        <v>26708</v>
      </c>
      <c r="AG2708" t="s">
        <v>26709</v>
      </c>
      <c r="AH2708" t="str">
        <f>HYPERLINK("http://compartments.jensenlab.org/Entity?figures=subcell_cell_%&amp;knowledge=10&amp;textmining=10&amp;experiments=10&amp;predictions=10&amp;type1=9606&amp;type2=-22&amp;id1=ENSP00000272771","link")</f>
        <v>link</v>
      </c>
      <c r="AI2708" t="s">
        <v>113</v>
      </c>
      <c r="AJ2708" t="s">
        <v>902</v>
      </c>
      <c r="AK2708" t="str">
        <f>HYPERLINK("http://www.proteinatlas.org/Q9UIK5","HPA015587")</f>
        <v>HPA015587</v>
      </c>
      <c r="AM2708">
        <v>23671</v>
      </c>
    </row>
    <row r="2709" spans="1:39" x14ac:dyDescent="0.35">
      <c r="A2709" t="s">
        <v>26710</v>
      </c>
      <c r="B2709" t="str">
        <f>HYPERLINK("http://www.uniprot.org/uniprot/Q9UIQ6","Q9UIQ6")</f>
        <v>Q9UIQ6</v>
      </c>
      <c r="C2709" t="s">
        <v>26711</v>
      </c>
      <c r="D2709" t="s">
        <v>26712</v>
      </c>
      <c r="E2709" t="s">
        <v>39</v>
      </c>
      <c r="F2709" t="s">
        <v>55</v>
      </c>
      <c r="H2709">
        <v>1025</v>
      </c>
      <c r="I2709">
        <v>1</v>
      </c>
      <c r="J2709">
        <v>0</v>
      </c>
      <c r="K2709" t="s">
        <v>26713</v>
      </c>
      <c r="L2709" t="s">
        <v>101</v>
      </c>
      <c r="M2709" t="s">
        <v>39</v>
      </c>
      <c r="N2709">
        <v>0.78259999999999996</v>
      </c>
      <c r="O2709" s="1">
        <v>1</v>
      </c>
      <c r="P2709" t="s">
        <v>26714</v>
      </c>
      <c r="Q2709" t="s">
        <v>26715</v>
      </c>
      <c r="S2709" t="s">
        <v>947</v>
      </c>
      <c r="T2709" t="s">
        <v>5610</v>
      </c>
      <c r="U2709" t="s">
        <v>26716</v>
      </c>
      <c r="V2709">
        <v>17</v>
      </c>
      <c r="W2709" t="s">
        <v>26716</v>
      </c>
      <c r="Z2709" t="s">
        <v>107</v>
      </c>
      <c r="AA2709">
        <v>25</v>
      </c>
      <c r="AB2709" t="s">
        <v>26717</v>
      </c>
      <c r="AC2709" t="s">
        <v>26718</v>
      </c>
      <c r="AD2709" t="s">
        <v>26719</v>
      </c>
      <c r="AE2709" t="s">
        <v>2036</v>
      </c>
      <c r="AF2709" t="s">
        <v>26720</v>
      </c>
      <c r="AG2709" t="s">
        <v>26721</v>
      </c>
      <c r="AH2709" t="str">
        <f>HYPERLINK("http://compartments.jensenlab.org/Entity?figures=subcell_cell_%&amp;knowledge=10&amp;textmining=10&amp;experiments=10&amp;predictions=10&amp;type1=9606&amp;type2=-22&amp;id1=ENSP00000231368","link")</f>
        <v>link</v>
      </c>
      <c r="AI2709" t="s">
        <v>1058</v>
      </c>
      <c r="AJ2709" t="s">
        <v>26722</v>
      </c>
      <c r="AK2709" t="str">
        <f>HYPERLINK("http://www.proteinatlas.org/Q9UIQ6","HPA043642")</f>
        <v>HPA043642</v>
      </c>
      <c r="AM2709">
        <v>4012</v>
      </c>
    </row>
    <row r="2710" spans="1:39" x14ac:dyDescent="0.35">
      <c r="A2710" t="s">
        <v>26723</v>
      </c>
      <c r="B2710" t="str">
        <f>HYPERLINK("http://www.uniprot.org/uniprot/Q9UIW2","Q9UIW2")</f>
        <v>Q9UIW2</v>
      </c>
      <c r="C2710" t="s">
        <v>26724</v>
      </c>
      <c r="D2710" t="s">
        <v>26725</v>
      </c>
      <c r="E2710" t="s">
        <v>39</v>
      </c>
      <c r="F2710" t="s">
        <v>55</v>
      </c>
      <c r="H2710">
        <v>1896</v>
      </c>
      <c r="I2710">
        <v>1</v>
      </c>
      <c r="J2710">
        <v>1</v>
      </c>
      <c r="K2710" t="s">
        <v>26726</v>
      </c>
      <c r="L2710" t="s">
        <v>101</v>
      </c>
      <c r="M2710" t="s">
        <v>39</v>
      </c>
      <c r="N2710">
        <v>0.93959999999999999</v>
      </c>
      <c r="O2710" s="1">
        <v>1</v>
      </c>
      <c r="P2710" t="s">
        <v>26727</v>
      </c>
      <c r="Q2710" t="s">
        <v>26728</v>
      </c>
      <c r="S2710" t="s">
        <v>166</v>
      </c>
      <c r="T2710" t="s">
        <v>1382</v>
      </c>
      <c r="U2710" t="s">
        <v>26729</v>
      </c>
      <c r="V2710">
        <v>14</v>
      </c>
      <c r="Z2710" t="s">
        <v>107</v>
      </c>
      <c r="AA2710">
        <v>7</v>
      </c>
      <c r="AB2710" t="s">
        <v>26730</v>
      </c>
      <c r="AC2710" t="s">
        <v>26731</v>
      </c>
      <c r="AD2710" t="s">
        <v>26732</v>
      </c>
      <c r="AE2710" t="s">
        <v>332</v>
      </c>
      <c r="AF2710" t="s">
        <v>26733</v>
      </c>
      <c r="AG2710" t="s">
        <v>26734</v>
      </c>
      <c r="AH2710" t="str">
        <f>HYPERLINK("http://compartments.jensenlab.org/Entity?figures=subcell_cell_%&amp;knowledge=10&amp;textmining=10&amp;experiments=10&amp;predictions=10&amp;type1=9606&amp;type2=-22&amp;id1=ENSP00000377061","link")</f>
        <v>link</v>
      </c>
      <c r="AK2710" t="str">
        <f>HYPERLINK("http://www.proteinatlas.org/Q9UIW2","HPA007499;CAB012483")</f>
        <v>HPA007499;CAB012483</v>
      </c>
      <c r="AM2710">
        <v>5361</v>
      </c>
    </row>
    <row r="2711" spans="1:39" x14ac:dyDescent="0.35">
      <c r="A2711" t="s">
        <v>26735</v>
      </c>
      <c r="B2711" t="str">
        <f>HYPERLINK("http://www.uniprot.org/uniprot/Q9UJ14","Q9UJ14")</f>
        <v>Q9UJ14</v>
      </c>
      <c r="C2711" t="s">
        <v>26736</v>
      </c>
      <c r="D2711" t="s">
        <v>26737</v>
      </c>
      <c r="E2711" t="s">
        <v>39</v>
      </c>
      <c r="F2711" t="s">
        <v>40</v>
      </c>
      <c r="H2711">
        <v>662</v>
      </c>
      <c r="I2711">
        <v>1</v>
      </c>
      <c r="J2711">
        <v>0</v>
      </c>
      <c r="K2711" t="s">
        <v>26738</v>
      </c>
      <c r="L2711" t="s">
        <v>101</v>
      </c>
      <c r="N2711">
        <v>0.62480000000000002</v>
      </c>
      <c r="O2711" s="1">
        <v>2</v>
      </c>
      <c r="P2711" t="s">
        <v>26739</v>
      </c>
      <c r="Q2711" t="s">
        <v>26740</v>
      </c>
      <c r="S2711" t="s">
        <v>60</v>
      </c>
      <c r="T2711" t="s">
        <v>60</v>
      </c>
      <c r="U2711" t="s">
        <v>26741</v>
      </c>
      <c r="V2711">
        <v>10</v>
      </c>
      <c r="Z2711" t="s">
        <v>123</v>
      </c>
      <c r="AA2711">
        <v>1</v>
      </c>
      <c r="AB2711" t="s">
        <v>26742</v>
      </c>
      <c r="AC2711">
        <v>267</v>
      </c>
      <c r="AD2711" t="s">
        <v>26743</v>
      </c>
      <c r="AE2711" t="s">
        <v>359</v>
      </c>
      <c r="AF2711" t="s">
        <v>26744</v>
      </c>
      <c r="AG2711" t="s">
        <v>26745</v>
      </c>
      <c r="AH2711" t="str">
        <f>HYPERLINK("http://compartments.jensenlab.org/Entity?figures=subcell_cell_%&amp;knowledge=10&amp;textmining=10&amp;experiments=10&amp;predictions=10&amp;type1=9606&amp;type2=-22&amp;id1=ENSP00000338964","link")</f>
        <v>link</v>
      </c>
      <c r="AI2711" t="s">
        <v>65</v>
      </c>
      <c r="AJ2711" t="s">
        <v>51</v>
      </c>
      <c r="AK2711" t="str">
        <f>HYPERLINK("http://www.proteinatlas.org/Q9UJ14","HPA013204")</f>
        <v>HPA013204</v>
      </c>
      <c r="AM2711">
        <v>2686</v>
      </c>
    </row>
    <row r="2712" spans="1:39" x14ac:dyDescent="0.35">
      <c r="A2712" t="s">
        <v>26746</v>
      </c>
      <c r="B2712" t="str">
        <f>HYPERLINK("http://www.uniprot.org/uniprot/Q9UJ42","Q9UJ42")</f>
        <v>Q9UJ42</v>
      </c>
      <c r="C2712" t="s">
        <v>26747</v>
      </c>
      <c r="D2712" t="s">
        <v>26748</v>
      </c>
      <c r="E2712" t="s">
        <v>39</v>
      </c>
      <c r="F2712" t="s">
        <v>55</v>
      </c>
      <c r="H2712">
        <v>338</v>
      </c>
      <c r="I2712">
        <v>7</v>
      </c>
      <c r="J2712">
        <v>0</v>
      </c>
      <c r="K2712" t="s">
        <v>26749</v>
      </c>
      <c r="L2712" t="s">
        <v>57</v>
      </c>
      <c r="M2712" t="s">
        <v>39</v>
      </c>
      <c r="N2712">
        <v>0.63129999999999997</v>
      </c>
      <c r="O2712" s="1">
        <v>2</v>
      </c>
      <c r="P2712" t="s">
        <v>26750</v>
      </c>
      <c r="Q2712" t="s">
        <v>26751</v>
      </c>
      <c r="S2712" t="s">
        <v>60</v>
      </c>
      <c r="T2712" t="s">
        <v>60</v>
      </c>
      <c r="U2712" t="s">
        <v>26752</v>
      </c>
      <c r="V2712">
        <v>1</v>
      </c>
      <c r="AE2712" t="s">
        <v>74</v>
      </c>
      <c r="AF2712" t="s">
        <v>13176</v>
      </c>
      <c r="AG2712" t="s">
        <v>26753</v>
      </c>
      <c r="AH2712" t="str">
        <f>HYPERLINK("http://compartments.jensenlab.org/Entity?figures=subcell_cell_%&amp;knowledge=10&amp;textmining=10&amp;experiments=10&amp;predictions=10&amp;type1=9606&amp;type2=-22&amp;id1=ENSP00000348161","link")</f>
        <v>link</v>
      </c>
      <c r="AI2712" t="s">
        <v>65</v>
      </c>
      <c r="AJ2712" t="s">
        <v>51</v>
      </c>
      <c r="AK2712" t="str">
        <f>HYPERLINK("http://www.proteinatlas.org/Q9UJ42","HPA006970")</f>
        <v>HPA006970</v>
      </c>
      <c r="AM2712">
        <v>26996</v>
      </c>
    </row>
    <row r="2713" spans="1:39" x14ac:dyDescent="0.35">
      <c r="A2713" t="s">
        <v>26754</v>
      </c>
      <c r="B2713" t="str">
        <f>HYPERLINK("http://www.uniprot.org/uniprot/Q9UJ99","Q9UJ99")</f>
        <v>Q9UJ99</v>
      </c>
      <c r="C2713" t="s">
        <v>26755</v>
      </c>
      <c r="D2713" t="s">
        <v>26756</v>
      </c>
      <c r="E2713" t="s">
        <v>39</v>
      </c>
      <c r="F2713" t="s">
        <v>40</v>
      </c>
      <c r="H2713">
        <v>828</v>
      </c>
      <c r="I2713">
        <v>1</v>
      </c>
      <c r="J2713">
        <v>1</v>
      </c>
      <c r="K2713" t="s">
        <v>26757</v>
      </c>
      <c r="L2713" t="s">
        <v>57</v>
      </c>
      <c r="N2713">
        <v>0.8962</v>
      </c>
      <c r="O2713" s="1">
        <v>1</v>
      </c>
      <c r="P2713" t="s">
        <v>26758</v>
      </c>
      <c r="Q2713" t="s">
        <v>26759</v>
      </c>
      <c r="S2713" t="s">
        <v>91</v>
      </c>
      <c r="T2713" t="s">
        <v>2622</v>
      </c>
      <c r="U2713" t="s">
        <v>26760</v>
      </c>
      <c r="V2713">
        <v>3</v>
      </c>
      <c r="AE2713" t="s">
        <v>332</v>
      </c>
      <c r="AF2713" t="s">
        <v>26761</v>
      </c>
      <c r="AG2713" t="s">
        <v>26762</v>
      </c>
      <c r="AH2713" t="str">
        <f>HYPERLINK("http://compartments.jensenlab.org/Entity?figures=subcell_cell_%&amp;knowledge=10&amp;textmining=10&amp;experiments=10&amp;predictions=10&amp;type1=9606&amp;type2=-22&amp;id1=ENSP00000361336","link")</f>
        <v>link</v>
      </c>
      <c r="AI2713" t="s">
        <v>65</v>
      </c>
      <c r="AJ2713" t="s">
        <v>51</v>
      </c>
      <c r="AK2713" t="str">
        <f>HYPERLINK("http://www.proteinatlas.org/Q9UJ99","HPA012164")</f>
        <v>HPA012164</v>
      </c>
      <c r="AM2713">
        <v>64405</v>
      </c>
    </row>
    <row r="2714" spans="1:39" x14ac:dyDescent="0.35">
      <c r="A2714" t="s">
        <v>26763</v>
      </c>
      <c r="B2714" t="str">
        <f>HYPERLINK("http://www.uniprot.org/uniprot/Q9UJA9","Q9UJA9")</f>
        <v>Q9UJA9</v>
      </c>
      <c r="C2714" t="s">
        <v>26764</v>
      </c>
      <c r="D2714" t="s">
        <v>26765</v>
      </c>
      <c r="E2714" t="s">
        <v>39</v>
      </c>
      <c r="F2714" t="s">
        <v>40</v>
      </c>
      <c r="H2714">
        <v>477</v>
      </c>
      <c r="I2714">
        <v>1</v>
      </c>
      <c r="J2714">
        <v>1</v>
      </c>
      <c r="K2714" t="s">
        <v>26766</v>
      </c>
      <c r="L2714" t="s">
        <v>42</v>
      </c>
      <c r="N2714">
        <v>0.74450000000000005</v>
      </c>
      <c r="O2714" s="1">
        <v>2</v>
      </c>
      <c r="P2714" t="s">
        <v>26767</v>
      </c>
      <c r="Q2714" t="s">
        <v>26768</v>
      </c>
      <c r="S2714" t="s">
        <v>947</v>
      </c>
      <c r="T2714" t="s">
        <v>26769</v>
      </c>
      <c r="U2714" t="s">
        <v>26770</v>
      </c>
      <c r="V2714">
        <v>8</v>
      </c>
      <c r="W2714" t="s">
        <v>26770</v>
      </c>
      <c r="AE2714" t="s">
        <v>26771</v>
      </c>
      <c r="AF2714" t="s">
        <v>26772</v>
      </c>
      <c r="AG2714" t="s">
        <v>26773</v>
      </c>
      <c r="AH2714" t="str">
        <f>HYPERLINK("http://compartments.jensenlab.org/Entity?figures=subcell_cell_%&amp;knowledge=10&amp;textmining=10&amp;experiments=10&amp;predictions=10&amp;type1=9606&amp;type2=-22&amp;id1=ENSP00000230565","link")</f>
        <v>link</v>
      </c>
      <c r="AJ2714" t="s">
        <v>902</v>
      </c>
      <c r="AK2714" t="str">
        <f>HYPERLINK("http://www.proteinatlas.org/Q9UJA9","HPA016902")</f>
        <v>HPA016902</v>
      </c>
      <c r="AM2714">
        <v>59084</v>
      </c>
    </row>
    <row r="2715" spans="1:39" x14ac:dyDescent="0.35">
      <c r="A2715" t="s">
        <v>26774</v>
      </c>
      <c r="B2715" t="str">
        <f>HYPERLINK("http://www.uniprot.org/uniprot/Q9UJQ1","Q9UJQ1")</f>
        <v>Q9UJQ1</v>
      </c>
      <c r="C2715" t="s">
        <v>26775</v>
      </c>
      <c r="D2715" t="s">
        <v>26776</v>
      </c>
      <c r="E2715" t="s">
        <v>39</v>
      </c>
      <c r="F2715" t="s">
        <v>40</v>
      </c>
      <c r="H2715">
        <v>280</v>
      </c>
      <c r="I2715">
        <v>1</v>
      </c>
      <c r="J2715">
        <v>1</v>
      </c>
      <c r="K2715" t="s">
        <v>26777</v>
      </c>
      <c r="L2715" t="s">
        <v>57</v>
      </c>
      <c r="N2715">
        <v>0.85229999999999995</v>
      </c>
      <c r="O2715" s="1">
        <v>1</v>
      </c>
      <c r="P2715" t="s">
        <v>26778</v>
      </c>
      <c r="Q2715" t="s">
        <v>26779</v>
      </c>
      <c r="S2715" t="s">
        <v>60</v>
      </c>
      <c r="T2715" t="s">
        <v>60</v>
      </c>
      <c r="U2715" t="s">
        <v>26780</v>
      </c>
      <c r="V2715">
        <v>3</v>
      </c>
      <c r="AE2715" t="s">
        <v>26781</v>
      </c>
      <c r="AF2715" t="s">
        <v>26782</v>
      </c>
      <c r="AG2715" t="s">
        <v>26783</v>
      </c>
      <c r="AH2715" t="str">
        <f>HYPERLINK("http://compartments.jensenlab.org/Entity?figures=subcell_cell_%&amp;knowledge=10&amp;textmining=10&amp;experiments=10&amp;predictions=10&amp;type1=9606&amp;type2=-22&amp;id1=ENSP00000246070","link")</f>
        <v>link</v>
      </c>
      <c r="AI2715" t="s">
        <v>4125</v>
      </c>
      <c r="AJ2715" t="s">
        <v>1791</v>
      </c>
      <c r="AK2715" t="str">
        <f>HYPERLINK("http://www.proteinatlas.org/Q9UJQ1","HPA004802")</f>
        <v>HPA004802</v>
      </c>
      <c r="AM2715">
        <v>24141</v>
      </c>
    </row>
    <row r="2716" spans="1:39" x14ac:dyDescent="0.35">
      <c r="A2716" t="s">
        <v>26784</v>
      </c>
      <c r="B2716" t="str">
        <f>HYPERLINK("http://www.uniprot.org/uniprot/Q9UK23","Q9UK23")</f>
        <v>Q9UK23</v>
      </c>
      <c r="C2716" t="s">
        <v>26785</v>
      </c>
      <c r="D2716" t="s">
        <v>26786</v>
      </c>
      <c r="E2716" t="s">
        <v>39</v>
      </c>
      <c r="F2716" t="s">
        <v>40</v>
      </c>
      <c r="H2716">
        <v>515</v>
      </c>
      <c r="I2716">
        <v>1</v>
      </c>
      <c r="J2716">
        <v>1</v>
      </c>
      <c r="K2716" t="s">
        <v>26787</v>
      </c>
      <c r="L2716" t="s">
        <v>101</v>
      </c>
      <c r="N2716">
        <v>0.87619999999999998</v>
      </c>
      <c r="O2716" s="1">
        <v>1</v>
      </c>
      <c r="P2716" t="s">
        <v>26788</v>
      </c>
      <c r="Q2716" t="s">
        <v>26789</v>
      </c>
      <c r="S2716" t="s">
        <v>947</v>
      </c>
      <c r="T2716" t="s">
        <v>26769</v>
      </c>
      <c r="U2716" t="s">
        <v>26790</v>
      </c>
      <c r="V2716">
        <v>6</v>
      </c>
      <c r="Z2716" t="s">
        <v>107</v>
      </c>
      <c r="AA2716">
        <v>1</v>
      </c>
      <c r="AB2716" t="s">
        <v>26791</v>
      </c>
      <c r="AC2716">
        <v>366</v>
      </c>
      <c r="AD2716" t="s">
        <v>26792</v>
      </c>
      <c r="AE2716" t="s">
        <v>26793</v>
      </c>
      <c r="AF2716" t="s">
        <v>26794</v>
      </c>
      <c r="AG2716" t="s">
        <v>26795</v>
      </c>
      <c r="AH2716" t="str">
        <f>HYPERLINK("http://compartments.jensenlab.org/Entity?figures=subcell_cell_%&amp;knowledge=10&amp;textmining=10&amp;experiments=10&amp;predictions=10&amp;type1=9606&amp;type2=-22&amp;id1=ENSP00000310998","link")</f>
        <v>link</v>
      </c>
      <c r="AI2716" t="s">
        <v>4370</v>
      </c>
      <c r="AJ2716" t="s">
        <v>26796</v>
      </c>
      <c r="AK2716" t="str">
        <f>HYPERLINK("http://www.proteinatlas.org/Q9UK23","HPA064055")</f>
        <v>HPA064055</v>
      </c>
      <c r="AL2716" t="s">
        <v>26797</v>
      </c>
      <c r="AM2716">
        <v>51172</v>
      </c>
    </row>
    <row r="2717" spans="1:39" x14ac:dyDescent="0.35">
      <c r="A2717" t="s">
        <v>26798</v>
      </c>
      <c r="B2717" t="str">
        <f>HYPERLINK("http://www.uniprot.org/uniprot/Q9UKB5","Q9UKB5")</f>
        <v>Q9UKB5</v>
      </c>
      <c r="C2717" t="s">
        <v>26799</v>
      </c>
      <c r="D2717" t="s">
        <v>26800</v>
      </c>
      <c r="E2717" t="s">
        <v>39</v>
      </c>
      <c r="F2717" t="s">
        <v>55</v>
      </c>
      <c r="H2717">
        <v>411</v>
      </c>
      <c r="I2717">
        <v>1</v>
      </c>
      <c r="J2717">
        <v>0</v>
      </c>
      <c r="K2717" t="s">
        <v>26801</v>
      </c>
      <c r="L2717" t="s">
        <v>57</v>
      </c>
      <c r="M2717" t="s">
        <v>39</v>
      </c>
      <c r="N2717">
        <v>0.26519999999999999</v>
      </c>
      <c r="O2717" s="1"/>
      <c r="P2717" t="s">
        <v>26802</v>
      </c>
      <c r="Q2717" t="s">
        <v>26803</v>
      </c>
      <c r="S2717" t="s">
        <v>60</v>
      </c>
      <c r="T2717" t="s">
        <v>60</v>
      </c>
      <c r="U2717" t="s">
        <v>26804</v>
      </c>
      <c r="V2717">
        <v>0</v>
      </c>
      <c r="AE2717" t="s">
        <v>26805</v>
      </c>
      <c r="AF2717" t="s">
        <v>26806</v>
      </c>
      <c r="AG2717" t="s">
        <v>26807</v>
      </c>
      <c r="AH2717" t="str">
        <f>HYPERLINK("http://compartments.jensenlab.org/Entity?figures=subcell_cell_%&amp;knowledge=10&amp;textmining=10&amp;experiments=10&amp;predictions=10&amp;type1=9606&amp;type2=-22&amp;id1=ENSP00000367432","link")</f>
        <v>link</v>
      </c>
      <c r="AI2717" t="s">
        <v>65</v>
      </c>
      <c r="AJ2717" t="s">
        <v>51</v>
      </c>
      <c r="AK2717" t="str">
        <f>HYPERLINK("http://www.proteinatlas.org/Q9UKB5","HPA012157")</f>
        <v>HPA012157</v>
      </c>
      <c r="AM2717">
        <v>55966</v>
      </c>
    </row>
    <row r="2718" spans="1:39" x14ac:dyDescent="0.35">
      <c r="A2718" t="s">
        <v>26808</v>
      </c>
      <c r="B2718" t="str">
        <f>HYPERLINK("http://www.uniprot.org/uniprot/Q9UKF2","Q9UKF2")</f>
        <v>Q9UKF2</v>
      </c>
      <c r="C2718" t="s">
        <v>26809</v>
      </c>
      <c r="D2718" t="s">
        <v>26810</v>
      </c>
      <c r="E2718" t="s">
        <v>39</v>
      </c>
      <c r="F2718" t="s">
        <v>40</v>
      </c>
      <c r="H2718">
        <v>790</v>
      </c>
      <c r="I2718">
        <v>1</v>
      </c>
      <c r="J2718">
        <v>1</v>
      </c>
      <c r="K2718" t="s">
        <v>26811</v>
      </c>
      <c r="L2718" t="s">
        <v>57</v>
      </c>
      <c r="N2718">
        <v>0.78239999999999998</v>
      </c>
      <c r="O2718" s="1">
        <v>1</v>
      </c>
      <c r="P2718" t="s">
        <v>26812</v>
      </c>
      <c r="Q2718" t="s">
        <v>26813</v>
      </c>
      <c r="S2718" t="s">
        <v>947</v>
      </c>
      <c r="T2718" t="s">
        <v>1208</v>
      </c>
      <c r="U2718" t="s">
        <v>26814</v>
      </c>
      <c r="V2718">
        <v>5</v>
      </c>
      <c r="AE2718" t="s">
        <v>144</v>
      </c>
      <c r="AF2718" t="s">
        <v>26815</v>
      </c>
      <c r="AG2718" t="s">
        <v>26816</v>
      </c>
      <c r="AH2718" t="str">
        <f>HYPERLINK("http://compartments.jensenlab.org/Entity?figures=subcell_cell_%&amp;knowledge=10&amp;textmining=10&amp;experiments=10&amp;predictions=10&amp;type1=9606&amp;type2=-22&amp;id1=ENSP00000358407","link")</f>
        <v>link</v>
      </c>
      <c r="AJ2718" t="s">
        <v>51</v>
      </c>
      <c r="AK2718" t="str">
        <f>HYPERLINK("http://www.proteinatlas.org/Q9UKF2","HPA026080")</f>
        <v>HPA026080</v>
      </c>
      <c r="AM2718">
        <v>11085</v>
      </c>
    </row>
    <row r="2719" spans="1:39" x14ac:dyDescent="0.35">
      <c r="A2719" t="s">
        <v>26817</v>
      </c>
      <c r="B2719" t="str">
        <f>HYPERLINK("http://www.uniprot.org/uniprot/Q9UKF5","Q9UKF5")</f>
        <v>Q9UKF5</v>
      </c>
      <c r="C2719" t="s">
        <v>26818</v>
      </c>
      <c r="D2719" t="s">
        <v>26819</v>
      </c>
      <c r="E2719" t="s">
        <v>39</v>
      </c>
      <c r="F2719" t="s">
        <v>40</v>
      </c>
      <c r="H2719">
        <v>820</v>
      </c>
      <c r="I2719">
        <v>1</v>
      </c>
      <c r="J2719">
        <v>1</v>
      </c>
      <c r="K2719" t="s">
        <v>26820</v>
      </c>
      <c r="L2719" t="s">
        <v>57</v>
      </c>
      <c r="N2719">
        <v>0.82440000000000002</v>
      </c>
      <c r="O2719" s="1">
        <v>1</v>
      </c>
      <c r="P2719" t="s">
        <v>26821</v>
      </c>
      <c r="Q2719" t="s">
        <v>26822</v>
      </c>
      <c r="S2719" t="s">
        <v>947</v>
      </c>
      <c r="T2719" t="s">
        <v>1208</v>
      </c>
      <c r="U2719" t="s">
        <v>26823</v>
      </c>
      <c r="V2719">
        <v>12</v>
      </c>
      <c r="W2719" t="s">
        <v>26824</v>
      </c>
      <c r="AE2719" t="s">
        <v>144</v>
      </c>
      <c r="AF2719" t="s">
        <v>2585</v>
      </c>
      <c r="AG2719" t="s">
        <v>26825</v>
      </c>
      <c r="AH2719" t="str">
        <f>HYPERLINK("http://compartments.jensenlab.org/Entity?figures=subcell_cell_%&amp;knowledge=10&amp;textmining=10&amp;experiments=10&amp;predictions=10&amp;type1=9606&amp;type2=-22&amp;id1=ENSP00000352177","link")</f>
        <v>link</v>
      </c>
      <c r="AJ2719" t="s">
        <v>51</v>
      </c>
      <c r="AK2719" t="str">
        <f>HYPERLINK("http://www.proteinatlas.org/Q9UKF5","HPA014159")</f>
        <v>HPA014159</v>
      </c>
      <c r="AM2719">
        <v>11086</v>
      </c>
    </row>
    <row r="2720" spans="1:39" x14ac:dyDescent="0.35">
      <c r="A2720" t="s">
        <v>26826</v>
      </c>
      <c r="B2720" t="str">
        <f>HYPERLINK("http://www.uniprot.org/uniprot/Q9UKG4","Q9UKG4")</f>
        <v>Q9UKG4</v>
      </c>
      <c r="C2720" t="s">
        <v>26827</v>
      </c>
      <c r="D2720" t="s">
        <v>26828</v>
      </c>
      <c r="E2720" t="s">
        <v>39</v>
      </c>
      <c r="F2720" t="s">
        <v>40</v>
      </c>
      <c r="H2720">
        <v>626</v>
      </c>
      <c r="I2720">
        <v>10</v>
      </c>
      <c r="J2720">
        <v>1</v>
      </c>
      <c r="K2720" t="s">
        <v>26829</v>
      </c>
      <c r="L2720" t="s">
        <v>42</v>
      </c>
      <c r="N2720">
        <v>0.85429999999999995</v>
      </c>
      <c r="O2720" s="1">
        <v>1</v>
      </c>
      <c r="P2720" t="s">
        <v>26830</v>
      </c>
      <c r="Q2720" t="s">
        <v>26831</v>
      </c>
      <c r="S2720" t="s">
        <v>45</v>
      </c>
      <c r="T2720" t="s">
        <v>12539</v>
      </c>
      <c r="U2720" t="s">
        <v>26832</v>
      </c>
      <c r="V2720">
        <v>1</v>
      </c>
      <c r="W2720" t="s">
        <v>26833</v>
      </c>
      <c r="Y2720">
        <v>330</v>
      </c>
      <c r="AE2720" t="s">
        <v>48</v>
      </c>
      <c r="AF2720" t="s">
        <v>26834</v>
      </c>
      <c r="AG2720" t="s">
        <v>26835</v>
      </c>
      <c r="AH2720" t="str">
        <f>HYPERLINK("http://compartments.jensenlab.org/Entity?figures=subcell_cell_%&amp;knowledge=10&amp;textmining=10&amp;experiments=10&amp;predictions=10&amp;type1=9606&amp;type2=-22&amp;id1=ENSP00000297282","link")</f>
        <v>link</v>
      </c>
      <c r="AJ2720" t="s">
        <v>51</v>
      </c>
      <c r="AK2720" t="str">
        <f>HYPERLINK("http://www.proteinatlas.org/Q9UKG4","HPA048582")</f>
        <v>HPA048582</v>
      </c>
      <c r="AM2720">
        <v>26266</v>
      </c>
    </row>
    <row r="2721" spans="1:39" x14ac:dyDescent="0.35">
      <c r="A2721" t="s">
        <v>26836</v>
      </c>
      <c r="B2721" t="str">
        <f>HYPERLINK("http://www.uniprot.org/uniprot/Q9UKH3","Q9UKH3")</f>
        <v>Q9UKH3</v>
      </c>
      <c r="C2721" t="s">
        <v>26837</v>
      </c>
      <c r="D2721" t="s">
        <v>26838</v>
      </c>
      <c r="E2721" t="s">
        <v>39</v>
      </c>
      <c r="F2721" t="s">
        <v>40</v>
      </c>
      <c r="H2721">
        <v>698</v>
      </c>
      <c r="I2721">
        <v>1</v>
      </c>
      <c r="J2721">
        <v>1</v>
      </c>
      <c r="K2721" t="s">
        <v>26839</v>
      </c>
      <c r="L2721" t="s">
        <v>57</v>
      </c>
      <c r="N2721">
        <v>0.87229999999999996</v>
      </c>
      <c r="O2721" s="1">
        <v>1</v>
      </c>
      <c r="S2721" t="s">
        <v>91</v>
      </c>
      <c r="T2721" t="s">
        <v>2438</v>
      </c>
      <c r="U2721" t="s">
        <v>26840</v>
      </c>
      <c r="V2721">
        <v>11</v>
      </c>
      <c r="AE2721" t="s">
        <v>1674</v>
      </c>
      <c r="AF2721" t="s">
        <v>2440</v>
      </c>
      <c r="AG2721" t="s">
        <v>26841</v>
      </c>
      <c r="AK2721" t="str">
        <f>HYPERLINK("http://www.proteinatlas.org/Q9UKH3","no")</f>
        <v>no</v>
      </c>
    </row>
    <row r="2722" spans="1:39" x14ac:dyDescent="0.35">
      <c r="A2722" t="s">
        <v>26842</v>
      </c>
      <c r="B2722" t="str">
        <f>HYPERLINK("http://www.uniprot.org/uniprot/Q9UKJ0","Q9UKJ0")</f>
        <v>Q9UKJ0</v>
      </c>
      <c r="C2722" t="s">
        <v>26843</v>
      </c>
      <c r="D2722" t="s">
        <v>26844</v>
      </c>
      <c r="E2722" t="s">
        <v>39</v>
      </c>
      <c r="F2722" t="s">
        <v>40</v>
      </c>
      <c r="H2722">
        <v>227</v>
      </c>
      <c r="I2722">
        <v>1</v>
      </c>
      <c r="J2722">
        <v>1</v>
      </c>
      <c r="K2722" t="s">
        <v>26845</v>
      </c>
      <c r="L2722" t="s">
        <v>57</v>
      </c>
      <c r="N2722">
        <v>0.72650000000000003</v>
      </c>
      <c r="O2722" s="1">
        <v>2</v>
      </c>
      <c r="P2722" t="s">
        <v>26846</v>
      </c>
      <c r="Q2722" t="s">
        <v>26847</v>
      </c>
      <c r="S2722" t="s">
        <v>60</v>
      </c>
      <c r="T2722" t="s">
        <v>60</v>
      </c>
      <c r="U2722">
        <v>100</v>
      </c>
      <c r="V2722">
        <v>1</v>
      </c>
      <c r="W2722">
        <v>100</v>
      </c>
      <c r="AE2722" t="s">
        <v>144</v>
      </c>
      <c r="AF2722" t="s">
        <v>26848</v>
      </c>
      <c r="AG2722" t="s">
        <v>26849</v>
      </c>
      <c r="AH2722" t="str">
        <f>HYPERLINK("http://compartments.jensenlab.org/Entity?figures=subcell_cell_%&amp;knowledge=10&amp;textmining=10&amp;experiments=10&amp;predictions=10&amp;type1=9606&amp;type2=-22&amp;id1=ENSP00000391748","link")</f>
        <v>link</v>
      </c>
      <c r="AK2722" t="str">
        <f>HYPERLINK("http://www.proteinatlas.org/Q9UKJ0","HPA026750")</f>
        <v>HPA026750</v>
      </c>
      <c r="AM2722">
        <v>29990</v>
      </c>
    </row>
    <row r="2723" spans="1:39" x14ac:dyDescent="0.35">
      <c r="A2723" t="s">
        <v>26850</v>
      </c>
      <c r="B2723" t="str">
        <f>HYPERLINK("http://www.uniprot.org/uniprot/Q9UKJ1","Q9UKJ1")</f>
        <v>Q9UKJ1</v>
      </c>
      <c r="C2723" t="s">
        <v>26851</v>
      </c>
      <c r="D2723" t="s">
        <v>26852</v>
      </c>
      <c r="E2723" t="s">
        <v>39</v>
      </c>
      <c r="F2723" t="s">
        <v>55</v>
      </c>
      <c r="H2723">
        <v>303</v>
      </c>
      <c r="I2723">
        <v>1</v>
      </c>
      <c r="J2723">
        <v>1</v>
      </c>
      <c r="K2723" t="s">
        <v>26853</v>
      </c>
      <c r="L2723" t="s">
        <v>101</v>
      </c>
      <c r="M2723" t="s">
        <v>39</v>
      </c>
      <c r="N2723">
        <v>0.84289999999999998</v>
      </c>
      <c r="O2723" s="1">
        <v>1</v>
      </c>
      <c r="P2723" t="s">
        <v>26854</v>
      </c>
      <c r="Q2723" t="s">
        <v>26855</v>
      </c>
      <c r="S2723" t="s">
        <v>60</v>
      </c>
      <c r="T2723" t="s">
        <v>60</v>
      </c>
      <c r="U2723" t="s">
        <v>26856</v>
      </c>
      <c r="V2723">
        <v>1</v>
      </c>
      <c r="W2723" t="s">
        <v>26856</v>
      </c>
      <c r="Z2723" t="s">
        <v>107</v>
      </c>
      <c r="AA2723">
        <v>1</v>
      </c>
      <c r="AB2723" t="s">
        <v>26857</v>
      </c>
      <c r="AC2723">
        <v>100</v>
      </c>
      <c r="AD2723" t="s">
        <v>26858</v>
      </c>
      <c r="AE2723" t="s">
        <v>26859</v>
      </c>
      <c r="AF2723" t="s">
        <v>26860</v>
      </c>
      <c r="AG2723" t="s">
        <v>26861</v>
      </c>
      <c r="AH2723" t="str">
        <f>HYPERLINK("http://compartments.jensenlab.org/Entity?figures=subcell_cell_%&amp;knowledge=10&amp;textmining=10&amp;experiments=10&amp;predictions=10&amp;type1=9606&amp;type2=-22&amp;id1=ENSP00000198536","link")</f>
        <v>link</v>
      </c>
      <c r="AI2723" t="s">
        <v>65</v>
      </c>
      <c r="AJ2723" t="s">
        <v>902</v>
      </c>
      <c r="AK2723" t="str">
        <f>HYPERLINK("http://www.proteinatlas.org/Q9UKJ1","HPA051219")</f>
        <v>HPA051219</v>
      </c>
      <c r="AM2723">
        <v>29992</v>
      </c>
    </row>
    <row r="2724" spans="1:39" x14ac:dyDescent="0.35">
      <c r="A2724" t="s">
        <v>26862</v>
      </c>
      <c r="B2724" t="str">
        <f>HYPERLINK("http://www.uniprot.org/uniprot/Q9UKJ8","Q9UKJ8")</f>
        <v>Q9UKJ8</v>
      </c>
      <c r="C2724" t="s">
        <v>26863</v>
      </c>
      <c r="D2724" t="s">
        <v>26864</v>
      </c>
      <c r="E2724" t="s">
        <v>39</v>
      </c>
      <c r="F2724" t="s">
        <v>40</v>
      </c>
      <c r="H2724">
        <v>722</v>
      </c>
      <c r="I2724">
        <v>1</v>
      </c>
      <c r="J2724">
        <v>1</v>
      </c>
      <c r="K2724" t="s">
        <v>26865</v>
      </c>
      <c r="L2724" t="s">
        <v>57</v>
      </c>
      <c r="N2724">
        <v>0.81240000000000001</v>
      </c>
      <c r="O2724" s="1">
        <v>1</v>
      </c>
      <c r="P2724" t="s">
        <v>26866</v>
      </c>
      <c r="Q2724" t="s">
        <v>26867</v>
      </c>
      <c r="S2724" t="s">
        <v>947</v>
      </c>
      <c r="T2724" t="s">
        <v>1208</v>
      </c>
      <c r="U2724" t="s">
        <v>26868</v>
      </c>
      <c r="V2724">
        <v>7</v>
      </c>
      <c r="AE2724" t="s">
        <v>144</v>
      </c>
      <c r="AF2724" t="s">
        <v>1853</v>
      </c>
      <c r="AG2724" t="s">
        <v>26869</v>
      </c>
      <c r="AH2724" t="str">
        <f>HYPERLINK("http://compartments.jensenlab.org/Entity?figures=subcell_cell_%&amp;knowledge=10&amp;textmining=10&amp;experiments=10&amp;predictions=10&amp;type1=9606&amp;type2=-22&amp;id1=ENSP00000474385","link")</f>
        <v>link</v>
      </c>
      <c r="AK2724" t="str">
        <f>HYPERLINK("http://www.proteinatlas.org/Q9UKJ8","HPA059016")</f>
        <v>HPA059016</v>
      </c>
      <c r="AM2724">
        <v>8747</v>
      </c>
    </row>
    <row r="2725" spans="1:39" x14ac:dyDescent="0.35">
      <c r="A2725" t="s">
        <v>26870</v>
      </c>
      <c r="B2725" t="str">
        <f>HYPERLINK("http://www.uniprot.org/uniprot/Q9UKL2","Q9UKL2")</f>
        <v>Q9UKL2</v>
      </c>
      <c r="C2725" t="s">
        <v>26871</v>
      </c>
      <c r="D2725" t="s">
        <v>26872</v>
      </c>
      <c r="E2725" t="s">
        <v>39</v>
      </c>
      <c r="F2725" t="s">
        <v>55</v>
      </c>
      <c r="H2725">
        <v>312</v>
      </c>
      <c r="I2725">
        <v>7</v>
      </c>
      <c r="J2725">
        <v>0</v>
      </c>
      <c r="K2725" t="s">
        <v>26873</v>
      </c>
      <c r="L2725" t="s">
        <v>57</v>
      </c>
      <c r="M2725" t="s">
        <v>39</v>
      </c>
      <c r="N2725">
        <v>0.96120000000000005</v>
      </c>
      <c r="O2725" s="1">
        <v>1</v>
      </c>
      <c r="P2725" t="s">
        <v>26874</v>
      </c>
      <c r="Q2725" t="s">
        <v>26875</v>
      </c>
      <c r="S2725" t="s">
        <v>166</v>
      </c>
      <c r="T2725" t="s">
        <v>167</v>
      </c>
      <c r="U2725">
        <v>5</v>
      </c>
      <c r="V2725">
        <v>1</v>
      </c>
      <c r="W2725">
        <v>5</v>
      </c>
      <c r="AE2725" t="s">
        <v>74</v>
      </c>
      <c r="AF2725" t="s">
        <v>549</v>
      </c>
      <c r="AG2725" t="s">
        <v>26876</v>
      </c>
      <c r="AH2725" t="str">
        <f>HYPERLINK("http://compartments.jensenlab.org/Entity?figures=subcell_cell_%&amp;knowledge=10&amp;textmining=10&amp;experiments=10&amp;predictions=10&amp;type1=9606&amp;type2=-22&amp;id1=ENSP00000333684","link")</f>
        <v>link</v>
      </c>
      <c r="AI2725" t="s">
        <v>1364</v>
      </c>
      <c r="AJ2725" t="s">
        <v>1365</v>
      </c>
      <c r="AK2725" t="str">
        <f>HYPERLINK("http://www.proteinatlas.org/Q9UKL2","no")</f>
        <v>no</v>
      </c>
      <c r="AM2725">
        <v>23538</v>
      </c>
    </row>
    <row r="2726" spans="1:39" x14ac:dyDescent="0.35">
      <c r="A2726" t="s">
        <v>26877</v>
      </c>
      <c r="B2726" t="str">
        <f>HYPERLINK("http://www.uniprot.org/uniprot/Q9UKL4","Q9UKL4")</f>
        <v>Q9UKL4</v>
      </c>
      <c r="C2726" t="s">
        <v>26878</v>
      </c>
      <c r="D2726" t="s">
        <v>26879</v>
      </c>
      <c r="E2726" t="s">
        <v>39</v>
      </c>
      <c r="F2726" t="s">
        <v>55</v>
      </c>
      <c r="H2726">
        <v>321</v>
      </c>
      <c r="I2726">
        <v>4</v>
      </c>
      <c r="J2726">
        <v>0</v>
      </c>
      <c r="K2726" t="s">
        <v>26880</v>
      </c>
      <c r="L2726" t="s">
        <v>57</v>
      </c>
      <c r="M2726" t="s">
        <v>39</v>
      </c>
      <c r="N2726">
        <v>0.5907</v>
      </c>
      <c r="O2726" s="1">
        <v>2</v>
      </c>
      <c r="P2726" t="s">
        <v>26881</v>
      </c>
      <c r="Q2726" t="s">
        <v>26882</v>
      </c>
      <c r="S2726" t="s">
        <v>91</v>
      </c>
      <c r="T2726" t="s">
        <v>2797</v>
      </c>
      <c r="U2726">
        <v>159</v>
      </c>
      <c r="V2726">
        <v>0</v>
      </c>
      <c r="AE2726" t="s">
        <v>2798</v>
      </c>
      <c r="AF2726" t="s">
        <v>3242</v>
      </c>
      <c r="AG2726" t="s">
        <v>26883</v>
      </c>
      <c r="AH2726" t="str">
        <f>HYPERLINK("http://compartments.jensenlab.org/Entity?figures=subcell_cell_%&amp;knowledge=10&amp;textmining=10&amp;experiments=10&amp;predictions=10&amp;type1=9606&amp;type2=-22&amp;id1=ENSP00000290374","link")</f>
        <v>link</v>
      </c>
      <c r="AI2726" t="s">
        <v>65</v>
      </c>
      <c r="AJ2726" t="s">
        <v>51</v>
      </c>
      <c r="AK2726" t="str">
        <f>HYPERLINK("http://www.proteinatlas.org/Q9UKL4","HPA014355")</f>
        <v>HPA014355</v>
      </c>
      <c r="AM2726">
        <v>57369</v>
      </c>
    </row>
    <row r="2727" spans="1:39" x14ac:dyDescent="0.35">
      <c r="A2727" t="s">
        <v>26884</v>
      </c>
      <c r="B2727" t="str">
        <f>HYPERLINK("http://www.uniprot.org/uniprot/Q9UKN1","Q9UKN1")</f>
        <v>Q9UKN1</v>
      </c>
      <c r="C2727" t="s">
        <v>26885</v>
      </c>
      <c r="D2727" t="s">
        <v>26886</v>
      </c>
      <c r="E2727" t="s">
        <v>39</v>
      </c>
      <c r="F2727" t="s">
        <v>40</v>
      </c>
      <c r="H2727">
        <v>5478</v>
      </c>
      <c r="I2727">
        <v>1</v>
      </c>
      <c r="J2727">
        <v>1</v>
      </c>
      <c r="K2727" t="s">
        <v>26887</v>
      </c>
      <c r="L2727" t="s">
        <v>57</v>
      </c>
      <c r="N2727">
        <v>0.63470000000000004</v>
      </c>
      <c r="O2727" s="1">
        <v>2</v>
      </c>
      <c r="P2727" t="s">
        <v>26888</v>
      </c>
      <c r="Q2727" t="s">
        <v>26889</v>
      </c>
      <c r="S2727" t="s">
        <v>60</v>
      </c>
      <c r="T2727" t="s">
        <v>60</v>
      </c>
      <c r="U2727" t="s">
        <v>26890</v>
      </c>
      <c r="V2727">
        <v>14</v>
      </c>
      <c r="W2727" t="s">
        <v>26890</v>
      </c>
      <c r="X2727" t="s">
        <v>26891</v>
      </c>
      <c r="AE2727" t="s">
        <v>144</v>
      </c>
      <c r="AF2727" t="s">
        <v>2585</v>
      </c>
      <c r="AG2727" t="s">
        <v>26892</v>
      </c>
      <c r="AH2727" t="str">
        <f>HYPERLINK("http://compartments.jensenlab.org/Entity?figures=subcell_cell_%&amp;knowledge=10&amp;textmining=10&amp;experiments=10&amp;predictions=10&amp;type1=9606&amp;type2=-22&amp;id1=ENSP00000368755","link")</f>
        <v>link</v>
      </c>
      <c r="AI2727" t="s">
        <v>65</v>
      </c>
      <c r="AJ2727" t="s">
        <v>3228</v>
      </c>
      <c r="AK2727" t="str">
        <f>HYPERLINK("http://www.proteinatlas.org/Q9UKN1","HPA023835;HPA027769")</f>
        <v>HPA023835;HPA027769</v>
      </c>
      <c r="AM2727">
        <v>10071</v>
      </c>
    </row>
    <row r="2728" spans="1:39" x14ac:dyDescent="0.35">
      <c r="A2728" t="s">
        <v>26893</v>
      </c>
      <c r="B2728" t="str">
        <f>HYPERLINK("http://www.uniprot.org/uniprot/Q9UKP6","Q9UKP6")</f>
        <v>Q9UKP6</v>
      </c>
      <c r="C2728" t="s">
        <v>26894</v>
      </c>
      <c r="D2728" t="s">
        <v>26895</v>
      </c>
      <c r="E2728" t="s">
        <v>39</v>
      </c>
      <c r="F2728" t="s">
        <v>40</v>
      </c>
      <c r="H2728">
        <v>389</v>
      </c>
      <c r="I2728">
        <v>7</v>
      </c>
      <c r="J2728">
        <v>0</v>
      </c>
      <c r="K2728" t="s">
        <v>26896</v>
      </c>
      <c r="L2728" t="s">
        <v>57</v>
      </c>
      <c r="N2728">
        <v>0.85629999999999995</v>
      </c>
      <c r="O2728" s="1">
        <v>1</v>
      </c>
      <c r="P2728" t="s">
        <v>26897</v>
      </c>
      <c r="Q2728" t="s">
        <v>26898</v>
      </c>
      <c r="S2728" t="s">
        <v>166</v>
      </c>
      <c r="T2728" t="s">
        <v>838</v>
      </c>
      <c r="U2728" t="s">
        <v>26899</v>
      </c>
      <c r="V2728">
        <v>2</v>
      </c>
      <c r="AE2728" t="s">
        <v>74</v>
      </c>
      <c r="AF2728" t="s">
        <v>967</v>
      </c>
      <c r="AG2728" t="s">
        <v>26900</v>
      </c>
      <c r="AH2728" t="str">
        <f>HYPERLINK("http://compartments.jensenlab.org/Entity?figures=subcell_cell_%&amp;knowledge=10&amp;textmining=10&amp;experiments=10&amp;predictions=10&amp;type1=9606&amp;type2=-22&amp;id1=ENSP00000323516","link")</f>
        <v>link</v>
      </c>
      <c r="AI2728" t="s">
        <v>65</v>
      </c>
      <c r="AJ2728" t="s">
        <v>1791</v>
      </c>
      <c r="AK2728" t="str">
        <f>HYPERLINK("http://www.proteinatlas.org/Q9UKP6","no")</f>
        <v>no</v>
      </c>
      <c r="AM2728">
        <v>2837</v>
      </c>
    </row>
    <row r="2729" spans="1:39" x14ac:dyDescent="0.35">
      <c r="A2729" t="s">
        <v>26901</v>
      </c>
      <c r="B2729" t="str">
        <f>HYPERLINK("http://www.uniprot.org/uniprot/Q9UKQ2","Q9UKQ2")</f>
        <v>Q9UKQ2</v>
      </c>
      <c r="C2729" t="s">
        <v>26902</v>
      </c>
      <c r="D2729" t="s">
        <v>26903</v>
      </c>
      <c r="E2729" t="s">
        <v>39</v>
      </c>
      <c r="F2729" t="s">
        <v>55</v>
      </c>
      <c r="H2729">
        <v>775</v>
      </c>
      <c r="I2729">
        <v>1</v>
      </c>
      <c r="J2729">
        <v>1</v>
      </c>
      <c r="K2729" t="s">
        <v>26904</v>
      </c>
      <c r="L2729" t="s">
        <v>57</v>
      </c>
      <c r="M2729" t="s">
        <v>39</v>
      </c>
      <c r="N2729">
        <v>0.97270000000000001</v>
      </c>
      <c r="O2729" s="1">
        <v>1</v>
      </c>
      <c r="P2729" t="s">
        <v>26905</v>
      </c>
      <c r="Q2729" t="s">
        <v>26906</v>
      </c>
      <c r="S2729" t="s">
        <v>947</v>
      </c>
      <c r="T2729" t="s">
        <v>1208</v>
      </c>
      <c r="U2729" t="s">
        <v>26907</v>
      </c>
      <c r="V2729">
        <v>6</v>
      </c>
      <c r="W2729" t="s">
        <v>26907</v>
      </c>
      <c r="AE2729" t="s">
        <v>1250</v>
      </c>
      <c r="AF2729" t="s">
        <v>26908</v>
      </c>
      <c r="AG2729" t="s">
        <v>26909</v>
      </c>
      <c r="AH2729" t="str">
        <f>HYPERLINK("http://compartments.jensenlab.org/Entity?figures=subcell_cell_%&amp;knowledge=10&amp;textmining=10&amp;experiments=10&amp;predictions=10&amp;type1=9606&amp;type2=-22&amp;id1=ENSP00000265769","link")</f>
        <v>link</v>
      </c>
      <c r="AI2729" t="s">
        <v>1058</v>
      </c>
      <c r="AJ2729" t="s">
        <v>902</v>
      </c>
      <c r="AK2729" t="str">
        <f>HYPERLINK("http://www.proteinatlas.org/Q9UKQ2","no")</f>
        <v>no</v>
      </c>
      <c r="AM2729">
        <v>10863</v>
      </c>
    </row>
    <row r="2730" spans="1:39" x14ac:dyDescent="0.35">
      <c r="A2730" t="s">
        <v>26910</v>
      </c>
      <c r="B2730" t="str">
        <f>HYPERLINK("http://www.uniprot.org/uniprot/Q9UKU6","Q9UKU6")</f>
        <v>Q9UKU6</v>
      </c>
      <c r="C2730" t="s">
        <v>26911</v>
      </c>
      <c r="D2730" t="s">
        <v>26912</v>
      </c>
      <c r="E2730" t="s">
        <v>39</v>
      </c>
      <c r="F2730" t="s">
        <v>40</v>
      </c>
      <c r="H2730">
        <v>1024</v>
      </c>
      <c r="I2730">
        <v>1</v>
      </c>
      <c r="J2730">
        <v>0</v>
      </c>
      <c r="K2730" t="s">
        <v>26913</v>
      </c>
      <c r="L2730" t="s">
        <v>101</v>
      </c>
      <c r="N2730">
        <v>0.6946</v>
      </c>
      <c r="O2730" s="1">
        <v>2</v>
      </c>
      <c r="P2730" t="s">
        <v>26914</v>
      </c>
      <c r="Q2730" t="s">
        <v>26915</v>
      </c>
      <c r="S2730" t="s">
        <v>947</v>
      </c>
      <c r="T2730" t="s">
        <v>26916</v>
      </c>
      <c r="U2730" t="s">
        <v>26917</v>
      </c>
      <c r="V2730">
        <v>12</v>
      </c>
      <c r="W2730" t="s">
        <v>26918</v>
      </c>
      <c r="Y2730">
        <v>133</v>
      </c>
      <c r="Z2730" t="s">
        <v>123</v>
      </c>
      <c r="AA2730">
        <v>2</v>
      </c>
      <c r="AB2730" t="s">
        <v>26919</v>
      </c>
      <c r="AC2730" t="s">
        <v>26920</v>
      </c>
      <c r="AD2730" t="s">
        <v>26921</v>
      </c>
      <c r="AE2730" t="s">
        <v>359</v>
      </c>
      <c r="AF2730" t="s">
        <v>26922</v>
      </c>
      <c r="AG2730" t="s">
        <v>26923</v>
      </c>
      <c r="AH2730" t="str">
        <f>HYPERLINK("http://compartments.jensenlab.org/Entity?figures=subcell_cell_%&amp;knowledge=10&amp;textmining=10&amp;experiments=10&amp;predictions=10&amp;type1=9606&amp;type2=-22&amp;id1=ENSP00000261180","link")</f>
        <v>link</v>
      </c>
      <c r="AJ2730" t="s">
        <v>51</v>
      </c>
      <c r="AK2730" t="str">
        <f>HYPERLINK("http://www.proteinatlas.org/Q9UKU6","no")</f>
        <v>no</v>
      </c>
      <c r="AM2730">
        <v>29953</v>
      </c>
    </row>
    <row r="2731" spans="1:39" x14ac:dyDescent="0.35">
      <c r="A2731" t="s">
        <v>26924</v>
      </c>
      <c r="B2731" t="str">
        <f>HYPERLINK("http://www.uniprot.org/uniprot/Q9UKX5","Q9UKX5")</f>
        <v>Q9UKX5</v>
      </c>
      <c r="C2731" t="s">
        <v>26925</v>
      </c>
      <c r="D2731" t="s">
        <v>26926</v>
      </c>
      <c r="E2731" t="s">
        <v>39</v>
      </c>
      <c r="F2731" t="s">
        <v>40</v>
      </c>
      <c r="H2731">
        <v>1188</v>
      </c>
      <c r="I2731">
        <v>1</v>
      </c>
      <c r="J2731">
        <v>1</v>
      </c>
      <c r="K2731" t="s">
        <v>26927</v>
      </c>
      <c r="L2731" t="s">
        <v>101</v>
      </c>
      <c r="N2731">
        <v>0.76849999999999996</v>
      </c>
      <c r="O2731" s="1">
        <v>1</v>
      </c>
      <c r="P2731" t="s">
        <v>26928</v>
      </c>
      <c r="Q2731" t="s">
        <v>26929</v>
      </c>
      <c r="S2731" t="s">
        <v>166</v>
      </c>
      <c r="T2731" t="s">
        <v>2763</v>
      </c>
      <c r="U2731" t="s">
        <v>26930</v>
      </c>
      <c r="V2731">
        <v>16</v>
      </c>
      <c r="Z2731" t="s">
        <v>107</v>
      </c>
      <c r="AA2731">
        <v>10</v>
      </c>
      <c r="AB2731" t="s">
        <v>26931</v>
      </c>
      <c r="AC2731" t="s">
        <v>26932</v>
      </c>
      <c r="AD2731" t="s">
        <v>26933</v>
      </c>
      <c r="AE2731" t="s">
        <v>144</v>
      </c>
      <c r="AF2731" t="s">
        <v>2767</v>
      </c>
      <c r="AG2731" t="s">
        <v>26934</v>
      </c>
      <c r="AH2731" t="str">
        <f>HYPERLINK("http://compartments.jensenlab.org/Entity?figures=subcell_cell_%&amp;knowledge=10&amp;textmining=10&amp;experiments=10&amp;predictions=10&amp;type1=9606&amp;type2=-22&amp;id1=ENSP00000327290","link")</f>
        <v>link</v>
      </c>
      <c r="AJ2731" t="s">
        <v>51</v>
      </c>
      <c r="AK2731" t="str">
        <f>HYPERLINK("http://www.proteinatlas.org/Q9UKX5","HPA051813")</f>
        <v>HPA051813</v>
      </c>
      <c r="AM2731">
        <v>22801</v>
      </c>
    </row>
    <row r="2732" spans="1:39" x14ac:dyDescent="0.35">
      <c r="A2732" t="s">
        <v>26935</v>
      </c>
      <c r="B2732" t="str">
        <f>HYPERLINK("http://www.uniprot.org/uniprot/Q9UKY0","Q9UKY0")</f>
        <v>Q9UKY0</v>
      </c>
      <c r="C2732" t="s">
        <v>26936</v>
      </c>
      <c r="D2732" t="s">
        <v>26937</v>
      </c>
      <c r="E2732" t="s">
        <v>39</v>
      </c>
      <c r="F2732" t="s">
        <v>239</v>
      </c>
      <c r="H2732">
        <v>176</v>
      </c>
      <c r="I2732">
        <v>0</v>
      </c>
      <c r="J2732">
        <v>1</v>
      </c>
      <c r="K2732" t="s">
        <v>26938</v>
      </c>
      <c r="L2732" t="s">
        <v>57</v>
      </c>
      <c r="N2732">
        <v>0.71860000000000002</v>
      </c>
      <c r="O2732" s="1" t="s">
        <v>241</v>
      </c>
      <c r="P2732" t="s">
        <v>26939</v>
      </c>
      <c r="Q2732" t="s">
        <v>26940</v>
      </c>
      <c r="S2732" t="s">
        <v>60</v>
      </c>
      <c r="T2732" t="s">
        <v>60</v>
      </c>
      <c r="U2732" t="s">
        <v>26941</v>
      </c>
      <c r="V2732">
        <v>2</v>
      </c>
      <c r="W2732" t="s">
        <v>26941</v>
      </c>
      <c r="AE2732" t="s">
        <v>243</v>
      </c>
      <c r="AF2732" t="s">
        <v>26942</v>
      </c>
      <c r="AG2732" t="s">
        <v>26943</v>
      </c>
      <c r="AH2732" t="str">
        <f>HYPERLINK("http://compartments.jensenlab.org/Entity?figures=subcell_cell_%&amp;knowledge=10&amp;textmining=10&amp;experiments=10&amp;predictions=10&amp;type1=9606&amp;type2=-22&amp;id1=ENSP00000306900","link")</f>
        <v>link</v>
      </c>
      <c r="AI2732" t="s">
        <v>65</v>
      </c>
      <c r="AJ2732" t="s">
        <v>51</v>
      </c>
      <c r="AK2732" t="str">
        <f>HYPERLINK("http://www.proteinatlas.org/Q9UKY0","HPA043373")</f>
        <v>HPA043373</v>
      </c>
      <c r="AM2732">
        <v>23627</v>
      </c>
    </row>
    <row r="2733" spans="1:39" x14ac:dyDescent="0.35">
      <c r="A2733" t="s">
        <v>26944</v>
      </c>
      <c r="B2733" t="str">
        <f>HYPERLINK("http://www.uniprot.org/uniprot/Q9UKZ4","Q9UKZ4")</f>
        <v>Q9UKZ4</v>
      </c>
      <c r="C2733" t="s">
        <v>26945</v>
      </c>
      <c r="D2733" t="s">
        <v>26946</v>
      </c>
      <c r="E2733" t="s">
        <v>39</v>
      </c>
      <c r="F2733" t="s">
        <v>55</v>
      </c>
      <c r="H2733">
        <v>2725</v>
      </c>
      <c r="I2733">
        <v>1</v>
      </c>
      <c r="J2733">
        <v>0</v>
      </c>
      <c r="K2733" t="s">
        <v>26947</v>
      </c>
      <c r="L2733" t="s">
        <v>101</v>
      </c>
      <c r="M2733" t="s">
        <v>39</v>
      </c>
      <c r="N2733">
        <v>0.72589999999999999</v>
      </c>
      <c r="O2733" s="1">
        <v>2</v>
      </c>
      <c r="P2733" t="s">
        <v>26948</v>
      </c>
      <c r="Q2733" t="s">
        <v>26949</v>
      </c>
      <c r="S2733" t="s">
        <v>91</v>
      </c>
      <c r="T2733" t="s">
        <v>15319</v>
      </c>
      <c r="U2733" t="s">
        <v>26950</v>
      </c>
      <c r="V2733">
        <v>14</v>
      </c>
      <c r="W2733" t="s">
        <v>26951</v>
      </c>
      <c r="X2733" t="s">
        <v>26952</v>
      </c>
      <c r="Y2733">
        <v>952</v>
      </c>
      <c r="Z2733" t="s">
        <v>107</v>
      </c>
      <c r="AA2733">
        <v>1</v>
      </c>
      <c r="AB2733" t="s">
        <v>26953</v>
      </c>
      <c r="AC2733">
        <v>2145</v>
      </c>
      <c r="AD2733" t="s">
        <v>26954</v>
      </c>
      <c r="AE2733" t="s">
        <v>26955</v>
      </c>
      <c r="AF2733" t="s">
        <v>26956</v>
      </c>
      <c r="AG2733" t="s">
        <v>26957</v>
      </c>
      <c r="AH2733" t="str">
        <f>HYPERLINK("http://compartments.jensenlab.org/Entity?figures=subcell_cell_%&amp;knowledge=10&amp;textmining=10&amp;experiments=10&amp;predictions=10&amp;type1=9606&amp;type2=-22&amp;id1=ENSP00000360171","link")</f>
        <v>link</v>
      </c>
      <c r="AJ2733" t="s">
        <v>902</v>
      </c>
      <c r="AK2733" t="str">
        <f>HYPERLINK("http://www.proteinatlas.org/Q9UKZ4","HPA002848")</f>
        <v>HPA002848</v>
      </c>
      <c r="AM2733">
        <v>10178</v>
      </c>
    </row>
    <row r="2734" spans="1:39" x14ac:dyDescent="0.35">
      <c r="A2734" t="s">
        <v>26958</v>
      </c>
      <c r="B2734" t="str">
        <f>HYPERLINK("http://www.uniprot.org/uniprot/Q9UL52","Q9UL52")</f>
        <v>Q9UL52</v>
      </c>
      <c r="C2734" t="s">
        <v>26959</v>
      </c>
      <c r="D2734" t="s">
        <v>26960</v>
      </c>
      <c r="E2734" t="s">
        <v>39</v>
      </c>
      <c r="F2734" t="s">
        <v>40</v>
      </c>
      <c r="H2734">
        <v>423</v>
      </c>
      <c r="I2734">
        <v>1</v>
      </c>
      <c r="J2734">
        <v>0</v>
      </c>
      <c r="K2734" t="s">
        <v>26961</v>
      </c>
      <c r="L2734" t="s">
        <v>57</v>
      </c>
      <c r="N2734">
        <v>0.62870000000000004</v>
      </c>
      <c r="O2734" s="1">
        <v>2</v>
      </c>
      <c r="P2734" t="s">
        <v>26962</v>
      </c>
      <c r="Q2734" t="s">
        <v>26963</v>
      </c>
      <c r="S2734" t="s">
        <v>947</v>
      </c>
      <c r="T2734" t="s">
        <v>26964</v>
      </c>
      <c r="U2734" t="s">
        <v>26965</v>
      </c>
      <c r="V2734">
        <v>3</v>
      </c>
      <c r="W2734" t="s">
        <v>26965</v>
      </c>
      <c r="Y2734">
        <v>16</v>
      </c>
      <c r="AE2734" t="s">
        <v>2036</v>
      </c>
      <c r="AF2734" t="s">
        <v>26966</v>
      </c>
      <c r="AG2734" t="s">
        <v>26967</v>
      </c>
      <c r="AH2734" t="str">
        <f>HYPERLINK("http://compartments.jensenlab.org/Entity?figures=subcell_cell_%&amp;knowledge=10&amp;textmining=10&amp;experiments=10&amp;predictions=10&amp;type1=9606&amp;type2=-22&amp;id1=ENSP00000307519","link")</f>
        <v>link</v>
      </c>
      <c r="AI2734" t="s">
        <v>65</v>
      </c>
      <c r="AJ2734" t="s">
        <v>902</v>
      </c>
      <c r="AK2734" t="str">
        <f>HYPERLINK("http://www.proteinatlas.org/Q9UL52","HPA051062")</f>
        <v>HPA051062</v>
      </c>
      <c r="AM2734">
        <v>28983</v>
      </c>
    </row>
    <row r="2735" spans="1:39" x14ac:dyDescent="0.35">
      <c r="A2735" t="s">
        <v>26968</v>
      </c>
      <c r="B2735" t="str">
        <f>HYPERLINK("http://www.uniprot.org/uniprot/Q9ULB1","Q9ULB1")</f>
        <v>Q9ULB1</v>
      </c>
      <c r="C2735" t="s">
        <v>26969</v>
      </c>
      <c r="D2735" t="s">
        <v>11105</v>
      </c>
      <c r="E2735" t="s">
        <v>39</v>
      </c>
      <c r="F2735" t="s">
        <v>40</v>
      </c>
      <c r="H2735">
        <v>1477</v>
      </c>
      <c r="I2735">
        <v>1</v>
      </c>
      <c r="J2735">
        <v>1</v>
      </c>
      <c r="K2735" t="s">
        <v>26970</v>
      </c>
      <c r="L2735" t="s">
        <v>57</v>
      </c>
      <c r="N2735">
        <v>0.81640000000000001</v>
      </c>
      <c r="O2735" s="1">
        <v>1</v>
      </c>
      <c r="P2735" t="s">
        <v>11107</v>
      </c>
      <c r="Q2735" t="s">
        <v>26971</v>
      </c>
      <c r="S2735" t="s">
        <v>166</v>
      </c>
      <c r="T2735" t="s">
        <v>11109</v>
      </c>
      <c r="U2735" t="s">
        <v>26972</v>
      </c>
      <c r="V2735">
        <v>4</v>
      </c>
      <c r="W2735" t="s">
        <v>26973</v>
      </c>
      <c r="AE2735" t="s">
        <v>11111</v>
      </c>
      <c r="AF2735" t="s">
        <v>26974</v>
      </c>
      <c r="AG2735" t="s">
        <v>26975</v>
      </c>
      <c r="AH2735" t="str">
        <f>HYPERLINK("http://compartments.jensenlab.org/Entity?figures=subcell_cell_%&amp;knowledge=10&amp;textmining=10&amp;experiments=10&amp;predictions=10&amp;type1=9606&amp;type2=-22&amp;id1=ENSP00000384311","link")</f>
        <v>link</v>
      </c>
      <c r="AK2735" t="str">
        <f>HYPERLINK("http://www.proteinatlas.org/Q9ULB1","no")</f>
        <v>no</v>
      </c>
      <c r="AM2735">
        <v>9378</v>
      </c>
    </row>
    <row r="2736" spans="1:39" x14ac:dyDescent="0.35">
      <c r="A2736" t="s">
        <v>26976</v>
      </c>
      <c r="B2736" t="str">
        <f>HYPERLINK("http://www.uniprot.org/uniprot/Q9ULB4","Q9ULB4")</f>
        <v>Q9ULB4</v>
      </c>
      <c r="C2736" t="s">
        <v>26977</v>
      </c>
      <c r="D2736" t="s">
        <v>26978</v>
      </c>
      <c r="E2736" t="s">
        <v>39</v>
      </c>
      <c r="F2736" t="s">
        <v>55</v>
      </c>
      <c r="H2736">
        <v>789</v>
      </c>
      <c r="I2736">
        <v>1</v>
      </c>
      <c r="J2736">
        <v>1</v>
      </c>
      <c r="K2736" t="s">
        <v>26979</v>
      </c>
      <c r="L2736" t="s">
        <v>101</v>
      </c>
      <c r="N2736">
        <v>0.8982</v>
      </c>
      <c r="O2736" s="1">
        <v>1</v>
      </c>
      <c r="P2736" t="s">
        <v>26980</v>
      </c>
      <c r="Q2736" t="s">
        <v>26981</v>
      </c>
      <c r="S2736" t="s">
        <v>91</v>
      </c>
      <c r="T2736" t="s">
        <v>2622</v>
      </c>
      <c r="U2736" t="s">
        <v>26982</v>
      </c>
      <c r="V2736">
        <v>4</v>
      </c>
      <c r="Z2736" t="s">
        <v>107</v>
      </c>
      <c r="AA2736">
        <v>1</v>
      </c>
      <c r="AB2736" t="s">
        <v>26983</v>
      </c>
      <c r="AC2736">
        <v>455</v>
      </c>
      <c r="AD2736" t="s">
        <v>26984</v>
      </c>
      <c r="AE2736" t="s">
        <v>332</v>
      </c>
      <c r="AF2736" t="s">
        <v>24744</v>
      </c>
      <c r="AG2736" t="s">
        <v>26985</v>
      </c>
      <c r="AH2736" t="str">
        <f>HYPERLINK("http://compartments.jensenlab.org/Entity?figures=subcell_cell_%&amp;knowledge=10&amp;textmining=10&amp;experiments=10&amp;predictions=10&amp;type1=9606&amp;type2=-22&amp;id1=ENSP00000231021","link")</f>
        <v>link</v>
      </c>
      <c r="AI2736" t="s">
        <v>65</v>
      </c>
      <c r="AJ2736" t="s">
        <v>51</v>
      </c>
      <c r="AK2736" t="str">
        <f>HYPERLINK("http://www.proteinatlas.org/Q9ULB4","HPA007167")</f>
        <v>HPA007167</v>
      </c>
      <c r="AM2736">
        <v>1007</v>
      </c>
    </row>
    <row r="2737" spans="1:39" x14ac:dyDescent="0.35">
      <c r="A2737" t="s">
        <v>26986</v>
      </c>
      <c r="B2737" t="str">
        <f>HYPERLINK("http://www.uniprot.org/uniprot/Q9ULB5","Q9ULB5")</f>
        <v>Q9ULB5</v>
      </c>
      <c r="C2737" t="s">
        <v>26987</v>
      </c>
      <c r="D2737" t="s">
        <v>26988</v>
      </c>
      <c r="E2737" t="s">
        <v>39</v>
      </c>
      <c r="F2737" t="s">
        <v>55</v>
      </c>
      <c r="H2737">
        <v>785</v>
      </c>
      <c r="I2737">
        <v>1</v>
      </c>
      <c r="J2737">
        <v>1</v>
      </c>
      <c r="K2737" t="s">
        <v>26989</v>
      </c>
      <c r="L2737" t="s">
        <v>57</v>
      </c>
      <c r="N2737">
        <v>0.86029999999999995</v>
      </c>
      <c r="O2737" s="1">
        <v>1</v>
      </c>
      <c r="P2737" t="s">
        <v>26990</v>
      </c>
      <c r="Q2737" t="s">
        <v>26991</v>
      </c>
      <c r="S2737" t="s">
        <v>91</v>
      </c>
      <c r="T2737" t="s">
        <v>2622</v>
      </c>
      <c r="U2737" t="s">
        <v>26992</v>
      </c>
      <c r="V2737">
        <v>2</v>
      </c>
      <c r="AE2737" t="s">
        <v>332</v>
      </c>
      <c r="AF2737" t="s">
        <v>24744</v>
      </c>
      <c r="AG2737" t="s">
        <v>26993</v>
      </c>
      <c r="AH2737" t="str">
        <f>HYPERLINK("http://compartments.jensenlab.org/Entity?figures=subcell_cell_%&amp;knowledge=10&amp;textmining=10&amp;experiments=10&amp;predictions=10&amp;type1=9606&amp;type2=-22&amp;id1=ENSP00000319166","link")</f>
        <v>link</v>
      </c>
      <c r="AI2737" t="s">
        <v>65</v>
      </c>
      <c r="AJ2737" t="s">
        <v>51</v>
      </c>
      <c r="AK2737" t="str">
        <f>HYPERLINK("http://www.proteinatlas.org/Q9ULB5","HPA010808")</f>
        <v>HPA010808</v>
      </c>
      <c r="AM2737">
        <v>1005</v>
      </c>
    </row>
    <row r="2738" spans="1:39" x14ac:dyDescent="0.35">
      <c r="A2738" t="s">
        <v>26994</v>
      </c>
      <c r="B2738" t="str">
        <f>HYPERLINK("http://www.uniprot.org/uniprot/Q9ULC0","Q9ULC0")</f>
        <v>Q9ULC0</v>
      </c>
      <c r="C2738" t="s">
        <v>26995</v>
      </c>
      <c r="D2738" t="s">
        <v>26996</v>
      </c>
      <c r="E2738" t="s">
        <v>39</v>
      </c>
      <c r="F2738" t="s">
        <v>55</v>
      </c>
      <c r="H2738">
        <v>261</v>
      </c>
      <c r="I2738">
        <v>1</v>
      </c>
      <c r="J2738">
        <v>1</v>
      </c>
      <c r="K2738" t="s">
        <v>26997</v>
      </c>
      <c r="L2738" t="s">
        <v>57</v>
      </c>
      <c r="M2738" t="s">
        <v>39</v>
      </c>
      <c r="N2738">
        <v>0.8901</v>
      </c>
      <c r="O2738" s="1">
        <v>1</v>
      </c>
      <c r="P2738" t="s">
        <v>26998</v>
      </c>
      <c r="Q2738" t="s">
        <v>26999</v>
      </c>
      <c r="S2738" t="s">
        <v>60</v>
      </c>
      <c r="T2738" t="s">
        <v>60</v>
      </c>
      <c r="U2738" t="s">
        <v>27000</v>
      </c>
      <c r="V2738">
        <v>6</v>
      </c>
      <c r="W2738" t="s">
        <v>27000</v>
      </c>
      <c r="X2738" t="s">
        <v>27001</v>
      </c>
      <c r="AE2738" t="s">
        <v>27002</v>
      </c>
      <c r="AF2738" t="s">
        <v>27003</v>
      </c>
      <c r="AG2738" t="s">
        <v>27004</v>
      </c>
      <c r="AH2738" t="str">
        <f>HYPERLINK("http://compartments.jensenlab.org/Entity?figures=subcell_cell_%&amp;knowledge=10&amp;textmining=10&amp;experiments=10&amp;predictions=10&amp;type1=9606&amp;type2=-22&amp;id1=ENSP00000296420","link")</f>
        <v>link</v>
      </c>
      <c r="AI2738" t="s">
        <v>65</v>
      </c>
      <c r="AJ2738" t="s">
        <v>902</v>
      </c>
      <c r="AK2738" t="str">
        <f>HYPERLINK("http://www.proteinatlas.org/Q9ULC0","HPA005928")</f>
        <v>HPA005928</v>
      </c>
      <c r="AM2738">
        <v>51705</v>
      </c>
    </row>
    <row r="2739" spans="1:39" x14ac:dyDescent="0.35">
      <c r="A2739" t="s">
        <v>27005</v>
      </c>
      <c r="B2739" t="str">
        <f>HYPERLINK("http://www.uniprot.org/uniprot/Q9ULF5","Q9ULF5")</f>
        <v>Q9ULF5</v>
      </c>
      <c r="C2739" t="s">
        <v>27006</v>
      </c>
      <c r="D2739" t="s">
        <v>27007</v>
      </c>
      <c r="E2739" t="s">
        <v>39</v>
      </c>
      <c r="F2739" t="s">
        <v>40</v>
      </c>
      <c r="H2739">
        <v>831</v>
      </c>
      <c r="I2739">
        <v>7</v>
      </c>
      <c r="J2739">
        <v>1</v>
      </c>
      <c r="K2739" t="s">
        <v>27008</v>
      </c>
      <c r="L2739" t="s">
        <v>118</v>
      </c>
      <c r="N2739">
        <v>0.84030000000000005</v>
      </c>
      <c r="O2739" s="1">
        <v>1</v>
      </c>
      <c r="P2739" t="s">
        <v>27009</v>
      </c>
      <c r="Q2739" t="s">
        <v>27010</v>
      </c>
      <c r="S2739" t="s">
        <v>45</v>
      </c>
      <c r="T2739" t="s">
        <v>12712</v>
      </c>
      <c r="U2739" t="s">
        <v>27011</v>
      </c>
      <c r="V2739">
        <v>5</v>
      </c>
      <c r="Z2739" t="s">
        <v>107</v>
      </c>
      <c r="AA2739">
        <v>14</v>
      </c>
      <c r="AB2739" t="s">
        <v>27012</v>
      </c>
      <c r="AC2739" t="s">
        <v>27013</v>
      </c>
      <c r="AD2739" t="s">
        <v>27014</v>
      </c>
      <c r="AE2739" t="s">
        <v>48</v>
      </c>
      <c r="AF2739" t="s">
        <v>27015</v>
      </c>
      <c r="AG2739" t="s">
        <v>27016</v>
      </c>
      <c r="AH2739" t="str">
        <f>HYPERLINK("http://compartments.jensenlab.org/Entity?figures=subcell_cell_%&amp;knowledge=10&amp;textmining=10&amp;experiments=10&amp;predictions=10&amp;type1=9606&amp;type2=-22&amp;id1=ENSP00000352655","link")</f>
        <v>link</v>
      </c>
      <c r="AJ2739" t="s">
        <v>51</v>
      </c>
      <c r="AK2739" t="str">
        <f>HYPERLINK("http://www.proteinatlas.org/Q9ULF5","HPA036512;HPA036513")</f>
        <v>HPA036512;HPA036513</v>
      </c>
      <c r="AM2739">
        <v>57181</v>
      </c>
    </row>
    <row r="2740" spans="1:39" x14ac:dyDescent="0.35">
      <c r="A2740" t="s">
        <v>27017</v>
      </c>
      <c r="B2740" t="str">
        <f>HYPERLINK("http://www.uniprot.org/uniprot/Q9ULH4","Q9ULH4")</f>
        <v>Q9ULH4</v>
      </c>
      <c r="C2740" t="s">
        <v>27018</v>
      </c>
      <c r="D2740" t="s">
        <v>27019</v>
      </c>
      <c r="E2740" t="s">
        <v>39</v>
      </c>
      <c r="F2740" t="s">
        <v>40</v>
      </c>
      <c r="H2740">
        <v>789</v>
      </c>
      <c r="I2740">
        <v>1</v>
      </c>
      <c r="J2740">
        <v>1</v>
      </c>
      <c r="K2740" t="s">
        <v>27020</v>
      </c>
      <c r="L2740" t="s">
        <v>57</v>
      </c>
      <c r="N2740">
        <v>0.97009999999999996</v>
      </c>
      <c r="O2740" s="1">
        <v>1</v>
      </c>
      <c r="P2740" t="s">
        <v>27021</v>
      </c>
      <c r="Q2740" t="s">
        <v>27022</v>
      </c>
      <c r="S2740" t="s">
        <v>91</v>
      </c>
      <c r="T2740" t="s">
        <v>260</v>
      </c>
      <c r="U2740" t="s">
        <v>27023</v>
      </c>
      <c r="V2740">
        <v>6</v>
      </c>
      <c r="AE2740" t="s">
        <v>27024</v>
      </c>
      <c r="AF2740" t="s">
        <v>27025</v>
      </c>
      <c r="AG2740" t="s">
        <v>27026</v>
      </c>
      <c r="AH2740" t="str">
        <f>HYPERLINK("http://compartments.jensenlab.org/Entity?figures=subcell_cell_%&amp;knowledge=10&amp;textmining=10&amp;experiments=10&amp;predictions=10&amp;type1=9606&amp;type2=-22&amp;id1=ENSP00000345985","link")</f>
        <v>link</v>
      </c>
      <c r="AJ2740" t="s">
        <v>51</v>
      </c>
      <c r="AK2740" t="str">
        <f>HYPERLINK("http://www.proteinatlas.org/Q9ULH4","HPA013653")</f>
        <v>HPA013653</v>
      </c>
      <c r="AM2740">
        <v>57497</v>
      </c>
    </row>
    <row r="2741" spans="1:39" x14ac:dyDescent="0.35">
      <c r="A2741" t="s">
        <v>27027</v>
      </c>
      <c r="B2741" t="str">
        <f>HYPERLINK("http://www.uniprot.org/uniprot/Q9ULI3","Q9ULI3")</f>
        <v>Q9ULI3</v>
      </c>
      <c r="C2741" t="s">
        <v>27028</v>
      </c>
      <c r="D2741" t="s">
        <v>27029</v>
      </c>
      <c r="E2741" t="s">
        <v>39</v>
      </c>
      <c r="F2741" t="s">
        <v>55</v>
      </c>
      <c r="H2741">
        <v>1381</v>
      </c>
      <c r="I2741">
        <v>1</v>
      </c>
      <c r="J2741">
        <v>1</v>
      </c>
      <c r="K2741" t="s">
        <v>27030</v>
      </c>
      <c r="L2741" t="s">
        <v>101</v>
      </c>
      <c r="M2741" t="s">
        <v>39</v>
      </c>
      <c r="N2741">
        <v>0.98299999999999998</v>
      </c>
      <c r="O2741" s="1">
        <v>1</v>
      </c>
      <c r="P2741" t="s">
        <v>27031</v>
      </c>
      <c r="Q2741" t="s">
        <v>27032</v>
      </c>
      <c r="S2741" t="s">
        <v>60</v>
      </c>
      <c r="T2741" t="s">
        <v>60</v>
      </c>
      <c r="U2741" t="s">
        <v>27033</v>
      </c>
      <c r="V2741">
        <v>20</v>
      </c>
      <c r="W2741" t="s">
        <v>27034</v>
      </c>
      <c r="X2741" t="s">
        <v>27035</v>
      </c>
      <c r="Y2741">
        <v>109</v>
      </c>
      <c r="Z2741" t="s">
        <v>107</v>
      </c>
      <c r="AA2741">
        <v>9</v>
      </c>
      <c r="AB2741" t="s">
        <v>27036</v>
      </c>
      <c r="AC2741" t="s">
        <v>27037</v>
      </c>
      <c r="AD2741" t="s">
        <v>27038</v>
      </c>
      <c r="AE2741" t="s">
        <v>27039</v>
      </c>
      <c r="AF2741" t="s">
        <v>27040</v>
      </c>
      <c r="AG2741" t="s">
        <v>27041</v>
      </c>
      <c r="AH2741" t="str">
        <f>HYPERLINK("http://compartments.jensenlab.org/Entity?figures=subcell_cell_%&amp;knowledge=10&amp;textmining=10&amp;experiments=10&amp;predictions=10&amp;type1=9606&amp;type2=-22&amp;id1=ENSP00000311502","link")</f>
        <v>link</v>
      </c>
      <c r="AI2741" t="s">
        <v>65</v>
      </c>
      <c r="AJ2741" t="s">
        <v>902</v>
      </c>
      <c r="AK2741" t="str">
        <f>HYPERLINK("http://www.proteinatlas.org/Q9ULI3","HPA011559")</f>
        <v>HPA011559</v>
      </c>
      <c r="AM2741">
        <v>57493</v>
      </c>
    </row>
    <row r="2742" spans="1:39" x14ac:dyDescent="0.35">
      <c r="A2742" t="s">
        <v>27042</v>
      </c>
      <c r="B2742" t="str">
        <f>HYPERLINK("http://www.uniprot.org/uniprot/Q9ULK0","Q9ULK0")</f>
        <v>Q9ULK0</v>
      </c>
      <c r="C2742" t="s">
        <v>27043</v>
      </c>
      <c r="D2742" t="s">
        <v>27044</v>
      </c>
      <c r="E2742" t="s">
        <v>39</v>
      </c>
      <c r="F2742" t="s">
        <v>55</v>
      </c>
      <c r="H2742">
        <v>1009</v>
      </c>
      <c r="I2742">
        <v>3</v>
      </c>
      <c r="J2742">
        <v>1</v>
      </c>
      <c r="K2742" t="s">
        <v>27045</v>
      </c>
      <c r="L2742" t="s">
        <v>101</v>
      </c>
      <c r="M2742" t="s">
        <v>39</v>
      </c>
      <c r="N2742">
        <v>0.81820000000000004</v>
      </c>
      <c r="O2742" s="1">
        <v>1</v>
      </c>
      <c r="P2742" t="s">
        <v>27046</v>
      </c>
      <c r="Q2742" t="s">
        <v>27047</v>
      </c>
      <c r="S2742" t="s">
        <v>45</v>
      </c>
      <c r="T2742" t="s">
        <v>1554</v>
      </c>
      <c r="U2742" t="s">
        <v>27048</v>
      </c>
      <c r="V2742">
        <v>3</v>
      </c>
      <c r="Z2742" t="s">
        <v>107</v>
      </c>
      <c r="AA2742">
        <v>1</v>
      </c>
      <c r="AB2742" t="s">
        <v>27049</v>
      </c>
      <c r="AC2742">
        <v>422</v>
      </c>
      <c r="AD2742" t="s">
        <v>27050</v>
      </c>
      <c r="AE2742" t="s">
        <v>619</v>
      </c>
      <c r="AF2742" t="s">
        <v>1809</v>
      </c>
      <c r="AG2742" t="s">
        <v>27051</v>
      </c>
      <c r="AH2742" t="str">
        <f>HYPERLINK("http://compartments.jensenlab.org/Entity?figures=subcell_cell_%&amp;knowledge=10&amp;textmining=10&amp;experiments=10&amp;predictions=10&amp;type1=9606&amp;type2=-22&amp;id1=ENSP00000330148","link")</f>
        <v>link</v>
      </c>
      <c r="AK2742" t="str">
        <f>HYPERLINK("http://www.proteinatlas.org/Q9ULK0","no")</f>
        <v>no</v>
      </c>
      <c r="AM2742">
        <v>2894</v>
      </c>
    </row>
    <row r="2743" spans="1:39" x14ac:dyDescent="0.35">
      <c r="A2743" t="s">
        <v>27052</v>
      </c>
      <c r="B2743" t="str">
        <f>HYPERLINK("http://www.uniprot.org/uniprot/Q9ULK6","Q9ULK6")</f>
        <v>Q9ULK6</v>
      </c>
      <c r="C2743" t="s">
        <v>27053</v>
      </c>
      <c r="D2743" t="s">
        <v>27054</v>
      </c>
      <c r="E2743" t="s">
        <v>39</v>
      </c>
      <c r="F2743" t="s">
        <v>40</v>
      </c>
      <c r="H2743">
        <v>438</v>
      </c>
      <c r="I2743">
        <v>1</v>
      </c>
      <c r="J2743">
        <v>1</v>
      </c>
      <c r="K2743" t="s">
        <v>27055</v>
      </c>
      <c r="L2743" t="s">
        <v>57</v>
      </c>
      <c r="N2743">
        <v>0.84430000000000005</v>
      </c>
      <c r="O2743" s="1">
        <v>1</v>
      </c>
      <c r="P2743" t="s">
        <v>27056</v>
      </c>
      <c r="Q2743" t="s">
        <v>27057</v>
      </c>
      <c r="S2743" t="s">
        <v>60</v>
      </c>
      <c r="T2743" t="s">
        <v>60</v>
      </c>
      <c r="U2743" t="s">
        <v>27058</v>
      </c>
      <c r="V2743">
        <v>5</v>
      </c>
      <c r="AE2743" t="s">
        <v>144</v>
      </c>
      <c r="AF2743" t="s">
        <v>27059</v>
      </c>
      <c r="AG2743" t="s">
        <v>27060</v>
      </c>
      <c r="AH2743" t="str">
        <f>HYPERLINK("http://compartments.jensenlab.org/Entity?figures=subcell_cell_%&amp;knowledge=10&amp;textmining=10&amp;experiments=10&amp;predictions=10&amp;type1=9606&amp;type2=-22&amp;id1=ENSP00000425840","link")</f>
        <v>link</v>
      </c>
      <c r="AK2743" t="str">
        <f>HYPERLINK("http://www.proteinatlas.org/Q9ULK6","HPA037987")</f>
        <v>HPA037987</v>
      </c>
      <c r="AM2743">
        <v>57484</v>
      </c>
    </row>
    <row r="2744" spans="1:39" x14ac:dyDescent="0.35">
      <c r="A2744" t="s">
        <v>27061</v>
      </c>
      <c r="B2744" t="str">
        <f>HYPERLINK("http://www.uniprot.org/uniprot/Q9ULL4","Q9ULL4")</f>
        <v>Q9ULL4</v>
      </c>
      <c r="C2744" t="s">
        <v>27062</v>
      </c>
      <c r="D2744" t="s">
        <v>27063</v>
      </c>
      <c r="E2744" t="s">
        <v>39</v>
      </c>
      <c r="F2744" t="s">
        <v>55</v>
      </c>
      <c r="H2744">
        <v>1909</v>
      </c>
      <c r="I2744">
        <v>1</v>
      </c>
      <c r="J2744">
        <v>1</v>
      </c>
      <c r="K2744" t="s">
        <v>27064</v>
      </c>
      <c r="L2744" t="s">
        <v>101</v>
      </c>
      <c r="M2744" t="s">
        <v>39</v>
      </c>
      <c r="N2744">
        <v>0.83589999999999998</v>
      </c>
      <c r="O2744" s="1">
        <v>1</v>
      </c>
      <c r="P2744" t="s">
        <v>27065</v>
      </c>
      <c r="Q2744" t="s">
        <v>27066</v>
      </c>
      <c r="S2744" t="s">
        <v>166</v>
      </c>
      <c r="T2744" t="s">
        <v>1382</v>
      </c>
      <c r="U2744" t="s">
        <v>27067</v>
      </c>
      <c r="V2744">
        <v>8</v>
      </c>
      <c r="Z2744" t="s">
        <v>107</v>
      </c>
      <c r="AA2744">
        <v>2</v>
      </c>
      <c r="AB2744" t="s">
        <v>27068</v>
      </c>
      <c r="AC2744" t="s">
        <v>27069</v>
      </c>
      <c r="AD2744" t="s">
        <v>27070</v>
      </c>
      <c r="AE2744" t="s">
        <v>332</v>
      </c>
      <c r="AF2744" t="s">
        <v>27071</v>
      </c>
      <c r="AG2744" t="s">
        <v>27072</v>
      </c>
      <c r="AH2744" t="str">
        <f>HYPERLINK("http://compartments.jensenlab.org/Entity?figures=subcell_cell_%&amp;knowledge=10&amp;textmining=10&amp;experiments=10&amp;predictions=10&amp;type1=9606&amp;type2=-22&amp;id1=ENSP00000355378","link")</f>
        <v>link</v>
      </c>
      <c r="AI2744" t="s">
        <v>65</v>
      </c>
      <c r="AJ2744" t="s">
        <v>113</v>
      </c>
      <c r="AK2744" t="str">
        <f>HYPERLINK("http://www.proteinatlas.org/Q9ULL4","HPA048046")</f>
        <v>HPA048046</v>
      </c>
      <c r="AM2744">
        <v>5365</v>
      </c>
    </row>
    <row r="2745" spans="1:39" x14ac:dyDescent="0.35">
      <c r="A2745" t="s">
        <v>27073</v>
      </c>
      <c r="B2745" t="str">
        <f>HYPERLINK("http://www.uniprot.org/uniprot/Q9ULQ1","Q9ULQ1")</f>
        <v>Q9ULQ1</v>
      </c>
      <c r="C2745" t="s">
        <v>27074</v>
      </c>
      <c r="D2745" t="s">
        <v>27075</v>
      </c>
      <c r="E2745" t="s">
        <v>39</v>
      </c>
      <c r="F2745" t="s">
        <v>40</v>
      </c>
      <c r="H2745">
        <v>816</v>
      </c>
      <c r="I2745">
        <v>12</v>
      </c>
      <c r="J2745">
        <v>0</v>
      </c>
      <c r="K2745" t="s">
        <v>27076</v>
      </c>
      <c r="L2745" t="s">
        <v>57</v>
      </c>
      <c r="N2745">
        <v>0.5948</v>
      </c>
      <c r="O2745" s="1">
        <v>2</v>
      </c>
      <c r="P2745" t="s">
        <v>27077</v>
      </c>
      <c r="Q2745" t="s">
        <v>27078</v>
      </c>
      <c r="S2745" t="s">
        <v>45</v>
      </c>
      <c r="T2745" t="s">
        <v>27079</v>
      </c>
      <c r="U2745" t="s">
        <v>27080</v>
      </c>
      <c r="V2745">
        <v>3</v>
      </c>
      <c r="W2745" t="s">
        <v>27081</v>
      </c>
      <c r="AE2745" t="s">
        <v>23535</v>
      </c>
      <c r="AF2745" t="s">
        <v>27082</v>
      </c>
      <c r="AG2745" t="s">
        <v>27083</v>
      </c>
      <c r="AH2745" t="str">
        <f>HYPERLINK("http://compartments.jensenlab.org/Entity?figures=subcell_cell_%&amp;knowledge=10&amp;textmining=10&amp;experiments=10&amp;predictions=10&amp;type1=9606&amp;type2=-22&amp;id1=ENSP00000335300","link")</f>
        <v>link</v>
      </c>
      <c r="AK2745" t="str">
        <f>HYPERLINK("http://www.proteinatlas.org/Q9ULQ1","HPA039757")</f>
        <v>HPA039757</v>
      </c>
      <c r="AM2745">
        <v>53373</v>
      </c>
    </row>
    <row r="2746" spans="1:39" x14ac:dyDescent="0.35">
      <c r="A2746" t="s">
        <v>27084</v>
      </c>
      <c r="B2746" t="str">
        <f>HYPERLINK("http://www.uniprot.org/uniprot/Q9ULV1","Q9ULV1")</f>
        <v>Q9ULV1</v>
      </c>
      <c r="C2746" t="s">
        <v>27085</v>
      </c>
      <c r="D2746" t="s">
        <v>27086</v>
      </c>
      <c r="E2746" t="s">
        <v>39</v>
      </c>
      <c r="F2746" t="s">
        <v>55</v>
      </c>
      <c r="H2746">
        <v>537</v>
      </c>
      <c r="I2746">
        <v>7</v>
      </c>
      <c r="J2746">
        <v>1</v>
      </c>
      <c r="K2746" t="s">
        <v>27087</v>
      </c>
      <c r="L2746" t="s">
        <v>101</v>
      </c>
      <c r="M2746" t="s">
        <v>39</v>
      </c>
      <c r="N2746">
        <v>0.88460000000000005</v>
      </c>
      <c r="O2746" s="1">
        <v>1</v>
      </c>
      <c r="P2746" t="s">
        <v>27088</v>
      </c>
      <c r="Q2746" t="s">
        <v>27089</v>
      </c>
      <c r="R2746" t="s">
        <v>27090</v>
      </c>
      <c r="S2746" t="s">
        <v>166</v>
      </c>
      <c r="T2746" t="s">
        <v>827</v>
      </c>
      <c r="U2746" t="s">
        <v>27091</v>
      </c>
      <c r="V2746">
        <v>2</v>
      </c>
      <c r="W2746" t="s">
        <v>27091</v>
      </c>
      <c r="X2746">
        <v>9</v>
      </c>
      <c r="Z2746" t="s">
        <v>107</v>
      </c>
      <c r="AA2746">
        <v>1</v>
      </c>
      <c r="AB2746" t="s">
        <v>27092</v>
      </c>
      <c r="AC2746">
        <v>59</v>
      </c>
      <c r="AD2746" t="s">
        <v>27093</v>
      </c>
      <c r="AE2746" t="s">
        <v>1863</v>
      </c>
      <c r="AF2746" t="s">
        <v>27094</v>
      </c>
      <c r="AG2746" t="s">
        <v>27095</v>
      </c>
      <c r="AH2746" t="str">
        <f>HYPERLINK("http://compartments.jensenlab.org/Entity?figures=subcell_cell_%&amp;knowledge=10&amp;textmining=10&amp;experiments=10&amp;predictions=10&amp;type1=9606&amp;type2=-22&amp;id1=ENSP00000434034","link")</f>
        <v>link</v>
      </c>
      <c r="AK2746" t="str">
        <f>HYPERLINK("http://www.proteinatlas.org/Q9ULV1","HPA042328")</f>
        <v>HPA042328</v>
      </c>
      <c r="AM2746">
        <v>8322</v>
      </c>
    </row>
    <row r="2747" spans="1:39" x14ac:dyDescent="0.35">
      <c r="A2747" t="s">
        <v>27096</v>
      </c>
      <c r="B2747" t="str">
        <f>HYPERLINK("http://www.uniprot.org/uniprot/Q9ULW2","Q9ULW2")</f>
        <v>Q9ULW2</v>
      </c>
      <c r="C2747" t="s">
        <v>27097</v>
      </c>
      <c r="D2747" t="s">
        <v>27098</v>
      </c>
      <c r="E2747" t="s">
        <v>39</v>
      </c>
      <c r="F2747" t="s">
        <v>40</v>
      </c>
      <c r="H2747">
        <v>581</v>
      </c>
      <c r="I2747">
        <v>7</v>
      </c>
      <c r="J2747">
        <v>1</v>
      </c>
      <c r="K2747" t="s">
        <v>27099</v>
      </c>
      <c r="L2747" t="s">
        <v>57</v>
      </c>
      <c r="N2747">
        <v>0.91620000000000001</v>
      </c>
      <c r="O2747" s="1">
        <v>1</v>
      </c>
      <c r="P2747" t="s">
        <v>27100</v>
      </c>
      <c r="Q2747" t="s">
        <v>27101</v>
      </c>
      <c r="R2747" t="s">
        <v>27102</v>
      </c>
      <c r="S2747" t="s">
        <v>166</v>
      </c>
      <c r="T2747" t="s">
        <v>827</v>
      </c>
      <c r="U2747" t="s">
        <v>27103</v>
      </c>
      <c r="V2747">
        <v>3</v>
      </c>
      <c r="W2747" t="s">
        <v>27103</v>
      </c>
      <c r="AE2747" t="s">
        <v>74</v>
      </c>
      <c r="AF2747" t="s">
        <v>830</v>
      </c>
      <c r="AG2747" t="s">
        <v>27104</v>
      </c>
      <c r="AH2747" t="str">
        <f>HYPERLINK("http://compartments.jensenlab.org/Entity?figures=subcell_cell_%&amp;knowledge=10&amp;textmining=10&amp;experiments=10&amp;predictions=10&amp;type1=9606&amp;type2=-22&amp;id1=ENSP00000229030","link")</f>
        <v>link</v>
      </c>
      <c r="AI2747" t="s">
        <v>65</v>
      </c>
      <c r="AJ2747" t="s">
        <v>2124</v>
      </c>
      <c r="AK2747" t="str">
        <f>HYPERLINK("http://www.proteinatlas.org/Q9ULW2","HPA014484;HPA014485")</f>
        <v>HPA014484;HPA014485</v>
      </c>
      <c r="AM2747">
        <v>11211</v>
      </c>
    </row>
    <row r="2748" spans="1:39" x14ac:dyDescent="0.35">
      <c r="A2748" t="s">
        <v>27105</v>
      </c>
      <c r="B2748" t="str">
        <f>HYPERLINK("http://www.uniprot.org/uniprot/Q9ULX7","Q9ULX7")</f>
        <v>Q9ULX7</v>
      </c>
      <c r="C2748" t="s">
        <v>27106</v>
      </c>
      <c r="D2748" t="s">
        <v>27107</v>
      </c>
      <c r="E2748" t="s">
        <v>39</v>
      </c>
      <c r="F2748" t="s">
        <v>40</v>
      </c>
      <c r="H2748">
        <v>337</v>
      </c>
      <c r="I2748">
        <v>1</v>
      </c>
      <c r="J2748">
        <v>1</v>
      </c>
      <c r="K2748" t="s">
        <v>27108</v>
      </c>
      <c r="L2748" t="s">
        <v>57</v>
      </c>
      <c r="N2748">
        <v>0.71460000000000001</v>
      </c>
      <c r="O2748" s="1">
        <v>2</v>
      </c>
      <c r="P2748" t="s">
        <v>27109</v>
      </c>
      <c r="Q2748" t="s">
        <v>27110</v>
      </c>
      <c r="S2748" t="s">
        <v>947</v>
      </c>
      <c r="T2748" t="s">
        <v>1899</v>
      </c>
      <c r="U2748">
        <v>213</v>
      </c>
      <c r="V2748">
        <v>1</v>
      </c>
      <c r="X2748">
        <v>330</v>
      </c>
      <c r="AE2748" t="s">
        <v>144</v>
      </c>
      <c r="AF2748" t="s">
        <v>27111</v>
      </c>
      <c r="AG2748" t="s">
        <v>27112</v>
      </c>
      <c r="AH2748" t="str">
        <f>HYPERLINK("http://compartments.jensenlab.org/Entity?figures=subcell_cell_%&amp;knowledge=10&amp;textmining=10&amp;experiments=10&amp;predictions=10&amp;type1=9606&amp;type2=-22&amp;id1=ENSP00000358107","link")</f>
        <v>link</v>
      </c>
      <c r="AJ2748" t="s">
        <v>51</v>
      </c>
      <c r="AK2748" t="str">
        <f>HYPERLINK("http://www.proteinatlas.org/Q9ULX7","HPA008482")</f>
        <v>HPA008482</v>
      </c>
      <c r="AL2748" t="s">
        <v>27113</v>
      </c>
      <c r="AM2748">
        <v>23632</v>
      </c>
    </row>
    <row r="2749" spans="1:39" x14ac:dyDescent="0.35">
      <c r="A2749" t="s">
        <v>27114</v>
      </c>
      <c r="B2749" t="str">
        <f>HYPERLINK("http://www.uniprot.org/uniprot/Q9ULZ9","Q9ULZ9")</f>
        <v>Q9ULZ9</v>
      </c>
      <c r="C2749" t="s">
        <v>27115</v>
      </c>
      <c r="D2749" t="s">
        <v>27116</v>
      </c>
      <c r="E2749" t="s">
        <v>39</v>
      </c>
      <c r="F2749" t="s">
        <v>239</v>
      </c>
      <c r="H2749">
        <v>603</v>
      </c>
      <c r="I2749">
        <v>0</v>
      </c>
      <c r="J2749">
        <v>1</v>
      </c>
      <c r="K2749" t="s">
        <v>27117</v>
      </c>
      <c r="L2749" t="s">
        <v>57</v>
      </c>
      <c r="N2749">
        <v>0.6008</v>
      </c>
      <c r="O2749" s="1" t="s">
        <v>241</v>
      </c>
      <c r="P2749" t="s">
        <v>27118</v>
      </c>
      <c r="Q2749" t="s">
        <v>27119</v>
      </c>
      <c r="U2749" t="s">
        <v>27120</v>
      </c>
      <c r="V2749">
        <v>2</v>
      </c>
      <c r="W2749" t="s">
        <v>27120</v>
      </c>
      <c r="AE2749" t="s">
        <v>2699</v>
      </c>
      <c r="AF2749" t="s">
        <v>27121</v>
      </c>
      <c r="AG2749" t="s">
        <v>27122</v>
      </c>
      <c r="AH2749" t="str">
        <f>HYPERLINK("http://compartments.jensenlab.org/Entity?figures=subcell_cell_%&amp;knowledge=10&amp;textmining=10&amp;experiments=10&amp;predictions=10&amp;type1=9606&amp;type2=-22&amp;id1=ENSP00000353767","link")</f>
        <v>link</v>
      </c>
      <c r="AI2749" t="s">
        <v>1058</v>
      </c>
      <c r="AJ2749" t="s">
        <v>902</v>
      </c>
      <c r="AK2749" t="str">
        <f>HYPERLINK("http://www.proteinatlas.org/Q9ULZ9","no")</f>
        <v>no</v>
      </c>
      <c r="AL2749" t="s">
        <v>10234</v>
      </c>
      <c r="AM2749">
        <v>4326</v>
      </c>
    </row>
    <row r="2750" spans="1:39" x14ac:dyDescent="0.35">
      <c r="A2750" t="s">
        <v>27123</v>
      </c>
      <c r="B2750" t="str">
        <f>HYPERLINK("http://www.uniprot.org/uniprot/Q9UM44","Q9UM44")</f>
        <v>Q9UM44</v>
      </c>
      <c r="C2750" t="s">
        <v>27124</v>
      </c>
      <c r="D2750" t="s">
        <v>27125</v>
      </c>
      <c r="E2750" t="s">
        <v>39</v>
      </c>
      <c r="F2750" t="s">
        <v>40</v>
      </c>
      <c r="H2750">
        <v>414</v>
      </c>
      <c r="I2750">
        <v>1</v>
      </c>
      <c r="J2750">
        <v>1</v>
      </c>
      <c r="K2750" t="s">
        <v>27126</v>
      </c>
      <c r="L2750" t="s">
        <v>118</v>
      </c>
      <c r="N2750">
        <v>0.62670000000000003</v>
      </c>
      <c r="O2750" s="1">
        <v>2</v>
      </c>
      <c r="P2750" t="s">
        <v>27127</v>
      </c>
      <c r="Q2750" t="s">
        <v>27128</v>
      </c>
      <c r="S2750" t="s">
        <v>91</v>
      </c>
      <c r="T2750" t="s">
        <v>1012</v>
      </c>
      <c r="U2750" t="s">
        <v>27129</v>
      </c>
      <c r="V2750">
        <v>8</v>
      </c>
      <c r="Z2750" t="s">
        <v>107</v>
      </c>
      <c r="AA2750">
        <v>5</v>
      </c>
      <c r="AB2750" t="s">
        <v>27130</v>
      </c>
      <c r="AC2750">
        <v>284</v>
      </c>
      <c r="AD2750" t="s">
        <v>27131</v>
      </c>
      <c r="AE2750" t="s">
        <v>144</v>
      </c>
      <c r="AF2750" t="s">
        <v>730</v>
      </c>
      <c r="AG2750" t="s">
        <v>27132</v>
      </c>
      <c r="AH2750" t="str">
        <f>HYPERLINK("http://compartments.jensenlab.org/Entity?figures=subcell_cell_%&amp;knowledge=10&amp;textmining=10&amp;experiments=10&amp;predictions=10&amp;type1=9606&amp;type2=-22&amp;id1=ENSP00000350402","link")</f>
        <v>link</v>
      </c>
      <c r="AJ2750" t="s">
        <v>51</v>
      </c>
      <c r="AK2750" t="str">
        <f>HYPERLINK("http://www.proteinatlas.org/Q9UM44","HPA029417")</f>
        <v>HPA029417</v>
      </c>
      <c r="AM2750">
        <v>11148</v>
      </c>
    </row>
    <row r="2751" spans="1:39" x14ac:dyDescent="0.35">
      <c r="A2751" t="s">
        <v>27133</v>
      </c>
      <c r="B2751" t="str">
        <f>HYPERLINK("http://www.uniprot.org/uniprot/Q9UM47","Q9UM47")</f>
        <v>Q9UM47</v>
      </c>
      <c r="C2751" t="s">
        <v>27134</v>
      </c>
      <c r="D2751" t="s">
        <v>27135</v>
      </c>
      <c r="E2751" t="s">
        <v>39</v>
      </c>
      <c r="F2751" t="s">
        <v>40</v>
      </c>
      <c r="H2751">
        <v>2321</v>
      </c>
      <c r="I2751">
        <v>1</v>
      </c>
      <c r="J2751">
        <v>1</v>
      </c>
      <c r="K2751" t="s">
        <v>27136</v>
      </c>
      <c r="L2751" t="s">
        <v>57</v>
      </c>
      <c r="N2751">
        <v>0.76049999999999995</v>
      </c>
      <c r="O2751" s="1">
        <v>1</v>
      </c>
      <c r="P2751" t="s">
        <v>27137</v>
      </c>
      <c r="Q2751" t="s">
        <v>27138</v>
      </c>
      <c r="S2751" t="s">
        <v>166</v>
      </c>
      <c r="T2751" t="s">
        <v>9652</v>
      </c>
      <c r="U2751" t="s">
        <v>27139</v>
      </c>
      <c r="V2751">
        <v>3</v>
      </c>
      <c r="W2751" t="s">
        <v>27139</v>
      </c>
      <c r="X2751" t="s">
        <v>27140</v>
      </c>
      <c r="AE2751" t="s">
        <v>9658</v>
      </c>
      <c r="AF2751" t="s">
        <v>27141</v>
      </c>
      <c r="AG2751" t="s">
        <v>27142</v>
      </c>
      <c r="AH2751" t="str">
        <f>HYPERLINK("http://compartments.jensenlab.org/Entity?figures=subcell_cell_%&amp;knowledge=10&amp;textmining=10&amp;experiments=10&amp;predictions=10&amp;type1=9606&amp;type2=-22&amp;id1=ENSP00000263388","link")</f>
        <v>link</v>
      </c>
      <c r="AI2751" t="s">
        <v>7719</v>
      </c>
      <c r="AJ2751" t="s">
        <v>11937</v>
      </c>
      <c r="AK2751" t="str">
        <f>HYPERLINK("http://www.proteinatlas.org/Q9UM47","CAB005393;HPA044392")</f>
        <v>CAB005393;HPA044392</v>
      </c>
      <c r="AM2751">
        <v>4854</v>
      </c>
    </row>
    <row r="2752" spans="1:39" x14ac:dyDescent="0.35">
      <c r="A2752" t="s">
        <v>27143</v>
      </c>
      <c r="B2752" t="str">
        <f>HYPERLINK("http://www.uniprot.org/uniprot/Q9UM73","Q9UM73")</f>
        <v>Q9UM73</v>
      </c>
      <c r="C2752" t="s">
        <v>27144</v>
      </c>
      <c r="D2752" t="s">
        <v>27145</v>
      </c>
      <c r="E2752" t="s">
        <v>39</v>
      </c>
      <c r="F2752" t="s">
        <v>55</v>
      </c>
      <c r="H2752">
        <v>1620</v>
      </c>
      <c r="I2752">
        <v>1</v>
      </c>
      <c r="J2752">
        <v>1</v>
      </c>
      <c r="K2752" t="s">
        <v>27146</v>
      </c>
      <c r="L2752" t="s">
        <v>57</v>
      </c>
      <c r="M2752" t="s">
        <v>39</v>
      </c>
      <c r="N2752">
        <v>0.98040000000000005</v>
      </c>
      <c r="O2752" s="1">
        <v>1</v>
      </c>
      <c r="P2752" t="s">
        <v>27147</v>
      </c>
      <c r="Q2752" t="s">
        <v>27148</v>
      </c>
      <c r="R2752" t="s">
        <v>27149</v>
      </c>
      <c r="S2752" t="s">
        <v>60</v>
      </c>
      <c r="T2752" t="s">
        <v>60</v>
      </c>
      <c r="U2752" t="s">
        <v>27150</v>
      </c>
      <c r="V2752">
        <v>16</v>
      </c>
      <c r="W2752" t="s">
        <v>27151</v>
      </c>
      <c r="X2752" t="s">
        <v>27152</v>
      </c>
      <c r="Y2752" t="s">
        <v>27153</v>
      </c>
      <c r="AE2752" t="s">
        <v>332</v>
      </c>
      <c r="AF2752" t="s">
        <v>27154</v>
      </c>
      <c r="AG2752" t="s">
        <v>27155</v>
      </c>
      <c r="AH2752" t="str">
        <f>HYPERLINK("http://compartments.jensenlab.org/Entity?figures=subcell_cell_%&amp;knowledge=10&amp;textmining=10&amp;experiments=10&amp;predictions=10&amp;type1=9606&amp;type2=-22&amp;id1=ENSP00000373700","link")</f>
        <v>link</v>
      </c>
      <c r="AI2752" t="s">
        <v>65</v>
      </c>
      <c r="AJ2752" t="s">
        <v>51</v>
      </c>
      <c r="AK2752" t="str">
        <f>HYPERLINK("http://www.proteinatlas.org/Q9UM73","HPA010694")</f>
        <v>HPA010694</v>
      </c>
      <c r="AL2752" t="s">
        <v>27156</v>
      </c>
      <c r="AM2752">
        <v>238</v>
      </c>
    </row>
    <row r="2753" spans="1:39" x14ac:dyDescent="0.35">
      <c r="A2753" t="s">
        <v>27157</v>
      </c>
      <c r="B2753" t="str">
        <f>HYPERLINK("http://www.uniprot.org/uniprot/Q9UMF0","Q9UMF0")</f>
        <v>Q9UMF0</v>
      </c>
      <c r="C2753" t="s">
        <v>27158</v>
      </c>
      <c r="D2753" t="s">
        <v>27159</v>
      </c>
      <c r="E2753" t="s">
        <v>39</v>
      </c>
      <c r="F2753" t="s">
        <v>40</v>
      </c>
      <c r="H2753">
        <v>924</v>
      </c>
      <c r="I2753">
        <v>1</v>
      </c>
      <c r="J2753">
        <v>1</v>
      </c>
      <c r="K2753" t="s">
        <v>27160</v>
      </c>
      <c r="L2753" t="s">
        <v>101</v>
      </c>
      <c r="N2753">
        <v>0.85429999999999995</v>
      </c>
      <c r="O2753" s="1">
        <v>1</v>
      </c>
      <c r="P2753" t="s">
        <v>27161</v>
      </c>
      <c r="Q2753" t="s">
        <v>27162</v>
      </c>
      <c r="S2753" t="s">
        <v>60</v>
      </c>
      <c r="T2753" t="s">
        <v>60</v>
      </c>
      <c r="U2753" t="s">
        <v>27163</v>
      </c>
      <c r="V2753">
        <v>15</v>
      </c>
      <c r="W2753" t="s">
        <v>27164</v>
      </c>
      <c r="Z2753" t="s">
        <v>107</v>
      </c>
      <c r="AA2753">
        <v>10</v>
      </c>
      <c r="AB2753" t="s">
        <v>27165</v>
      </c>
      <c r="AC2753" t="s">
        <v>27166</v>
      </c>
      <c r="AD2753" t="s">
        <v>27167</v>
      </c>
      <c r="AE2753" t="s">
        <v>144</v>
      </c>
      <c r="AF2753" t="s">
        <v>27168</v>
      </c>
      <c r="AG2753" t="s">
        <v>27169</v>
      </c>
      <c r="AH2753" t="str">
        <f>HYPERLINK("http://compartments.jensenlab.org/Entity?figures=subcell_cell_%&amp;knowledge=10&amp;textmining=10&amp;experiments=10&amp;predictions=10&amp;type1=9606&amp;type2=-22&amp;id1=ENSP00000221980","link")</f>
        <v>link</v>
      </c>
      <c r="AJ2753" t="s">
        <v>51</v>
      </c>
      <c r="AK2753" t="str">
        <f>HYPERLINK("http://www.proteinatlas.org/Q9UMF0","HPA008943;HPA009083;CAB025178")</f>
        <v>HPA008943;HPA009083;CAB025178</v>
      </c>
      <c r="AM2753">
        <v>7087</v>
      </c>
    </row>
    <row r="2754" spans="1:39" x14ac:dyDescent="0.35">
      <c r="A2754" t="s">
        <v>27170</v>
      </c>
      <c r="B2754" t="str">
        <f>HYPERLINK("http://www.uniprot.org/uniprot/Q9UMX9","Q9UMX9")</f>
        <v>Q9UMX9</v>
      </c>
      <c r="C2754" t="s">
        <v>27171</v>
      </c>
      <c r="D2754" t="s">
        <v>27172</v>
      </c>
      <c r="E2754" t="s">
        <v>39</v>
      </c>
      <c r="F2754" t="s">
        <v>40</v>
      </c>
      <c r="H2754">
        <v>530</v>
      </c>
      <c r="I2754">
        <v>12</v>
      </c>
      <c r="J2754">
        <v>0</v>
      </c>
      <c r="K2754" t="s">
        <v>27173</v>
      </c>
      <c r="L2754" t="s">
        <v>101</v>
      </c>
      <c r="N2754">
        <v>0.71060000000000001</v>
      </c>
      <c r="O2754" s="1">
        <v>2</v>
      </c>
      <c r="P2754" t="s">
        <v>27174</v>
      </c>
      <c r="Q2754" t="s">
        <v>27175</v>
      </c>
      <c r="S2754" t="s">
        <v>45</v>
      </c>
      <c r="T2754" t="s">
        <v>14520</v>
      </c>
      <c r="U2754">
        <v>356</v>
      </c>
      <c r="V2754">
        <v>1</v>
      </c>
      <c r="Z2754" t="s">
        <v>123</v>
      </c>
      <c r="AA2754">
        <v>2</v>
      </c>
      <c r="AB2754" t="s">
        <v>27176</v>
      </c>
      <c r="AC2754">
        <v>356</v>
      </c>
      <c r="AD2754" t="s">
        <v>27177</v>
      </c>
      <c r="AE2754" t="s">
        <v>27178</v>
      </c>
      <c r="AF2754" t="s">
        <v>27179</v>
      </c>
      <c r="AG2754" t="s">
        <v>27180</v>
      </c>
      <c r="AH2754" t="str">
        <f>HYPERLINK("http://compartments.jensenlab.org/Entity?figures=subcell_cell_%&amp;knowledge=10&amp;textmining=10&amp;experiments=10&amp;predictions=10&amp;type1=9606&amp;type2=-22&amp;id1=ENSP00000296589","link")</f>
        <v>link</v>
      </c>
      <c r="AJ2754" t="s">
        <v>4458</v>
      </c>
      <c r="AK2754" t="str">
        <f>HYPERLINK("http://www.proteinatlas.org/Q9UMX9","no")</f>
        <v>no</v>
      </c>
      <c r="AM2754">
        <v>51151</v>
      </c>
    </row>
    <row r="2755" spans="1:39" x14ac:dyDescent="0.35">
      <c r="A2755" t="s">
        <v>27181</v>
      </c>
      <c r="B2755" t="str">
        <f>HYPERLINK("http://www.uniprot.org/uniprot/Q9UMZ3","Q9UMZ3")</f>
        <v>Q9UMZ3</v>
      </c>
      <c r="C2755" t="s">
        <v>27182</v>
      </c>
      <c r="D2755" t="s">
        <v>27183</v>
      </c>
      <c r="E2755" t="s">
        <v>39</v>
      </c>
      <c r="F2755" t="s">
        <v>40</v>
      </c>
      <c r="H2755">
        <v>2332</v>
      </c>
      <c r="I2755">
        <v>1</v>
      </c>
      <c r="J2755">
        <v>1</v>
      </c>
      <c r="K2755" t="s">
        <v>27184</v>
      </c>
      <c r="L2755" t="s">
        <v>101</v>
      </c>
      <c r="N2755">
        <v>0.92020000000000002</v>
      </c>
      <c r="O2755" s="1">
        <v>1</v>
      </c>
      <c r="P2755" t="s">
        <v>27185</v>
      </c>
      <c r="Q2755" t="s">
        <v>27186</v>
      </c>
      <c r="S2755" t="s">
        <v>166</v>
      </c>
      <c r="T2755" t="s">
        <v>1161</v>
      </c>
      <c r="U2755" t="s">
        <v>27187</v>
      </c>
      <c r="V2755">
        <v>37</v>
      </c>
      <c r="Y2755">
        <v>1302</v>
      </c>
      <c r="Z2755" t="s">
        <v>107</v>
      </c>
      <c r="AA2755">
        <v>3</v>
      </c>
      <c r="AB2755" t="s">
        <v>27188</v>
      </c>
      <c r="AC2755" t="s">
        <v>27189</v>
      </c>
      <c r="AD2755" t="s">
        <v>27190</v>
      </c>
      <c r="AE2755" t="s">
        <v>144</v>
      </c>
      <c r="AF2755" t="s">
        <v>27191</v>
      </c>
      <c r="AG2755" t="s">
        <v>27192</v>
      </c>
      <c r="AH2755" t="str">
        <f>HYPERLINK("http://compartments.jensenlab.org/Entity?figures=subcell_cell_%&amp;knowledge=10&amp;textmining=10&amp;experiments=10&amp;predictions=10&amp;type1=9606&amp;type2=-22&amp;id1=ENSP00000266688","link")</f>
        <v>link</v>
      </c>
      <c r="AK2755" t="str">
        <f>HYPERLINK("http://www.proteinatlas.org/Q9UMZ3","HPA053245")</f>
        <v>HPA053245</v>
      </c>
    </row>
    <row r="2756" spans="1:39" x14ac:dyDescent="0.35">
      <c r="A2756" t="s">
        <v>27193</v>
      </c>
      <c r="B2756" t="str">
        <f>HYPERLINK("http://www.uniprot.org/uniprot/Q9UN42","Q9UN42")</f>
        <v>Q9UN42</v>
      </c>
      <c r="C2756" t="s">
        <v>27194</v>
      </c>
      <c r="D2756" t="s">
        <v>27195</v>
      </c>
      <c r="E2756" t="s">
        <v>39</v>
      </c>
      <c r="F2756" t="s">
        <v>40</v>
      </c>
      <c r="H2756">
        <v>357</v>
      </c>
      <c r="I2756">
        <v>1</v>
      </c>
      <c r="J2756">
        <v>0</v>
      </c>
      <c r="K2756" t="s">
        <v>27196</v>
      </c>
      <c r="L2756" t="s">
        <v>57</v>
      </c>
      <c r="N2756">
        <v>0.7046</v>
      </c>
      <c r="O2756" s="1">
        <v>2</v>
      </c>
      <c r="P2756" t="s">
        <v>27197</v>
      </c>
      <c r="Q2756" t="s">
        <v>27198</v>
      </c>
      <c r="S2756" t="s">
        <v>45</v>
      </c>
      <c r="T2756" t="s">
        <v>3995</v>
      </c>
      <c r="U2756" t="s">
        <v>27199</v>
      </c>
      <c r="V2756">
        <v>4</v>
      </c>
      <c r="W2756">
        <v>306</v>
      </c>
      <c r="AE2756" t="s">
        <v>27200</v>
      </c>
      <c r="AF2756" t="s">
        <v>27201</v>
      </c>
      <c r="AG2756" t="s">
        <v>27202</v>
      </c>
      <c r="AH2756" t="str">
        <f>HYPERLINK("http://compartments.jensenlab.org/Entity?figures=subcell_cell_%&amp;knowledge=10&amp;textmining=10&amp;experiments=10&amp;predictions=10&amp;type1=9606&amp;type2=-22&amp;id1=ENSP00000218008","link")</f>
        <v>link</v>
      </c>
      <c r="AI2756" t="s">
        <v>6563</v>
      </c>
      <c r="AJ2756" t="s">
        <v>2873</v>
      </c>
      <c r="AK2756" t="str">
        <f>HYPERLINK("http://www.proteinatlas.org/Q9UN42","HPA044128")</f>
        <v>HPA044128</v>
      </c>
      <c r="AM2756">
        <v>23439</v>
      </c>
    </row>
    <row r="2757" spans="1:39" x14ac:dyDescent="0.35">
      <c r="A2757" t="s">
        <v>27203</v>
      </c>
      <c r="B2757" t="str">
        <f>HYPERLINK("http://www.uniprot.org/uniprot/Q9UN66","Q9UN66")</f>
        <v>Q9UN66</v>
      </c>
      <c r="C2757" t="s">
        <v>27204</v>
      </c>
      <c r="D2757" t="s">
        <v>27205</v>
      </c>
      <c r="E2757" t="s">
        <v>39</v>
      </c>
      <c r="F2757" t="s">
        <v>40</v>
      </c>
      <c r="H2757">
        <v>801</v>
      </c>
      <c r="I2757">
        <v>1</v>
      </c>
      <c r="J2757">
        <v>1</v>
      </c>
      <c r="K2757" t="s">
        <v>27206</v>
      </c>
      <c r="L2757" t="s">
        <v>57</v>
      </c>
      <c r="N2757">
        <v>0.9042</v>
      </c>
      <c r="O2757" s="1">
        <v>1</v>
      </c>
      <c r="P2757" t="s">
        <v>27207</v>
      </c>
      <c r="Q2757" t="s">
        <v>27208</v>
      </c>
      <c r="S2757" t="s">
        <v>91</v>
      </c>
      <c r="T2757" t="s">
        <v>2108</v>
      </c>
      <c r="U2757" t="s">
        <v>27209</v>
      </c>
      <c r="V2757">
        <v>4</v>
      </c>
      <c r="AE2757" t="s">
        <v>332</v>
      </c>
      <c r="AF2757" t="s">
        <v>18023</v>
      </c>
      <c r="AG2757" t="s">
        <v>27210</v>
      </c>
      <c r="AH2757" t="str">
        <f>HYPERLINK("http://compartments.jensenlab.org/Entity?figures=subcell_cell_%&amp;knowledge=10&amp;textmining=10&amp;experiments=10&amp;predictions=10&amp;type1=9606&amp;type2=-22&amp;id1=ENSP00000239444","link")</f>
        <v>link</v>
      </c>
      <c r="AI2757" t="s">
        <v>65</v>
      </c>
      <c r="AJ2757" t="s">
        <v>51</v>
      </c>
      <c r="AK2757" t="str">
        <f>HYPERLINK("http://www.proteinatlas.org/Q9UN66","HPA057773")</f>
        <v>HPA057773</v>
      </c>
      <c r="AM2757">
        <v>56128</v>
      </c>
    </row>
    <row r="2758" spans="1:39" x14ac:dyDescent="0.35">
      <c r="A2758" t="s">
        <v>27211</v>
      </c>
      <c r="B2758" t="str">
        <f>HYPERLINK("http://www.uniprot.org/uniprot/Q9UN67","Q9UN67")</f>
        <v>Q9UN67</v>
      </c>
      <c r="C2758" t="s">
        <v>27212</v>
      </c>
      <c r="D2758" t="s">
        <v>27213</v>
      </c>
      <c r="E2758" t="s">
        <v>39</v>
      </c>
      <c r="F2758" t="s">
        <v>40</v>
      </c>
      <c r="H2758">
        <v>800</v>
      </c>
      <c r="I2758">
        <v>1</v>
      </c>
      <c r="J2758">
        <v>1</v>
      </c>
      <c r="K2758" t="s">
        <v>27214</v>
      </c>
      <c r="L2758" t="s">
        <v>57</v>
      </c>
      <c r="N2758">
        <v>0.94410000000000005</v>
      </c>
      <c r="O2758" s="1">
        <v>1</v>
      </c>
      <c r="P2758" t="s">
        <v>27215</v>
      </c>
      <c r="Q2758" t="s">
        <v>27216</v>
      </c>
      <c r="S2758" t="s">
        <v>91</v>
      </c>
      <c r="T2758" t="s">
        <v>2108</v>
      </c>
      <c r="U2758" t="s">
        <v>27217</v>
      </c>
      <c r="V2758">
        <v>6</v>
      </c>
      <c r="AE2758" t="s">
        <v>332</v>
      </c>
      <c r="AF2758" t="s">
        <v>27218</v>
      </c>
      <c r="AG2758" t="s">
        <v>27219</v>
      </c>
      <c r="AH2758" t="str">
        <f>HYPERLINK("http://compartments.jensenlab.org/Entity?figures=subcell_cell_%&amp;knowledge=10&amp;textmining=10&amp;experiments=10&amp;predictions=10&amp;type1=9606&amp;type2=-22&amp;id1=ENSP00000239446","link")</f>
        <v>link</v>
      </c>
      <c r="AI2758" t="s">
        <v>65</v>
      </c>
      <c r="AJ2758" t="s">
        <v>51</v>
      </c>
      <c r="AK2758" t="str">
        <f>HYPERLINK("http://www.proteinatlas.org/Q9UN67","HPA013445;HPA029441")</f>
        <v>HPA013445;HPA029441</v>
      </c>
      <c r="AM2758">
        <v>56126</v>
      </c>
    </row>
    <row r="2759" spans="1:39" x14ac:dyDescent="0.35">
      <c r="A2759" t="s">
        <v>27220</v>
      </c>
      <c r="B2759" t="str">
        <f>HYPERLINK("http://www.uniprot.org/uniprot/Q9UN70","Q9UN70")</f>
        <v>Q9UN70</v>
      </c>
      <c r="C2759" t="s">
        <v>27221</v>
      </c>
      <c r="D2759" t="s">
        <v>27222</v>
      </c>
      <c r="E2759" t="s">
        <v>39</v>
      </c>
      <c r="F2759" t="s">
        <v>55</v>
      </c>
      <c r="H2759">
        <v>934</v>
      </c>
      <c r="I2759">
        <v>1</v>
      </c>
      <c r="J2759">
        <v>1</v>
      </c>
      <c r="K2759" t="s">
        <v>27223</v>
      </c>
      <c r="L2759" t="s">
        <v>101</v>
      </c>
      <c r="M2759" t="s">
        <v>39</v>
      </c>
      <c r="N2759">
        <v>0.80610000000000004</v>
      </c>
      <c r="O2759" s="1">
        <v>1</v>
      </c>
      <c r="P2759" t="s">
        <v>27224</v>
      </c>
      <c r="Q2759" t="s">
        <v>27225</v>
      </c>
      <c r="U2759" t="s">
        <v>27226</v>
      </c>
      <c r="V2759">
        <v>6</v>
      </c>
      <c r="Z2759" t="s">
        <v>107</v>
      </c>
      <c r="AA2759">
        <v>6</v>
      </c>
      <c r="AB2759" t="s">
        <v>27227</v>
      </c>
      <c r="AC2759" t="s">
        <v>27228</v>
      </c>
      <c r="AD2759" t="s">
        <v>27229</v>
      </c>
      <c r="AE2759" t="s">
        <v>332</v>
      </c>
      <c r="AF2759" t="s">
        <v>1347</v>
      </c>
      <c r="AG2759" t="s">
        <v>27230</v>
      </c>
      <c r="AH2759" t="str">
        <f>HYPERLINK("http://compartments.jensenlab.org/Entity?figures=subcell_cell_%&amp;knowledge=10&amp;textmining=10&amp;experiments=10&amp;predictions=10&amp;type1=9606&amp;type2=-22&amp;id1=ENSP00000312070","link")</f>
        <v>link</v>
      </c>
      <c r="AI2759" t="s">
        <v>65</v>
      </c>
      <c r="AJ2759" t="s">
        <v>51</v>
      </c>
      <c r="AK2759" t="str">
        <f>HYPERLINK("http://www.proteinatlas.org/Q9UN70","HPA008755")</f>
        <v>HPA008755</v>
      </c>
      <c r="AM2759">
        <v>5098</v>
      </c>
    </row>
    <row r="2760" spans="1:39" x14ac:dyDescent="0.35">
      <c r="A2760" t="s">
        <v>27231</v>
      </c>
      <c r="B2760" t="str">
        <f>HYPERLINK("http://www.uniprot.org/uniprot/Q9UN71","Q9UN71")</f>
        <v>Q9UN71</v>
      </c>
      <c r="C2760" t="s">
        <v>27232</v>
      </c>
      <c r="D2760" t="s">
        <v>27233</v>
      </c>
      <c r="E2760" t="s">
        <v>39</v>
      </c>
      <c r="F2760" t="s">
        <v>55</v>
      </c>
      <c r="H2760">
        <v>923</v>
      </c>
      <c r="I2760">
        <v>1</v>
      </c>
      <c r="J2760">
        <v>1</v>
      </c>
      <c r="K2760" t="s">
        <v>27234</v>
      </c>
      <c r="L2760" t="s">
        <v>101</v>
      </c>
      <c r="M2760" t="s">
        <v>39</v>
      </c>
      <c r="N2760">
        <v>0.88949999999999996</v>
      </c>
      <c r="O2760" s="1">
        <v>1</v>
      </c>
      <c r="P2760" t="s">
        <v>27235</v>
      </c>
      <c r="Q2760" t="s">
        <v>27236</v>
      </c>
      <c r="U2760" t="s">
        <v>27237</v>
      </c>
      <c r="V2760">
        <v>2</v>
      </c>
      <c r="Z2760" t="s">
        <v>107</v>
      </c>
      <c r="AA2760">
        <v>1</v>
      </c>
      <c r="AB2760" t="s">
        <v>27238</v>
      </c>
      <c r="AC2760">
        <v>417</v>
      </c>
      <c r="AD2760" t="s">
        <v>27239</v>
      </c>
      <c r="AE2760" t="s">
        <v>332</v>
      </c>
      <c r="AF2760" t="s">
        <v>1347</v>
      </c>
      <c r="AG2760" t="s">
        <v>27240</v>
      </c>
      <c r="AH2760" t="str">
        <f>HYPERLINK("http://compartments.jensenlab.org/Entity?figures=subcell_cell_%&amp;knowledge=10&amp;textmining=10&amp;experiments=10&amp;predictions=10&amp;type1=9606&amp;type2=-22&amp;id1=ENSP00000428288","link")</f>
        <v>link</v>
      </c>
      <c r="AK2760" t="str">
        <f>HYPERLINK("http://www.proteinatlas.org/Q9UN71","HPA008755")</f>
        <v>HPA008755</v>
      </c>
      <c r="AM2760">
        <v>8641</v>
      </c>
    </row>
    <row r="2761" spans="1:39" x14ac:dyDescent="0.35">
      <c r="A2761" t="s">
        <v>27241</v>
      </c>
      <c r="B2761" t="str">
        <f>HYPERLINK("http://www.uniprot.org/uniprot/Q9UN72","Q9UN72")</f>
        <v>Q9UN72</v>
      </c>
      <c r="C2761" t="s">
        <v>27242</v>
      </c>
      <c r="D2761" t="s">
        <v>27243</v>
      </c>
      <c r="E2761" t="s">
        <v>39</v>
      </c>
      <c r="F2761" t="s">
        <v>40</v>
      </c>
      <c r="H2761">
        <v>937</v>
      </c>
      <c r="I2761">
        <v>1</v>
      </c>
      <c r="J2761">
        <v>1</v>
      </c>
      <c r="K2761" t="s">
        <v>27244</v>
      </c>
      <c r="L2761" t="s">
        <v>57</v>
      </c>
      <c r="N2761">
        <v>0.9042</v>
      </c>
      <c r="O2761" s="1">
        <v>1</v>
      </c>
      <c r="P2761" t="s">
        <v>27245</v>
      </c>
      <c r="Q2761" t="s">
        <v>27246</v>
      </c>
      <c r="U2761" t="s">
        <v>27247</v>
      </c>
      <c r="V2761">
        <v>3</v>
      </c>
      <c r="W2761" t="s">
        <v>27248</v>
      </c>
      <c r="AE2761" t="s">
        <v>332</v>
      </c>
      <c r="AF2761" t="s">
        <v>16205</v>
      </c>
      <c r="AG2761" t="s">
        <v>27249</v>
      </c>
      <c r="AH2761" t="str">
        <f>HYPERLINK("http://compartments.jensenlab.org/Entity?figures=subcell_cell_%&amp;knowledge=10&amp;textmining=10&amp;experiments=10&amp;predictions=10&amp;type1=9606&amp;type2=-22&amp;id1=ENSP00000436426","link")</f>
        <v>link</v>
      </c>
      <c r="AK2761" t="str">
        <f>HYPERLINK("http://www.proteinatlas.org/Q9UN72","no")</f>
        <v>no</v>
      </c>
      <c r="AM2761">
        <v>56141</v>
      </c>
    </row>
    <row r="2762" spans="1:39" x14ac:dyDescent="0.35">
      <c r="A2762" t="s">
        <v>27250</v>
      </c>
      <c r="B2762" t="str">
        <f>HYPERLINK("http://www.uniprot.org/uniprot/Q9UN73","Q9UN73")</f>
        <v>Q9UN73</v>
      </c>
      <c r="C2762" t="s">
        <v>27251</v>
      </c>
      <c r="D2762" t="s">
        <v>27252</v>
      </c>
      <c r="E2762" t="s">
        <v>39</v>
      </c>
      <c r="F2762" t="s">
        <v>55</v>
      </c>
      <c r="H2762">
        <v>950</v>
      </c>
      <c r="I2762">
        <v>1</v>
      </c>
      <c r="J2762">
        <v>1</v>
      </c>
      <c r="K2762" t="s">
        <v>27253</v>
      </c>
      <c r="L2762" t="s">
        <v>101</v>
      </c>
      <c r="M2762" t="s">
        <v>39</v>
      </c>
      <c r="N2762">
        <v>0.9728</v>
      </c>
      <c r="O2762" s="1">
        <v>1</v>
      </c>
      <c r="P2762" t="s">
        <v>27254</v>
      </c>
      <c r="Q2762" t="s">
        <v>27255</v>
      </c>
      <c r="U2762" t="s">
        <v>27256</v>
      </c>
      <c r="V2762">
        <v>4</v>
      </c>
      <c r="W2762" t="s">
        <v>27256</v>
      </c>
      <c r="Z2762" t="s">
        <v>107</v>
      </c>
      <c r="AA2762">
        <v>1</v>
      </c>
      <c r="AB2762" t="s">
        <v>27257</v>
      </c>
      <c r="AC2762">
        <v>257</v>
      </c>
      <c r="AD2762" t="s">
        <v>27258</v>
      </c>
      <c r="AE2762" t="s">
        <v>1250</v>
      </c>
      <c r="AF2762" t="s">
        <v>27259</v>
      </c>
      <c r="AG2762" t="s">
        <v>27260</v>
      </c>
      <c r="AH2762" t="str">
        <f>HYPERLINK("http://compartments.jensenlab.org/Entity?figures=subcell_cell_%&amp;knowledge=10&amp;textmining=10&amp;experiments=10&amp;predictions=10&amp;type1=9606&amp;type2=-22&amp;id1=ENSP00000433378","link")</f>
        <v>link</v>
      </c>
      <c r="AK2762" t="str">
        <f>HYPERLINK("http://www.proteinatlas.org/Q9UN73","no")</f>
        <v>no</v>
      </c>
      <c r="AM2762">
        <v>56142</v>
      </c>
    </row>
    <row r="2763" spans="1:39" x14ac:dyDescent="0.35">
      <c r="A2763" t="s">
        <v>27261</v>
      </c>
      <c r="B2763" t="str">
        <f>HYPERLINK("http://www.uniprot.org/uniprot/Q9UN74","Q9UN74")</f>
        <v>Q9UN74</v>
      </c>
      <c r="C2763" t="s">
        <v>27262</v>
      </c>
      <c r="D2763" t="s">
        <v>27263</v>
      </c>
      <c r="E2763" t="s">
        <v>39</v>
      </c>
      <c r="F2763" t="s">
        <v>40</v>
      </c>
      <c r="H2763">
        <v>947</v>
      </c>
      <c r="I2763">
        <v>1</v>
      </c>
      <c r="J2763">
        <v>1</v>
      </c>
      <c r="K2763" t="s">
        <v>27264</v>
      </c>
      <c r="L2763" t="s">
        <v>57</v>
      </c>
      <c r="N2763">
        <v>0.96009999999999995</v>
      </c>
      <c r="O2763" s="1">
        <v>1</v>
      </c>
      <c r="P2763" t="s">
        <v>27265</v>
      </c>
      <c r="Q2763" t="s">
        <v>27266</v>
      </c>
      <c r="U2763" t="s">
        <v>27267</v>
      </c>
      <c r="V2763">
        <v>4</v>
      </c>
      <c r="W2763" t="s">
        <v>27268</v>
      </c>
      <c r="AE2763" t="s">
        <v>332</v>
      </c>
      <c r="AF2763" t="s">
        <v>16205</v>
      </c>
      <c r="AG2763" t="s">
        <v>27269</v>
      </c>
      <c r="AH2763" t="str">
        <f>HYPERLINK("http://compartments.jensenlab.org/Entity?figures=subcell_cell_%&amp;knowledge=10&amp;textmining=10&amp;experiments=10&amp;predictions=10&amp;type1=9606&amp;type2=-22&amp;id1=ENSP00000435300","link")</f>
        <v>link</v>
      </c>
      <c r="AK2763" t="str">
        <f>HYPERLINK("http://www.proteinatlas.org/Q9UN74","HPA043180")</f>
        <v>HPA043180</v>
      </c>
      <c r="AM2763">
        <v>56144</v>
      </c>
    </row>
    <row r="2764" spans="1:39" x14ac:dyDescent="0.35">
      <c r="A2764" t="s">
        <v>27270</v>
      </c>
      <c r="B2764" t="str">
        <f>HYPERLINK("http://www.uniprot.org/uniprot/Q9UN75","Q9UN75")</f>
        <v>Q9UN75</v>
      </c>
      <c r="C2764" t="s">
        <v>27271</v>
      </c>
      <c r="D2764" t="s">
        <v>27272</v>
      </c>
      <c r="E2764" t="s">
        <v>39</v>
      </c>
      <c r="F2764" t="s">
        <v>40</v>
      </c>
      <c r="H2764">
        <v>941</v>
      </c>
      <c r="I2764">
        <v>1</v>
      </c>
      <c r="J2764">
        <v>1</v>
      </c>
      <c r="K2764" t="s">
        <v>27273</v>
      </c>
      <c r="L2764" t="s">
        <v>57</v>
      </c>
      <c r="N2764">
        <v>0.92020000000000002</v>
      </c>
      <c r="O2764" s="1">
        <v>1</v>
      </c>
      <c r="P2764" t="s">
        <v>27274</v>
      </c>
      <c r="Q2764" t="s">
        <v>27275</v>
      </c>
      <c r="U2764" t="s">
        <v>27276</v>
      </c>
      <c r="V2764">
        <v>3</v>
      </c>
      <c r="AE2764" t="s">
        <v>332</v>
      </c>
      <c r="AF2764" t="s">
        <v>1347</v>
      </c>
      <c r="AG2764" t="s">
        <v>27277</v>
      </c>
      <c r="AH2764" t="str">
        <f>HYPERLINK("http://compartments.jensenlab.org/Entity?figures=subcell_cell_%&amp;knowledge=10&amp;textmining=10&amp;experiments=10&amp;predictions=10&amp;type1=9606&amp;type2=-22&amp;id1=ENSP00000381628","link")</f>
        <v>link</v>
      </c>
      <c r="AK2764" t="str">
        <f>HYPERLINK("http://www.proteinatlas.org/Q9UN75","no")</f>
        <v>no</v>
      </c>
      <c r="AM2764">
        <v>56137</v>
      </c>
    </row>
    <row r="2765" spans="1:39" x14ac:dyDescent="0.35">
      <c r="A2765" t="s">
        <v>27278</v>
      </c>
      <c r="B2765" t="str">
        <f>HYPERLINK("http://www.uniprot.org/uniprot/Q9UN76","Q9UN76")</f>
        <v>Q9UN76</v>
      </c>
      <c r="C2765" t="s">
        <v>27279</v>
      </c>
      <c r="D2765" t="s">
        <v>27280</v>
      </c>
      <c r="E2765" t="s">
        <v>39</v>
      </c>
      <c r="F2765" t="s">
        <v>40</v>
      </c>
      <c r="H2765">
        <v>642</v>
      </c>
      <c r="I2765">
        <v>12</v>
      </c>
      <c r="J2765">
        <v>0</v>
      </c>
      <c r="K2765" t="s">
        <v>27281</v>
      </c>
      <c r="L2765" t="s">
        <v>101</v>
      </c>
      <c r="N2765">
        <v>0.75249999999999995</v>
      </c>
      <c r="O2765" s="1">
        <v>1</v>
      </c>
      <c r="P2765" t="s">
        <v>27282</v>
      </c>
      <c r="Q2765" t="s">
        <v>27283</v>
      </c>
      <c r="S2765" t="s">
        <v>45</v>
      </c>
      <c r="T2765" t="s">
        <v>6998</v>
      </c>
      <c r="U2765" t="s">
        <v>27284</v>
      </c>
      <c r="V2765">
        <v>8</v>
      </c>
      <c r="Y2765" t="s">
        <v>27285</v>
      </c>
      <c r="Z2765" t="s">
        <v>123</v>
      </c>
      <c r="AA2765">
        <v>2</v>
      </c>
      <c r="AB2765" t="s">
        <v>27286</v>
      </c>
      <c r="AC2765" t="s">
        <v>27287</v>
      </c>
      <c r="AD2765" t="s">
        <v>27288</v>
      </c>
      <c r="AE2765" t="s">
        <v>48</v>
      </c>
      <c r="AF2765" t="s">
        <v>27289</v>
      </c>
      <c r="AG2765" t="s">
        <v>27290</v>
      </c>
      <c r="AH2765" t="str">
        <f>HYPERLINK("http://compartments.jensenlab.org/Entity?figures=subcell_cell_%&amp;knowledge=10&amp;textmining=10&amp;experiments=10&amp;predictions=10&amp;type1=9606&amp;type2=-22&amp;id1=ENSP00000470801","link")</f>
        <v>link</v>
      </c>
      <c r="AK2765" t="str">
        <f>HYPERLINK("http://www.proteinatlas.org/Q9UN76","no")</f>
        <v>no</v>
      </c>
      <c r="AL2765" t="s">
        <v>23089</v>
      </c>
      <c r="AM2765">
        <v>11254</v>
      </c>
    </row>
    <row r="2766" spans="1:39" x14ac:dyDescent="0.35">
      <c r="A2766" t="s">
        <v>27291</v>
      </c>
      <c r="B2766" t="str">
        <f>HYPERLINK("http://www.uniprot.org/uniprot/Q9UN88","Q9UN88")</f>
        <v>Q9UN88</v>
      </c>
      <c r="C2766" t="s">
        <v>27292</v>
      </c>
      <c r="D2766" t="s">
        <v>27293</v>
      </c>
      <c r="E2766" t="s">
        <v>39</v>
      </c>
      <c r="F2766" t="s">
        <v>40</v>
      </c>
      <c r="H2766">
        <v>632</v>
      </c>
      <c r="I2766">
        <v>3</v>
      </c>
      <c r="J2766">
        <v>1</v>
      </c>
      <c r="K2766" t="s">
        <v>27294</v>
      </c>
      <c r="L2766" t="s">
        <v>57</v>
      </c>
      <c r="N2766">
        <v>0.68459999999999999</v>
      </c>
      <c r="O2766" s="1">
        <v>2</v>
      </c>
      <c r="P2766" t="s">
        <v>27295</v>
      </c>
      <c r="Q2766" t="s">
        <v>27296</v>
      </c>
      <c r="S2766" t="s">
        <v>45</v>
      </c>
      <c r="T2766" t="s">
        <v>195</v>
      </c>
      <c r="U2766" t="s">
        <v>27297</v>
      </c>
      <c r="V2766">
        <v>3</v>
      </c>
      <c r="W2766" t="s">
        <v>27298</v>
      </c>
      <c r="AE2766" t="s">
        <v>619</v>
      </c>
      <c r="AF2766" t="s">
        <v>1084</v>
      </c>
      <c r="AG2766" t="s">
        <v>27299</v>
      </c>
      <c r="AH2766" t="str">
        <f>HYPERLINK("http://compartments.jensenlab.org/Entity?figures=subcell_cell_%&amp;knowledge=10&amp;textmining=10&amp;experiments=10&amp;predictions=10&amp;type1=9606&amp;type2=-22&amp;id1=ENSP00000469332","link")</f>
        <v>link</v>
      </c>
      <c r="AK2766" t="str">
        <f>HYPERLINK("http://www.proteinatlas.org/Q9UN88","no")</f>
        <v>no</v>
      </c>
      <c r="AL2766" t="s">
        <v>27300</v>
      </c>
      <c r="AM2766">
        <v>55879</v>
      </c>
    </row>
    <row r="2767" spans="1:39" x14ac:dyDescent="0.35">
      <c r="A2767" t="s">
        <v>27301</v>
      </c>
      <c r="B2767" t="str">
        <f>HYPERLINK("http://www.uniprot.org/uniprot/Q9UNE0","Q9UNE0")</f>
        <v>Q9UNE0</v>
      </c>
      <c r="C2767" t="s">
        <v>27302</v>
      </c>
      <c r="D2767" t="s">
        <v>27303</v>
      </c>
      <c r="E2767" t="s">
        <v>39</v>
      </c>
      <c r="F2767" t="s">
        <v>40</v>
      </c>
      <c r="H2767">
        <v>448</v>
      </c>
      <c r="I2767">
        <v>1</v>
      </c>
      <c r="J2767">
        <v>1</v>
      </c>
      <c r="K2767" t="s">
        <v>27304</v>
      </c>
      <c r="L2767" t="s">
        <v>57</v>
      </c>
      <c r="N2767">
        <v>0.86029999999999995</v>
      </c>
      <c r="O2767" s="1">
        <v>1</v>
      </c>
      <c r="P2767" t="s">
        <v>27305</v>
      </c>
      <c r="Q2767" t="s">
        <v>27306</v>
      </c>
      <c r="S2767" t="s">
        <v>166</v>
      </c>
      <c r="T2767" t="s">
        <v>864</v>
      </c>
      <c r="U2767" t="s">
        <v>27307</v>
      </c>
      <c r="V2767">
        <v>1</v>
      </c>
      <c r="AE2767" t="s">
        <v>144</v>
      </c>
      <c r="AF2767" t="s">
        <v>27308</v>
      </c>
      <c r="AG2767" t="s">
        <v>27309</v>
      </c>
      <c r="AH2767" t="str">
        <f>HYPERLINK("http://compartments.jensenlab.org/Entity?figures=subcell_cell_%&amp;knowledge=10&amp;textmining=10&amp;experiments=10&amp;predictions=10&amp;type1=9606&amp;type2=-22&amp;id1=ENSP00000258443","link")</f>
        <v>link</v>
      </c>
      <c r="AJ2767" t="s">
        <v>51</v>
      </c>
      <c r="AK2767" t="str">
        <f>HYPERLINK("http://www.proteinatlas.org/Q9UNE0","HPA042292")</f>
        <v>HPA042292</v>
      </c>
      <c r="AM2767">
        <v>10913</v>
      </c>
    </row>
    <row r="2768" spans="1:39" x14ac:dyDescent="0.35">
      <c r="A2768" t="s">
        <v>27310</v>
      </c>
      <c r="B2768" t="str">
        <f>HYPERLINK("http://www.uniprot.org/uniprot/Q9UNG2","Q9UNG2")</f>
        <v>Q9UNG2</v>
      </c>
      <c r="C2768" t="s">
        <v>27311</v>
      </c>
      <c r="D2768" t="s">
        <v>27312</v>
      </c>
      <c r="E2768" t="s">
        <v>39</v>
      </c>
      <c r="F2768" t="s">
        <v>55</v>
      </c>
      <c r="H2768">
        <v>199</v>
      </c>
      <c r="I2768">
        <v>1</v>
      </c>
      <c r="J2768">
        <v>0</v>
      </c>
      <c r="K2768" t="s">
        <v>27313</v>
      </c>
      <c r="L2768" t="s">
        <v>101</v>
      </c>
      <c r="M2768" t="s">
        <v>39</v>
      </c>
      <c r="N2768">
        <v>0.68969999999999998</v>
      </c>
      <c r="O2768" s="1">
        <v>2</v>
      </c>
      <c r="P2768" t="s">
        <v>27314</v>
      </c>
      <c r="Q2768" t="s">
        <v>27315</v>
      </c>
      <c r="S2768" t="s">
        <v>60</v>
      </c>
      <c r="T2768" t="s">
        <v>60</v>
      </c>
      <c r="U2768" t="s">
        <v>27316</v>
      </c>
      <c r="V2768">
        <v>2</v>
      </c>
      <c r="W2768" t="s">
        <v>27316</v>
      </c>
      <c r="X2768" t="s">
        <v>27317</v>
      </c>
      <c r="Y2768">
        <v>46</v>
      </c>
      <c r="Z2768" t="s">
        <v>107</v>
      </c>
      <c r="AA2768">
        <v>2</v>
      </c>
      <c r="AB2768" t="s">
        <v>27318</v>
      </c>
      <c r="AC2768">
        <v>151</v>
      </c>
      <c r="AD2768" t="s">
        <v>27319</v>
      </c>
      <c r="AE2768" t="s">
        <v>764</v>
      </c>
      <c r="AF2768" t="s">
        <v>27320</v>
      </c>
      <c r="AG2768" t="s">
        <v>27321</v>
      </c>
      <c r="AH2768" t="str">
        <f>HYPERLINK("http://compartments.jensenlab.org/Entity?figures=subcell_cell_%&amp;knowledge=10&amp;textmining=10&amp;experiments=10&amp;predictions=10&amp;type1=9606&amp;type2=-22&amp;id1=ENSP00000385470","link")</f>
        <v>link</v>
      </c>
      <c r="AI2768" t="s">
        <v>65</v>
      </c>
      <c r="AJ2768" t="s">
        <v>902</v>
      </c>
      <c r="AK2768" t="str">
        <f>HYPERLINK("http://www.proteinatlas.org/Q9UNG2","HPA012699")</f>
        <v>HPA012699</v>
      </c>
      <c r="AM2768">
        <v>8995</v>
      </c>
    </row>
    <row r="2769" spans="1:39" x14ac:dyDescent="0.35">
      <c r="A2769" t="s">
        <v>27322</v>
      </c>
      <c r="B2769" t="str">
        <f>HYPERLINK("http://www.uniprot.org/uniprot/Q9UNN8","Q9UNN8")</f>
        <v>Q9UNN8</v>
      </c>
      <c r="C2769" t="s">
        <v>27323</v>
      </c>
      <c r="D2769" t="s">
        <v>27324</v>
      </c>
      <c r="E2769" t="s">
        <v>39</v>
      </c>
      <c r="F2769" t="s">
        <v>40</v>
      </c>
      <c r="H2769">
        <v>238</v>
      </c>
      <c r="I2769">
        <v>1</v>
      </c>
      <c r="J2769">
        <v>1</v>
      </c>
      <c r="K2769" t="s">
        <v>27325</v>
      </c>
      <c r="L2769" t="s">
        <v>101</v>
      </c>
      <c r="N2769">
        <v>0.84030000000000005</v>
      </c>
      <c r="O2769" s="1">
        <v>1</v>
      </c>
      <c r="P2769" t="s">
        <v>27326</v>
      </c>
      <c r="Q2769" t="s">
        <v>27327</v>
      </c>
      <c r="R2769" t="s">
        <v>27328</v>
      </c>
      <c r="S2769" t="s">
        <v>60</v>
      </c>
      <c r="T2769" t="s">
        <v>60</v>
      </c>
      <c r="U2769" t="s">
        <v>27329</v>
      </c>
      <c r="V2769">
        <v>4</v>
      </c>
      <c r="W2769" t="s">
        <v>27330</v>
      </c>
      <c r="Z2769" t="s">
        <v>107</v>
      </c>
      <c r="AA2769">
        <v>8</v>
      </c>
      <c r="AB2769" t="s">
        <v>27331</v>
      </c>
      <c r="AC2769" t="s">
        <v>27332</v>
      </c>
      <c r="AD2769" t="s">
        <v>27333</v>
      </c>
      <c r="AE2769" t="s">
        <v>144</v>
      </c>
      <c r="AF2769" t="s">
        <v>27334</v>
      </c>
      <c r="AG2769" t="s">
        <v>27335</v>
      </c>
      <c r="AH2769" t="str">
        <f>HYPERLINK("http://compartments.jensenlab.org/Entity?figures=subcell_cell_%&amp;knowledge=10&amp;textmining=10&amp;experiments=10&amp;predictions=10&amp;type1=9606&amp;type2=-22&amp;id1=ENSP00000216968","link")</f>
        <v>link</v>
      </c>
      <c r="AJ2769" t="s">
        <v>1811</v>
      </c>
      <c r="AK2769" t="str">
        <f>HYPERLINK("http://www.proteinatlas.org/Q9UNN8","HPA039461")</f>
        <v>HPA039461</v>
      </c>
      <c r="AL2769" t="s">
        <v>27336</v>
      </c>
      <c r="AM2769">
        <v>10544</v>
      </c>
    </row>
    <row r="2770" spans="1:39" x14ac:dyDescent="0.35">
      <c r="A2770" t="s">
        <v>27337</v>
      </c>
      <c r="B2770" t="str">
        <f>HYPERLINK("http://www.uniprot.org/uniprot/Q9UNQ0","Q9UNQ0")</f>
        <v>Q9UNQ0</v>
      </c>
      <c r="C2770" t="s">
        <v>27338</v>
      </c>
      <c r="D2770" t="s">
        <v>27339</v>
      </c>
      <c r="E2770" t="s">
        <v>39</v>
      </c>
      <c r="F2770" t="s">
        <v>55</v>
      </c>
      <c r="H2770">
        <v>655</v>
      </c>
      <c r="I2770">
        <v>6</v>
      </c>
      <c r="J2770">
        <v>0</v>
      </c>
      <c r="K2770" t="s">
        <v>27340</v>
      </c>
      <c r="L2770" t="s">
        <v>57</v>
      </c>
      <c r="M2770" t="s">
        <v>39</v>
      </c>
      <c r="N2770">
        <v>0.67400000000000004</v>
      </c>
      <c r="O2770" s="1">
        <v>2</v>
      </c>
      <c r="P2770" t="s">
        <v>27341</v>
      </c>
      <c r="Q2770" t="s">
        <v>27342</v>
      </c>
      <c r="R2770" t="s">
        <v>27343</v>
      </c>
      <c r="S2770" t="s">
        <v>45</v>
      </c>
      <c r="T2770" t="s">
        <v>23940</v>
      </c>
      <c r="U2770" t="s">
        <v>27344</v>
      </c>
      <c r="V2770">
        <v>2</v>
      </c>
      <c r="Y2770" t="s">
        <v>27345</v>
      </c>
      <c r="AE2770" t="s">
        <v>27346</v>
      </c>
      <c r="AF2770" t="s">
        <v>27347</v>
      </c>
      <c r="AG2770" t="s">
        <v>27348</v>
      </c>
      <c r="AH2770" t="str">
        <f>HYPERLINK("http://compartments.jensenlab.org/Entity?figures=subcell_cell_%&amp;knowledge=10&amp;textmining=10&amp;experiments=10&amp;predictions=10&amp;type1=9606&amp;type2=-22&amp;id1=ENSP00000237612","link")</f>
        <v>link</v>
      </c>
      <c r="AI2770" t="s">
        <v>65</v>
      </c>
      <c r="AJ2770" t="s">
        <v>51</v>
      </c>
      <c r="AK2770" t="str">
        <f>HYPERLINK("http://www.proteinatlas.org/Q9UNQ0","CAB037299;HPA054719")</f>
        <v>CAB037299;HPA054719</v>
      </c>
      <c r="AM2770">
        <v>9429</v>
      </c>
    </row>
    <row r="2771" spans="1:39" x14ac:dyDescent="0.35">
      <c r="A2771" t="s">
        <v>27349</v>
      </c>
      <c r="B2771" t="str">
        <f>HYPERLINK("http://www.uniprot.org/uniprot/Q9UNW8","Q9UNW8")</f>
        <v>Q9UNW8</v>
      </c>
      <c r="C2771" t="s">
        <v>27350</v>
      </c>
      <c r="D2771" t="s">
        <v>27351</v>
      </c>
      <c r="E2771" t="s">
        <v>39</v>
      </c>
      <c r="F2771" t="s">
        <v>55</v>
      </c>
      <c r="H2771">
        <v>380</v>
      </c>
      <c r="I2771">
        <v>7</v>
      </c>
      <c r="J2771">
        <v>0</v>
      </c>
      <c r="K2771" t="s">
        <v>27352</v>
      </c>
      <c r="L2771" t="s">
        <v>101</v>
      </c>
      <c r="M2771" t="s">
        <v>39</v>
      </c>
      <c r="N2771">
        <v>0.96430000000000005</v>
      </c>
      <c r="O2771" s="1">
        <v>1</v>
      </c>
      <c r="P2771" t="s">
        <v>27353</v>
      </c>
      <c r="Q2771" t="s">
        <v>27354</v>
      </c>
      <c r="S2771" t="s">
        <v>166</v>
      </c>
      <c r="T2771" t="s">
        <v>838</v>
      </c>
      <c r="U2771" t="s">
        <v>27355</v>
      </c>
      <c r="V2771">
        <v>2</v>
      </c>
      <c r="Y2771">
        <v>326</v>
      </c>
      <c r="Z2771" t="s">
        <v>107</v>
      </c>
      <c r="AA2771">
        <v>1</v>
      </c>
      <c r="AB2771" t="s">
        <v>27356</v>
      </c>
      <c r="AC2771">
        <v>35</v>
      </c>
      <c r="AD2771" t="s">
        <v>27357</v>
      </c>
      <c r="AE2771" t="s">
        <v>74</v>
      </c>
      <c r="AF2771" t="s">
        <v>27358</v>
      </c>
      <c r="AG2771" t="s">
        <v>27359</v>
      </c>
      <c r="AH2771" t="str">
        <f>HYPERLINK("http://compartments.jensenlab.org/Entity?figures=subcell_cell_%&amp;knowledge=10&amp;textmining=10&amp;experiments=10&amp;predictions=10&amp;type1=9606&amp;type2=-22&amp;id1=ENSP00000328818","link")</f>
        <v>link</v>
      </c>
      <c r="AI2771" t="s">
        <v>65</v>
      </c>
      <c r="AJ2771" t="s">
        <v>51</v>
      </c>
      <c r="AK2771" t="str">
        <f>HYPERLINK("http://www.proteinatlas.org/Q9UNW8","HPA029694;HPA029695")</f>
        <v>HPA029694;HPA029695</v>
      </c>
      <c r="AM2771">
        <v>29933</v>
      </c>
    </row>
    <row r="2772" spans="1:39" x14ac:dyDescent="0.35">
      <c r="A2772" t="s">
        <v>27360</v>
      </c>
      <c r="B2772" t="str">
        <f>HYPERLINK("http://www.uniprot.org/uniprot/Q9UP38","Q9UP38")</f>
        <v>Q9UP38</v>
      </c>
      <c r="C2772" t="s">
        <v>27361</v>
      </c>
      <c r="D2772" t="s">
        <v>27362</v>
      </c>
      <c r="E2772" t="s">
        <v>39</v>
      </c>
      <c r="F2772" t="s">
        <v>40</v>
      </c>
      <c r="H2772">
        <v>647</v>
      </c>
      <c r="I2772">
        <v>7</v>
      </c>
      <c r="J2772">
        <v>1</v>
      </c>
      <c r="K2772" t="s">
        <v>27363</v>
      </c>
      <c r="L2772" t="s">
        <v>57</v>
      </c>
      <c r="N2772">
        <v>0.78039999999999998</v>
      </c>
      <c r="O2772" s="1">
        <v>1</v>
      </c>
      <c r="P2772" t="s">
        <v>27364</v>
      </c>
      <c r="Q2772" t="s">
        <v>27365</v>
      </c>
      <c r="S2772" t="s">
        <v>166</v>
      </c>
      <c r="T2772" t="s">
        <v>827</v>
      </c>
      <c r="U2772" t="s">
        <v>27366</v>
      </c>
      <c r="V2772">
        <v>2</v>
      </c>
      <c r="W2772" t="s">
        <v>27366</v>
      </c>
      <c r="X2772" t="s">
        <v>27367</v>
      </c>
      <c r="AE2772" t="s">
        <v>1863</v>
      </c>
      <c r="AF2772" t="s">
        <v>2551</v>
      </c>
      <c r="AG2772" t="s">
        <v>27368</v>
      </c>
      <c r="AH2772" t="str">
        <f>HYPERLINK("http://compartments.jensenlab.org/Entity?figures=subcell_cell_%&amp;knowledge=10&amp;textmining=10&amp;experiments=10&amp;predictions=10&amp;type1=9606&amp;type2=-22&amp;id1=ENSP00000287934","link")</f>
        <v>link</v>
      </c>
      <c r="AI2772" t="s">
        <v>65</v>
      </c>
      <c r="AJ2772" t="s">
        <v>2124</v>
      </c>
      <c r="AK2772" t="str">
        <f>HYPERLINK("http://www.proteinatlas.org/Q9UP38","CAB013008")</f>
        <v>CAB013008</v>
      </c>
      <c r="AM2772">
        <v>8321</v>
      </c>
    </row>
    <row r="2773" spans="1:39" x14ac:dyDescent="0.35">
      <c r="A2773" t="s">
        <v>27369</v>
      </c>
      <c r="B2773" t="str">
        <f>HYPERLINK("http://www.uniprot.org/uniprot/Q9UP95","Q9UP95")</f>
        <v>Q9UP95</v>
      </c>
      <c r="C2773" t="s">
        <v>27370</v>
      </c>
      <c r="D2773" t="s">
        <v>27371</v>
      </c>
      <c r="E2773" t="s">
        <v>39</v>
      </c>
      <c r="F2773" t="s">
        <v>40</v>
      </c>
      <c r="H2773">
        <v>1085</v>
      </c>
      <c r="I2773">
        <v>12</v>
      </c>
      <c r="J2773">
        <v>0</v>
      </c>
      <c r="K2773" t="s">
        <v>27372</v>
      </c>
      <c r="L2773" t="s">
        <v>57</v>
      </c>
      <c r="N2773">
        <v>0.95209999999999995</v>
      </c>
      <c r="O2773" s="1">
        <v>1</v>
      </c>
      <c r="P2773" t="s">
        <v>27373</v>
      </c>
      <c r="Q2773" t="s">
        <v>27374</v>
      </c>
      <c r="S2773" t="s">
        <v>45</v>
      </c>
      <c r="T2773" t="s">
        <v>46</v>
      </c>
      <c r="U2773" t="s">
        <v>27375</v>
      </c>
      <c r="V2773">
        <v>5</v>
      </c>
      <c r="W2773" t="s">
        <v>27376</v>
      </c>
      <c r="AE2773" t="s">
        <v>48</v>
      </c>
      <c r="AF2773" t="s">
        <v>27377</v>
      </c>
      <c r="AG2773" t="s">
        <v>27378</v>
      </c>
      <c r="AH2773" t="str">
        <f>HYPERLINK("http://compartments.jensenlab.org/Entity?figures=subcell_cell_%&amp;knowledge=10&amp;textmining=10&amp;experiments=10&amp;predictions=10&amp;type1=9606&amp;type2=-22&amp;id1=ENSP00000318557","link")</f>
        <v>link</v>
      </c>
      <c r="AJ2773" t="s">
        <v>51</v>
      </c>
      <c r="AK2773" t="str">
        <f>HYPERLINK("http://www.proteinatlas.org/Q9UP95","HPA041138")</f>
        <v>HPA041138</v>
      </c>
      <c r="AL2773" t="s">
        <v>24218</v>
      </c>
      <c r="AM2773">
        <v>6560</v>
      </c>
    </row>
    <row r="2774" spans="1:39" x14ac:dyDescent="0.35">
      <c r="A2774" t="s">
        <v>27379</v>
      </c>
      <c r="B2774" t="str">
        <f>HYPERLINK("http://www.uniprot.org/uniprot/Q9UPC5","Q9UPC5")</f>
        <v>Q9UPC5</v>
      </c>
      <c r="C2774" t="s">
        <v>27380</v>
      </c>
      <c r="D2774" t="s">
        <v>27381</v>
      </c>
      <c r="E2774" t="s">
        <v>39</v>
      </c>
      <c r="F2774" t="s">
        <v>40</v>
      </c>
      <c r="H2774">
        <v>381</v>
      </c>
      <c r="I2774">
        <v>7</v>
      </c>
      <c r="J2774">
        <v>0</v>
      </c>
      <c r="K2774" t="s">
        <v>27382</v>
      </c>
      <c r="L2774" t="s">
        <v>57</v>
      </c>
      <c r="N2774">
        <v>0.96609999999999996</v>
      </c>
      <c r="O2774" s="1">
        <v>1</v>
      </c>
      <c r="P2774" t="s">
        <v>27383</v>
      </c>
      <c r="Q2774" t="s">
        <v>27384</v>
      </c>
      <c r="S2774" t="s">
        <v>166</v>
      </c>
      <c r="T2774" t="s">
        <v>838</v>
      </c>
      <c r="U2774" t="s">
        <v>27385</v>
      </c>
      <c r="V2774">
        <v>5</v>
      </c>
      <c r="W2774" t="s">
        <v>27386</v>
      </c>
      <c r="AE2774" t="s">
        <v>74</v>
      </c>
      <c r="AF2774" t="s">
        <v>1913</v>
      </c>
      <c r="AG2774" t="s">
        <v>27387</v>
      </c>
      <c r="AH2774" t="str">
        <f>HYPERLINK("http://compartments.jensenlab.org/Entity?figures=subcell_cell_%&amp;knowledge=10&amp;textmining=10&amp;experiments=10&amp;predictions=10&amp;type1=9606&amp;type2=-22&amp;id1=ENSP00000367378","link")</f>
        <v>link</v>
      </c>
      <c r="AI2774" t="s">
        <v>65</v>
      </c>
      <c r="AJ2774" t="s">
        <v>2124</v>
      </c>
      <c r="AK2774" t="str">
        <f>HYPERLINK("http://www.proteinatlas.org/Q9UPC5","HPA010668;CAB025490")</f>
        <v>HPA010668;CAB025490</v>
      </c>
      <c r="AM2774">
        <v>2857</v>
      </c>
    </row>
    <row r="2775" spans="1:39" x14ac:dyDescent="0.35">
      <c r="A2775" t="s">
        <v>27388</v>
      </c>
      <c r="B2775" t="str">
        <f>HYPERLINK("http://www.uniprot.org/uniprot/Q9UPI3","Q9UPI3")</f>
        <v>Q9UPI3</v>
      </c>
      <c r="C2775" t="s">
        <v>27389</v>
      </c>
      <c r="D2775" t="s">
        <v>27390</v>
      </c>
      <c r="E2775" t="s">
        <v>39</v>
      </c>
      <c r="F2775" t="s">
        <v>55</v>
      </c>
      <c r="H2775">
        <v>526</v>
      </c>
      <c r="I2775">
        <v>12</v>
      </c>
      <c r="J2775">
        <v>0</v>
      </c>
      <c r="K2775" t="s">
        <v>27391</v>
      </c>
      <c r="L2775" t="s">
        <v>42</v>
      </c>
      <c r="M2775" t="s">
        <v>39</v>
      </c>
      <c r="N2775">
        <v>0.33660000000000001</v>
      </c>
      <c r="O2775" s="1"/>
      <c r="P2775" t="s">
        <v>27392</v>
      </c>
      <c r="Q2775" t="s">
        <v>27393</v>
      </c>
      <c r="S2775" t="s">
        <v>60</v>
      </c>
      <c r="T2775" t="s">
        <v>60</v>
      </c>
      <c r="U2775" t="s">
        <v>27394</v>
      </c>
      <c r="V2775">
        <v>0</v>
      </c>
      <c r="X2775" t="s">
        <v>27395</v>
      </c>
      <c r="AE2775" t="s">
        <v>74</v>
      </c>
      <c r="AF2775" t="s">
        <v>27396</v>
      </c>
      <c r="AG2775" t="s">
        <v>27397</v>
      </c>
      <c r="AH2775" t="str">
        <f>HYPERLINK("http://compartments.jensenlab.org/Entity?figures=subcell_cell_%&amp;knowledge=10&amp;textmining=10&amp;experiments=10&amp;predictions=10&amp;type1=9606&amp;type2=-22&amp;id1=ENSP00000238667","link")</f>
        <v>link</v>
      </c>
      <c r="AI2775" t="s">
        <v>65</v>
      </c>
      <c r="AJ2775" t="s">
        <v>51</v>
      </c>
      <c r="AK2775" t="str">
        <f>HYPERLINK("http://www.proteinatlas.org/Q9UPI3","HPA037984;HPA037985")</f>
        <v>HPA037984;HPA037985</v>
      </c>
      <c r="AM2775">
        <v>55640</v>
      </c>
    </row>
    <row r="2776" spans="1:39" x14ac:dyDescent="0.35">
      <c r="A2776" t="s">
        <v>27398</v>
      </c>
      <c r="B2776" t="str">
        <f>HYPERLINK("http://www.uniprot.org/uniprot/Q9UPR5","Q9UPR5")</f>
        <v>Q9UPR5</v>
      </c>
      <c r="C2776" t="s">
        <v>27399</v>
      </c>
      <c r="D2776" t="s">
        <v>27400</v>
      </c>
      <c r="E2776" t="s">
        <v>39</v>
      </c>
      <c r="F2776" t="s">
        <v>40</v>
      </c>
      <c r="H2776">
        <v>921</v>
      </c>
      <c r="I2776">
        <v>11</v>
      </c>
      <c r="J2776">
        <v>1</v>
      </c>
      <c r="K2776" t="s">
        <v>27401</v>
      </c>
      <c r="L2776" t="s">
        <v>57</v>
      </c>
      <c r="N2776">
        <v>0.75849999999999995</v>
      </c>
      <c r="O2776" s="1">
        <v>1</v>
      </c>
      <c r="P2776" t="s">
        <v>27402</v>
      </c>
      <c r="Q2776" t="s">
        <v>27403</v>
      </c>
      <c r="S2776" t="s">
        <v>45</v>
      </c>
      <c r="T2776" t="s">
        <v>8336</v>
      </c>
      <c r="U2776" t="s">
        <v>27404</v>
      </c>
      <c r="V2776">
        <v>2</v>
      </c>
      <c r="X2776" t="s">
        <v>27405</v>
      </c>
      <c r="AE2776" t="s">
        <v>48</v>
      </c>
      <c r="AF2776" t="s">
        <v>27406</v>
      </c>
      <c r="AG2776" t="s">
        <v>27407</v>
      </c>
      <c r="AH2776" t="str">
        <f>HYPERLINK("http://compartments.jensenlab.org/Entity?figures=subcell_cell_%&amp;knowledge=10&amp;textmining=10&amp;experiments=10&amp;predictions=10&amp;type1=9606&amp;type2=-22&amp;id1=ENSP00000236877","link")</f>
        <v>link</v>
      </c>
      <c r="AJ2776" t="s">
        <v>9817</v>
      </c>
      <c r="AK2776" t="str">
        <f>HYPERLINK("http://www.proteinatlas.org/Q9UPR5","HPA050818;HPA054671")</f>
        <v>HPA050818;HPA054671</v>
      </c>
      <c r="AM2776">
        <v>6543</v>
      </c>
    </row>
    <row r="2777" spans="1:39" x14ac:dyDescent="0.35">
      <c r="A2777" t="s">
        <v>27408</v>
      </c>
      <c r="B2777" t="str">
        <f>HYPERLINK("http://www.uniprot.org/uniprot/Q9UPU3","Q9UPU3")</f>
        <v>Q9UPU3</v>
      </c>
      <c r="C2777" t="s">
        <v>27409</v>
      </c>
      <c r="D2777" t="s">
        <v>27410</v>
      </c>
      <c r="E2777" t="s">
        <v>39</v>
      </c>
      <c r="F2777" t="s">
        <v>40</v>
      </c>
      <c r="H2777">
        <v>1222</v>
      </c>
      <c r="I2777">
        <v>1</v>
      </c>
      <c r="J2777">
        <v>1</v>
      </c>
      <c r="K2777" t="s">
        <v>27411</v>
      </c>
      <c r="L2777" t="s">
        <v>57</v>
      </c>
      <c r="N2777">
        <v>0.77249999999999996</v>
      </c>
      <c r="O2777" s="1">
        <v>1</v>
      </c>
      <c r="P2777" t="s">
        <v>27412</v>
      </c>
      <c r="Q2777" t="s">
        <v>27413</v>
      </c>
      <c r="S2777" t="s">
        <v>166</v>
      </c>
      <c r="T2777" t="s">
        <v>21189</v>
      </c>
      <c r="U2777" t="s">
        <v>27414</v>
      </c>
      <c r="V2777">
        <v>9</v>
      </c>
      <c r="AE2777" t="s">
        <v>144</v>
      </c>
      <c r="AF2777" t="s">
        <v>27415</v>
      </c>
      <c r="AG2777" t="s">
        <v>27416</v>
      </c>
      <c r="AH2777" t="str">
        <f>HYPERLINK("http://compartments.jensenlab.org/Entity?figures=subcell_cell_%&amp;knowledge=10&amp;textmining=10&amp;experiments=10&amp;predictions=10&amp;type1=9606&amp;type2=-22&amp;id1=ENSP00000358713","link")</f>
        <v>link</v>
      </c>
      <c r="AJ2777" t="s">
        <v>51</v>
      </c>
      <c r="AK2777" t="str">
        <f>HYPERLINK("http://www.proteinatlas.org/Q9UPU3","HPA049097")</f>
        <v>HPA049097</v>
      </c>
      <c r="AM2777">
        <v>22986</v>
      </c>
    </row>
    <row r="2778" spans="1:39" x14ac:dyDescent="0.35">
      <c r="A2778" t="s">
        <v>27417</v>
      </c>
      <c r="B2778" t="str">
        <f>HYPERLINK("http://www.uniprot.org/uniprot/Q9UPX0","Q9UPX0")</f>
        <v>Q9UPX0</v>
      </c>
      <c r="C2778" t="s">
        <v>27418</v>
      </c>
      <c r="D2778" t="s">
        <v>27419</v>
      </c>
      <c r="E2778" t="s">
        <v>39</v>
      </c>
      <c r="F2778" t="s">
        <v>40</v>
      </c>
      <c r="H2778">
        <v>1349</v>
      </c>
      <c r="I2778">
        <v>1</v>
      </c>
      <c r="J2778">
        <v>1</v>
      </c>
      <c r="K2778" t="s">
        <v>27420</v>
      </c>
      <c r="L2778" t="s">
        <v>57</v>
      </c>
      <c r="N2778">
        <v>0.94010000000000005</v>
      </c>
      <c r="O2778" s="1">
        <v>1</v>
      </c>
      <c r="P2778" t="s">
        <v>27421</v>
      </c>
      <c r="Q2778" t="s">
        <v>27422</v>
      </c>
      <c r="S2778" t="s">
        <v>91</v>
      </c>
      <c r="T2778" t="s">
        <v>555</v>
      </c>
      <c r="U2778" t="s">
        <v>27423</v>
      </c>
      <c r="V2778">
        <v>7</v>
      </c>
      <c r="AE2778" t="s">
        <v>332</v>
      </c>
      <c r="AF2778" t="s">
        <v>27424</v>
      </c>
      <c r="AG2778" t="s">
        <v>27425</v>
      </c>
      <c r="AH2778" t="str">
        <f>HYPERLINK("http://compartments.jensenlab.org/Entity?figures=subcell_cell_%&amp;knowledge=10&amp;textmining=10&amp;experiments=10&amp;predictions=10&amp;type1=9606&amp;type2=-22&amp;id1=ENSP00000317980","link")</f>
        <v>link</v>
      </c>
      <c r="AI2778" t="s">
        <v>65</v>
      </c>
      <c r="AJ2778" t="s">
        <v>51</v>
      </c>
      <c r="AK2778" t="str">
        <f>HYPERLINK("http://www.proteinatlas.org/Q9UPX0","HPA010802")</f>
        <v>HPA010802</v>
      </c>
      <c r="AM2778">
        <v>22997</v>
      </c>
    </row>
    <row r="2779" spans="1:39" x14ac:dyDescent="0.35">
      <c r="A2779" t="s">
        <v>27426</v>
      </c>
      <c r="B2779" t="str">
        <f>HYPERLINK("http://www.uniprot.org/uniprot/Q9UPZ6","Q9UPZ6")</f>
        <v>Q9UPZ6</v>
      </c>
      <c r="C2779" t="s">
        <v>27427</v>
      </c>
      <c r="D2779" t="s">
        <v>27428</v>
      </c>
      <c r="E2779" t="s">
        <v>39</v>
      </c>
      <c r="F2779" t="s">
        <v>55</v>
      </c>
      <c r="H2779">
        <v>1657</v>
      </c>
      <c r="I2779">
        <v>1</v>
      </c>
      <c r="J2779">
        <v>1</v>
      </c>
      <c r="K2779" t="s">
        <v>27429</v>
      </c>
      <c r="L2779" t="s">
        <v>101</v>
      </c>
      <c r="M2779" t="s">
        <v>39</v>
      </c>
      <c r="N2779">
        <v>0.89949999999999997</v>
      </c>
      <c r="O2779" s="1">
        <v>1</v>
      </c>
      <c r="P2779" t="s">
        <v>27430</v>
      </c>
      <c r="Q2779" t="s">
        <v>27431</v>
      </c>
      <c r="S2779" t="s">
        <v>60</v>
      </c>
      <c r="T2779" t="s">
        <v>60</v>
      </c>
      <c r="U2779" t="s">
        <v>27432</v>
      </c>
      <c r="V2779">
        <v>14</v>
      </c>
      <c r="W2779" t="s">
        <v>27432</v>
      </c>
      <c r="Y2779" t="s">
        <v>27433</v>
      </c>
      <c r="Z2779" t="s">
        <v>107</v>
      </c>
      <c r="AA2779">
        <v>1</v>
      </c>
      <c r="AB2779" t="s">
        <v>27434</v>
      </c>
      <c r="AC2779">
        <v>450</v>
      </c>
      <c r="AD2779" t="s">
        <v>27435</v>
      </c>
      <c r="AE2779" t="s">
        <v>1250</v>
      </c>
      <c r="AF2779" t="s">
        <v>27436</v>
      </c>
      <c r="AG2779" t="s">
        <v>27437</v>
      </c>
      <c r="AH2779" t="str">
        <f>HYPERLINK("http://compartments.jensenlab.org/Entity?figures=subcell_cell_%&amp;knowledge=10&amp;textmining=10&amp;experiments=10&amp;predictions=10&amp;type1=9606&amp;type2=-22&amp;id1=ENSP00000406482","link")</f>
        <v>link</v>
      </c>
      <c r="AJ2779" t="s">
        <v>51</v>
      </c>
      <c r="AK2779" t="str">
        <f>HYPERLINK("http://www.proteinatlas.org/Q9UPZ6","HPA000923")</f>
        <v>HPA000923</v>
      </c>
      <c r="AM2779">
        <v>221981</v>
      </c>
    </row>
    <row r="2780" spans="1:39" x14ac:dyDescent="0.35">
      <c r="A2780" t="s">
        <v>27438</v>
      </c>
      <c r="B2780" t="str">
        <f>HYPERLINK("http://www.uniprot.org/uniprot/Q9UQ52","Q9UQ52")</f>
        <v>Q9UQ52</v>
      </c>
      <c r="C2780" t="s">
        <v>27439</v>
      </c>
      <c r="D2780" t="s">
        <v>27440</v>
      </c>
      <c r="E2780" t="s">
        <v>39</v>
      </c>
      <c r="F2780" t="s">
        <v>239</v>
      </c>
      <c r="H2780">
        <v>1028</v>
      </c>
      <c r="I2780">
        <v>0</v>
      </c>
      <c r="J2780">
        <v>1</v>
      </c>
      <c r="K2780" t="s">
        <v>27441</v>
      </c>
      <c r="L2780" t="s">
        <v>57</v>
      </c>
      <c r="N2780">
        <v>0.74850000000000005</v>
      </c>
      <c r="O2780" s="1" t="s">
        <v>997</v>
      </c>
      <c r="P2780" t="s">
        <v>27442</v>
      </c>
      <c r="Q2780" t="s">
        <v>27443</v>
      </c>
      <c r="S2780" t="s">
        <v>60</v>
      </c>
      <c r="T2780" t="s">
        <v>60</v>
      </c>
      <c r="U2780" t="s">
        <v>27444</v>
      </c>
      <c r="V2780">
        <v>14</v>
      </c>
      <c r="W2780" t="s">
        <v>27444</v>
      </c>
      <c r="Y2780">
        <v>348</v>
      </c>
      <c r="AE2780" t="s">
        <v>243</v>
      </c>
      <c r="AF2780" t="s">
        <v>27445</v>
      </c>
      <c r="AG2780" t="s">
        <v>27446</v>
      </c>
      <c r="AH2780" t="str">
        <f>HYPERLINK("http://compartments.jensenlab.org/Entity?figures=subcell_cell_%&amp;knowledge=10&amp;textmining=10&amp;experiments=10&amp;predictions=10&amp;type1=9606&amp;type2=-22&amp;id1=ENSP00000341882","link")</f>
        <v>link</v>
      </c>
      <c r="AI2780" t="s">
        <v>65</v>
      </c>
      <c r="AJ2780" t="s">
        <v>51</v>
      </c>
      <c r="AK2780" t="str">
        <f>HYPERLINK("http://www.proteinatlas.org/Q9UQ52","HPA016645")</f>
        <v>HPA016645</v>
      </c>
      <c r="AM2780">
        <v>27255</v>
      </c>
    </row>
    <row r="2781" spans="1:39" x14ac:dyDescent="0.35">
      <c r="A2781" t="s">
        <v>27447</v>
      </c>
      <c r="B2781" t="str">
        <f>HYPERLINK("http://www.uniprot.org/uniprot/Q9UQC9","Q9UQC9")</f>
        <v>Q9UQC9</v>
      </c>
      <c r="C2781" t="s">
        <v>27448</v>
      </c>
      <c r="D2781" t="s">
        <v>27449</v>
      </c>
      <c r="E2781" t="s">
        <v>39</v>
      </c>
      <c r="F2781" t="s">
        <v>55</v>
      </c>
      <c r="H2781">
        <v>943</v>
      </c>
      <c r="I2781">
        <v>1</v>
      </c>
      <c r="J2781">
        <v>1</v>
      </c>
      <c r="K2781" t="s">
        <v>27450</v>
      </c>
      <c r="L2781" t="s">
        <v>101</v>
      </c>
      <c r="M2781" t="s">
        <v>39</v>
      </c>
      <c r="N2781">
        <v>0.8548</v>
      </c>
      <c r="O2781" s="1">
        <v>1</v>
      </c>
      <c r="P2781" t="s">
        <v>27451</v>
      </c>
      <c r="Q2781" t="s">
        <v>27452</v>
      </c>
      <c r="S2781" t="s">
        <v>60</v>
      </c>
      <c r="T2781" t="s">
        <v>60</v>
      </c>
      <c r="U2781" t="s">
        <v>27453</v>
      </c>
      <c r="V2781">
        <v>13</v>
      </c>
      <c r="W2781" t="s">
        <v>27453</v>
      </c>
      <c r="Z2781" t="s">
        <v>107</v>
      </c>
      <c r="AA2781">
        <v>3</v>
      </c>
      <c r="AB2781" t="s">
        <v>27454</v>
      </c>
      <c r="AC2781" t="s">
        <v>27455</v>
      </c>
      <c r="AD2781" t="s">
        <v>27456</v>
      </c>
      <c r="AE2781" t="s">
        <v>27457</v>
      </c>
      <c r="AF2781" t="s">
        <v>27458</v>
      </c>
      <c r="AG2781" t="s">
        <v>27459</v>
      </c>
      <c r="AH2781" t="str">
        <f>HYPERLINK("http://compartments.jensenlab.org/Entity?figures=subcell_cell_%&amp;knowledge=10&amp;textmining=10&amp;experiments=10&amp;predictions=10&amp;type1=9606&amp;type2=-22&amp;id1=ENSP00000359596","link")</f>
        <v>link</v>
      </c>
      <c r="AI2781" t="s">
        <v>1058</v>
      </c>
      <c r="AJ2781" t="s">
        <v>902</v>
      </c>
      <c r="AK2781" t="str">
        <f>HYPERLINK("http://www.proteinatlas.org/Q9UQC9","HPA047192")</f>
        <v>HPA047192</v>
      </c>
      <c r="AM2781">
        <v>9635</v>
      </c>
    </row>
    <row r="2782" spans="1:39" x14ac:dyDescent="0.35">
      <c r="A2782" t="s">
        <v>27460</v>
      </c>
      <c r="B2782" t="str">
        <f>HYPERLINK("http://www.uniprot.org/uniprot/Q9UQD0","Q9UQD0")</f>
        <v>Q9UQD0</v>
      </c>
      <c r="C2782" t="s">
        <v>27461</v>
      </c>
      <c r="D2782" t="s">
        <v>27462</v>
      </c>
      <c r="E2782" t="s">
        <v>39</v>
      </c>
      <c r="F2782" t="s">
        <v>40</v>
      </c>
      <c r="H2782">
        <v>1980</v>
      </c>
      <c r="I2782">
        <v>24</v>
      </c>
      <c r="J2782">
        <v>0</v>
      </c>
      <c r="K2782" t="s">
        <v>27463</v>
      </c>
      <c r="L2782" t="s">
        <v>57</v>
      </c>
      <c r="N2782">
        <v>0.73250000000000004</v>
      </c>
      <c r="O2782" s="1">
        <v>2</v>
      </c>
      <c r="S2782" t="s">
        <v>45</v>
      </c>
      <c r="T2782" t="s">
        <v>8727</v>
      </c>
      <c r="U2782" t="s">
        <v>27464</v>
      </c>
      <c r="V2782">
        <v>8</v>
      </c>
      <c r="AE2782" t="s">
        <v>27465</v>
      </c>
      <c r="AF2782" t="s">
        <v>27466</v>
      </c>
      <c r="AG2782" t="s">
        <v>27467</v>
      </c>
      <c r="AK2782" t="str">
        <f>HYPERLINK("http://www.proteinatlas.org/Q9UQD0","no")</f>
        <v>no</v>
      </c>
      <c r="AL2782" t="s">
        <v>27468</v>
      </c>
      <c r="AM2782">
        <v>6334</v>
      </c>
    </row>
    <row r="2783" spans="1:39" x14ac:dyDescent="0.35">
      <c r="A2783" t="s">
        <v>27469</v>
      </c>
      <c r="B2783" t="str">
        <f>HYPERLINK("http://www.uniprot.org/uniprot/Q9UQF0","Q9UQF0")</f>
        <v>Q9UQF0</v>
      </c>
      <c r="C2783" t="s">
        <v>27470</v>
      </c>
      <c r="D2783" t="s">
        <v>27471</v>
      </c>
      <c r="E2783" t="s">
        <v>39</v>
      </c>
      <c r="F2783" t="s">
        <v>40</v>
      </c>
      <c r="H2783">
        <v>538</v>
      </c>
      <c r="I2783">
        <v>1</v>
      </c>
      <c r="J2783">
        <v>1</v>
      </c>
      <c r="K2783" t="s">
        <v>27472</v>
      </c>
      <c r="L2783" t="s">
        <v>57</v>
      </c>
      <c r="N2783">
        <v>0.91820000000000002</v>
      </c>
      <c r="O2783" s="1">
        <v>1</v>
      </c>
      <c r="P2783" t="s">
        <v>27473</v>
      </c>
      <c r="Q2783" t="s">
        <v>27474</v>
      </c>
      <c r="S2783" t="s">
        <v>91</v>
      </c>
      <c r="T2783" t="s">
        <v>738</v>
      </c>
      <c r="U2783" t="s">
        <v>27475</v>
      </c>
      <c r="V2783">
        <v>7</v>
      </c>
      <c r="Y2783">
        <v>444</v>
      </c>
      <c r="AE2783" t="s">
        <v>27476</v>
      </c>
      <c r="AF2783" t="s">
        <v>24999</v>
      </c>
      <c r="AG2783" t="s">
        <v>27477</v>
      </c>
      <c r="AH2783" t="str">
        <f>HYPERLINK("http://compartments.jensenlab.org/Entity?figures=subcell_cell_%&amp;knowledge=10&amp;textmining=10&amp;experiments=10&amp;predictions=10&amp;type1=9606&amp;type2=-22&amp;id1=ENSP00000419945","link")</f>
        <v>link</v>
      </c>
      <c r="AI2783" t="s">
        <v>65</v>
      </c>
      <c r="AJ2783" t="s">
        <v>51</v>
      </c>
      <c r="AK2783" t="str">
        <f>HYPERLINK("http://www.proteinatlas.org/Q9UQF0","no")</f>
        <v>no</v>
      </c>
      <c r="AM2783">
        <v>30816</v>
      </c>
    </row>
    <row r="2784" spans="1:39" x14ac:dyDescent="0.35">
      <c r="A2784" t="s">
        <v>27478</v>
      </c>
      <c r="B2784" t="str">
        <f>HYPERLINK("http://www.uniprot.org/uniprot/Q9UQQ1","Q9UQQ1")</f>
        <v>Q9UQQ1</v>
      </c>
      <c r="C2784" t="s">
        <v>27479</v>
      </c>
      <c r="D2784" t="s">
        <v>27480</v>
      </c>
      <c r="E2784" t="s">
        <v>39</v>
      </c>
      <c r="F2784" t="s">
        <v>55</v>
      </c>
      <c r="H2784">
        <v>740</v>
      </c>
      <c r="I2784">
        <v>1</v>
      </c>
      <c r="J2784">
        <v>0</v>
      </c>
      <c r="K2784" t="s">
        <v>27481</v>
      </c>
      <c r="L2784" t="s">
        <v>57</v>
      </c>
      <c r="M2784" t="s">
        <v>39</v>
      </c>
      <c r="N2784">
        <v>0.2944</v>
      </c>
      <c r="O2784" s="1"/>
      <c r="P2784" t="s">
        <v>27482</v>
      </c>
      <c r="Q2784" t="s">
        <v>27483</v>
      </c>
      <c r="U2784" t="s">
        <v>27484</v>
      </c>
      <c r="V2784">
        <v>7</v>
      </c>
      <c r="AE2784" t="s">
        <v>27485</v>
      </c>
      <c r="AF2784" t="s">
        <v>27486</v>
      </c>
      <c r="AG2784" t="s">
        <v>27487</v>
      </c>
      <c r="AH2784" t="str">
        <f>HYPERLINK("http://compartments.jensenlab.org/Entity?figures=subcell_cell_%&amp;knowledge=10&amp;textmining=10&amp;experiments=10&amp;predictions=10&amp;type1=9606&amp;type2=-22&amp;id1=ENSP00000351484","link")</f>
        <v>link</v>
      </c>
      <c r="AI2784" t="s">
        <v>65</v>
      </c>
      <c r="AJ2784" t="s">
        <v>51</v>
      </c>
      <c r="AK2784" t="str">
        <f>HYPERLINK("http://www.proteinatlas.org/Q9UQQ1","HPA047123")</f>
        <v>HPA047123</v>
      </c>
      <c r="AM2784">
        <v>10004</v>
      </c>
    </row>
    <row r="2785" spans="1:39" x14ac:dyDescent="0.35">
      <c r="A2785" t="s">
        <v>27488</v>
      </c>
      <c r="B2785" t="str">
        <f>HYPERLINK("http://www.uniprot.org/uniprot/Q9UQV4","Q9UQV4")</f>
        <v>Q9UQV4</v>
      </c>
      <c r="C2785" t="s">
        <v>27489</v>
      </c>
      <c r="D2785" t="s">
        <v>27490</v>
      </c>
      <c r="E2785" t="s">
        <v>39</v>
      </c>
      <c r="F2785" t="s">
        <v>40</v>
      </c>
      <c r="H2785">
        <v>416</v>
      </c>
      <c r="I2785">
        <v>1</v>
      </c>
      <c r="J2785">
        <v>1</v>
      </c>
      <c r="K2785" t="s">
        <v>27491</v>
      </c>
      <c r="L2785" t="s">
        <v>101</v>
      </c>
      <c r="N2785">
        <v>0.72850000000000004</v>
      </c>
      <c r="O2785" s="1">
        <v>2</v>
      </c>
      <c r="P2785" t="s">
        <v>27492</v>
      </c>
      <c r="Q2785" t="s">
        <v>27493</v>
      </c>
      <c r="R2785" t="s">
        <v>27494</v>
      </c>
      <c r="S2785" t="s">
        <v>166</v>
      </c>
      <c r="T2785" t="s">
        <v>5124</v>
      </c>
      <c r="U2785" t="s">
        <v>27495</v>
      </c>
      <c r="V2785">
        <v>7</v>
      </c>
      <c r="X2785" t="s">
        <v>27496</v>
      </c>
      <c r="Z2785" t="s">
        <v>107</v>
      </c>
      <c r="AA2785">
        <v>1</v>
      </c>
      <c r="AB2785" t="s">
        <v>27497</v>
      </c>
      <c r="AC2785">
        <v>232</v>
      </c>
      <c r="AD2785" t="s">
        <v>27498</v>
      </c>
      <c r="AE2785" t="s">
        <v>27499</v>
      </c>
      <c r="AF2785" t="s">
        <v>27500</v>
      </c>
      <c r="AG2785" t="s">
        <v>27501</v>
      </c>
      <c r="AH2785" t="str">
        <f>HYPERLINK("http://compartments.jensenlab.org/Entity?figures=subcell_cell_%&amp;knowledge=10&amp;textmining=10&amp;experiments=10&amp;predictions=10&amp;type1=9606&amp;type2=-22&amp;id1=ENSP00000265598","link")</f>
        <v>link</v>
      </c>
      <c r="AI2785" t="s">
        <v>1487</v>
      </c>
      <c r="AJ2785" t="s">
        <v>1488</v>
      </c>
      <c r="AK2785" t="str">
        <f>HYPERLINK("http://www.proteinatlas.org/Q9UQV4","CAB025133;HPA051467")</f>
        <v>CAB025133;HPA051467</v>
      </c>
      <c r="AM2785">
        <v>27074</v>
      </c>
    </row>
    <row r="2786" spans="1:39" x14ac:dyDescent="0.35">
      <c r="A2786" t="s">
        <v>27502</v>
      </c>
      <c r="B2786" t="str">
        <f>HYPERLINK("http://www.uniprot.org/uniprot/Q9Y219","Q9Y219")</f>
        <v>Q9Y219</v>
      </c>
      <c r="C2786" t="s">
        <v>27503</v>
      </c>
      <c r="D2786" t="s">
        <v>27504</v>
      </c>
      <c r="E2786" t="s">
        <v>39</v>
      </c>
      <c r="F2786" t="s">
        <v>40</v>
      </c>
      <c r="H2786">
        <v>1238</v>
      </c>
      <c r="I2786">
        <v>1</v>
      </c>
      <c r="J2786">
        <v>1</v>
      </c>
      <c r="K2786" t="s">
        <v>27505</v>
      </c>
      <c r="L2786" t="s">
        <v>101</v>
      </c>
      <c r="N2786">
        <v>0.87619999999999998</v>
      </c>
      <c r="O2786" s="1">
        <v>1</v>
      </c>
      <c r="P2786" t="s">
        <v>27506</v>
      </c>
      <c r="Q2786" t="s">
        <v>27507</v>
      </c>
      <c r="S2786" t="s">
        <v>91</v>
      </c>
      <c r="T2786" t="s">
        <v>11468</v>
      </c>
      <c r="U2786" t="s">
        <v>27508</v>
      </c>
      <c r="V2786">
        <v>5</v>
      </c>
      <c r="W2786" t="s">
        <v>27508</v>
      </c>
      <c r="Y2786" t="s">
        <v>27509</v>
      </c>
      <c r="Z2786" t="s">
        <v>107</v>
      </c>
      <c r="AA2786">
        <v>1</v>
      </c>
      <c r="AB2786" t="s">
        <v>27510</v>
      </c>
      <c r="AC2786">
        <v>1058</v>
      </c>
      <c r="AD2786" t="s">
        <v>27511</v>
      </c>
      <c r="AE2786" t="s">
        <v>144</v>
      </c>
      <c r="AF2786" t="s">
        <v>27512</v>
      </c>
      <c r="AG2786" t="s">
        <v>27513</v>
      </c>
      <c r="AH2786" t="str">
        <f>HYPERLINK("http://compartments.jensenlab.org/Entity?figures=subcell_cell_%&amp;knowledge=10&amp;textmining=10&amp;experiments=10&amp;predictions=10&amp;type1=9606&amp;type2=-22&amp;id1=ENSP00000328169","link")</f>
        <v>link</v>
      </c>
      <c r="AJ2786" t="s">
        <v>51</v>
      </c>
      <c r="AK2786" t="str">
        <f>HYPERLINK("http://www.proteinatlas.org/Q9Y219","CAB025481;HPA030636;HPA050567")</f>
        <v>CAB025481;HPA030636;HPA050567</v>
      </c>
      <c r="AM2786">
        <v>3714</v>
      </c>
    </row>
    <row r="2787" spans="1:39" x14ac:dyDescent="0.35">
      <c r="A2787" t="s">
        <v>27514</v>
      </c>
      <c r="B2787" t="str">
        <f>HYPERLINK("http://www.uniprot.org/uniprot/Q9Y226","Q9Y226")</f>
        <v>Q9Y226</v>
      </c>
      <c r="C2787" t="s">
        <v>27515</v>
      </c>
      <c r="D2787" t="s">
        <v>27516</v>
      </c>
      <c r="E2787" t="s">
        <v>39</v>
      </c>
      <c r="F2787" t="s">
        <v>40</v>
      </c>
      <c r="H2787">
        <v>551</v>
      </c>
      <c r="I2787">
        <v>12</v>
      </c>
      <c r="J2787">
        <v>0</v>
      </c>
      <c r="K2787" t="s">
        <v>27517</v>
      </c>
      <c r="L2787" t="s">
        <v>57</v>
      </c>
      <c r="N2787">
        <v>0.82040000000000002</v>
      </c>
      <c r="O2787" s="1">
        <v>1</v>
      </c>
      <c r="P2787" t="s">
        <v>27518</v>
      </c>
      <c r="Q2787" t="s">
        <v>27519</v>
      </c>
      <c r="S2787" t="s">
        <v>45</v>
      </c>
      <c r="T2787" t="s">
        <v>121</v>
      </c>
      <c r="U2787" t="s">
        <v>27520</v>
      </c>
      <c r="V2787">
        <v>4</v>
      </c>
      <c r="W2787" t="s">
        <v>27521</v>
      </c>
      <c r="AE2787" t="s">
        <v>48</v>
      </c>
      <c r="AF2787" t="s">
        <v>472</v>
      </c>
      <c r="AG2787" t="s">
        <v>27522</v>
      </c>
      <c r="AH2787" t="str">
        <f>HYPERLINK("http://compartments.jensenlab.org/Entity?figures=subcell_cell_%&amp;knowledge=10&amp;textmining=10&amp;experiments=10&amp;predictions=10&amp;type1=9606&amp;type2=-22&amp;id1=ENSP00000310241","link")</f>
        <v>link</v>
      </c>
      <c r="AI2787" t="s">
        <v>65</v>
      </c>
      <c r="AJ2787" t="s">
        <v>51</v>
      </c>
      <c r="AK2787" t="str">
        <f>HYPERLINK("http://www.proteinatlas.org/Q9Y226","HPA035603;HPA035962")</f>
        <v>HPA035603;HPA035962</v>
      </c>
      <c r="AM2787">
        <v>9390</v>
      </c>
    </row>
    <row r="2788" spans="1:39" x14ac:dyDescent="0.35">
      <c r="A2788" t="s">
        <v>27523</v>
      </c>
      <c r="B2788" t="str">
        <f>HYPERLINK("http://www.uniprot.org/uniprot/Q9Y267","Q9Y267")</f>
        <v>Q9Y267</v>
      </c>
      <c r="C2788" t="s">
        <v>27524</v>
      </c>
      <c r="D2788" t="s">
        <v>27525</v>
      </c>
      <c r="E2788" t="s">
        <v>39</v>
      </c>
      <c r="F2788" t="s">
        <v>40</v>
      </c>
      <c r="H2788">
        <v>594</v>
      </c>
      <c r="I2788">
        <v>12</v>
      </c>
      <c r="J2788">
        <v>0</v>
      </c>
      <c r="K2788" t="s">
        <v>27526</v>
      </c>
      <c r="L2788" t="s">
        <v>57</v>
      </c>
      <c r="N2788">
        <v>0.84230000000000005</v>
      </c>
      <c r="O2788" s="1">
        <v>1</v>
      </c>
      <c r="P2788" t="s">
        <v>27527</v>
      </c>
      <c r="Q2788" t="s">
        <v>27528</v>
      </c>
      <c r="S2788" t="s">
        <v>45</v>
      </c>
      <c r="T2788" t="s">
        <v>121</v>
      </c>
      <c r="U2788" t="s">
        <v>27529</v>
      </c>
      <c r="V2788">
        <v>4</v>
      </c>
      <c r="W2788" t="s">
        <v>27530</v>
      </c>
      <c r="AE2788" t="s">
        <v>48</v>
      </c>
      <c r="AF2788" t="s">
        <v>83</v>
      </c>
      <c r="AG2788" t="s">
        <v>27531</v>
      </c>
      <c r="AH2788" t="str">
        <f>HYPERLINK("http://compartments.jensenlab.org/Entity?figures=subcell_cell_%&amp;knowledge=10&amp;textmining=10&amp;experiments=10&amp;predictions=10&amp;type1=9606&amp;type2=-22&amp;id1=ENSP00000273173","link")</f>
        <v>link</v>
      </c>
      <c r="AI2788" t="s">
        <v>65</v>
      </c>
      <c r="AJ2788" t="s">
        <v>51</v>
      </c>
      <c r="AK2788" t="str">
        <f>HYPERLINK("http://www.proteinatlas.org/Q9Y267","HPA037556")</f>
        <v>HPA037556</v>
      </c>
      <c r="AM2788">
        <v>9389</v>
      </c>
    </row>
    <row r="2789" spans="1:39" x14ac:dyDescent="0.35">
      <c r="A2789" t="s">
        <v>27532</v>
      </c>
      <c r="B2789" t="str">
        <f>HYPERLINK("http://www.uniprot.org/uniprot/Q9Y271","Q9Y271")</f>
        <v>Q9Y271</v>
      </c>
      <c r="C2789" t="s">
        <v>27533</v>
      </c>
      <c r="D2789" t="s">
        <v>27534</v>
      </c>
      <c r="E2789" t="s">
        <v>39</v>
      </c>
      <c r="F2789" t="s">
        <v>55</v>
      </c>
      <c r="H2789">
        <v>337</v>
      </c>
      <c r="I2789">
        <v>7</v>
      </c>
      <c r="J2789">
        <v>0</v>
      </c>
      <c r="K2789" t="s">
        <v>27535</v>
      </c>
      <c r="L2789" t="s">
        <v>101</v>
      </c>
      <c r="M2789" t="s">
        <v>39</v>
      </c>
      <c r="N2789">
        <v>0.9405</v>
      </c>
      <c r="O2789" s="1">
        <v>1</v>
      </c>
      <c r="P2789" t="s">
        <v>27536</v>
      </c>
      <c r="Q2789" t="s">
        <v>27537</v>
      </c>
      <c r="S2789" t="s">
        <v>166</v>
      </c>
      <c r="T2789" t="s">
        <v>838</v>
      </c>
      <c r="U2789" t="s">
        <v>27538</v>
      </c>
      <c r="V2789">
        <v>4</v>
      </c>
      <c r="W2789" t="s">
        <v>27539</v>
      </c>
      <c r="Z2789" t="s">
        <v>107</v>
      </c>
      <c r="AA2789">
        <v>4</v>
      </c>
      <c r="AB2789" t="s">
        <v>27540</v>
      </c>
      <c r="AC2789" t="s">
        <v>27539</v>
      </c>
      <c r="AD2789" t="s">
        <v>27541</v>
      </c>
      <c r="AE2789" t="s">
        <v>74</v>
      </c>
      <c r="AF2789" t="s">
        <v>1913</v>
      </c>
      <c r="AG2789" t="s">
        <v>27542</v>
      </c>
      <c r="AH2789" t="str">
        <f>HYPERLINK("http://compartments.jensenlab.org/Entity?figures=subcell_cell_%&amp;knowledge=10&amp;textmining=10&amp;experiments=10&amp;predictions=10&amp;type1=9606&amp;type2=-22&amp;id1=ENSP00000362401","link")</f>
        <v>link</v>
      </c>
      <c r="AI2789" t="s">
        <v>65</v>
      </c>
      <c r="AJ2789" t="s">
        <v>51</v>
      </c>
      <c r="AK2789" t="str">
        <f>HYPERLINK("http://www.proteinatlas.org/Q9Y271","HPA010546")</f>
        <v>HPA010546</v>
      </c>
      <c r="AL2789" t="s">
        <v>27543</v>
      </c>
      <c r="AM2789">
        <v>10800</v>
      </c>
    </row>
    <row r="2790" spans="1:39" x14ac:dyDescent="0.35">
      <c r="A2790" t="s">
        <v>27544</v>
      </c>
      <c r="B2790" t="str">
        <f>HYPERLINK("http://www.uniprot.org/uniprot/Q9Y275","Q9Y275")</f>
        <v>Q9Y275</v>
      </c>
      <c r="C2790" t="s">
        <v>27545</v>
      </c>
      <c r="D2790" t="s">
        <v>27546</v>
      </c>
      <c r="E2790" t="s">
        <v>39</v>
      </c>
      <c r="F2790" t="s">
        <v>55</v>
      </c>
      <c r="H2790">
        <v>285</v>
      </c>
      <c r="I2790">
        <v>1</v>
      </c>
      <c r="J2790">
        <v>0</v>
      </c>
      <c r="K2790" t="s">
        <v>27547</v>
      </c>
      <c r="L2790" t="s">
        <v>57</v>
      </c>
      <c r="M2790" t="s">
        <v>39</v>
      </c>
      <c r="N2790">
        <v>0.68420000000000003</v>
      </c>
      <c r="O2790" s="1">
        <v>2</v>
      </c>
      <c r="P2790" t="s">
        <v>27548</v>
      </c>
      <c r="Q2790" t="s">
        <v>27549</v>
      </c>
      <c r="R2790" t="s">
        <v>27550</v>
      </c>
      <c r="S2790" t="s">
        <v>60</v>
      </c>
      <c r="T2790" t="s">
        <v>60</v>
      </c>
      <c r="U2790" t="s">
        <v>27551</v>
      </c>
      <c r="V2790">
        <v>2</v>
      </c>
      <c r="W2790" t="s">
        <v>27551</v>
      </c>
      <c r="X2790" t="s">
        <v>27552</v>
      </c>
      <c r="AE2790" t="s">
        <v>2036</v>
      </c>
      <c r="AF2790" t="s">
        <v>27553</v>
      </c>
      <c r="AG2790" t="s">
        <v>27554</v>
      </c>
      <c r="AH2790" t="str">
        <f>HYPERLINK("http://compartments.jensenlab.org/Entity?figures=subcell_cell_%&amp;knowledge=10&amp;textmining=10&amp;experiments=10&amp;predictions=10&amp;type1=9606&amp;type2=-22&amp;id1=ENSP00000365048","link")</f>
        <v>link</v>
      </c>
      <c r="AI2790" t="s">
        <v>1058</v>
      </c>
      <c r="AJ2790" t="s">
        <v>902</v>
      </c>
      <c r="AK2790" t="str">
        <f>HYPERLINK("http://www.proteinatlas.org/Q9Y275","CAB009188")</f>
        <v>CAB009188</v>
      </c>
      <c r="AL2790" t="s">
        <v>27555</v>
      </c>
      <c r="AM2790">
        <v>10673</v>
      </c>
    </row>
    <row r="2791" spans="1:39" x14ac:dyDescent="0.35">
      <c r="A2791" t="s">
        <v>27556</v>
      </c>
      <c r="B2791" t="str">
        <f>HYPERLINK("http://www.uniprot.org/uniprot/Q9Y286","Q9Y286")</f>
        <v>Q9Y286</v>
      </c>
      <c r="C2791" t="s">
        <v>27557</v>
      </c>
      <c r="D2791" t="s">
        <v>27558</v>
      </c>
      <c r="E2791" t="s">
        <v>39</v>
      </c>
      <c r="F2791" t="s">
        <v>40</v>
      </c>
      <c r="H2791">
        <v>467</v>
      </c>
      <c r="I2791">
        <v>1</v>
      </c>
      <c r="J2791">
        <v>1</v>
      </c>
      <c r="K2791" t="s">
        <v>27559</v>
      </c>
      <c r="L2791" t="s">
        <v>101</v>
      </c>
      <c r="N2791">
        <v>0.96609999999999996</v>
      </c>
      <c r="O2791" s="1">
        <v>1</v>
      </c>
      <c r="P2791" t="s">
        <v>27560</v>
      </c>
      <c r="Q2791" t="s">
        <v>27561</v>
      </c>
      <c r="R2791" t="s">
        <v>27562</v>
      </c>
      <c r="S2791" t="s">
        <v>91</v>
      </c>
      <c r="T2791" t="s">
        <v>555</v>
      </c>
      <c r="U2791" t="s">
        <v>27563</v>
      </c>
      <c r="V2791">
        <v>8</v>
      </c>
      <c r="W2791" t="s">
        <v>27564</v>
      </c>
      <c r="Z2791" t="s">
        <v>107</v>
      </c>
      <c r="AA2791">
        <v>8</v>
      </c>
      <c r="AB2791" t="s">
        <v>27565</v>
      </c>
      <c r="AC2791" t="s">
        <v>27566</v>
      </c>
      <c r="AD2791" t="s">
        <v>27567</v>
      </c>
      <c r="AE2791" t="s">
        <v>144</v>
      </c>
      <c r="AF2791" t="s">
        <v>27568</v>
      </c>
      <c r="AG2791" t="s">
        <v>27569</v>
      </c>
      <c r="AH2791" t="str">
        <f>HYPERLINK("http://compartments.jensenlab.org/Entity?figures=subcell_cell_%&amp;knowledge=10&amp;textmining=10&amp;experiments=10&amp;predictions=10&amp;type1=9606&amp;type2=-22&amp;id1=ENSP00000323328","link")</f>
        <v>link</v>
      </c>
      <c r="AJ2791" t="s">
        <v>51</v>
      </c>
      <c r="AK2791" t="str">
        <f>HYPERLINK("http://www.proteinatlas.org/Q9Y286","CAB025154")</f>
        <v>CAB025154</v>
      </c>
      <c r="AM2791">
        <v>27036</v>
      </c>
    </row>
    <row r="2792" spans="1:39" x14ac:dyDescent="0.35">
      <c r="A2792" t="s">
        <v>27570</v>
      </c>
      <c r="B2792" t="str">
        <f>HYPERLINK("http://www.uniprot.org/uniprot/Q9Y287","Q9Y287")</f>
        <v>Q9Y287</v>
      </c>
      <c r="C2792" t="s">
        <v>27571</v>
      </c>
      <c r="D2792" t="s">
        <v>27572</v>
      </c>
      <c r="E2792" t="s">
        <v>39</v>
      </c>
      <c r="F2792" t="s">
        <v>55</v>
      </c>
      <c r="H2792">
        <v>266</v>
      </c>
      <c r="I2792">
        <v>1</v>
      </c>
      <c r="J2792">
        <v>0</v>
      </c>
      <c r="K2792" t="s">
        <v>27573</v>
      </c>
      <c r="L2792" t="s">
        <v>101</v>
      </c>
      <c r="M2792" t="s">
        <v>39</v>
      </c>
      <c r="N2792">
        <v>0.48809999999999998</v>
      </c>
      <c r="O2792" s="1">
        <v>3</v>
      </c>
      <c r="P2792" t="s">
        <v>27574</v>
      </c>
      <c r="Q2792" t="s">
        <v>27575</v>
      </c>
      <c r="S2792" t="s">
        <v>91</v>
      </c>
      <c r="T2792" t="s">
        <v>25312</v>
      </c>
      <c r="U2792">
        <v>170</v>
      </c>
      <c r="V2792">
        <v>1</v>
      </c>
      <c r="W2792">
        <v>170</v>
      </c>
      <c r="Z2792" t="s">
        <v>107</v>
      </c>
      <c r="AA2792">
        <v>1</v>
      </c>
      <c r="AB2792" t="s">
        <v>27576</v>
      </c>
      <c r="AC2792">
        <v>170</v>
      </c>
      <c r="AD2792" t="s">
        <v>27577</v>
      </c>
      <c r="AE2792" t="s">
        <v>27578</v>
      </c>
      <c r="AF2792" t="s">
        <v>27579</v>
      </c>
      <c r="AG2792" t="s">
        <v>27580</v>
      </c>
      <c r="AH2792" t="str">
        <f>HYPERLINK("http://compartments.jensenlab.org/Entity?figures=subcell_cell_%&amp;knowledge=10&amp;textmining=10&amp;experiments=10&amp;predictions=10&amp;type1=9606&amp;type2=-22&amp;id1=ENSP00000367828","link")</f>
        <v>link</v>
      </c>
      <c r="AI2792" t="s">
        <v>27581</v>
      </c>
      <c r="AJ2792" t="s">
        <v>27582</v>
      </c>
      <c r="AK2792" t="str">
        <f>HYPERLINK("http://www.proteinatlas.org/Q9Y287","HPA029292")</f>
        <v>HPA029292</v>
      </c>
      <c r="AM2792">
        <v>9445</v>
      </c>
    </row>
    <row r="2793" spans="1:39" x14ac:dyDescent="0.35">
      <c r="A2793" t="s">
        <v>27583</v>
      </c>
      <c r="B2793" t="str">
        <f>HYPERLINK("http://www.uniprot.org/uniprot/Q9Y289","Q9Y289")</f>
        <v>Q9Y289</v>
      </c>
      <c r="C2793" t="s">
        <v>27584</v>
      </c>
      <c r="D2793" t="s">
        <v>27585</v>
      </c>
      <c r="E2793" t="s">
        <v>39</v>
      </c>
      <c r="F2793" t="s">
        <v>40</v>
      </c>
      <c r="H2793">
        <v>635</v>
      </c>
      <c r="I2793">
        <v>13</v>
      </c>
      <c r="J2793">
        <v>1</v>
      </c>
      <c r="K2793" t="s">
        <v>27586</v>
      </c>
      <c r="L2793" t="s">
        <v>42</v>
      </c>
      <c r="N2793">
        <v>0.81240000000000001</v>
      </c>
      <c r="O2793" s="1">
        <v>1</v>
      </c>
      <c r="P2793" t="s">
        <v>27587</v>
      </c>
      <c r="Q2793" t="s">
        <v>27588</v>
      </c>
      <c r="S2793" t="s">
        <v>45</v>
      </c>
      <c r="T2793" t="s">
        <v>72</v>
      </c>
      <c r="U2793" t="s">
        <v>27589</v>
      </c>
      <c r="V2793">
        <v>2</v>
      </c>
      <c r="W2793" t="s">
        <v>27590</v>
      </c>
      <c r="AE2793" t="s">
        <v>48</v>
      </c>
      <c r="AF2793" t="s">
        <v>27591</v>
      </c>
      <c r="AG2793" t="s">
        <v>27592</v>
      </c>
      <c r="AH2793" t="str">
        <f>HYPERLINK("http://compartments.jensenlab.org/Entity?figures=subcell_cell_%&amp;knowledge=10&amp;textmining=10&amp;experiments=10&amp;predictions=10&amp;type1=9606&amp;type2=-22&amp;id1=ENSP00000310208","link")</f>
        <v>link</v>
      </c>
      <c r="AJ2793" t="s">
        <v>51</v>
      </c>
      <c r="AK2793" t="str">
        <f>HYPERLINK("http://www.proteinatlas.org/Q9Y289","HPA036958")</f>
        <v>HPA036958</v>
      </c>
      <c r="AL2793" t="s">
        <v>27593</v>
      </c>
      <c r="AM2793">
        <v>8884</v>
      </c>
    </row>
    <row r="2794" spans="1:39" x14ac:dyDescent="0.35">
      <c r="A2794" t="s">
        <v>27594</v>
      </c>
      <c r="B2794" t="str">
        <f>HYPERLINK("http://www.uniprot.org/uniprot/Q9Y2C9","Q9Y2C9")</f>
        <v>Q9Y2C9</v>
      </c>
      <c r="C2794" t="s">
        <v>27595</v>
      </c>
      <c r="D2794" t="s">
        <v>27596</v>
      </c>
      <c r="E2794" t="s">
        <v>39</v>
      </c>
      <c r="F2794" t="s">
        <v>40</v>
      </c>
      <c r="H2794">
        <v>796</v>
      </c>
      <c r="I2794">
        <v>1</v>
      </c>
      <c r="J2794">
        <v>1</v>
      </c>
      <c r="K2794" t="s">
        <v>27597</v>
      </c>
      <c r="L2794" t="s">
        <v>57</v>
      </c>
      <c r="N2794">
        <v>0.88819999999999999</v>
      </c>
      <c r="O2794" s="1">
        <v>1</v>
      </c>
      <c r="P2794" t="s">
        <v>27598</v>
      </c>
      <c r="Q2794" t="s">
        <v>27599</v>
      </c>
      <c r="R2794" t="s">
        <v>27600</v>
      </c>
      <c r="S2794" t="s">
        <v>166</v>
      </c>
      <c r="T2794" t="s">
        <v>848</v>
      </c>
      <c r="U2794" t="s">
        <v>27601</v>
      </c>
      <c r="V2794">
        <v>9</v>
      </c>
      <c r="W2794" t="s">
        <v>27602</v>
      </c>
      <c r="AE2794" t="s">
        <v>13568</v>
      </c>
      <c r="AF2794" t="s">
        <v>27603</v>
      </c>
      <c r="AG2794" t="s">
        <v>27604</v>
      </c>
      <c r="AH2794" t="str">
        <f>HYPERLINK("http://compartments.jensenlab.org/Entity?figures=subcell_cell_%&amp;knowledge=10&amp;textmining=10&amp;experiments=10&amp;predictions=10&amp;type1=9606&amp;type2=-22&amp;id1=ENSP00000371376","link")</f>
        <v>link</v>
      </c>
      <c r="AI2794" t="s">
        <v>65</v>
      </c>
      <c r="AJ2794" t="s">
        <v>51</v>
      </c>
      <c r="AK2794" t="str">
        <f>HYPERLINK("http://www.proteinatlas.org/Q9Y2C9","no")</f>
        <v>no</v>
      </c>
      <c r="AM2794">
        <v>10333</v>
      </c>
    </row>
    <row r="2795" spans="1:39" x14ac:dyDescent="0.35">
      <c r="A2795" t="s">
        <v>27605</v>
      </c>
      <c r="B2795" t="str">
        <f>HYPERLINK("http://www.uniprot.org/uniprot/Q9Y2I2","Q9Y2I2")</f>
        <v>Q9Y2I2</v>
      </c>
      <c r="C2795" t="s">
        <v>27606</v>
      </c>
      <c r="D2795" t="s">
        <v>27607</v>
      </c>
      <c r="E2795" t="s">
        <v>39</v>
      </c>
      <c r="F2795" t="s">
        <v>239</v>
      </c>
      <c r="H2795">
        <v>539</v>
      </c>
      <c r="I2795">
        <v>0</v>
      </c>
      <c r="J2795">
        <v>1</v>
      </c>
      <c r="K2795" t="s">
        <v>27608</v>
      </c>
      <c r="L2795" t="s">
        <v>996</v>
      </c>
      <c r="N2795">
        <v>0.58479999999999999</v>
      </c>
      <c r="O2795" s="1" t="s">
        <v>241</v>
      </c>
      <c r="P2795" t="s">
        <v>27609</v>
      </c>
      <c r="Q2795" t="s">
        <v>27610</v>
      </c>
      <c r="U2795" t="s">
        <v>27611</v>
      </c>
      <c r="V2795">
        <v>4</v>
      </c>
      <c r="Z2795" t="s">
        <v>107</v>
      </c>
      <c r="AA2795">
        <v>1</v>
      </c>
      <c r="AB2795" t="s">
        <v>27612</v>
      </c>
      <c r="AC2795">
        <v>320</v>
      </c>
      <c r="AD2795" t="s">
        <v>27613</v>
      </c>
      <c r="AE2795" t="s">
        <v>21731</v>
      </c>
      <c r="AF2795" t="s">
        <v>27614</v>
      </c>
      <c r="AG2795" t="s">
        <v>27615</v>
      </c>
      <c r="AH2795" t="str">
        <f>HYPERLINK("http://compartments.jensenlab.org/Entity?figures=subcell_cell_%&amp;knowledge=10&amp;textmining=10&amp;experiments=10&amp;predictions=10&amp;type1=9606&amp;type2=-22&amp;id1=ENSP00000359091","link")</f>
        <v>link</v>
      </c>
      <c r="AK2795" t="str">
        <f>HYPERLINK("http://www.proteinatlas.org/Q9Y2I2","no")</f>
        <v>no</v>
      </c>
      <c r="AM2795">
        <v>22854</v>
      </c>
    </row>
    <row r="2796" spans="1:39" x14ac:dyDescent="0.35">
      <c r="A2796" t="s">
        <v>27616</v>
      </c>
      <c r="B2796" t="str">
        <f>HYPERLINK("http://www.uniprot.org/uniprot/Q9Y2T5","Q9Y2T5")</f>
        <v>Q9Y2T5</v>
      </c>
      <c r="C2796" t="s">
        <v>27617</v>
      </c>
      <c r="D2796" t="s">
        <v>27618</v>
      </c>
      <c r="E2796" t="s">
        <v>39</v>
      </c>
      <c r="F2796" t="s">
        <v>55</v>
      </c>
      <c r="H2796">
        <v>361</v>
      </c>
      <c r="I2796">
        <v>7</v>
      </c>
      <c r="J2796">
        <v>0</v>
      </c>
      <c r="K2796" t="s">
        <v>27619</v>
      </c>
      <c r="L2796" t="s">
        <v>57</v>
      </c>
      <c r="N2796">
        <v>0.99399999999999999</v>
      </c>
      <c r="O2796" s="1">
        <v>1</v>
      </c>
      <c r="P2796" t="s">
        <v>27620</v>
      </c>
      <c r="Q2796" t="s">
        <v>27621</v>
      </c>
      <c r="S2796" t="s">
        <v>166</v>
      </c>
      <c r="T2796" t="s">
        <v>838</v>
      </c>
      <c r="U2796" t="s">
        <v>27622</v>
      </c>
      <c r="V2796">
        <v>3</v>
      </c>
      <c r="W2796" t="s">
        <v>27623</v>
      </c>
      <c r="Y2796">
        <v>6</v>
      </c>
      <c r="AE2796" t="s">
        <v>74</v>
      </c>
      <c r="AF2796" t="s">
        <v>1913</v>
      </c>
      <c r="AG2796" t="s">
        <v>27624</v>
      </c>
      <c r="AH2796" t="str">
        <f>HYPERLINK("http://compartments.jensenlab.org/Entity?figures=subcell_cell_%&amp;knowledge=10&amp;textmining=10&amp;experiments=10&amp;predictions=10&amp;type1=9606&amp;type2=-22&amp;id1=ENSP00000356658","link")</f>
        <v>link</v>
      </c>
      <c r="AI2796" t="s">
        <v>65</v>
      </c>
      <c r="AJ2796" t="s">
        <v>51</v>
      </c>
      <c r="AK2796" t="str">
        <f>HYPERLINK("http://www.proteinatlas.org/Q9Y2T5","HPA028575")</f>
        <v>HPA028575</v>
      </c>
      <c r="AM2796">
        <v>9293</v>
      </c>
    </row>
    <row r="2797" spans="1:39" x14ac:dyDescent="0.35">
      <c r="A2797" t="s">
        <v>27625</v>
      </c>
      <c r="B2797" t="str">
        <f>HYPERLINK("http://www.uniprot.org/uniprot/Q9Y2T6","Q9Y2T6")</f>
        <v>Q9Y2T6</v>
      </c>
      <c r="C2797" t="s">
        <v>27626</v>
      </c>
      <c r="D2797" t="s">
        <v>27627</v>
      </c>
      <c r="E2797" t="s">
        <v>39</v>
      </c>
      <c r="F2797" t="s">
        <v>55</v>
      </c>
      <c r="H2797">
        <v>319</v>
      </c>
      <c r="I2797">
        <v>7</v>
      </c>
      <c r="J2797">
        <v>0</v>
      </c>
      <c r="K2797" t="s">
        <v>27628</v>
      </c>
      <c r="L2797" t="s">
        <v>57</v>
      </c>
      <c r="M2797" t="s">
        <v>39</v>
      </c>
      <c r="N2797">
        <v>0.95430000000000004</v>
      </c>
      <c r="O2797" s="1">
        <v>1</v>
      </c>
      <c r="P2797" t="s">
        <v>27629</v>
      </c>
      <c r="Q2797" t="s">
        <v>27630</v>
      </c>
      <c r="S2797" t="s">
        <v>166</v>
      </c>
      <c r="T2797" t="s">
        <v>838</v>
      </c>
      <c r="U2797" t="s">
        <v>27631</v>
      </c>
      <c r="V2797">
        <v>2</v>
      </c>
      <c r="AE2797" t="s">
        <v>74</v>
      </c>
      <c r="AF2797" t="s">
        <v>910</v>
      </c>
      <c r="AG2797" t="s">
        <v>27632</v>
      </c>
      <c r="AH2797" t="str">
        <f>HYPERLINK("http://compartments.jensenlab.org/Entity?figures=subcell_cell_%&amp;knowledge=10&amp;textmining=10&amp;experiments=10&amp;predictions=10&amp;type1=9606&amp;type2=-22&amp;id1=ENSP00000375893","link")</f>
        <v>link</v>
      </c>
      <c r="AI2797" t="s">
        <v>65</v>
      </c>
      <c r="AJ2797" t="s">
        <v>51</v>
      </c>
      <c r="AK2797" t="str">
        <f>HYPERLINK("http://www.proteinatlas.org/Q9Y2T6","no")</f>
        <v>no</v>
      </c>
      <c r="AM2797">
        <v>9290</v>
      </c>
    </row>
    <row r="2798" spans="1:39" x14ac:dyDescent="0.35">
      <c r="A2798" t="s">
        <v>27633</v>
      </c>
      <c r="B2798" t="str">
        <f>HYPERLINK("http://www.uniprot.org/uniprot/Q9Y336","Q9Y336")</f>
        <v>Q9Y336</v>
      </c>
      <c r="C2798" t="s">
        <v>27634</v>
      </c>
      <c r="D2798" t="s">
        <v>27635</v>
      </c>
      <c r="E2798" t="s">
        <v>39</v>
      </c>
      <c r="F2798" t="s">
        <v>40</v>
      </c>
      <c r="H2798">
        <v>463</v>
      </c>
      <c r="I2798">
        <v>1</v>
      </c>
      <c r="J2798">
        <v>1</v>
      </c>
      <c r="K2798" t="s">
        <v>27636</v>
      </c>
      <c r="L2798" t="s">
        <v>57</v>
      </c>
      <c r="N2798">
        <v>0.96009999999999995</v>
      </c>
      <c r="O2798" s="1">
        <v>1</v>
      </c>
      <c r="P2798" t="s">
        <v>27637</v>
      </c>
      <c r="Q2798" t="s">
        <v>27638</v>
      </c>
      <c r="S2798" t="s">
        <v>91</v>
      </c>
      <c r="T2798" t="s">
        <v>555</v>
      </c>
      <c r="U2798" t="s">
        <v>27639</v>
      </c>
      <c r="V2798">
        <v>8</v>
      </c>
      <c r="W2798" t="s">
        <v>27640</v>
      </c>
      <c r="AE2798" t="s">
        <v>144</v>
      </c>
      <c r="AF2798" t="s">
        <v>25951</v>
      </c>
      <c r="AG2798" t="s">
        <v>27641</v>
      </c>
      <c r="AH2798" t="str">
        <f>HYPERLINK("http://compartments.jensenlab.org/Entity?figures=subcell_cell_%&amp;knowledge=10&amp;textmining=10&amp;experiments=10&amp;predictions=10&amp;type1=9606&amp;type2=-22&amp;id1=ENSP00000250360","link")</f>
        <v>link</v>
      </c>
      <c r="AI2798" t="s">
        <v>65</v>
      </c>
      <c r="AJ2798" t="s">
        <v>51</v>
      </c>
      <c r="AK2798" t="str">
        <f>HYPERLINK("http://www.proteinatlas.org/Q9Y336","HPA010682")</f>
        <v>HPA010682</v>
      </c>
      <c r="AM2798">
        <v>27180</v>
      </c>
    </row>
    <row r="2799" spans="1:39" x14ac:dyDescent="0.35">
      <c r="A2799" t="s">
        <v>27642</v>
      </c>
      <c r="B2799" t="str">
        <f>HYPERLINK("http://www.uniprot.org/uniprot/Q9Y345","Q9Y345")</f>
        <v>Q9Y345</v>
      </c>
      <c r="C2799" t="s">
        <v>27643</v>
      </c>
      <c r="D2799" t="s">
        <v>27644</v>
      </c>
      <c r="E2799" t="s">
        <v>39</v>
      </c>
      <c r="F2799" t="s">
        <v>40</v>
      </c>
      <c r="H2799">
        <v>797</v>
      </c>
      <c r="I2799">
        <v>12</v>
      </c>
      <c r="J2799">
        <v>0</v>
      </c>
      <c r="K2799" t="s">
        <v>27645</v>
      </c>
      <c r="L2799" t="s">
        <v>57</v>
      </c>
      <c r="N2799">
        <v>0.90820000000000001</v>
      </c>
      <c r="O2799" s="1">
        <v>1</v>
      </c>
      <c r="P2799" t="s">
        <v>27646</v>
      </c>
      <c r="Q2799" t="s">
        <v>27647</v>
      </c>
      <c r="S2799" t="s">
        <v>45</v>
      </c>
      <c r="T2799" t="s">
        <v>6998</v>
      </c>
      <c r="U2799" t="s">
        <v>27648</v>
      </c>
      <c r="V2799">
        <v>5</v>
      </c>
      <c r="AE2799" t="s">
        <v>48</v>
      </c>
      <c r="AF2799" t="s">
        <v>27649</v>
      </c>
      <c r="AG2799" t="s">
        <v>27650</v>
      </c>
      <c r="AH2799" t="str">
        <f>HYPERLINK("http://compartments.jensenlab.org/Entity?figures=subcell_cell_%&amp;knowledge=10&amp;textmining=10&amp;experiments=10&amp;predictions=10&amp;type1=9606&amp;type2=-22&amp;id1=ENSP00000434364","link")</f>
        <v>link</v>
      </c>
      <c r="AK2799" t="str">
        <f>HYPERLINK("http://www.proteinatlas.org/Q9Y345","HPA039476")</f>
        <v>HPA039476</v>
      </c>
      <c r="AL2799" t="s">
        <v>9928</v>
      </c>
      <c r="AM2799">
        <v>9152</v>
      </c>
    </row>
    <row r="2800" spans="1:39" x14ac:dyDescent="0.35">
      <c r="A2800" t="s">
        <v>27651</v>
      </c>
      <c r="B2800" t="str">
        <f>HYPERLINK("http://www.uniprot.org/uniprot/Q9Y3B3","Q9Y3B3")</f>
        <v>Q9Y3B3</v>
      </c>
      <c r="C2800" t="s">
        <v>27652</v>
      </c>
      <c r="D2800" t="s">
        <v>27653</v>
      </c>
      <c r="E2800" t="s">
        <v>39</v>
      </c>
      <c r="F2800" t="s">
        <v>40</v>
      </c>
      <c r="H2800">
        <v>224</v>
      </c>
      <c r="I2800">
        <v>1</v>
      </c>
      <c r="J2800">
        <v>1</v>
      </c>
      <c r="K2800" t="s">
        <v>27654</v>
      </c>
      <c r="L2800" t="s">
        <v>101</v>
      </c>
      <c r="N2800">
        <v>0.64070000000000005</v>
      </c>
      <c r="O2800" s="1">
        <v>2</v>
      </c>
      <c r="P2800" t="s">
        <v>27655</v>
      </c>
      <c r="Q2800" t="s">
        <v>27656</v>
      </c>
      <c r="S2800" t="s">
        <v>91</v>
      </c>
      <c r="T2800" t="s">
        <v>27657</v>
      </c>
      <c r="U2800">
        <v>103</v>
      </c>
      <c r="V2800">
        <v>1</v>
      </c>
      <c r="Z2800" t="s">
        <v>107</v>
      </c>
      <c r="AA2800">
        <v>2</v>
      </c>
      <c r="AB2800" t="s">
        <v>27658</v>
      </c>
      <c r="AC2800">
        <v>103</v>
      </c>
      <c r="AD2800" t="s">
        <v>27659</v>
      </c>
      <c r="AE2800" t="s">
        <v>27660</v>
      </c>
      <c r="AF2800" t="s">
        <v>27661</v>
      </c>
      <c r="AG2800" t="s">
        <v>27662</v>
      </c>
      <c r="AH2800" t="str">
        <f>HYPERLINK("http://compartments.jensenlab.org/Entity?figures=subcell_cell_%&amp;knowledge=10&amp;textmining=10&amp;experiments=10&amp;predictions=10&amp;type1=9606&amp;type2=-22&amp;id1=ENSP00000405926","link")</f>
        <v>link</v>
      </c>
      <c r="AI2800" t="s">
        <v>12341</v>
      </c>
      <c r="AJ2800" t="s">
        <v>12342</v>
      </c>
      <c r="AK2800" t="str">
        <f>HYPERLINK("http://www.proteinatlas.org/Q9Y3B3","HPA008960;CAB025883")</f>
        <v>HPA008960;CAB025883</v>
      </c>
      <c r="AM2800" t="s">
        <v>27663</v>
      </c>
    </row>
    <row r="2801" spans="1:39" x14ac:dyDescent="0.35">
      <c r="A2801" t="s">
        <v>27664</v>
      </c>
      <c r="B2801" t="str">
        <f>HYPERLINK("http://www.uniprot.org/uniprot/Q9Y3N9","Q9Y3N9")</f>
        <v>Q9Y3N9</v>
      </c>
      <c r="C2801" t="s">
        <v>27665</v>
      </c>
      <c r="D2801" t="s">
        <v>27666</v>
      </c>
      <c r="E2801" t="s">
        <v>39</v>
      </c>
      <c r="F2801" t="s">
        <v>55</v>
      </c>
      <c r="H2801">
        <v>320</v>
      </c>
      <c r="I2801">
        <v>7</v>
      </c>
      <c r="J2801">
        <v>0</v>
      </c>
      <c r="K2801" t="s">
        <v>27667</v>
      </c>
      <c r="L2801" t="s">
        <v>57</v>
      </c>
      <c r="N2801">
        <v>0.98</v>
      </c>
      <c r="O2801" s="1">
        <v>1</v>
      </c>
      <c r="P2801" t="s">
        <v>27668</v>
      </c>
      <c r="Q2801" t="s">
        <v>27669</v>
      </c>
      <c r="S2801" t="s">
        <v>166</v>
      </c>
      <c r="T2801" t="s">
        <v>167</v>
      </c>
      <c r="U2801" t="s">
        <v>1191</v>
      </c>
      <c r="V2801">
        <v>1</v>
      </c>
      <c r="AE2801" t="s">
        <v>74</v>
      </c>
      <c r="AF2801" t="s">
        <v>169</v>
      </c>
      <c r="AG2801" t="s">
        <v>27670</v>
      </c>
      <c r="AH2801" t="str">
        <f>HYPERLINK("http://compartments.jensenlab.org/Entity?figures=subcell_cell_%&amp;knowledge=10&amp;textmining=10&amp;experiments=10&amp;predictions=10&amp;type1=9606&amp;type2=-22&amp;id1=ENSP00000366380","link")</f>
        <v>link</v>
      </c>
      <c r="AI2801" t="s">
        <v>11089</v>
      </c>
      <c r="AJ2801" t="s">
        <v>11090</v>
      </c>
      <c r="AK2801" t="str">
        <f>HYPERLINK("http://www.proteinatlas.org/Q9Y3N9","no")</f>
        <v>no</v>
      </c>
      <c r="AM2801">
        <v>26692</v>
      </c>
    </row>
    <row r="2802" spans="1:39" x14ac:dyDescent="0.35">
      <c r="A2802" t="s">
        <v>27671</v>
      </c>
      <c r="B2802" t="str">
        <f>HYPERLINK("http://www.uniprot.org/uniprot/Q9Y3P8","Q9Y3P8")</f>
        <v>Q9Y3P8</v>
      </c>
      <c r="C2802" t="s">
        <v>27672</v>
      </c>
      <c r="D2802" t="s">
        <v>27673</v>
      </c>
      <c r="E2802" t="s">
        <v>39</v>
      </c>
      <c r="F2802" t="s">
        <v>55</v>
      </c>
      <c r="H2802">
        <v>196</v>
      </c>
      <c r="I2802">
        <v>1</v>
      </c>
      <c r="J2802">
        <v>1</v>
      </c>
      <c r="K2802" t="s">
        <v>27674</v>
      </c>
      <c r="L2802" t="s">
        <v>57</v>
      </c>
      <c r="M2802" t="s">
        <v>39</v>
      </c>
      <c r="N2802">
        <v>0.60909999999999997</v>
      </c>
      <c r="O2802" s="1">
        <v>2</v>
      </c>
      <c r="P2802" t="s">
        <v>27675</v>
      </c>
      <c r="Q2802" t="s">
        <v>27676</v>
      </c>
      <c r="S2802" t="s">
        <v>60</v>
      </c>
      <c r="T2802" t="s">
        <v>60</v>
      </c>
      <c r="U2802">
        <v>26</v>
      </c>
      <c r="V2802">
        <v>1</v>
      </c>
      <c r="W2802">
        <v>26</v>
      </c>
      <c r="Y2802">
        <v>42</v>
      </c>
      <c r="AE2802" t="s">
        <v>332</v>
      </c>
      <c r="AF2802" t="s">
        <v>27677</v>
      </c>
      <c r="AG2802" t="s">
        <v>27678</v>
      </c>
      <c r="AH2802" t="str">
        <f>HYPERLINK("http://compartments.jensenlab.org/Entity?figures=subcell_cell_%&amp;knowledge=10&amp;textmining=10&amp;experiments=10&amp;predictions=10&amp;type1=9606&amp;type2=-22&amp;id1=ENSP00000259608","link")</f>
        <v>link</v>
      </c>
      <c r="AI2802" t="s">
        <v>65</v>
      </c>
      <c r="AJ2802" t="s">
        <v>51</v>
      </c>
      <c r="AK2802" t="str">
        <f>HYPERLINK("http://www.proteinatlas.org/Q9Y3P8","HPA018506")</f>
        <v>HPA018506</v>
      </c>
      <c r="AM2802">
        <v>27240</v>
      </c>
    </row>
    <row r="2803" spans="1:39" x14ac:dyDescent="0.35">
      <c r="A2803" t="s">
        <v>27679</v>
      </c>
      <c r="B2803" t="str">
        <f>HYPERLINK("http://www.uniprot.org/uniprot/Q9Y3Q7","Q9Y3Q7")</f>
        <v>Q9Y3Q7</v>
      </c>
      <c r="C2803" t="s">
        <v>27680</v>
      </c>
      <c r="D2803" t="s">
        <v>27681</v>
      </c>
      <c r="E2803" t="s">
        <v>39</v>
      </c>
      <c r="F2803" t="s">
        <v>40</v>
      </c>
      <c r="H2803">
        <v>739</v>
      </c>
      <c r="I2803">
        <v>1</v>
      </c>
      <c r="J2803">
        <v>1</v>
      </c>
      <c r="K2803" t="s">
        <v>27682</v>
      </c>
      <c r="L2803" t="s">
        <v>57</v>
      </c>
      <c r="N2803">
        <v>0.77249999999999996</v>
      </c>
      <c r="O2803" s="1">
        <v>1</v>
      </c>
      <c r="P2803" t="s">
        <v>27683</v>
      </c>
      <c r="Q2803" t="s">
        <v>27684</v>
      </c>
      <c r="S2803" t="s">
        <v>947</v>
      </c>
      <c r="T2803" t="s">
        <v>1208</v>
      </c>
      <c r="U2803" t="s">
        <v>27685</v>
      </c>
      <c r="V2803">
        <v>12</v>
      </c>
      <c r="Y2803">
        <v>685</v>
      </c>
      <c r="AE2803" t="s">
        <v>144</v>
      </c>
      <c r="AF2803" t="s">
        <v>27686</v>
      </c>
      <c r="AG2803" t="s">
        <v>27687</v>
      </c>
      <c r="AH2803" t="str">
        <f>HYPERLINK("http://compartments.jensenlab.org/Entity?figures=subcell_cell_%&amp;knowledge=10&amp;textmining=10&amp;experiments=10&amp;predictions=10&amp;type1=9606&amp;type2=-22&amp;id1=ENSP00000265707","link")</f>
        <v>link</v>
      </c>
      <c r="AJ2803" t="s">
        <v>51</v>
      </c>
      <c r="AK2803" t="str">
        <f>HYPERLINK("http://www.proteinatlas.org/Q9Y3Q7","no")</f>
        <v>no</v>
      </c>
      <c r="AM2803">
        <v>8749</v>
      </c>
    </row>
    <row r="2804" spans="1:39" x14ac:dyDescent="0.35">
      <c r="A2804" t="s">
        <v>27688</v>
      </c>
      <c r="B2804" t="str">
        <f>HYPERLINK("http://www.uniprot.org/uniprot/Q9Y487","Q9Y487")</f>
        <v>Q9Y487</v>
      </c>
      <c r="C2804" t="s">
        <v>27689</v>
      </c>
      <c r="D2804" t="s">
        <v>27690</v>
      </c>
      <c r="E2804" t="s">
        <v>39</v>
      </c>
      <c r="F2804" t="s">
        <v>55</v>
      </c>
      <c r="H2804">
        <v>856</v>
      </c>
      <c r="I2804">
        <v>8</v>
      </c>
      <c r="J2804">
        <v>0</v>
      </c>
      <c r="K2804" t="s">
        <v>27691</v>
      </c>
      <c r="L2804" t="s">
        <v>101</v>
      </c>
      <c r="M2804" t="s">
        <v>39</v>
      </c>
      <c r="N2804">
        <v>0.5988</v>
      </c>
      <c r="O2804" s="1">
        <v>2</v>
      </c>
      <c r="P2804" t="s">
        <v>27692</v>
      </c>
      <c r="Q2804" t="s">
        <v>27693</v>
      </c>
      <c r="S2804" t="s">
        <v>60</v>
      </c>
      <c r="T2804" t="s">
        <v>60</v>
      </c>
      <c r="U2804" t="s">
        <v>27694</v>
      </c>
      <c r="V2804">
        <v>2</v>
      </c>
      <c r="W2804" t="s">
        <v>27694</v>
      </c>
      <c r="Z2804" t="s">
        <v>107</v>
      </c>
      <c r="AA2804">
        <v>1</v>
      </c>
      <c r="AB2804" t="s">
        <v>27695</v>
      </c>
      <c r="AC2804">
        <v>505</v>
      </c>
      <c r="AD2804" t="s">
        <v>27696</v>
      </c>
      <c r="AE2804" t="s">
        <v>27697</v>
      </c>
      <c r="AF2804" t="s">
        <v>27698</v>
      </c>
      <c r="AG2804" t="s">
        <v>27699</v>
      </c>
      <c r="AH2804" t="str">
        <f>HYPERLINK("http://compartments.jensenlab.org/Entity?figures=subcell_cell_%&amp;knowledge=10&amp;textmining=10&amp;experiments=10&amp;predictions=10&amp;type1=9606&amp;type2=-22&amp;id1=ENSP00000332247","link")</f>
        <v>link</v>
      </c>
      <c r="AI2804" t="s">
        <v>4125</v>
      </c>
      <c r="AJ2804" t="s">
        <v>1791</v>
      </c>
      <c r="AK2804" t="str">
        <f>HYPERLINK("http://www.proteinatlas.org/Q9Y487","HPA044279")</f>
        <v>HPA044279</v>
      </c>
      <c r="AM2804">
        <v>23545</v>
      </c>
    </row>
    <row r="2805" spans="1:39" x14ac:dyDescent="0.35">
      <c r="A2805" t="s">
        <v>27700</v>
      </c>
      <c r="B2805" t="str">
        <f>HYPERLINK("http://www.uniprot.org/uniprot/Q9Y493","Q9Y493")</f>
        <v>Q9Y493</v>
      </c>
      <c r="C2805" t="s">
        <v>27701</v>
      </c>
      <c r="D2805" t="s">
        <v>27702</v>
      </c>
      <c r="E2805" t="s">
        <v>39</v>
      </c>
      <c r="F2805" t="s">
        <v>40</v>
      </c>
      <c r="H2805">
        <v>2812</v>
      </c>
      <c r="I2805">
        <v>1</v>
      </c>
      <c r="J2805">
        <v>1</v>
      </c>
      <c r="K2805" t="s">
        <v>27703</v>
      </c>
      <c r="L2805" t="s">
        <v>57</v>
      </c>
      <c r="N2805">
        <v>0.75049999999999994</v>
      </c>
      <c r="O2805" s="1">
        <v>1</v>
      </c>
      <c r="P2805" t="s">
        <v>27704</v>
      </c>
      <c r="Q2805" t="s">
        <v>27705</v>
      </c>
      <c r="S2805" t="s">
        <v>60</v>
      </c>
      <c r="T2805" t="s">
        <v>60</v>
      </c>
      <c r="U2805" t="s">
        <v>27706</v>
      </c>
      <c r="V2805">
        <v>11</v>
      </c>
      <c r="X2805" t="s">
        <v>27707</v>
      </c>
      <c r="Y2805" t="s">
        <v>27708</v>
      </c>
      <c r="AE2805" t="s">
        <v>332</v>
      </c>
      <c r="AF2805" t="s">
        <v>27709</v>
      </c>
      <c r="AG2805" t="s">
        <v>27710</v>
      </c>
      <c r="AH2805" t="str">
        <f>HYPERLINK("http://compartments.jensenlab.org/Entity?figures=subcell_cell_%&amp;knowledge=10&amp;textmining=10&amp;experiments=10&amp;predictions=10&amp;type1=9606&amp;type2=-22&amp;id1=ENSP00000423579","link")</f>
        <v>link</v>
      </c>
      <c r="AK2805" t="str">
        <f>HYPERLINK("http://www.proteinatlas.org/Q9Y493","no")</f>
        <v>no</v>
      </c>
      <c r="AM2805">
        <v>7455</v>
      </c>
    </row>
    <row r="2806" spans="1:39" x14ac:dyDescent="0.35">
      <c r="A2806" t="s">
        <v>27711</v>
      </c>
      <c r="B2806" t="str">
        <f>HYPERLINK("http://www.uniprot.org/uniprot/Q9Y4A9","Q9Y4A9")</f>
        <v>Q9Y4A9</v>
      </c>
      <c r="C2806" t="s">
        <v>27712</v>
      </c>
      <c r="D2806" t="s">
        <v>27713</v>
      </c>
      <c r="E2806" t="s">
        <v>39</v>
      </c>
      <c r="F2806" t="s">
        <v>55</v>
      </c>
      <c r="H2806">
        <v>318</v>
      </c>
      <c r="I2806">
        <v>7</v>
      </c>
      <c r="J2806">
        <v>0</v>
      </c>
      <c r="K2806" t="s">
        <v>27714</v>
      </c>
      <c r="L2806" t="s">
        <v>57</v>
      </c>
      <c r="N2806">
        <v>0.9022</v>
      </c>
      <c r="O2806" s="1">
        <v>1</v>
      </c>
      <c r="P2806" t="s">
        <v>27715</v>
      </c>
      <c r="Q2806" t="s">
        <v>27716</v>
      </c>
      <c r="S2806" t="s">
        <v>166</v>
      </c>
      <c r="T2806" t="s">
        <v>167</v>
      </c>
      <c r="U2806">
        <v>5</v>
      </c>
      <c r="V2806">
        <v>1</v>
      </c>
      <c r="AE2806" t="s">
        <v>74</v>
      </c>
      <c r="AF2806" t="s">
        <v>169</v>
      </c>
      <c r="AG2806" t="s">
        <v>27717</v>
      </c>
      <c r="AH2806" t="str">
        <f>HYPERLINK("http://compartments.jensenlab.org/Entity?figures=subcell_cell_%&amp;knowledge=10&amp;textmining=10&amp;experiments=10&amp;predictions=10&amp;type1=9606&amp;type2=-22&amp;id1=ENSP00000335596","link")</f>
        <v>link</v>
      </c>
      <c r="AI2806" t="s">
        <v>65</v>
      </c>
      <c r="AJ2806" t="s">
        <v>51</v>
      </c>
      <c r="AK2806" t="str">
        <f>HYPERLINK("http://www.proteinatlas.org/Q9Y4A9","no")</f>
        <v>no</v>
      </c>
      <c r="AM2806">
        <v>26539</v>
      </c>
    </row>
    <row r="2807" spans="1:39" x14ac:dyDescent="0.35">
      <c r="A2807" t="s">
        <v>27718</v>
      </c>
      <c r="B2807" t="str">
        <f>HYPERLINK("http://www.uniprot.org/uniprot/Q9Y4C0","Q9Y4C0")</f>
        <v>Q9Y4C0</v>
      </c>
      <c r="C2807" t="s">
        <v>27719</v>
      </c>
      <c r="D2807" t="s">
        <v>24983</v>
      </c>
      <c r="E2807" t="s">
        <v>39</v>
      </c>
      <c r="F2807" t="s">
        <v>40</v>
      </c>
      <c r="H2807">
        <v>1643</v>
      </c>
      <c r="I2807">
        <v>1</v>
      </c>
      <c r="J2807">
        <v>1</v>
      </c>
      <c r="K2807" t="s">
        <v>27720</v>
      </c>
      <c r="L2807" t="s">
        <v>57</v>
      </c>
      <c r="N2807">
        <v>0.8024</v>
      </c>
      <c r="O2807" s="1">
        <v>1</v>
      </c>
      <c r="P2807" t="s">
        <v>24985</v>
      </c>
      <c r="S2807" t="s">
        <v>166</v>
      </c>
      <c r="T2807" t="s">
        <v>11109</v>
      </c>
      <c r="U2807" t="s">
        <v>27721</v>
      </c>
      <c r="V2807">
        <v>6</v>
      </c>
      <c r="W2807" t="s">
        <v>27722</v>
      </c>
      <c r="AE2807" t="s">
        <v>144</v>
      </c>
      <c r="AF2807" t="s">
        <v>27723</v>
      </c>
      <c r="AG2807" t="s">
        <v>27724</v>
      </c>
      <c r="AK2807" t="str">
        <f>HYPERLINK("http://www.proteinatlas.org/Q9Y4C0","HPA002727")</f>
        <v>HPA002727</v>
      </c>
      <c r="AM2807">
        <v>9369</v>
      </c>
    </row>
    <row r="2808" spans="1:39" x14ac:dyDescent="0.35">
      <c r="A2808" t="s">
        <v>27725</v>
      </c>
      <c r="B2808" t="str">
        <f>HYPERLINK("http://www.uniprot.org/uniprot/Q9Y4D2","Q9Y4D2")</f>
        <v>Q9Y4D2</v>
      </c>
      <c r="C2808" t="s">
        <v>27726</v>
      </c>
      <c r="D2808" t="s">
        <v>27727</v>
      </c>
      <c r="E2808" t="s">
        <v>39</v>
      </c>
      <c r="F2808" t="s">
        <v>55</v>
      </c>
      <c r="H2808">
        <v>1042</v>
      </c>
      <c r="I2808">
        <v>4</v>
      </c>
      <c r="J2808">
        <v>0</v>
      </c>
      <c r="K2808" t="s">
        <v>27728</v>
      </c>
      <c r="L2808" t="s">
        <v>57</v>
      </c>
      <c r="M2808" t="s">
        <v>39</v>
      </c>
      <c r="N2808">
        <v>0.45190000000000002</v>
      </c>
      <c r="O2808" s="1">
        <v>3</v>
      </c>
      <c r="P2808" t="s">
        <v>27729</v>
      </c>
      <c r="Q2808" t="s">
        <v>27730</v>
      </c>
      <c r="S2808" t="s">
        <v>60</v>
      </c>
      <c r="T2808" t="s">
        <v>60</v>
      </c>
      <c r="U2808" t="s">
        <v>27731</v>
      </c>
      <c r="V2808">
        <v>1</v>
      </c>
      <c r="X2808" t="s">
        <v>27732</v>
      </c>
      <c r="AE2808" t="s">
        <v>74</v>
      </c>
      <c r="AF2808" t="s">
        <v>27733</v>
      </c>
      <c r="AG2808" t="s">
        <v>27734</v>
      </c>
      <c r="AH2808" t="str">
        <f>HYPERLINK("http://compartments.jensenlab.org/Entity?figures=subcell_cell_%&amp;knowledge=10&amp;textmining=10&amp;experiments=10&amp;predictions=10&amp;type1=9606&amp;type2=-22&amp;id1=ENSP00000257215","link")</f>
        <v>link</v>
      </c>
      <c r="AI2808" t="s">
        <v>65</v>
      </c>
      <c r="AJ2808" t="s">
        <v>51</v>
      </c>
      <c r="AK2808" t="str">
        <f>HYPERLINK("http://www.proteinatlas.org/Q9Y4D2","HPA062497")</f>
        <v>HPA062497</v>
      </c>
      <c r="AM2808">
        <v>747</v>
      </c>
    </row>
    <row r="2809" spans="1:39" x14ac:dyDescent="0.35">
      <c r="A2809" t="s">
        <v>27735</v>
      </c>
      <c r="B2809" t="str">
        <f>HYPERLINK("http://www.uniprot.org/uniprot/Q9Y4D7","Q9Y4D7")</f>
        <v>Q9Y4D7</v>
      </c>
      <c r="C2809" t="s">
        <v>27736</v>
      </c>
      <c r="D2809" t="s">
        <v>27737</v>
      </c>
      <c r="E2809" t="s">
        <v>39</v>
      </c>
      <c r="F2809" t="s">
        <v>55</v>
      </c>
      <c r="H2809">
        <v>1925</v>
      </c>
      <c r="I2809">
        <v>1</v>
      </c>
      <c r="J2809">
        <v>1</v>
      </c>
      <c r="K2809" t="s">
        <v>27738</v>
      </c>
      <c r="L2809" t="s">
        <v>101</v>
      </c>
      <c r="M2809" t="s">
        <v>39</v>
      </c>
      <c r="N2809">
        <v>0.96020000000000005</v>
      </c>
      <c r="O2809" s="1">
        <v>1</v>
      </c>
      <c r="P2809" t="s">
        <v>27739</v>
      </c>
      <c r="Q2809" t="s">
        <v>27740</v>
      </c>
      <c r="S2809" t="s">
        <v>166</v>
      </c>
      <c r="T2809" t="s">
        <v>1382</v>
      </c>
      <c r="U2809" t="s">
        <v>27741</v>
      </c>
      <c r="V2809">
        <v>18</v>
      </c>
      <c r="W2809" t="s">
        <v>27742</v>
      </c>
      <c r="Z2809" t="s">
        <v>107</v>
      </c>
      <c r="AA2809">
        <v>9</v>
      </c>
      <c r="AB2809" t="s">
        <v>27743</v>
      </c>
      <c r="AC2809" t="s">
        <v>27744</v>
      </c>
      <c r="AD2809" t="s">
        <v>27745</v>
      </c>
      <c r="AE2809" t="s">
        <v>3665</v>
      </c>
      <c r="AF2809" t="s">
        <v>27746</v>
      </c>
      <c r="AG2809" t="s">
        <v>27747</v>
      </c>
      <c r="AH2809" t="str">
        <f>HYPERLINK("http://compartments.jensenlab.org/Entity?figures=subcell_cell_%&amp;knowledge=10&amp;textmining=10&amp;experiments=10&amp;predictions=10&amp;type1=9606&amp;type2=-22&amp;id1=ENSP00000317128","link")</f>
        <v>link</v>
      </c>
      <c r="AI2809" t="s">
        <v>65</v>
      </c>
      <c r="AJ2809" t="s">
        <v>113</v>
      </c>
      <c r="AK2809" t="str">
        <f>HYPERLINK("http://www.proteinatlas.org/Q9Y4D7","CAB020819")</f>
        <v>CAB020819</v>
      </c>
      <c r="AM2809">
        <v>23129</v>
      </c>
    </row>
    <row r="2810" spans="1:39" x14ac:dyDescent="0.35">
      <c r="A2810" t="s">
        <v>27748</v>
      </c>
      <c r="B2810" t="str">
        <f>HYPERLINK("http://www.uniprot.org/uniprot/Q9Y561","Q9Y561")</f>
        <v>Q9Y561</v>
      </c>
      <c r="C2810" t="s">
        <v>27749</v>
      </c>
      <c r="D2810" t="s">
        <v>27750</v>
      </c>
      <c r="E2810" t="s">
        <v>39</v>
      </c>
      <c r="F2810" t="s">
        <v>40</v>
      </c>
      <c r="H2810">
        <v>859</v>
      </c>
      <c r="I2810">
        <v>1</v>
      </c>
      <c r="J2810">
        <v>1</v>
      </c>
      <c r="K2810" t="s">
        <v>27751</v>
      </c>
      <c r="L2810" t="s">
        <v>101</v>
      </c>
      <c r="N2810">
        <v>0.93610000000000004</v>
      </c>
      <c r="O2810" s="1">
        <v>1</v>
      </c>
      <c r="S2810" t="s">
        <v>166</v>
      </c>
      <c r="T2810" t="s">
        <v>2518</v>
      </c>
      <c r="U2810" t="s">
        <v>27752</v>
      </c>
      <c r="V2810">
        <v>6</v>
      </c>
      <c r="W2810" t="s">
        <v>27753</v>
      </c>
      <c r="Y2810" t="s">
        <v>27754</v>
      </c>
      <c r="Z2810" t="s">
        <v>107</v>
      </c>
      <c r="AA2810">
        <v>1</v>
      </c>
      <c r="AB2810" t="s">
        <v>27755</v>
      </c>
      <c r="AC2810">
        <v>409</v>
      </c>
      <c r="AD2810" t="s">
        <v>27756</v>
      </c>
      <c r="AE2810" t="s">
        <v>2521</v>
      </c>
      <c r="AF2810" t="s">
        <v>27757</v>
      </c>
      <c r="AG2810" t="s">
        <v>27758</v>
      </c>
      <c r="AK2810" t="str">
        <f>HYPERLINK("http://www.proteinatlas.org/Q9Y561","no")</f>
        <v>no</v>
      </c>
      <c r="AM2810">
        <v>29967</v>
      </c>
    </row>
    <row r="2811" spans="1:39" x14ac:dyDescent="0.35">
      <c r="A2811" t="s">
        <v>27759</v>
      </c>
      <c r="B2811" t="str">
        <f>HYPERLINK("http://www.uniprot.org/uniprot/Q9Y585","Q9Y585")</f>
        <v>Q9Y585</v>
      </c>
      <c r="C2811" t="s">
        <v>27760</v>
      </c>
      <c r="D2811" t="s">
        <v>27761</v>
      </c>
      <c r="E2811" t="s">
        <v>39</v>
      </c>
      <c r="F2811" t="s">
        <v>55</v>
      </c>
      <c r="H2811">
        <v>309</v>
      </c>
      <c r="I2811">
        <v>7</v>
      </c>
      <c r="J2811">
        <v>0</v>
      </c>
      <c r="K2811" t="s">
        <v>27762</v>
      </c>
      <c r="L2811" t="s">
        <v>57</v>
      </c>
      <c r="M2811" t="s">
        <v>39</v>
      </c>
      <c r="N2811">
        <v>0.81220000000000003</v>
      </c>
      <c r="O2811" s="1">
        <v>1</v>
      </c>
      <c r="P2811" t="s">
        <v>27763</v>
      </c>
      <c r="Q2811" t="s">
        <v>27764</v>
      </c>
      <c r="S2811" t="s">
        <v>166</v>
      </c>
      <c r="T2811" t="s">
        <v>167</v>
      </c>
      <c r="U2811" t="s">
        <v>27765</v>
      </c>
      <c r="V2811">
        <v>1</v>
      </c>
      <c r="AE2811" t="s">
        <v>74</v>
      </c>
      <c r="AF2811" t="s">
        <v>169</v>
      </c>
      <c r="AG2811" t="s">
        <v>27766</v>
      </c>
      <c r="AH2811" t="str">
        <f>HYPERLINK("http://compartments.jensenlab.org/Entity?figures=subcell_cell_%&amp;knowledge=10&amp;textmining=10&amp;experiments=10&amp;predictions=10&amp;type1=9606&amp;type2=-22&amp;id1=ENSP00000371377","link")</f>
        <v>link</v>
      </c>
      <c r="AI2811" t="s">
        <v>65</v>
      </c>
      <c r="AJ2811" t="s">
        <v>51</v>
      </c>
      <c r="AK2811" t="str">
        <f>HYPERLINK("http://www.proteinatlas.org/Q9Y585","no")</f>
        <v>no</v>
      </c>
      <c r="AM2811">
        <v>26189</v>
      </c>
    </row>
    <row r="2812" spans="1:39" x14ac:dyDescent="0.35">
      <c r="A2812" t="s">
        <v>27767</v>
      </c>
      <c r="B2812" t="str">
        <f>HYPERLINK("http://www.uniprot.org/uniprot/Q9Y5E1","Q9Y5E1")</f>
        <v>Q9Y5E1</v>
      </c>
      <c r="C2812" t="s">
        <v>27768</v>
      </c>
      <c r="D2812" t="s">
        <v>27769</v>
      </c>
      <c r="E2812" t="s">
        <v>39</v>
      </c>
      <c r="F2812" t="s">
        <v>40</v>
      </c>
      <c r="H2812">
        <v>797</v>
      </c>
      <c r="I2812">
        <v>1</v>
      </c>
      <c r="J2812">
        <v>1</v>
      </c>
      <c r="K2812" t="s">
        <v>27770</v>
      </c>
      <c r="L2812" t="s">
        <v>57</v>
      </c>
      <c r="N2812">
        <v>0.9022</v>
      </c>
      <c r="O2812" s="1">
        <v>1</v>
      </c>
      <c r="P2812" t="s">
        <v>27771</v>
      </c>
      <c r="Q2812" t="s">
        <v>27772</v>
      </c>
      <c r="S2812" t="s">
        <v>91</v>
      </c>
      <c r="T2812" t="s">
        <v>2108</v>
      </c>
      <c r="U2812" t="s">
        <v>27773</v>
      </c>
      <c r="V2812">
        <v>4</v>
      </c>
      <c r="AE2812" t="s">
        <v>332</v>
      </c>
      <c r="AF2812" t="s">
        <v>18023</v>
      </c>
      <c r="AG2812" t="s">
        <v>27774</v>
      </c>
      <c r="AH2812" t="str">
        <f>HYPERLINK("http://compartments.jensenlab.org/Entity?figures=subcell_cell_%&amp;knowledge=10&amp;textmining=10&amp;experiments=10&amp;predictions=10&amp;type1=9606&amp;type2=-22&amp;id1=ENSP00000478606","link")</f>
        <v>link</v>
      </c>
      <c r="AK2812" t="str">
        <f>HYPERLINK("http://www.proteinatlas.org/Q9Y5E1","no")</f>
        <v>no</v>
      </c>
      <c r="AM2812">
        <v>56127</v>
      </c>
    </row>
    <row r="2813" spans="1:39" x14ac:dyDescent="0.35">
      <c r="A2813" t="s">
        <v>27775</v>
      </c>
      <c r="B2813" t="str">
        <f>HYPERLINK("http://www.uniprot.org/uniprot/Q9Y5E2","Q9Y5E2")</f>
        <v>Q9Y5E2</v>
      </c>
      <c r="C2813" t="s">
        <v>27776</v>
      </c>
      <c r="D2813" t="s">
        <v>27777</v>
      </c>
      <c r="E2813" t="s">
        <v>39</v>
      </c>
      <c r="F2813" t="s">
        <v>40</v>
      </c>
      <c r="H2813">
        <v>793</v>
      </c>
      <c r="I2813">
        <v>1</v>
      </c>
      <c r="J2813">
        <v>1</v>
      </c>
      <c r="K2813" t="s">
        <v>27778</v>
      </c>
      <c r="L2813" t="s">
        <v>57</v>
      </c>
      <c r="N2813">
        <v>0.91020000000000001</v>
      </c>
      <c r="O2813" s="1">
        <v>1</v>
      </c>
      <c r="P2813" t="s">
        <v>27779</v>
      </c>
      <c r="Q2813" t="s">
        <v>27780</v>
      </c>
      <c r="S2813" t="s">
        <v>91</v>
      </c>
      <c r="T2813" t="s">
        <v>2108</v>
      </c>
      <c r="U2813" t="s">
        <v>27781</v>
      </c>
      <c r="V2813">
        <v>5</v>
      </c>
      <c r="AE2813" t="s">
        <v>332</v>
      </c>
      <c r="AF2813" t="s">
        <v>18023</v>
      </c>
      <c r="AG2813" t="s">
        <v>27782</v>
      </c>
      <c r="AH2813" t="str">
        <f>HYPERLINK("http://compartments.jensenlab.org/Entity?figures=subcell_cell_%&amp;knowledge=10&amp;textmining=10&amp;experiments=10&amp;predictions=10&amp;type1=9606&amp;type2=-22&amp;id1=ENSP00000231137","link")</f>
        <v>link</v>
      </c>
      <c r="AI2813" t="s">
        <v>65</v>
      </c>
      <c r="AJ2813" t="s">
        <v>51</v>
      </c>
      <c r="AK2813" t="str">
        <f>HYPERLINK("http://www.proteinatlas.org/Q9Y5E2","HPA059271")</f>
        <v>HPA059271</v>
      </c>
      <c r="AM2813">
        <v>56129</v>
      </c>
    </row>
    <row r="2814" spans="1:39" x14ac:dyDescent="0.35">
      <c r="A2814" t="s">
        <v>27783</v>
      </c>
      <c r="B2814" t="str">
        <f>HYPERLINK("http://www.uniprot.org/uniprot/Q9Y5E3","Q9Y5E3")</f>
        <v>Q9Y5E3</v>
      </c>
      <c r="C2814" t="s">
        <v>27784</v>
      </c>
      <c r="D2814" t="s">
        <v>27785</v>
      </c>
      <c r="E2814" t="s">
        <v>39</v>
      </c>
      <c r="F2814" t="s">
        <v>40</v>
      </c>
      <c r="H2814">
        <v>794</v>
      </c>
      <c r="I2814">
        <v>1</v>
      </c>
      <c r="J2814">
        <v>1</v>
      </c>
      <c r="K2814" t="s">
        <v>27786</v>
      </c>
      <c r="L2814" t="s">
        <v>57</v>
      </c>
      <c r="N2814">
        <v>0.94010000000000005</v>
      </c>
      <c r="O2814" s="1">
        <v>1</v>
      </c>
      <c r="P2814" t="s">
        <v>27787</v>
      </c>
      <c r="Q2814" t="s">
        <v>27788</v>
      </c>
      <c r="S2814" t="s">
        <v>91</v>
      </c>
      <c r="T2814" t="s">
        <v>2108</v>
      </c>
      <c r="U2814" t="s">
        <v>27789</v>
      </c>
      <c r="V2814">
        <v>5</v>
      </c>
      <c r="W2814" t="s">
        <v>27790</v>
      </c>
      <c r="AE2814" t="s">
        <v>332</v>
      </c>
      <c r="AF2814" t="s">
        <v>18023</v>
      </c>
      <c r="AG2814" t="s">
        <v>27791</v>
      </c>
      <c r="AH2814" t="str">
        <f>HYPERLINK("http://compartments.jensenlab.org/Entity?figures=subcell_cell_%&amp;knowledge=10&amp;textmining=10&amp;experiments=10&amp;predictions=10&amp;type1=9606&amp;type2=-22&amp;id1=ENSP00000231136","link")</f>
        <v>link</v>
      </c>
      <c r="AI2814" t="s">
        <v>65</v>
      </c>
      <c r="AJ2814" t="s">
        <v>51</v>
      </c>
      <c r="AK2814" t="str">
        <f>HYPERLINK("http://www.proteinatlas.org/Q9Y5E3","HPA029566")</f>
        <v>HPA029566</v>
      </c>
      <c r="AM2814">
        <v>56130</v>
      </c>
    </row>
    <row r="2815" spans="1:39" x14ac:dyDescent="0.35">
      <c r="A2815" t="s">
        <v>27792</v>
      </c>
      <c r="B2815" t="str">
        <f>HYPERLINK("http://www.uniprot.org/uniprot/Q9Y5E4","Q9Y5E4")</f>
        <v>Q9Y5E4</v>
      </c>
      <c r="C2815" t="s">
        <v>27793</v>
      </c>
      <c r="D2815" t="s">
        <v>27794</v>
      </c>
      <c r="E2815" t="s">
        <v>39</v>
      </c>
      <c r="F2815" t="s">
        <v>40</v>
      </c>
      <c r="H2815">
        <v>795</v>
      </c>
      <c r="I2815">
        <v>1</v>
      </c>
      <c r="J2815">
        <v>1</v>
      </c>
      <c r="K2815" t="s">
        <v>27795</v>
      </c>
      <c r="L2815" t="s">
        <v>57</v>
      </c>
      <c r="N2815">
        <v>0.9042</v>
      </c>
      <c r="O2815" s="1">
        <v>1</v>
      </c>
      <c r="P2815" t="s">
        <v>27796</v>
      </c>
      <c r="Q2815" t="s">
        <v>27797</v>
      </c>
      <c r="S2815" t="s">
        <v>91</v>
      </c>
      <c r="T2815" t="s">
        <v>2108</v>
      </c>
      <c r="U2815" t="s">
        <v>27798</v>
      </c>
      <c r="V2815">
        <v>5</v>
      </c>
      <c r="AE2815" t="s">
        <v>332</v>
      </c>
      <c r="AF2815" t="s">
        <v>18023</v>
      </c>
      <c r="AG2815" t="s">
        <v>27799</v>
      </c>
      <c r="AH2815" t="str">
        <f>HYPERLINK("http://compartments.jensenlab.org/Entity?figures=subcell_cell_%&amp;knowledge=10&amp;textmining=10&amp;experiments=10&amp;predictions=10&amp;type1=9606&amp;type2=-22&amp;id1=ENSP00000231134","link")</f>
        <v>link</v>
      </c>
      <c r="AI2815" t="s">
        <v>65</v>
      </c>
      <c r="AJ2815" t="s">
        <v>51</v>
      </c>
      <c r="AK2815" t="str">
        <f>HYPERLINK("http://www.proteinatlas.org/Q9Y5E4","HPA013191")</f>
        <v>HPA013191</v>
      </c>
      <c r="AM2815">
        <v>26167</v>
      </c>
    </row>
    <row r="2816" spans="1:39" x14ac:dyDescent="0.35">
      <c r="A2816" t="s">
        <v>27800</v>
      </c>
      <c r="B2816" t="str">
        <f>HYPERLINK("http://www.uniprot.org/uniprot/Q9Y5E5","Q9Y5E5")</f>
        <v>Q9Y5E5</v>
      </c>
      <c r="C2816" t="s">
        <v>27801</v>
      </c>
      <c r="D2816" t="s">
        <v>27802</v>
      </c>
      <c r="E2816" t="s">
        <v>39</v>
      </c>
      <c r="F2816" t="s">
        <v>40</v>
      </c>
      <c r="H2816">
        <v>795</v>
      </c>
      <c r="I2816">
        <v>1</v>
      </c>
      <c r="J2816">
        <v>1</v>
      </c>
      <c r="K2816" t="s">
        <v>27803</v>
      </c>
      <c r="L2816" t="s">
        <v>57</v>
      </c>
      <c r="N2816">
        <v>0.93010000000000004</v>
      </c>
      <c r="O2816" s="1">
        <v>1</v>
      </c>
      <c r="P2816" t="s">
        <v>27804</v>
      </c>
      <c r="Q2816" t="s">
        <v>27805</v>
      </c>
      <c r="S2816" t="s">
        <v>91</v>
      </c>
      <c r="T2816" t="s">
        <v>2108</v>
      </c>
      <c r="U2816" t="s">
        <v>27806</v>
      </c>
      <c r="V2816">
        <v>5</v>
      </c>
      <c r="W2816" t="s">
        <v>27807</v>
      </c>
      <c r="AE2816" t="s">
        <v>332</v>
      </c>
      <c r="AF2816" t="s">
        <v>18023</v>
      </c>
      <c r="AG2816" t="s">
        <v>27808</v>
      </c>
      <c r="AH2816" t="str">
        <f>HYPERLINK("http://compartments.jensenlab.org/Entity?figures=subcell_cell_%&amp;knowledge=10&amp;textmining=10&amp;experiments=10&amp;predictions=10&amp;type1=9606&amp;type2=-22&amp;id1=ENSP00000194152","link")</f>
        <v>link</v>
      </c>
      <c r="AI2816" t="s">
        <v>65</v>
      </c>
      <c r="AJ2816" t="s">
        <v>1649</v>
      </c>
      <c r="AK2816" t="str">
        <f>HYPERLINK("http://www.proteinatlas.org/Q9Y5E5","HPA014466")</f>
        <v>HPA014466</v>
      </c>
      <c r="AM2816">
        <v>56131</v>
      </c>
    </row>
    <row r="2817" spans="1:39" x14ac:dyDescent="0.35">
      <c r="A2817" t="s">
        <v>27809</v>
      </c>
      <c r="B2817" t="str">
        <f>HYPERLINK("http://www.uniprot.org/uniprot/Q9Y5E6","Q9Y5E6")</f>
        <v>Q9Y5E6</v>
      </c>
      <c r="C2817" t="s">
        <v>27810</v>
      </c>
      <c r="D2817" t="s">
        <v>27811</v>
      </c>
      <c r="E2817" t="s">
        <v>39</v>
      </c>
      <c r="F2817" t="s">
        <v>40</v>
      </c>
      <c r="H2817">
        <v>796</v>
      </c>
      <c r="I2817">
        <v>1</v>
      </c>
      <c r="J2817">
        <v>1</v>
      </c>
      <c r="K2817" t="s">
        <v>27812</v>
      </c>
      <c r="L2817" t="s">
        <v>57</v>
      </c>
      <c r="N2817">
        <v>0.92420000000000002</v>
      </c>
      <c r="O2817" s="1">
        <v>1</v>
      </c>
      <c r="P2817" t="s">
        <v>27813</v>
      </c>
      <c r="Q2817" t="s">
        <v>27814</v>
      </c>
      <c r="S2817" t="s">
        <v>91</v>
      </c>
      <c r="T2817" t="s">
        <v>2108</v>
      </c>
      <c r="U2817" t="s">
        <v>27781</v>
      </c>
      <c r="V2817">
        <v>5</v>
      </c>
      <c r="W2817" t="s">
        <v>27815</v>
      </c>
      <c r="AE2817" t="s">
        <v>332</v>
      </c>
      <c r="AF2817" t="s">
        <v>18023</v>
      </c>
      <c r="AG2817" t="s">
        <v>27816</v>
      </c>
      <c r="AH2817" t="str">
        <f>HYPERLINK("http://compartments.jensenlab.org/Entity?figures=subcell_cell_%&amp;knowledge=10&amp;textmining=10&amp;experiments=10&amp;predictions=10&amp;type1=9606&amp;type2=-22&amp;id1=ENSP00000231130","link")</f>
        <v>link</v>
      </c>
      <c r="AI2817" t="s">
        <v>65</v>
      </c>
      <c r="AJ2817" t="s">
        <v>51</v>
      </c>
      <c r="AK2817" t="str">
        <f>HYPERLINK("http://www.proteinatlas.org/Q9Y5E6","HPA050296")</f>
        <v>HPA050296</v>
      </c>
      <c r="AM2817">
        <v>56132</v>
      </c>
    </row>
    <row r="2818" spans="1:39" x14ac:dyDescent="0.35">
      <c r="A2818" t="s">
        <v>27817</v>
      </c>
      <c r="B2818" t="str">
        <f>HYPERLINK("http://www.uniprot.org/uniprot/Q9Y5E7","Q9Y5E7")</f>
        <v>Q9Y5E7</v>
      </c>
      <c r="C2818" t="s">
        <v>27818</v>
      </c>
      <c r="D2818" t="s">
        <v>27819</v>
      </c>
      <c r="E2818" t="s">
        <v>39</v>
      </c>
      <c r="F2818" t="s">
        <v>40</v>
      </c>
      <c r="H2818">
        <v>798</v>
      </c>
      <c r="I2818">
        <v>1</v>
      </c>
      <c r="J2818">
        <v>1</v>
      </c>
      <c r="K2818" t="s">
        <v>27820</v>
      </c>
      <c r="L2818" t="s">
        <v>57</v>
      </c>
      <c r="N2818">
        <v>0.89219999999999999</v>
      </c>
      <c r="O2818" s="1">
        <v>1</v>
      </c>
      <c r="P2818" t="s">
        <v>27821</v>
      </c>
      <c r="Q2818" t="s">
        <v>27822</v>
      </c>
      <c r="S2818" t="s">
        <v>91</v>
      </c>
      <c r="T2818" t="s">
        <v>2108</v>
      </c>
      <c r="U2818" t="s">
        <v>27823</v>
      </c>
      <c r="V2818">
        <v>5</v>
      </c>
      <c r="W2818" t="s">
        <v>27824</v>
      </c>
      <c r="AE2818" t="s">
        <v>332</v>
      </c>
      <c r="AF2818" t="s">
        <v>27825</v>
      </c>
      <c r="AG2818" t="s">
        <v>27826</v>
      </c>
      <c r="AH2818" t="str">
        <f>HYPERLINK("http://compartments.jensenlab.org/Entity?figures=subcell_cell_%&amp;knowledge=10&amp;textmining=10&amp;experiments=10&amp;predictions=10&amp;type1=9606&amp;type2=-22&amp;id1=ENSP00000194155","link")</f>
        <v>link</v>
      </c>
      <c r="AI2818" t="s">
        <v>65</v>
      </c>
      <c r="AJ2818" t="s">
        <v>51</v>
      </c>
      <c r="AK2818" t="str">
        <f>HYPERLINK("http://www.proteinatlas.org/Q9Y5E7","HPA007548")</f>
        <v>HPA007548</v>
      </c>
      <c r="AM2818">
        <v>56133</v>
      </c>
    </row>
    <row r="2819" spans="1:39" x14ac:dyDescent="0.35">
      <c r="A2819" t="s">
        <v>27827</v>
      </c>
      <c r="B2819" t="str">
        <f>HYPERLINK("http://www.uniprot.org/uniprot/Q9Y5E8","Q9Y5E8")</f>
        <v>Q9Y5E8</v>
      </c>
      <c r="C2819" t="s">
        <v>27828</v>
      </c>
      <c r="D2819" t="s">
        <v>27829</v>
      </c>
      <c r="E2819" t="s">
        <v>39</v>
      </c>
      <c r="F2819" t="s">
        <v>40</v>
      </c>
      <c r="H2819">
        <v>787</v>
      </c>
      <c r="I2819">
        <v>1</v>
      </c>
      <c r="J2819">
        <v>1</v>
      </c>
      <c r="K2819" t="s">
        <v>27830</v>
      </c>
      <c r="L2819" t="s">
        <v>57</v>
      </c>
      <c r="N2819">
        <v>0.9042</v>
      </c>
      <c r="O2819" s="1">
        <v>1</v>
      </c>
      <c r="P2819" t="s">
        <v>27831</v>
      </c>
      <c r="Q2819" t="s">
        <v>27832</v>
      </c>
      <c r="S2819" t="s">
        <v>91</v>
      </c>
      <c r="T2819" t="s">
        <v>2108</v>
      </c>
      <c r="U2819" t="s">
        <v>27833</v>
      </c>
      <c r="V2819">
        <v>4</v>
      </c>
      <c r="W2819">
        <v>418</v>
      </c>
      <c r="AE2819" t="s">
        <v>332</v>
      </c>
      <c r="AF2819" t="s">
        <v>18023</v>
      </c>
      <c r="AG2819" t="s">
        <v>27834</v>
      </c>
      <c r="AH2819" t="str">
        <f>HYPERLINK("http://compartments.jensenlab.org/Entity?figures=subcell_cell_%&amp;knowledge=10&amp;textmining=10&amp;experiments=10&amp;predictions=10&amp;type1=9606&amp;type2=-22&amp;id1=ENSP00000231173","link")</f>
        <v>link</v>
      </c>
      <c r="AI2819" t="s">
        <v>65</v>
      </c>
      <c r="AJ2819" t="s">
        <v>51</v>
      </c>
      <c r="AK2819" t="str">
        <f>HYPERLINK("http://www.proteinatlas.org/Q9Y5E8","HPA007172;CAB026471")</f>
        <v>HPA007172;CAB026471</v>
      </c>
      <c r="AM2819">
        <v>56121</v>
      </c>
    </row>
    <row r="2820" spans="1:39" x14ac:dyDescent="0.35">
      <c r="A2820" t="s">
        <v>27835</v>
      </c>
      <c r="B2820" t="str">
        <f>HYPERLINK("http://www.uniprot.org/uniprot/Q9Y5E9","Q9Y5E9")</f>
        <v>Q9Y5E9</v>
      </c>
      <c r="C2820" t="s">
        <v>27836</v>
      </c>
      <c r="D2820" t="s">
        <v>27837</v>
      </c>
      <c r="E2820" t="s">
        <v>39</v>
      </c>
      <c r="F2820" t="s">
        <v>40</v>
      </c>
      <c r="H2820">
        <v>798</v>
      </c>
      <c r="I2820">
        <v>1</v>
      </c>
      <c r="J2820">
        <v>1</v>
      </c>
      <c r="K2820" t="s">
        <v>27838</v>
      </c>
      <c r="L2820" t="s">
        <v>57</v>
      </c>
      <c r="N2820">
        <v>0.93210000000000004</v>
      </c>
      <c r="O2820" s="1">
        <v>1</v>
      </c>
      <c r="P2820" t="s">
        <v>27839</v>
      </c>
      <c r="Q2820" t="s">
        <v>27840</v>
      </c>
      <c r="S2820" t="s">
        <v>91</v>
      </c>
      <c r="T2820" t="s">
        <v>2108</v>
      </c>
      <c r="U2820" t="s">
        <v>27841</v>
      </c>
      <c r="V2820">
        <v>7</v>
      </c>
      <c r="AE2820" t="s">
        <v>332</v>
      </c>
      <c r="AF2820" t="s">
        <v>27842</v>
      </c>
      <c r="AG2820" t="s">
        <v>27843</v>
      </c>
      <c r="AH2820" t="str">
        <f>HYPERLINK("http://compartments.jensenlab.org/Entity?figures=subcell_cell_%&amp;knowledge=10&amp;textmining=10&amp;experiments=10&amp;predictions=10&amp;type1=9606&amp;type2=-22&amp;id1=ENSP00000239449","link")</f>
        <v>link</v>
      </c>
      <c r="AI2820" t="s">
        <v>65</v>
      </c>
      <c r="AJ2820" t="s">
        <v>51</v>
      </c>
      <c r="AK2820" t="str">
        <f>HYPERLINK("http://www.proteinatlas.org/Q9Y5E9","HPA045248")</f>
        <v>HPA045248</v>
      </c>
      <c r="AM2820">
        <v>56122</v>
      </c>
    </row>
    <row r="2821" spans="1:39" x14ac:dyDescent="0.35">
      <c r="A2821" t="s">
        <v>27844</v>
      </c>
      <c r="B2821" t="str">
        <f>HYPERLINK("http://www.uniprot.org/uniprot/Q9Y5F0","Q9Y5F0")</f>
        <v>Q9Y5F0</v>
      </c>
      <c r="C2821" t="s">
        <v>27845</v>
      </c>
      <c r="D2821" t="s">
        <v>27846</v>
      </c>
      <c r="E2821" t="s">
        <v>39</v>
      </c>
      <c r="F2821" t="s">
        <v>40</v>
      </c>
      <c r="H2821">
        <v>798</v>
      </c>
      <c r="I2821">
        <v>1</v>
      </c>
      <c r="J2821">
        <v>1</v>
      </c>
      <c r="K2821" t="s">
        <v>27847</v>
      </c>
      <c r="L2821" t="s">
        <v>57</v>
      </c>
      <c r="N2821">
        <v>0.9042</v>
      </c>
      <c r="O2821" s="1">
        <v>1</v>
      </c>
      <c r="P2821" t="s">
        <v>27848</v>
      </c>
      <c r="Q2821" t="s">
        <v>27849</v>
      </c>
      <c r="S2821" t="s">
        <v>91</v>
      </c>
      <c r="T2821" t="s">
        <v>2108</v>
      </c>
      <c r="U2821" t="s">
        <v>27850</v>
      </c>
      <c r="V2821">
        <v>4</v>
      </c>
      <c r="AE2821" t="s">
        <v>332</v>
      </c>
      <c r="AF2821" t="s">
        <v>18023</v>
      </c>
      <c r="AG2821" t="s">
        <v>27851</v>
      </c>
      <c r="AH2821" t="str">
        <f>HYPERLINK("http://compartments.jensenlab.org/Entity?figures=subcell_cell_%&amp;knowledge=10&amp;textmining=10&amp;experiments=10&amp;predictions=10&amp;type1=9606&amp;type2=-22&amp;id1=ENSP00000345491","link")</f>
        <v>link</v>
      </c>
      <c r="AI2821" t="s">
        <v>65</v>
      </c>
      <c r="AJ2821" t="s">
        <v>51</v>
      </c>
      <c r="AK2821" t="str">
        <f>HYPERLINK("http://www.proteinatlas.org/Q9Y5F0","no")</f>
        <v>no</v>
      </c>
      <c r="AM2821">
        <v>56123</v>
      </c>
    </row>
    <row r="2822" spans="1:39" x14ac:dyDescent="0.35">
      <c r="A2822" t="s">
        <v>27852</v>
      </c>
      <c r="B2822" t="str">
        <f>HYPERLINK("http://www.uniprot.org/uniprot/Q9Y5F1","Q9Y5F1")</f>
        <v>Q9Y5F1</v>
      </c>
      <c r="C2822" t="s">
        <v>27853</v>
      </c>
      <c r="D2822" t="s">
        <v>27854</v>
      </c>
      <c r="E2822" t="s">
        <v>39</v>
      </c>
      <c r="F2822" t="s">
        <v>40</v>
      </c>
      <c r="H2822">
        <v>795</v>
      </c>
      <c r="I2822">
        <v>1</v>
      </c>
      <c r="J2822">
        <v>1</v>
      </c>
      <c r="K2822" t="s">
        <v>27855</v>
      </c>
      <c r="L2822" t="s">
        <v>57</v>
      </c>
      <c r="N2822">
        <v>0.94610000000000005</v>
      </c>
      <c r="O2822" s="1">
        <v>1</v>
      </c>
      <c r="P2822" t="s">
        <v>27856</v>
      </c>
      <c r="Q2822" t="s">
        <v>27857</v>
      </c>
      <c r="S2822" t="s">
        <v>91</v>
      </c>
      <c r="T2822" t="s">
        <v>2108</v>
      </c>
      <c r="U2822" t="s">
        <v>27858</v>
      </c>
      <c r="V2822">
        <v>5</v>
      </c>
      <c r="W2822" t="s">
        <v>27859</v>
      </c>
      <c r="AE2822" t="s">
        <v>332</v>
      </c>
      <c r="AF2822" t="s">
        <v>16205</v>
      </c>
      <c r="AG2822" t="s">
        <v>27860</v>
      </c>
      <c r="AH2822" t="str">
        <f>HYPERLINK("http://compartments.jensenlab.org/Entity?figures=subcell_cell_%&amp;knowledge=10&amp;textmining=10&amp;experiments=10&amp;predictions=10&amp;type1=9606&amp;type2=-22&amp;id1=ENSP00000239450","link")</f>
        <v>link</v>
      </c>
      <c r="AI2822" t="s">
        <v>65</v>
      </c>
      <c r="AJ2822" t="s">
        <v>51</v>
      </c>
      <c r="AK2822" t="str">
        <f>HYPERLINK("http://www.proteinatlas.org/Q9Y5F1","HPA045042")</f>
        <v>HPA045042</v>
      </c>
      <c r="AM2822">
        <v>56124</v>
      </c>
    </row>
    <row r="2823" spans="1:39" x14ac:dyDescent="0.35">
      <c r="A2823" t="s">
        <v>27861</v>
      </c>
      <c r="B2823" t="str">
        <f>HYPERLINK("http://www.uniprot.org/uniprot/Q9Y5F2","Q9Y5F2")</f>
        <v>Q9Y5F2</v>
      </c>
      <c r="C2823" t="s">
        <v>27862</v>
      </c>
      <c r="D2823" t="s">
        <v>27863</v>
      </c>
      <c r="E2823" t="s">
        <v>39</v>
      </c>
      <c r="F2823" t="s">
        <v>40</v>
      </c>
      <c r="H2823">
        <v>797</v>
      </c>
      <c r="I2823">
        <v>1</v>
      </c>
      <c r="J2823">
        <v>1</v>
      </c>
      <c r="K2823" t="s">
        <v>27864</v>
      </c>
      <c r="L2823" t="s">
        <v>57</v>
      </c>
      <c r="N2823">
        <v>0.92220000000000002</v>
      </c>
      <c r="O2823" s="1">
        <v>1</v>
      </c>
      <c r="P2823" t="s">
        <v>27865</v>
      </c>
      <c r="Q2823" t="s">
        <v>27866</v>
      </c>
      <c r="S2823" t="s">
        <v>91</v>
      </c>
      <c r="T2823" t="s">
        <v>2108</v>
      </c>
      <c r="U2823" t="s">
        <v>27867</v>
      </c>
      <c r="V2823">
        <v>5</v>
      </c>
      <c r="W2823" t="s">
        <v>27868</v>
      </c>
      <c r="AE2823" t="s">
        <v>332</v>
      </c>
      <c r="AF2823" t="s">
        <v>16205</v>
      </c>
      <c r="AG2823" t="s">
        <v>27869</v>
      </c>
      <c r="AH2823" t="str">
        <f>HYPERLINK("http://compartments.jensenlab.org/Entity?figures=subcell_cell_%&amp;knowledge=10&amp;textmining=10&amp;experiments=10&amp;predictions=10&amp;type1=9606&amp;type2=-22&amp;id1=ENSP00000346802","link")</f>
        <v>link</v>
      </c>
      <c r="AI2823" t="s">
        <v>65</v>
      </c>
      <c r="AJ2823" t="s">
        <v>51</v>
      </c>
      <c r="AK2823" t="str">
        <f>HYPERLINK("http://www.proteinatlas.org/Q9Y5F2","HPA045042")</f>
        <v>HPA045042</v>
      </c>
      <c r="AM2823">
        <v>56125</v>
      </c>
    </row>
    <row r="2824" spans="1:39" x14ac:dyDescent="0.35">
      <c r="A2824" t="s">
        <v>27870</v>
      </c>
      <c r="B2824" t="str">
        <f>HYPERLINK("http://www.uniprot.org/uniprot/Q9Y5F3","Q9Y5F3")</f>
        <v>Q9Y5F3</v>
      </c>
      <c r="C2824" t="s">
        <v>27871</v>
      </c>
      <c r="D2824" t="s">
        <v>27872</v>
      </c>
      <c r="E2824" t="s">
        <v>39</v>
      </c>
      <c r="F2824" t="s">
        <v>40</v>
      </c>
      <c r="H2824">
        <v>818</v>
      </c>
      <c r="I2824">
        <v>1</v>
      </c>
      <c r="J2824">
        <v>1</v>
      </c>
      <c r="K2824" t="s">
        <v>27873</v>
      </c>
      <c r="L2824" t="s">
        <v>57</v>
      </c>
      <c r="N2824">
        <v>0.90620000000000001</v>
      </c>
      <c r="O2824" s="1">
        <v>1</v>
      </c>
      <c r="P2824" t="s">
        <v>27874</v>
      </c>
      <c r="Q2824" t="s">
        <v>27875</v>
      </c>
      <c r="S2824" t="s">
        <v>91</v>
      </c>
      <c r="T2824" t="s">
        <v>2108</v>
      </c>
      <c r="U2824" t="s">
        <v>27876</v>
      </c>
      <c r="V2824">
        <v>6</v>
      </c>
      <c r="AE2824" t="s">
        <v>332</v>
      </c>
      <c r="AF2824" t="s">
        <v>18023</v>
      </c>
      <c r="AG2824" t="s">
        <v>27877</v>
      </c>
      <c r="AH2824" t="str">
        <f>HYPERLINK("http://compartments.jensenlab.org/Entity?figures=subcell_cell_%&amp;knowledge=10&amp;textmining=10&amp;experiments=10&amp;predictions=10&amp;type1=9606&amp;type2=-22&amp;id1=ENSP00000307234","link")</f>
        <v>link</v>
      </c>
      <c r="AI2824" t="s">
        <v>65</v>
      </c>
      <c r="AJ2824" t="s">
        <v>51</v>
      </c>
      <c r="AK2824" t="str">
        <f>HYPERLINK("http://www.proteinatlas.org/Q9Y5F3","HPA053921")</f>
        <v>HPA053921</v>
      </c>
      <c r="AM2824">
        <v>29930</v>
      </c>
    </row>
    <row r="2825" spans="1:39" x14ac:dyDescent="0.35">
      <c r="A2825" t="s">
        <v>27878</v>
      </c>
      <c r="B2825" t="str">
        <f>HYPERLINK("http://www.uniprot.org/uniprot/Q9Y5F6","Q9Y5F6")</f>
        <v>Q9Y5F6</v>
      </c>
      <c r="C2825" t="s">
        <v>27879</v>
      </c>
      <c r="D2825" t="s">
        <v>27880</v>
      </c>
      <c r="E2825" t="s">
        <v>39</v>
      </c>
      <c r="F2825" t="s">
        <v>55</v>
      </c>
      <c r="H2825">
        <v>944</v>
      </c>
      <c r="I2825">
        <v>1</v>
      </c>
      <c r="J2825">
        <v>1</v>
      </c>
      <c r="K2825" t="s">
        <v>27881</v>
      </c>
      <c r="L2825" t="s">
        <v>101</v>
      </c>
      <c r="M2825" t="s">
        <v>39</v>
      </c>
      <c r="N2825">
        <v>0.83069999999999999</v>
      </c>
      <c r="O2825" s="1">
        <v>1</v>
      </c>
      <c r="P2825" t="s">
        <v>27882</v>
      </c>
      <c r="Q2825" t="s">
        <v>27883</v>
      </c>
      <c r="S2825" t="s">
        <v>60</v>
      </c>
      <c r="T2825" t="s">
        <v>60</v>
      </c>
      <c r="U2825" t="s">
        <v>27884</v>
      </c>
      <c r="V2825">
        <v>3</v>
      </c>
      <c r="Z2825" t="s">
        <v>107</v>
      </c>
      <c r="AA2825">
        <v>1</v>
      </c>
      <c r="AB2825" t="s">
        <v>27885</v>
      </c>
      <c r="AC2825">
        <v>443</v>
      </c>
      <c r="AD2825" t="s">
        <v>27886</v>
      </c>
      <c r="AE2825" t="s">
        <v>332</v>
      </c>
      <c r="AF2825" t="s">
        <v>16205</v>
      </c>
      <c r="AG2825" t="s">
        <v>27887</v>
      </c>
      <c r="AH2825" t="str">
        <f>HYPERLINK("http://compartments.jensenlab.org/Entity?figures=subcell_cell_%&amp;knowledge=10&amp;textmining=10&amp;experiments=10&amp;predictions=10&amp;type1=9606&amp;type2=-22&amp;id1=ENSP00000252087","link")</f>
        <v>link</v>
      </c>
      <c r="AI2825" t="s">
        <v>65</v>
      </c>
      <c r="AJ2825" t="s">
        <v>51</v>
      </c>
      <c r="AK2825" t="str">
        <f>HYPERLINK("http://www.proteinatlas.org/Q9Y5F6","HPA008755")</f>
        <v>HPA008755</v>
      </c>
      <c r="AM2825">
        <v>56097</v>
      </c>
    </row>
    <row r="2826" spans="1:39" x14ac:dyDescent="0.35">
      <c r="A2826" t="s">
        <v>27888</v>
      </c>
      <c r="B2826" t="str">
        <f>HYPERLINK("http://www.uniprot.org/uniprot/Q9Y5F7","Q9Y5F7")</f>
        <v>Q9Y5F7</v>
      </c>
      <c r="C2826" t="s">
        <v>27889</v>
      </c>
      <c r="D2826" t="s">
        <v>27890</v>
      </c>
      <c r="E2826" t="s">
        <v>39</v>
      </c>
      <c r="F2826" t="s">
        <v>40</v>
      </c>
      <c r="H2826">
        <v>938</v>
      </c>
      <c r="I2826">
        <v>1</v>
      </c>
      <c r="J2826">
        <v>1</v>
      </c>
      <c r="K2826" t="s">
        <v>27891</v>
      </c>
      <c r="L2826" t="s">
        <v>57</v>
      </c>
      <c r="N2826">
        <v>0.91420000000000001</v>
      </c>
      <c r="O2826" s="1">
        <v>1</v>
      </c>
      <c r="P2826" t="s">
        <v>27892</v>
      </c>
      <c r="Q2826" t="s">
        <v>27893</v>
      </c>
      <c r="S2826" t="s">
        <v>60</v>
      </c>
      <c r="T2826" t="s">
        <v>60</v>
      </c>
      <c r="U2826" t="s">
        <v>27894</v>
      </c>
      <c r="V2826">
        <v>3</v>
      </c>
      <c r="AE2826" t="s">
        <v>332</v>
      </c>
      <c r="AF2826" t="s">
        <v>1347</v>
      </c>
      <c r="AG2826" t="s">
        <v>27895</v>
      </c>
      <c r="AH2826" t="str">
        <f>HYPERLINK("http://compartments.jensenlab.org/Entity?figures=subcell_cell_%&amp;knowledge=10&amp;textmining=10&amp;experiments=10&amp;predictions=10&amp;type1=9606&amp;type2=-22&amp;id1=ENSP00000306918","link")</f>
        <v>link</v>
      </c>
      <c r="AI2826" t="s">
        <v>65</v>
      </c>
      <c r="AJ2826" t="s">
        <v>51</v>
      </c>
      <c r="AK2826" t="str">
        <f>HYPERLINK("http://www.proteinatlas.org/Q9Y5F7","HPA008755")</f>
        <v>HPA008755</v>
      </c>
      <c r="AM2826">
        <v>56098</v>
      </c>
    </row>
    <row r="2827" spans="1:39" x14ac:dyDescent="0.35">
      <c r="A2827" t="s">
        <v>27896</v>
      </c>
      <c r="B2827" t="str">
        <f>HYPERLINK("http://www.uniprot.org/uniprot/Q9Y5F8","Q9Y5F8")</f>
        <v>Q9Y5F8</v>
      </c>
      <c r="C2827" t="s">
        <v>27897</v>
      </c>
      <c r="D2827" t="s">
        <v>27898</v>
      </c>
      <c r="E2827" t="s">
        <v>39</v>
      </c>
      <c r="F2827" t="s">
        <v>55</v>
      </c>
      <c r="H2827">
        <v>929</v>
      </c>
      <c r="I2827">
        <v>1</v>
      </c>
      <c r="J2827">
        <v>1</v>
      </c>
      <c r="K2827" t="s">
        <v>27899</v>
      </c>
      <c r="L2827" t="s">
        <v>101</v>
      </c>
      <c r="N2827">
        <v>0.9042</v>
      </c>
      <c r="O2827" s="1">
        <v>1</v>
      </c>
      <c r="P2827" t="s">
        <v>27900</v>
      </c>
      <c r="Q2827" t="s">
        <v>27901</v>
      </c>
      <c r="U2827" t="s">
        <v>27902</v>
      </c>
      <c r="V2827">
        <v>2</v>
      </c>
      <c r="Z2827" t="s">
        <v>107</v>
      </c>
      <c r="AA2827">
        <v>1</v>
      </c>
      <c r="AB2827" t="s">
        <v>27903</v>
      </c>
      <c r="AC2827">
        <v>419</v>
      </c>
      <c r="AD2827" t="s">
        <v>27904</v>
      </c>
      <c r="AE2827" t="s">
        <v>332</v>
      </c>
      <c r="AF2827" t="s">
        <v>16205</v>
      </c>
      <c r="AG2827" t="s">
        <v>27905</v>
      </c>
      <c r="AH2827" t="str">
        <f>HYPERLINK("http://compartments.jensenlab.org/Entity?figures=subcell_cell_%&amp;knowledge=10&amp;textmining=10&amp;experiments=10&amp;predictions=10&amp;type1=9606&amp;type2=-22&amp;id1=ENSP00000381594","link")</f>
        <v>link</v>
      </c>
      <c r="AK2827" t="str">
        <f>HYPERLINK("http://www.proteinatlas.org/Q9Y5F8","HPA008755")</f>
        <v>HPA008755</v>
      </c>
      <c r="AM2827">
        <v>56099</v>
      </c>
    </row>
    <row r="2828" spans="1:39" x14ac:dyDescent="0.35">
      <c r="A2828" t="s">
        <v>27906</v>
      </c>
      <c r="B2828" t="str">
        <f>HYPERLINK("http://www.uniprot.org/uniprot/Q9Y5F9","Q9Y5F9")</f>
        <v>Q9Y5F9</v>
      </c>
      <c r="C2828" t="s">
        <v>27907</v>
      </c>
      <c r="D2828" t="s">
        <v>27908</v>
      </c>
      <c r="E2828" t="s">
        <v>39</v>
      </c>
      <c r="F2828" t="s">
        <v>40</v>
      </c>
      <c r="H2828">
        <v>930</v>
      </c>
      <c r="I2828">
        <v>1</v>
      </c>
      <c r="J2828">
        <v>1</v>
      </c>
      <c r="K2828" t="s">
        <v>27909</v>
      </c>
      <c r="L2828" t="s">
        <v>57</v>
      </c>
      <c r="N2828">
        <v>0.94810000000000005</v>
      </c>
      <c r="O2828" s="1">
        <v>1</v>
      </c>
      <c r="P2828" t="s">
        <v>27910</v>
      </c>
      <c r="Q2828" t="s">
        <v>27911</v>
      </c>
      <c r="U2828" t="s">
        <v>27912</v>
      </c>
      <c r="V2828">
        <v>3</v>
      </c>
      <c r="AE2828" t="s">
        <v>332</v>
      </c>
      <c r="AF2828" t="s">
        <v>16205</v>
      </c>
      <c r="AG2828" t="s">
        <v>27913</v>
      </c>
      <c r="AH2828" t="str">
        <f>HYPERLINK("http://compartments.jensenlab.org/Entity?figures=subcell_cell_%&amp;knowledge=10&amp;textmining=10&amp;experiments=10&amp;predictions=10&amp;type1=9606&amp;type2=-22&amp;id1=ENSP00000428603","link")</f>
        <v>link</v>
      </c>
      <c r="AK2828" t="str">
        <f>HYPERLINK("http://www.proteinatlas.org/Q9Y5F9","HPA008755")</f>
        <v>HPA008755</v>
      </c>
      <c r="AM2828">
        <v>56100</v>
      </c>
    </row>
    <row r="2829" spans="1:39" x14ac:dyDescent="0.35">
      <c r="A2829" t="s">
        <v>27914</v>
      </c>
      <c r="B2829" t="str">
        <f>HYPERLINK("http://www.uniprot.org/uniprot/Q9Y5G0","Q9Y5G0")</f>
        <v>Q9Y5G0</v>
      </c>
      <c r="C2829" t="s">
        <v>27915</v>
      </c>
      <c r="D2829" t="s">
        <v>27916</v>
      </c>
      <c r="E2829" t="s">
        <v>39</v>
      </c>
      <c r="F2829" t="s">
        <v>55</v>
      </c>
      <c r="H2829">
        <v>923</v>
      </c>
      <c r="I2829">
        <v>1</v>
      </c>
      <c r="J2829">
        <v>1</v>
      </c>
      <c r="K2829" t="s">
        <v>27917</v>
      </c>
      <c r="L2829" t="s">
        <v>101</v>
      </c>
      <c r="N2829">
        <v>0.94010000000000005</v>
      </c>
      <c r="O2829" s="1">
        <v>1</v>
      </c>
      <c r="P2829" t="s">
        <v>27918</v>
      </c>
      <c r="Q2829" t="s">
        <v>27919</v>
      </c>
      <c r="U2829" t="s">
        <v>27920</v>
      </c>
      <c r="V2829">
        <v>2</v>
      </c>
      <c r="Z2829" t="s">
        <v>107</v>
      </c>
      <c r="AA2829">
        <v>1</v>
      </c>
      <c r="AB2829" t="s">
        <v>27921</v>
      </c>
      <c r="AC2829">
        <v>415</v>
      </c>
      <c r="AD2829" t="s">
        <v>27922</v>
      </c>
      <c r="AE2829" t="s">
        <v>332</v>
      </c>
      <c r="AF2829" t="s">
        <v>16205</v>
      </c>
      <c r="AG2829" t="s">
        <v>27923</v>
      </c>
      <c r="AH2829" t="str">
        <f>HYPERLINK("http://compartments.jensenlab.org/Entity?figures=subcell_cell_%&amp;knowledge=10&amp;textmining=10&amp;experiments=10&amp;predictions=10&amp;type1=9606&amp;type2=-22&amp;id1=ENSP00000478258","link")</f>
        <v>link</v>
      </c>
      <c r="AK2829" t="str">
        <f>HYPERLINK("http://www.proteinatlas.org/Q9Y5G0","no")</f>
        <v>no</v>
      </c>
      <c r="AM2829">
        <v>56101</v>
      </c>
    </row>
    <row r="2830" spans="1:39" x14ac:dyDescent="0.35">
      <c r="A2830" t="s">
        <v>27924</v>
      </c>
      <c r="B2830" t="str">
        <f>HYPERLINK("http://www.uniprot.org/uniprot/Q9Y5G1","Q9Y5G1")</f>
        <v>Q9Y5G1</v>
      </c>
      <c r="C2830" t="s">
        <v>27925</v>
      </c>
      <c r="D2830" t="s">
        <v>27926</v>
      </c>
      <c r="E2830" t="s">
        <v>39</v>
      </c>
      <c r="F2830" t="s">
        <v>40</v>
      </c>
      <c r="H2830">
        <v>929</v>
      </c>
      <c r="I2830">
        <v>1</v>
      </c>
      <c r="J2830">
        <v>1</v>
      </c>
      <c r="K2830" t="s">
        <v>27927</v>
      </c>
      <c r="L2830" t="s">
        <v>57</v>
      </c>
      <c r="N2830">
        <v>0.92220000000000002</v>
      </c>
      <c r="O2830" s="1">
        <v>1</v>
      </c>
      <c r="P2830" t="s">
        <v>27928</v>
      </c>
      <c r="Q2830" t="s">
        <v>27929</v>
      </c>
      <c r="U2830" t="s">
        <v>27930</v>
      </c>
      <c r="V2830">
        <v>3</v>
      </c>
      <c r="AE2830" t="s">
        <v>332</v>
      </c>
      <c r="AF2830" t="s">
        <v>16205</v>
      </c>
      <c r="AG2830" t="s">
        <v>27931</v>
      </c>
      <c r="AH2830" t="str">
        <f>HYPERLINK("http://compartments.jensenlab.org/Entity?figures=subcell_cell_%&amp;knowledge=10&amp;textmining=10&amp;experiments=10&amp;predictions=10&amp;type1=9606&amp;type2=-22&amp;id1=ENSP00000461862","link")</f>
        <v>link</v>
      </c>
      <c r="AK2830" t="str">
        <f>HYPERLINK("http://www.proteinatlas.org/Q9Y5G1","HPA008755;HPA035823")</f>
        <v>HPA008755;HPA035823</v>
      </c>
      <c r="AM2830">
        <v>56102</v>
      </c>
    </row>
    <row r="2831" spans="1:39" x14ac:dyDescent="0.35">
      <c r="A2831" t="s">
        <v>27932</v>
      </c>
      <c r="B2831" t="str">
        <f>HYPERLINK("http://www.uniprot.org/uniprot/Q9Y5G2","Q9Y5G2")</f>
        <v>Q9Y5G2</v>
      </c>
      <c r="C2831" t="s">
        <v>27933</v>
      </c>
      <c r="D2831" t="s">
        <v>27934</v>
      </c>
      <c r="E2831" t="s">
        <v>39</v>
      </c>
      <c r="F2831" t="s">
        <v>40</v>
      </c>
      <c r="H2831">
        <v>931</v>
      </c>
      <c r="I2831">
        <v>1</v>
      </c>
      <c r="J2831">
        <v>1</v>
      </c>
      <c r="K2831" t="s">
        <v>27935</v>
      </c>
      <c r="L2831" t="s">
        <v>57</v>
      </c>
      <c r="N2831">
        <v>0.91220000000000001</v>
      </c>
      <c r="O2831" s="1">
        <v>1</v>
      </c>
      <c r="P2831" t="s">
        <v>27936</v>
      </c>
      <c r="Q2831" t="s">
        <v>27937</v>
      </c>
      <c r="U2831" t="s">
        <v>27938</v>
      </c>
      <c r="V2831">
        <v>2</v>
      </c>
      <c r="AE2831" t="s">
        <v>332</v>
      </c>
      <c r="AF2831" t="s">
        <v>16205</v>
      </c>
      <c r="AG2831" t="s">
        <v>27939</v>
      </c>
      <c r="AH2831" t="str">
        <f>HYPERLINK("http://compartments.jensenlab.org/Entity?figures=subcell_cell_%&amp;knowledge=10&amp;textmining=10&amp;experiments=10&amp;predictions=10&amp;type1=9606&amp;type2=-22&amp;id1=ENSP00000429018","link")</f>
        <v>link</v>
      </c>
      <c r="AK2831" t="str">
        <f>HYPERLINK("http://www.proteinatlas.org/Q9Y5G2","HPA008755")</f>
        <v>HPA008755</v>
      </c>
      <c r="AM2831">
        <v>56103</v>
      </c>
    </row>
    <row r="2832" spans="1:39" x14ac:dyDescent="0.35">
      <c r="A2832" t="s">
        <v>27940</v>
      </c>
      <c r="B2832" t="str">
        <f>HYPERLINK("http://www.uniprot.org/uniprot/Q9Y5G3","Q9Y5G3")</f>
        <v>Q9Y5G3</v>
      </c>
      <c r="C2832" t="s">
        <v>27941</v>
      </c>
      <c r="D2832" t="s">
        <v>27942</v>
      </c>
      <c r="E2832" t="s">
        <v>39</v>
      </c>
      <c r="F2832" t="s">
        <v>55</v>
      </c>
      <c r="H2832">
        <v>927</v>
      </c>
      <c r="I2832">
        <v>1</v>
      </c>
      <c r="J2832">
        <v>1</v>
      </c>
      <c r="K2832" t="s">
        <v>27943</v>
      </c>
      <c r="L2832" t="s">
        <v>101</v>
      </c>
      <c r="N2832">
        <v>0.97409999999999997</v>
      </c>
      <c r="O2832" s="1">
        <v>1</v>
      </c>
      <c r="P2832" t="s">
        <v>27944</v>
      </c>
      <c r="Q2832" t="s">
        <v>27945</v>
      </c>
      <c r="U2832" t="s">
        <v>27946</v>
      </c>
      <c r="V2832">
        <v>5</v>
      </c>
      <c r="Z2832" t="s">
        <v>107</v>
      </c>
      <c r="AA2832">
        <v>1</v>
      </c>
      <c r="AB2832" t="s">
        <v>27947</v>
      </c>
      <c r="AC2832">
        <v>415</v>
      </c>
      <c r="AD2832" t="s">
        <v>27948</v>
      </c>
      <c r="AE2832" t="s">
        <v>332</v>
      </c>
      <c r="AF2832" t="s">
        <v>1347</v>
      </c>
      <c r="AG2832" t="s">
        <v>27949</v>
      </c>
      <c r="AH2832" t="str">
        <f>HYPERLINK("http://compartments.jensenlab.org/Entity?figures=subcell_cell_%&amp;knowledge=10&amp;textmining=10&amp;experiments=10&amp;predictions=10&amp;type1=9606&amp;type2=-22&amp;id1=ENSP00000429273","link")</f>
        <v>link</v>
      </c>
      <c r="AK2832" t="str">
        <f>HYPERLINK("http://www.proteinatlas.org/Q9Y5G3","HPA008755")</f>
        <v>HPA008755</v>
      </c>
      <c r="AM2832">
        <v>56104</v>
      </c>
    </row>
    <row r="2833" spans="1:39" x14ac:dyDescent="0.35">
      <c r="A2833" t="s">
        <v>27950</v>
      </c>
      <c r="B2833" t="str">
        <f>HYPERLINK("http://www.uniprot.org/uniprot/Q9Y5G4","Q9Y5G4")</f>
        <v>Q9Y5G4</v>
      </c>
      <c r="C2833" t="s">
        <v>27951</v>
      </c>
      <c r="D2833" t="s">
        <v>27952</v>
      </c>
      <c r="E2833" t="s">
        <v>39</v>
      </c>
      <c r="F2833" t="s">
        <v>55</v>
      </c>
      <c r="H2833">
        <v>932</v>
      </c>
      <c r="I2833">
        <v>1</v>
      </c>
      <c r="J2833">
        <v>1</v>
      </c>
      <c r="K2833" t="s">
        <v>27953</v>
      </c>
      <c r="L2833" t="s">
        <v>101</v>
      </c>
      <c r="M2833" t="s">
        <v>39</v>
      </c>
      <c r="N2833">
        <v>0.97840000000000005</v>
      </c>
      <c r="O2833" s="1">
        <v>1</v>
      </c>
      <c r="P2833" t="s">
        <v>27954</v>
      </c>
      <c r="Q2833" t="s">
        <v>27955</v>
      </c>
      <c r="U2833" t="s">
        <v>27956</v>
      </c>
      <c r="V2833">
        <v>5</v>
      </c>
      <c r="Z2833" t="s">
        <v>107</v>
      </c>
      <c r="AA2833">
        <v>2</v>
      </c>
      <c r="AB2833" t="s">
        <v>27957</v>
      </c>
      <c r="AC2833" t="s">
        <v>27958</v>
      </c>
      <c r="AD2833" t="s">
        <v>27959</v>
      </c>
      <c r="AE2833" t="s">
        <v>332</v>
      </c>
      <c r="AF2833" t="s">
        <v>16205</v>
      </c>
      <c r="AG2833" t="s">
        <v>27960</v>
      </c>
      <c r="AH2833" t="str">
        <f>HYPERLINK("http://compartments.jensenlab.org/Entity?figures=subcell_cell_%&amp;knowledge=10&amp;textmining=10&amp;experiments=10&amp;predictions=10&amp;type1=9606&amp;type2=-22&amp;id1=ENSP00000460274","link")</f>
        <v>link</v>
      </c>
      <c r="AK2833" t="str">
        <f>HYPERLINK("http://www.proteinatlas.org/Q9Y5G4","HPA008755")</f>
        <v>HPA008755</v>
      </c>
      <c r="AM2833">
        <v>56107</v>
      </c>
    </row>
    <row r="2834" spans="1:39" x14ac:dyDescent="0.35">
      <c r="A2834" t="s">
        <v>27961</v>
      </c>
      <c r="B2834" t="str">
        <f>HYPERLINK("http://www.uniprot.org/uniprot/Q9Y5G5","Q9Y5G5")</f>
        <v>Q9Y5G5</v>
      </c>
      <c r="C2834" t="s">
        <v>27962</v>
      </c>
      <c r="D2834" t="s">
        <v>27963</v>
      </c>
      <c r="E2834" t="s">
        <v>39</v>
      </c>
      <c r="F2834" t="s">
        <v>40</v>
      </c>
      <c r="H2834">
        <v>932</v>
      </c>
      <c r="I2834">
        <v>1</v>
      </c>
      <c r="J2834">
        <v>1</v>
      </c>
      <c r="K2834" t="s">
        <v>27964</v>
      </c>
      <c r="L2834" t="s">
        <v>57</v>
      </c>
      <c r="N2834">
        <v>0.97599999999999998</v>
      </c>
      <c r="O2834" s="1">
        <v>1</v>
      </c>
      <c r="P2834" t="s">
        <v>27965</v>
      </c>
      <c r="Q2834" t="s">
        <v>27966</v>
      </c>
      <c r="U2834" t="s">
        <v>27967</v>
      </c>
      <c r="V2834">
        <v>5</v>
      </c>
      <c r="AE2834" t="s">
        <v>332</v>
      </c>
      <c r="AF2834" t="s">
        <v>16205</v>
      </c>
      <c r="AG2834" t="s">
        <v>27968</v>
      </c>
      <c r="AH2834" t="str">
        <f>HYPERLINK("http://compartments.jensenlab.org/Entity?figures=subcell_cell_%&amp;knowledge=10&amp;textmining=10&amp;experiments=10&amp;predictions=10&amp;type1=9606&amp;type2=-22&amp;id1=ENSP00000381605","link")</f>
        <v>link</v>
      </c>
      <c r="AK2834" t="str">
        <f>HYPERLINK("http://www.proteinatlas.org/Q9Y5G5","HPA008755")</f>
        <v>HPA008755</v>
      </c>
      <c r="AM2834">
        <v>9708</v>
      </c>
    </row>
    <row r="2835" spans="1:39" x14ac:dyDescent="0.35">
      <c r="A2835" t="s">
        <v>27969</v>
      </c>
      <c r="B2835" t="str">
        <f>HYPERLINK("http://www.uniprot.org/uniprot/Q9Y5G6","Q9Y5G6")</f>
        <v>Q9Y5G6</v>
      </c>
      <c r="C2835" t="s">
        <v>27970</v>
      </c>
      <c r="D2835" t="s">
        <v>27971</v>
      </c>
      <c r="E2835" t="s">
        <v>39</v>
      </c>
      <c r="F2835" t="s">
        <v>40</v>
      </c>
      <c r="H2835">
        <v>932</v>
      </c>
      <c r="I2835">
        <v>1</v>
      </c>
      <c r="J2835">
        <v>1</v>
      </c>
      <c r="K2835" t="s">
        <v>2105</v>
      </c>
      <c r="L2835" t="s">
        <v>57</v>
      </c>
      <c r="N2835">
        <v>0.82630000000000003</v>
      </c>
      <c r="O2835" s="1">
        <v>1</v>
      </c>
      <c r="P2835" t="s">
        <v>27972</v>
      </c>
      <c r="Q2835" t="s">
        <v>27973</v>
      </c>
      <c r="U2835" t="s">
        <v>27974</v>
      </c>
      <c r="V2835">
        <v>2</v>
      </c>
      <c r="Y2835">
        <v>24</v>
      </c>
      <c r="AE2835" t="s">
        <v>332</v>
      </c>
      <c r="AF2835" t="s">
        <v>16205</v>
      </c>
      <c r="AG2835" t="s">
        <v>27975</v>
      </c>
      <c r="AH2835" t="str">
        <f>HYPERLINK("http://compartments.jensenlab.org/Entity?figures=subcell_cell_%&amp;knowledge=10&amp;textmining=10&amp;experiments=10&amp;predictions=10&amp;type1=9606&amp;type2=-22&amp;id1=ENSP00000430024","link")</f>
        <v>link</v>
      </c>
      <c r="AK2835" t="str">
        <f>HYPERLINK("http://www.proteinatlas.org/Q9Y5G6","HPA008755")</f>
        <v>HPA008755</v>
      </c>
      <c r="AM2835">
        <v>56108</v>
      </c>
    </row>
    <row r="2836" spans="1:39" x14ac:dyDescent="0.35">
      <c r="A2836" t="s">
        <v>27976</v>
      </c>
      <c r="B2836" t="str">
        <f>HYPERLINK("http://www.uniprot.org/uniprot/Q9Y5G7","Q9Y5G7")</f>
        <v>Q9Y5G7</v>
      </c>
      <c r="C2836" t="s">
        <v>27977</v>
      </c>
      <c r="D2836" t="s">
        <v>27978</v>
      </c>
      <c r="E2836" t="s">
        <v>39</v>
      </c>
      <c r="F2836" t="s">
        <v>40</v>
      </c>
      <c r="H2836">
        <v>932</v>
      </c>
      <c r="I2836">
        <v>1</v>
      </c>
      <c r="J2836">
        <v>1</v>
      </c>
      <c r="K2836" t="s">
        <v>2105</v>
      </c>
      <c r="L2836" t="s">
        <v>57</v>
      </c>
      <c r="N2836">
        <v>0.96009999999999995</v>
      </c>
      <c r="O2836" s="1">
        <v>1</v>
      </c>
      <c r="P2836" t="s">
        <v>27979</v>
      </c>
      <c r="Q2836" t="s">
        <v>27980</v>
      </c>
      <c r="U2836" t="s">
        <v>27981</v>
      </c>
      <c r="V2836">
        <v>4</v>
      </c>
      <c r="AE2836" t="s">
        <v>332</v>
      </c>
      <c r="AF2836" t="s">
        <v>16205</v>
      </c>
      <c r="AG2836" t="s">
        <v>27982</v>
      </c>
      <c r="AH2836" t="str">
        <f>HYPERLINK("http://compartments.jensenlab.org/Entity?figures=subcell_cell_%&amp;knowledge=10&amp;textmining=10&amp;experiments=10&amp;predictions=10&amp;type1=9606&amp;type2=-22&amp;id1=ENSP00000429601","link")</f>
        <v>link</v>
      </c>
      <c r="AK2836" t="str">
        <f>HYPERLINK("http://www.proteinatlas.org/Q9Y5G7","HPA008755")</f>
        <v>HPA008755</v>
      </c>
      <c r="AM2836">
        <v>56109</v>
      </c>
    </row>
    <row r="2837" spans="1:39" x14ac:dyDescent="0.35">
      <c r="A2837" t="s">
        <v>27983</v>
      </c>
      <c r="B2837" t="str">
        <f>HYPERLINK("http://www.uniprot.org/uniprot/Q9Y5G8","Q9Y5G8")</f>
        <v>Q9Y5G8</v>
      </c>
      <c r="C2837" t="s">
        <v>27984</v>
      </c>
      <c r="D2837" t="s">
        <v>27985</v>
      </c>
      <c r="E2837" t="s">
        <v>39</v>
      </c>
      <c r="F2837" t="s">
        <v>40</v>
      </c>
      <c r="H2837">
        <v>931</v>
      </c>
      <c r="I2837">
        <v>1</v>
      </c>
      <c r="J2837">
        <v>1</v>
      </c>
      <c r="K2837" t="s">
        <v>27986</v>
      </c>
      <c r="L2837" t="s">
        <v>57</v>
      </c>
      <c r="N2837">
        <v>0.89419999999999999</v>
      </c>
      <c r="O2837" s="1">
        <v>1</v>
      </c>
      <c r="P2837" t="s">
        <v>27987</v>
      </c>
      <c r="Q2837" t="s">
        <v>27988</v>
      </c>
      <c r="S2837" t="s">
        <v>91</v>
      </c>
      <c r="T2837" t="s">
        <v>2108</v>
      </c>
      <c r="U2837" t="s">
        <v>27989</v>
      </c>
      <c r="V2837">
        <v>2</v>
      </c>
      <c r="AE2837" t="s">
        <v>332</v>
      </c>
      <c r="AF2837" t="s">
        <v>1347</v>
      </c>
      <c r="AG2837" t="s">
        <v>27990</v>
      </c>
      <c r="AH2837" t="str">
        <f>HYPERLINK("http://compartments.jensenlab.org/Entity?figures=subcell_cell_%&amp;knowledge=10&amp;textmining=10&amp;experiments=10&amp;predictions=10&amp;type1=9606&amp;type2=-22&amp;id1=ENSP00000429834","link")</f>
        <v>link</v>
      </c>
      <c r="AK2837" t="str">
        <f>HYPERLINK("http://www.proteinatlas.org/Q9Y5G8","HPA008755")</f>
        <v>HPA008755</v>
      </c>
      <c r="AM2837">
        <v>56110</v>
      </c>
    </row>
    <row r="2838" spans="1:39" x14ac:dyDescent="0.35">
      <c r="A2838" t="s">
        <v>27991</v>
      </c>
      <c r="B2838" t="str">
        <f>HYPERLINK("http://www.uniprot.org/uniprot/Q9Y5G9","Q9Y5G9")</f>
        <v>Q9Y5G9</v>
      </c>
      <c r="C2838" t="s">
        <v>27992</v>
      </c>
      <c r="D2838" t="s">
        <v>27993</v>
      </c>
      <c r="E2838" t="s">
        <v>39</v>
      </c>
      <c r="F2838" t="s">
        <v>40</v>
      </c>
      <c r="H2838">
        <v>931</v>
      </c>
      <c r="I2838">
        <v>1</v>
      </c>
      <c r="J2838">
        <v>1</v>
      </c>
      <c r="K2838" t="s">
        <v>27994</v>
      </c>
      <c r="L2838" t="s">
        <v>57</v>
      </c>
      <c r="N2838">
        <v>0.88819999999999999</v>
      </c>
      <c r="O2838" s="1">
        <v>1</v>
      </c>
      <c r="S2838" t="s">
        <v>60</v>
      </c>
      <c r="T2838" t="s">
        <v>60</v>
      </c>
      <c r="U2838" t="s">
        <v>27989</v>
      </c>
      <c r="V2838">
        <v>2</v>
      </c>
      <c r="AE2838" t="s">
        <v>332</v>
      </c>
      <c r="AF2838" t="s">
        <v>16205</v>
      </c>
      <c r="AG2838" t="s">
        <v>27995</v>
      </c>
      <c r="AK2838" t="str">
        <f>HYPERLINK("http://www.proteinatlas.org/Q9Y5G9","no")</f>
        <v>no</v>
      </c>
      <c r="AM2838">
        <v>56111</v>
      </c>
    </row>
    <row r="2839" spans="1:39" x14ac:dyDescent="0.35">
      <c r="A2839" t="s">
        <v>27996</v>
      </c>
      <c r="B2839" t="str">
        <f>HYPERLINK("http://www.uniprot.org/uniprot/Q9Y5H0","Q9Y5H0")</f>
        <v>Q9Y5H0</v>
      </c>
      <c r="C2839" t="s">
        <v>27997</v>
      </c>
      <c r="D2839" t="s">
        <v>27998</v>
      </c>
      <c r="E2839" t="s">
        <v>39</v>
      </c>
      <c r="F2839" t="s">
        <v>40</v>
      </c>
      <c r="H2839">
        <v>932</v>
      </c>
      <c r="I2839">
        <v>1</v>
      </c>
      <c r="J2839">
        <v>1</v>
      </c>
      <c r="K2839" t="s">
        <v>27964</v>
      </c>
      <c r="L2839" t="s">
        <v>57</v>
      </c>
      <c r="N2839">
        <v>0.89019999999999999</v>
      </c>
      <c r="O2839" s="1">
        <v>1</v>
      </c>
      <c r="P2839" t="s">
        <v>27999</v>
      </c>
      <c r="Q2839" t="s">
        <v>28000</v>
      </c>
      <c r="U2839" t="s">
        <v>28001</v>
      </c>
      <c r="V2839">
        <v>4</v>
      </c>
      <c r="AE2839" t="s">
        <v>332</v>
      </c>
      <c r="AF2839" t="s">
        <v>16205</v>
      </c>
      <c r="AG2839" t="s">
        <v>28002</v>
      </c>
      <c r="AH2839" t="str">
        <f>HYPERLINK("http://compartments.jensenlab.org/Entity?figures=subcell_cell_%&amp;knowledge=10&amp;textmining=10&amp;experiments=10&amp;predictions=10&amp;type1=9606&amp;type2=-22&amp;id1=ENSP00000253812","link")</f>
        <v>link</v>
      </c>
      <c r="AK2839" t="str">
        <f>HYPERLINK("http://www.proteinatlas.org/Q9Y5H0","HPA008755")</f>
        <v>HPA008755</v>
      </c>
      <c r="AM2839">
        <v>56112</v>
      </c>
    </row>
    <row r="2840" spans="1:39" x14ac:dyDescent="0.35">
      <c r="A2840" t="s">
        <v>28003</v>
      </c>
      <c r="B2840" t="str">
        <f>HYPERLINK("http://www.uniprot.org/uniprot/Q9Y5H1","Q9Y5H1")</f>
        <v>Q9Y5H1</v>
      </c>
      <c r="C2840" t="s">
        <v>28004</v>
      </c>
      <c r="D2840" t="s">
        <v>28005</v>
      </c>
      <c r="E2840" t="s">
        <v>39</v>
      </c>
      <c r="F2840" t="s">
        <v>40</v>
      </c>
      <c r="H2840">
        <v>932</v>
      </c>
      <c r="I2840">
        <v>1</v>
      </c>
      <c r="J2840">
        <v>1</v>
      </c>
      <c r="K2840" t="s">
        <v>28006</v>
      </c>
      <c r="L2840" t="s">
        <v>57</v>
      </c>
      <c r="N2840">
        <v>0.94010000000000005</v>
      </c>
      <c r="O2840" s="1">
        <v>1</v>
      </c>
      <c r="P2840" t="s">
        <v>28007</v>
      </c>
      <c r="Q2840" t="s">
        <v>28008</v>
      </c>
      <c r="U2840" t="s">
        <v>28009</v>
      </c>
      <c r="V2840">
        <v>3</v>
      </c>
      <c r="AE2840" t="s">
        <v>332</v>
      </c>
      <c r="AF2840" t="s">
        <v>16205</v>
      </c>
      <c r="AG2840" t="s">
        <v>28010</v>
      </c>
      <c r="AH2840" t="str">
        <f>HYPERLINK("http://compartments.jensenlab.org/Entity?figures=subcell_cell_%&amp;knowledge=10&amp;textmining=10&amp;experiments=10&amp;predictions=10&amp;type1=9606&amp;type2=-22&amp;id1=ENSP00000378077","link")</f>
        <v>link</v>
      </c>
      <c r="AI2840" t="s">
        <v>65</v>
      </c>
      <c r="AJ2840" t="s">
        <v>51</v>
      </c>
      <c r="AK2840" t="str">
        <f>HYPERLINK("http://www.proteinatlas.org/Q9Y5H1","HPA008755")</f>
        <v>HPA008755</v>
      </c>
      <c r="AM2840">
        <v>56113</v>
      </c>
    </row>
    <row r="2841" spans="1:39" x14ac:dyDescent="0.35">
      <c r="A2841" t="s">
        <v>28011</v>
      </c>
      <c r="B2841" t="str">
        <f>HYPERLINK("http://www.uniprot.org/uniprot/Q9Y5H2","Q9Y5H2")</f>
        <v>Q9Y5H2</v>
      </c>
      <c r="C2841" t="s">
        <v>28012</v>
      </c>
      <c r="D2841" t="s">
        <v>28013</v>
      </c>
      <c r="E2841" t="s">
        <v>39</v>
      </c>
      <c r="F2841" t="s">
        <v>40</v>
      </c>
      <c r="H2841">
        <v>935</v>
      </c>
      <c r="I2841">
        <v>1</v>
      </c>
      <c r="J2841">
        <v>1</v>
      </c>
      <c r="K2841" t="s">
        <v>28014</v>
      </c>
      <c r="L2841" t="s">
        <v>57</v>
      </c>
      <c r="N2841">
        <v>0.94610000000000005</v>
      </c>
      <c r="O2841" s="1">
        <v>1</v>
      </c>
      <c r="P2841" t="s">
        <v>28015</v>
      </c>
      <c r="Q2841" t="s">
        <v>28016</v>
      </c>
      <c r="S2841" t="s">
        <v>60</v>
      </c>
      <c r="T2841" t="s">
        <v>60</v>
      </c>
      <c r="U2841" t="s">
        <v>28017</v>
      </c>
      <c r="V2841">
        <v>5</v>
      </c>
      <c r="AE2841" t="s">
        <v>332</v>
      </c>
      <c r="AF2841" t="s">
        <v>16205</v>
      </c>
      <c r="AG2841" t="s">
        <v>28018</v>
      </c>
      <c r="AH2841" t="str">
        <f>HYPERLINK("http://compartments.jensenlab.org/Entity?figures=subcell_cell_%&amp;knowledge=10&amp;textmining=10&amp;experiments=10&amp;predictions=10&amp;type1=9606&amp;type2=-22&amp;id1=ENSP00000381589","link")</f>
        <v>link</v>
      </c>
      <c r="AK2841" t="str">
        <f>HYPERLINK("http://www.proteinatlas.org/Q9Y5H2","HPA008755")</f>
        <v>HPA008755</v>
      </c>
      <c r="AM2841">
        <v>56105</v>
      </c>
    </row>
    <row r="2842" spans="1:39" x14ac:dyDescent="0.35">
      <c r="A2842" t="s">
        <v>28019</v>
      </c>
      <c r="B2842" t="str">
        <f>HYPERLINK("http://www.uniprot.org/uniprot/Q9Y5H3","Q9Y5H3")</f>
        <v>Q9Y5H3</v>
      </c>
      <c r="C2842" t="s">
        <v>28020</v>
      </c>
      <c r="D2842" t="s">
        <v>28021</v>
      </c>
      <c r="E2842" t="s">
        <v>39</v>
      </c>
      <c r="F2842" t="s">
        <v>40</v>
      </c>
      <c r="H2842">
        <v>936</v>
      </c>
      <c r="I2842">
        <v>1</v>
      </c>
      <c r="J2842">
        <v>1</v>
      </c>
      <c r="K2842" t="s">
        <v>28022</v>
      </c>
      <c r="L2842" t="s">
        <v>57</v>
      </c>
      <c r="N2842">
        <v>0.91020000000000001</v>
      </c>
      <c r="O2842" s="1">
        <v>1</v>
      </c>
      <c r="P2842" t="s">
        <v>28023</v>
      </c>
      <c r="Q2842" t="s">
        <v>28024</v>
      </c>
      <c r="U2842" t="s">
        <v>28025</v>
      </c>
      <c r="V2842">
        <v>3</v>
      </c>
      <c r="AE2842" t="s">
        <v>332</v>
      </c>
      <c r="AF2842" t="s">
        <v>16205</v>
      </c>
      <c r="AG2842" t="s">
        <v>28026</v>
      </c>
      <c r="AH2842" t="str">
        <f>HYPERLINK("http://compartments.jensenlab.org/Entity?figures=subcell_cell_%&amp;knowledge=10&amp;textmining=10&amp;experiments=10&amp;predictions=10&amp;type1=9606&amp;type2=-22&amp;id1=ENSP00000381611","link")</f>
        <v>link</v>
      </c>
      <c r="AK2842" t="str">
        <f>HYPERLINK("http://www.proteinatlas.org/Q9Y5H3","HPA008755")</f>
        <v>HPA008755</v>
      </c>
      <c r="AM2842">
        <v>56106</v>
      </c>
    </row>
    <row r="2843" spans="1:39" x14ac:dyDescent="0.35">
      <c r="A2843" t="s">
        <v>28027</v>
      </c>
      <c r="B2843" t="str">
        <f>HYPERLINK("http://www.uniprot.org/uniprot/Q9Y5H4","Q9Y5H4")</f>
        <v>Q9Y5H4</v>
      </c>
      <c r="C2843" t="s">
        <v>28028</v>
      </c>
      <c r="D2843" t="s">
        <v>28029</v>
      </c>
      <c r="E2843" t="s">
        <v>39</v>
      </c>
      <c r="F2843" t="s">
        <v>40</v>
      </c>
      <c r="H2843">
        <v>931</v>
      </c>
      <c r="I2843">
        <v>1</v>
      </c>
      <c r="J2843">
        <v>1</v>
      </c>
      <c r="K2843" t="s">
        <v>28030</v>
      </c>
      <c r="L2843" t="s">
        <v>57</v>
      </c>
      <c r="N2843">
        <v>0.92220000000000002</v>
      </c>
      <c r="O2843" s="1">
        <v>1</v>
      </c>
      <c r="P2843" t="s">
        <v>28031</v>
      </c>
      <c r="Q2843" t="s">
        <v>28032</v>
      </c>
      <c r="U2843" t="s">
        <v>28033</v>
      </c>
      <c r="V2843">
        <v>4</v>
      </c>
      <c r="AE2843" t="s">
        <v>332</v>
      </c>
      <c r="AF2843" t="s">
        <v>16205</v>
      </c>
      <c r="AG2843" t="s">
        <v>28034</v>
      </c>
      <c r="AH2843" t="str">
        <f>HYPERLINK("http://compartments.jensenlab.org/Entity?figures=subcell_cell_%&amp;knowledge=10&amp;textmining=10&amp;experiments=10&amp;predictions=10&amp;type1=9606&amp;type2=-22&amp;id1=ENSP00000431083","link")</f>
        <v>link</v>
      </c>
      <c r="AK2843" t="str">
        <f>HYPERLINK("http://www.proteinatlas.org/Q9Y5H4","HPA008755;HPA036547")</f>
        <v>HPA008755;HPA036547</v>
      </c>
      <c r="AM2843">
        <v>56114</v>
      </c>
    </row>
    <row r="2844" spans="1:39" x14ac:dyDescent="0.35">
      <c r="A2844" t="s">
        <v>28035</v>
      </c>
      <c r="B2844" t="str">
        <f>HYPERLINK("http://www.uniprot.org/uniprot/Q9Y5H5","Q9Y5H5")</f>
        <v>Q9Y5H5</v>
      </c>
      <c r="C2844" t="s">
        <v>28036</v>
      </c>
      <c r="D2844" t="s">
        <v>28037</v>
      </c>
      <c r="E2844" t="s">
        <v>39</v>
      </c>
      <c r="F2844" t="s">
        <v>40</v>
      </c>
      <c r="H2844">
        <v>950</v>
      </c>
      <c r="I2844">
        <v>1</v>
      </c>
      <c r="J2844">
        <v>1</v>
      </c>
      <c r="K2844" t="s">
        <v>28038</v>
      </c>
      <c r="L2844" t="s">
        <v>57</v>
      </c>
      <c r="N2844">
        <v>0.92810000000000004</v>
      </c>
      <c r="O2844" s="1">
        <v>1</v>
      </c>
      <c r="P2844" t="s">
        <v>28039</v>
      </c>
      <c r="Q2844" t="s">
        <v>28040</v>
      </c>
      <c r="U2844" t="s">
        <v>28041</v>
      </c>
      <c r="V2844">
        <v>3</v>
      </c>
      <c r="AE2844" t="s">
        <v>332</v>
      </c>
      <c r="AF2844" t="s">
        <v>16205</v>
      </c>
      <c r="AG2844" t="s">
        <v>28042</v>
      </c>
      <c r="AH2844" t="str">
        <f>HYPERLINK("http://compartments.jensenlab.org/Entity?figures=subcell_cell_%&amp;knowledge=10&amp;textmining=10&amp;experiments=10&amp;predictions=10&amp;type1=9606&amp;type2=-22&amp;id1=ENSP00000436042","link")</f>
        <v>link</v>
      </c>
      <c r="AK2844" t="str">
        <f>HYPERLINK("http://www.proteinatlas.org/Q9Y5H5","no")</f>
        <v>no</v>
      </c>
      <c r="AM2844">
        <v>9752</v>
      </c>
    </row>
    <row r="2845" spans="1:39" x14ac:dyDescent="0.35">
      <c r="A2845" t="s">
        <v>28043</v>
      </c>
      <c r="B2845" t="str">
        <f>HYPERLINK("http://www.uniprot.org/uniprot/Q9Y5H6","Q9Y5H6")</f>
        <v>Q9Y5H6</v>
      </c>
      <c r="C2845" t="s">
        <v>28044</v>
      </c>
      <c r="D2845" t="s">
        <v>28045</v>
      </c>
      <c r="E2845" t="s">
        <v>39</v>
      </c>
      <c r="F2845" t="s">
        <v>40</v>
      </c>
      <c r="H2845">
        <v>950</v>
      </c>
      <c r="I2845">
        <v>1</v>
      </c>
      <c r="J2845">
        <v>1</v>
      </c>
      <c r="K2845" t="s">
        <v>27253</v>
      </c>
      <c r="L2845" t="s">
        <v>57</v>
      </c>
      <c r="N2845">
        <v>0.94210000000000005</v>
      </c>
      <c r="O2845" s="1">
        <v>1</v>
      </c>
      <c r="P2845" t="s">
        <v>28046</v>
      </c>
      <c r="Q2845" t="s">
        <v>28047</v>
      </c>
      <c r="U2845" t="s">
        <v>28048</v>
      </c>
      <c r="V2845">
        <v>3</v>
      </c>
      <c r="W2845" t="s">
        <v>28049</v>
      </c>
      <c r="AE2845" t="s">
        <v>332</v>
      </c>
      <c r="AF2845" t="s">
        <v>16205</v>
      </c>
      <c r="AG2845" t="s">
        <v>28050</v>
      </c>
      <c r="AH2845" t="str">
        <f>HYPERLINK("http://compartments.jensenlab.org/Entity?figures=subcell_cell_%&amp;knowledge=10&amp;textmining=10&amp;experiments=10&amp;predictions=10&amp;type1=9606&amp;type2=-22&amp;id1=ENSP00000434655","link")</f>
        <v>link</v>
      </c>
      <c r="AK2845" t="str">
        <f>HYPERLINK("http://www.proteinatlas.org/Q9Y5H6","HPA044585")</f>
        <v>HPA044585</v>
      </c>
      <c r="AM2845">
        <v>56140</v>
      </c>
    </row>
    <row r="2846" spans="1:39" x14ac:dyDescent="0.35">
      <c r="A2846" t="s">
        <v>28051</v>
      </c>
      <c r="B2846" t="str">
        <f>HYPERLINK("http://www.uniprot.org/uniprot/Q9Y5H7","Q9Y5H7")</f>
        <v>Q9Y5H7</v>
      </c>
      <c r="C2846" t="s">
        <v>28052</v>
      </c>
      <c r="D2846" t="s">
        <v>28053</v>
      </c>
      <c r="E2846" t="s">
        <v>39</v>
      </c>
      <c r="F2846" t="s">
        <v>40</v>
      </c>
      <c r="H2846">
        <v>936</v>
      </c>
      <c r="I2846">
        <v>1</v>
      </c>
      <c r="J2846">
        <v>1</v>
      </c>
      <c r="K2846" t="s">
        <v>28054</v>
      </c>
      <c r="L2846" t="s">
        <v>57</v>
      </c>
      <c r="N2846">
        <v>0.82040000000000002</v>
      </c>
      <c r="O2846" s="1">
        <v>1</v>
      </c>
      <c r="P2846" t="s">
        <v>28055</v>
      </c>
      <c r="Q2846" t="s">
        <v>28056</v>
      </c>
      <c r="U2846" t="s">
        <v>28057</v>
      </c>
      <c r="V2846">
        <v>2</v>
      </c>
      <c r="W2846" t="s">
        <v>28058</v>
      </c>
      <c r="AE2846" t="s">
        <v>332</v>
      </c>
      <c r="AF2846" t="s">
        <v>16205</v>
      </c>
      <c r="AG2846" t="s">
        <v>28059</v>
      </c>
      <c r="AH2846" t="str">
        <f>HYPERLINK("http://compartments.jensenlab.org/Entity?figures=subcell_cell_%&amp;knowledge=10&amp;textmining=10&amp;experiments=10&amp;predictions=10&amp;type1=9606&amp;type2=-22&amp;id1=ENSP00000436557","link")</f>
        <v>link</v>
      </c>
      <c r="AK2846" t="str">
        <f>HYPERLINK("http://www.proteinatlas.org/Q9Y5H7","HPA044557")</f>
        <v>HPA044557</v>
      </c>
      <c r="AM2846">
        <v>56143</v>
      </c>
    </row>
    <row r="2847" spans="1:39" x14ac:dyDescent="0.35">
      <c r="A2847" t="s">
        <v>28060</v>
      </c>
      <c r="B2847" t="str">
        <f>HYPERLINK("http://www.uniprot.org/uniprot/Q9Y5H8","Q9Y5H8")</f>
        <v>Q9Y5H8</v>
      </c>
      <c r="C2847" t="s">
        <v>28061</v>
      </c>
      <c r="D2847" t="s">
        <v>28062</v>
      </c>
      <c r="E2847" t="s">
        <v>39</v>
      </c>
      <c r="F2847" t="s">
        <v>40</v>
      </c>
      <c r="H2847">
        <v>950</v>
      </c>
      <c r="I2847">
        <v>1</v>
      </c>
      <c r="J2847">
        <v>1</v>
      </c>
      <c r="K2847" t="s">
        <v>27253</v>
      </c>
      <c r="L2847" t="s">
        <v>57</v>
      </c>
      <c r="N2847">
        <v>0.97799999999999998</v>
      </c>
      <c r="O2847" s="1">
        <v>1</v>
      </c>
      <c r="P2847" t="s">
        <v>28063</v>
      </c>
      <c r="Q2847" t="s">
        <v>28064</v>
      </c>
      <c r="U2847" t="s">
        <v>28048</v>
      </c>
      <c r="V2847">
        <v>3</v>
      </c>
      <c r="W2847" t="s">
        <v>28048</v>
      </c>
      <c r="AE2847" t="s">
        <v>332</v>
      </c>
      <c r="AF2847" t="s">
        <v>16205</v>
      </c>
      <c r="AG2847" t="s">
        <v>28065</v>
      </c>
      <c r="AH2847" t="str">
        <f>HYPERLINK("http://compartments.jensenlab.org/Entity?figures=subcell_cell_%&amp;knowledge=10&amp;textmining=10&amp;experiments=10&amp;predictions=10&amp;type1=9606&amp;type2=-22&amp;id1=ENSP00000429808","link")</f>
        <v>link</v>
      </c>
      <c r="AK2847" t="str">
        <f>HYPERLINK("http://www.proteinatlas.org/Q9Y5H8","HPA035667")</f>
        <v>HPA035667</v>
      </c>
      <c r="AM2847">
        <v>56145</v>
      </c>
    </row>
    <row r="2848" spans="1:39" x14ac:dyDescent="0.35">
      <c r="A2848" t="s">
        <v>28066</v>
      </c>
      <c r="B2848" t="str">
        <f>HYPERLINK("http://www.uniprot.org/uniprot/Q9Y5H9","Q9Y5H9")</f>
        <v>Q9Y5H9</v>
      </c>
      <c r="C2848" t="s">
        <v>28067</v>
      </c>
      <c r="D2848" t="s">
        <v>28068</v>
      </c>
      <c r="E2848" t="s">
        <v>39</v>
      </c>
      <c r="F2848" t="s">
        <v>40</v>
      </c>
      <c r="H2848">
        <v>948</v>
      </c>
      <c r="I2848">
        <v>1</v>
      </c>
      <c r="J2848">
        <v>1</v>
      </c>
      <c r="K2848" t="s">
        <v>28069</v>
      </c>
      <c r="L2848" t="s">
        <v>57</v>
      </c>
      <c r="N2848">
        <v>0.98199999999999998</v>
      </c>
      <c r="O2848" s="1">
        <v>1</v>
      </c>
      <c r="P2848" t="s">
        <v>28070</v>
      </c>
      <c r="Q2848" t="s">
        <v>28071</v>
      </c>
      <c r="U2848" t="s">
        <v>28072</v>
      </c>
      <c r="V2848">
        <v>4</v>
      </c>
      <c r="W2848" t="s">
        <v>28073</v>
      </c>
      <c r="AE2848" t="s">
        <v>332</v>
      </c>
      <c r="AF2848" t="s">
        <v>28074</v>
      </c>
      <c r="AG2848" t="s">
        <v>28075</v>
      </c>
      <c r="AH2848" t="str">
        <f>HYPERLINK("http://compartments.jensenlab.org/Entity?figures=subcell_cell_%&amp;knowledge=10&amp;textmining=10&amp;experiments=10&amp;predictions=10&amp;type1=9606&amp;type2=-22&amp;id1=ENSP00000431748","link")</f>
        <v>link</v>
      </c>
      <c r="AK2848" t="str">
        <f>HYPERLINK("http://www.proteinatlas.org/Q9Y5H9","HPA035653")</f>
        <v>HPA035653</v>
      </c>
      <c r="AM2848">
        <v>56146</v>
      </c>
    </row>
    <row r="2849" spans="1:39" x14ac:dyDescent="0.35">
      <c r="A2849" t="s">
        <v>28076</v>
      </c>
      <c r="B2849" t="str">
        <f>HYPERLINK("http://www.uniprot.org/uniprot/Q9Y5I0","Q9Y5I0")</f>
        <v>Q9Y5I0</v>
      </c>
      <c r="C2849" t="s">
        <v>28077</v>
      </c>
      <c r="D2849" t="s">
        <v>28078</v>
      </c>
      <c r="E2849" t="s">
        <v>39</v>
      </c>
      <c r="F2849" t="s">
        <v>40</v>
      </c>
      <c r="H2849">
        <v>950</v>
      </c>
      <c r="I2849">
        <v>1</v>
      </c>
      <c r="J2849">
        <v>1</v>
      </c>
      <c r="K2849" t="s">
        <v>28079</v>
      </c>
      <c r="L2849" t="s">
        <v>57</v>
      </c>
      <c r="N2849">
        <v>0.89419999999999999</v>
      </c>
      <c r="O2849" s="1">
        <v>1</v>
      </c>
      <c r="P2849" t="s">
        <v>28080</v>
      </c>
      <c r="Q2849" t="s">
        <v>28081</v>
      </c>
      <c r="U2849" t="s">
        <v>28048</v>
      </c>
      <c r="V2849">
        <v>3</v>
      </c>
      <c r="AE2849" t="s">
        <v>332</v>
      </c>
      <c r="AF2849" t="s">
        <v>1347</v>
      </c>
      <c r="AG2849" t="s">
        <v>28082</v>
      </c>
      <c r="AH2849" t="str">
        <f>HYPERLINK("http://compartments.jensenlab.org/Entity?figures=subcell_cell_%&amp;knowledge=10&amp;textmining=10&amp;experiments=10&amp;predictions=10&amp;type1=9606&amp;type2=-22&amp;id1=ENSP00000289272","link")</f>
        <v>link</v>
      </c>
      <c r="AI2849" t="s">
        <v>65</v>
      </c>
      <c r="AJ2849" t="s">
        <v>902</v>
      </c>
      <c r="AK2849" t="str">
        <f>HYPERLINK("http://www.proteinatlas.org/Q9Y5I0","no")</f>
        <v>no</v>
      </c>
      <c r="AM2849">
        <v>56136</v>
      </c>
    </row>
    <row r="2850" spans="1:39" x14ac:dyDescent="0.35">
      <c r="A2850" t="s">
        <v>28083</v>
      </c>
      <c r="B2850" t="str">
        <f>HYPERLINK("http://www.uniprot.org/uniprot/Q9Y5I1","Q9Y5I1")</f>
        <v>Q9Y5I1</v>
      </c>
      <c r="C2850" t="s">
        <v>28084</v>
      </c>
      <c r="D2850" t="s">
        <v>28085</v>
      </c>
      <c r="E2850" t="s">
        <v>39</v>
      </c>
      <c r="F2850" t="s">
        <v>55</v>
      </c>
      <c r="H2850">
        <v>949</v>
      </c>
      <c r="I2850">
        <v>1</v>
      </c>
      <c r="J2850">
        <v>1</v>
      </c>
      <c r="K2850" t="s">
        <v>28086</v>
      </c>
      <c r="L2850" t="s">
        <v>101</v>
      </c>
      <c r="N2850">
        <v>0.94010000000000005</v>
      </c>
      <c r="O2850" s="1">
        <v>1</v>
      </c>
      <c r="P2850" t="s">
        <v>28087</v>
      </c>
      <c r="Q2850" t="s">
        <v>28088</v>
      </c>
      <c r="U2850" t="s">
        <v>28089</v>
      </c>
      <c r="V2850">
        <v>3</v>
      </c>
      <c r="W2850" t="s">
        <v>28089</v>
      </c>
      <c r="Z2850" t="s">
        <v>107</v>
      </c>
      <c r="AA2850">
        <v>1</v>
      </c>
      <c r="AB2850" t="s">
        <v>28090</v>
      </c>
      <c r="AC2850">
        <v>304</v>
      </c>
      <c r="AD2850" t="s">
        <v>28091</v>
      </c>
      <c r="AE2850" t="s">
        <v>332</v>
      </c>
      <c r="AF2850" t="s">
        <v>16205</v>
      </c>
      <c r="AG2850" t="s">
        <v>28092</v>
      </c>
      <c r="AH2850" t="str">
        <f>HYPERLINK("http://compartments.jensenlab.org/Entity?figures=subcell_cell_%&amp;knowledge=10&amp;textmining=10&amp;experiments=10&amp;predictions=10&amp;type1=9606&amp;type2=-22&amp;id1=ENSP00000381636","link")</f>
        <v>link</v>
      </c>
      <c r="AK2850" t="str">
        <f>HYPERLINK("http://www.proteinatlas.org/Q9Y5I1","no")</f>
        <v>no</v>
      </c>
      <c r="AM2850">
        <v>56138</v>
      </c>
    </row>
    <row r="2851" spans="1:39" x14ac:dyDescent="0.35">
      <c r="A2851" t="s">
        <v>28093</v>
      </c>
      <c r="B2851" t="str">
        <f>HYPERLINK("http://www.uniprot.org/uniprot/Q9Y5I2","Q9Y5I2")</f>
        <v>Q9Y5I2</v>
      </c>
      <c r="C2851" t="s">
        <v>28094</v>
      </c>
      <c r="D2851" t="s">
        <v>28095</v>
      </c>
      <c r="E2851" t="s">
        <v>39</v>
      </c>
      <c r="F2851" t="s">
        <v>55</v>
      </c>
      <c r="H2851">
        <v>948</v>
      </c>
      <c r="I2851">
        <v>1</v>
      </c>
      <c r="J2851">
        <v>1</v>
      </c>
      <c r="K2851" t="s">
        <v>28096</v>
      </c>
      <c r="L2851" t="s">
        <v>101</v>
      </c>
      <c r="M2851" t="s">
        <v>39</v>
      </c>
      <c r="N2851">
        <v>0.94510000000000005</v>
      </c>
      <c r="O2851" s="1">
        <v>1</v>
      </c>
      <c r="P2851" t="s">
        <v>28097</v>
      </c>
      <c r="Q2851" t="s">
        <v>28098</v>
      </c>
      <c r="U2851" t="s">
        <v>28099</v>
      </c>
      <c r="V2851">
        <v>3</v>
      </c>
      <c r="W2851" t="s">
        <v>28099</v>
      </c>
      <c r="Z2851" t="s">
        <v>107</v>
      </c>
      <c r="AA2851">
        <v>1</v>
      </c>
      <c r="AB2851" t="s">
        <v>28100</v>
      </c>
      <c r="AC2851">
        <v>264</v>
      </c>
      <c r="AD2851" t="s">
        <v>28101</v>
      </c>
      <c r="AE2851" t="s">
        <v>1250</v>
      </c>
      <c r="AF2851" t="s">
        <v>27259</v>
      </c>
      <c r="AG2851" t="s">
        <v>28102</v>
      </c>
      <c r="AH2851" t="str">
        <f>HYPERLINK("http://compartments.jensenlab.org/Entity?figures=subcell_cell_%&amp;knowledge=10&amp;textmining=10&amp;experiments=10&amp;predictions=10&amp;type1=9606&amp;type2=-22&amp;id1=ENSP00000304234","link")</f>
        <v>link</v>
      </c>
      <c r="AK2851" t="str">
        <f>HYPERLINK("http://www.proteinatlas.org/Q9Y5I2","no")</f>
        <v>no</v>
      </c>
      <c r="AM2851">
        <v>56139</v>
      </c>
    </row>
    <row r="2852" spans="1:39" x14ac:dyDescent="0.35">
      <c r="A2852" t="s">
        <v>28103</v>
      </c>
      <c r="B2852" t="str">
        <f>HYPERLINK("http://www.uniprot.org/uniprot/Q9Y5I3","Q9Y5I3")</f>
        <v>Q9Y5I3</v>
      </c>
      <c r="C2852" t="s">
        <v>28104</v>
      </c>
      <c r="D2852" t="s">
        <v>28105</v>
      </c>
      <c r="E2852" t="s">
        <v>39</v>
      </c>
      <c r="F2852" t="s">
        <v>40</v>
      </c>
      <c r="H2852">
        <v>950</v>
      </c>
      <c r="I2852">
        <v>1</v>
      </c>
      <c r="J2852">
        <v>1</v>
      </c>
      <c r="K2852" t="s">
        <v>27253</v>
      </c>
      <c r="L2852" t="s">
        <v>57</v>
      </c>
      <c r="N2852">
        <v>0.95209999999999995</v>
      </c>
      <c r="O2852" s="1">
        <v>1</v>
      </c>
      <c r="P2852" t="s">
        <v>28106</v>
      </c>
      <c r="Q2852" t="s">
        <v>28107</v>
      </c>
      <c r="U2852" t="s">
        <v>28108</v>
      </c>
      <c r="V2852">
        <v>3</v>
      </c>
      <c r="W2852" t="s">
        <v>28108</v>
      </c>
      <c r="AE2852" t="s">
        <v>1250</v>
      </c>
      <c r="AF2852" t="s">
        <v>27259</v>
      </c>
      <c r="AG2852" t="s">
        <v>28109</v>
      </c>
      <c r="AH2852" t="str">
        <f>HYPERLINK("http://compartments.jensenlab.org/Entity?figures=subcell_cell_%&amp;knowledge=10&amp;textmining=10&amp;experiments=10&amp;predictions=10&amp;type1=9606&amp;type2=-22&amp;id1=ENSP00000420840","link")</f>
        <v>link</v>
      </c>
      <c r="AK2852" t="str">
        <f>HYPERLINK("http://www.proteinatlas.org/Q9Y5I3","HPA035969")</f>
        <v>HPA035969</v>
      </c>
      <c r="AM2852">
        <v>56147</v>
      </c>
    </row>
    <row r="2853" spans="1:39" x14ac:dyDescent="0.35">
      <c r="A2853" t="s">
        <v>28110</v>
      </c>
      <c r="B2853" t="str">
        <f>HYPERLINK("http://www.uniprot.org/uniprot/Q9Y5I4","Q9Y5I4")</f>
        <v>Q9Y5I4</v>
      </c>
      <c r="C2853" t="s">
        <v>28111</v>
      </c>
      <c r="D2853" t="s">
        <v>28112</v>
      </c>
      <c r="E2853" t="s">
        <v>39</v>
      </c>
      <c r="F2853" t="s">
        <v>40</v>
      </c>
      <c r="H2853">
        <v>1007</v>
      </c>
      <c r="I2853">
        <v>1</v>
      </c>
      <c r="J2853">
        <v>1</v>
      </c>
      <c r="K2853" t="s">
        <v>28113</v>
      </c>
      <c r="L2853" t="s">
        <v>57</v>
      </c>
      <c r="N2853">
        <v>0.97009999999999996</v>
      </c>
      <c r="O2853" s="1">
        <v>1</v>
      </c>
      <c r="P2853" t="s">
        <v>28114</v>
      </c>
      <c r="Q2853" t="s">
        <v>28115</v>
      </c>
      <c r="S2853" t="s">
        <v>60</v>
      </c>
      <c r="T2853" t="s">
        <v>60</v>
      </c>
      <c r="U2853" t="s">
        <v>28116</v>
      </c>
      <c r="V2853">
        <v>5</v>
      </c>
      <c r="W2853" t="s">
        <v>28117</v>
      </c>
      <c r="AE2853" t="s">
        <v>332</v>
      </c>
      <c r="AF2853" t="s">
        <v>1347</v>
      </c>
      <c r="AG2853" t="s">
        <v>28118</v>
      </c>
      <c r="AH2853" t="str">
        <f>HYPERLINK("http://compartments.jensenlab.org/Entity?figures=subcell_cell_%&amp;knowledge=10&amp;textmining=10&amp;experiments=10&amp;predictions=10&amp;type1=9606&amp;type2=-22&amp;id1=ENSP00000289269","link")</f>
        <v>link</v>
      </c>
      <c r="AI2853" t="s">
        <v>65</v>
      </c>
      <c r="AJ2853" t="s">
        <v>51</v>
      </c>
      <c r="AK2853" t="str">
        <f>HYPERLINK("http://www.proteinatlas.org/Q9Y5I4","no")</f>
        <v>no</v>
      </c>
      <c r="AM2853">
        <v>56134</v>
      </c>
    </row>
    <row r="2854" spans="1:39" x14ac:dyDescent="0.35">
      <c r="A2854" t="s">
        <v>28119</v>
      </c>
      <c r="B2854" t="str">
        <f>HYPERLINK("http://www.uniprot.org/uniprot/Q9Y5I7","Q9Y5I7")</f>
        <v>Q9Y5I7</v>
      </c>
      <c r="C2854" t="s">
        <v>28120</v>
      </c>
      <c r="D2854" t="s">
        <v>28121</v>
      </c>
      <c r="E2854" t="s">
        <v>39</v>
      </c>
      <c r="F2854" t="s">
        <v>55</v>
      </c>
      <c r="H2854">
        <v>305</v>
      </c>
      <c r="I2854">
        <v>4</v>
      </c>
      <c r="J2854">
        <v>0</v>
      </c>
      <c r="K2854" t="s">
        <v>28122</v>
      </c>
      <c r="L2854" t="s">
        <v>57</v>
      </c>
      <c r="M2854" t="s">
        <v>39</v>
      </c>
      <c r="N2854">
        <v>0.64429999999999998</v>
      </c>
      <c r="O2854" s="1">
        <v>2</v>
      </c>
      <c r="P2854" t="s">
        <v>28123</v>
      </c>
      <c r="Q2854" t="s">
        <v>28124</v>
      </c>
      <c r="S2854" t="s">
        <v>91</v>
      </c>
      <c r="T2854" t="s">
        <v>537</v>
      </c>
      <c r="V2854">
        <v>0</v>
      </c>
      <c r="Y2854" t="s">
        <v>28125</v>
      </c>
      <c r="AE2854" t="s">
        <v>539</v>
      </c>
      <c r="AF2854" t="s">
        <v>28126</v>
      </c>
      <c r="AG2854" t="s">
        <v>28127</v>
      </c>
      <c r="AH2854" t="str">
        <f>HYPERLINK("http://compartments.jensenlab.org/Entity?figures=subcell_cell_%&amp;knowledge=10&amp;textmining=10&amp;experiments=10&amp;predictions=10&amp;type1=9606&amp;type2=-22&amp;id1=ENSP00000264734","link")</f>
        <v>link</v>
      </c>
      <c r="AI2854" t="s">
        <v>65</v>
      </c>
      <c r="AJ2854" t="s">
        <v>51</v>
      </c>
      <c r="AK2854" t="str">
        <f>HYPERLINK("http://www.proteinatlas.org/Q9Y5I7","HPA056020")</f>
        <v>HPA056020</v>
      </c>
      <c r="AM2854">
        <v>10686</v>
      </c>
    </row>
    <row r="2855" spans="1:39" x14ac:dyDescent="0.35">
      <c r="A2855" t="s">
        <v>28128</v>
      </c>
      <c r="B2855" t="str">
        <f>HYPERLINK("http://www.uniprot.org/uniprot/Q9Y5N1","Q9Y5N1")</f>
        <v>Q9Y5N1</v>
      </c>
      <c r="C2855" t="s">
        <v>28129</v>
      </c>
      <c r="D2855" t="s">
        <v>28130</v>
      </c>
      <c r="E2855" t="s">
        <v>39</v>
      </c>
      <c r="F2855" t="s">
        <v>55</v>
      </c>
      <c r="H2855">
        <v>445</v>
      </c>
      <c r="I2855">
        <v>7</v>
      </c>
      <c r="J2855">
        <v>0</v>
      </c>
      <c r="K2855" t="s">
        <v>28131</v>
      </c>
      <c r="L2855" t="s">
        <v>57</v>
      </c>
      <c r="M2855" t="s">
        <v>39</v>
      </c>
      <c r="N2855">
        <v>0.93049999999999999</v>
      </c>
      <c r="O2855" s="1">
        <v>1</v>
      </c>
      <c r="P2855" t="s">
        <v>28132</v>
      </c>
      <c r="Q2855" t="s">
        <v>28133</v>
      </c>
      <c r="S2855" t="s">
        <v>166</v>
      </c>
      <c r="T2855" t="s">
        <v>838</v>
      </c>
      <c r="U2855" t="s">
        <v>28134</v>
      </c>
      <c r="V2855">
        <v>1</v>
      </c>
      <c r="Y2855" t="s">
        <v>28135</v>
      </c>
      <c r="AE2855" t="s">
        <v>74</v>
      </c>
      <c r="AF2855" t="s">
        <v>13791</v>
      </c>
      <c r="AG2855" t="s">
        <v>28136</v>
      </c>
      <c r="AH2855" t="str">
        <f>HYPERLINK("http://compartments.jensenlab.org/Entity?figures=subcell_cell_%&amp;knowledge=10&amp;textmining=10&amp;experiments=10&amp;predictions=10&amp;type1=9606&amp;type2=-22&amp;id1=ENSP00000342560","link")</f>
        <v>link</v>
      </c>
      <c r="AI2855" t="s">
        <v>65</v>
      </c>
      <c r="AJ2855" t="s">
        <v>51</v>
      </c>
      <c r="AK2855" t="str">
        <f>HYPERLINK("http://www.proteinatlas.org/Q9Y5N1","no")</f>
        <v>no</v>
      </c>
      <c r="AL2855" t="s">
        <v>28137</v>
      </c>
      <c r="AM2855">
        <v>11255</v>
      </c>
    </row>
    <row r="2856" spans="1:39" x14ac:dyDescent="0.35">
      <c r="A2856" t="s">
        <v>28138</v>
      </c>
      <c r="B2856" t="str">
        <f>HYPERLINK("http://www.uniprot.org/uniprot/Q9Y5P0","Q9Y5P0")</f>
        <v>Q9Y5P0</v>
      </c>
      <c r="C2856" t="s">
        <v>28139</v>
      </c>
      <c r="D2856" t="s">
        <v>28140</v>
      </c>
      <c r="E2856" t="s">
        <v>39</v>
      </c>
      <c r="F2856" t="s">
        <v>55</v>
      </c>
      <c r="H2856">
        <v>310</v>
      </c>
      <c r="I2856">
        <v>7</v>
      </c>
      <c r="J2856">
        <v>0</v>
      </c>
      <c r="K2856" t="s">
        <v>28141</v>
      </c>
      <c r="L2856" t="s">
        <v>57</v>
      </c>
      <c r="M2856" t="s">
        <v>39</v>
      </c>
      <c r="N2856">
        <v>0.90449999999999997</v>
      </c>
      <c r="O2856" s="1">
        <v>1</v>
      </c>
      <c r="P2856" t="s">
        <v>28142</v>
      </c>
      <c r="Q2856" t="s">
        <v>28143</v>
      </c>
      <c r="S2856" t="s">
        <v>166</v>
      </c>
      <c r="T2856" t="s">
        <v>167</v>
      </c>
      <c r="U2856" t="s">
        <v>24259</v>
      </c>
      <c r="V2856">
        <v>1</v>
      </c>
      <c r="AE2856" t="s">
        <v>74</v>
      </c>
      <c r="AF2856" t="s">
        <v>169</v>
      </c>
      <c r="AG2856" t="s">
        <v>28144</v>
      </c>
      <c r="AH2856" t="str">
        <f>HYPERLINK("http://compartments.jensenlab.org/Entity?figures=subcell_cell_%&amp;knowledge=10&amp;textmining=10&amp;experiments=10&amp;predictions=10&amp;type1=9606&amp;type2=-22&amp;id1=ENSP00000369573","link")</f>
        <v>link</v>
      </c>
      <c r="AI2856" t="s">
        <v>65</v>
      </c>
      <c r="AJ2856" t="s">
        <v>51</v>
      </c>
      <c r="AK2856" t="str">
        <f>HYPERLINK("http://www.proteinatlas.org/Q9Y5P0","no")</f>
        <v>no</v>
      </c>
      <c r="AM2856">
        <v>79339</v>
      </c>
    </row>
    <row r="2857" spans="1:39" x14ac:dyDescent="0.35">
      <c r="A2857" t="s">
        <v>28145</v>
      </c>
      <c r="B2857" t="str">
        <f>HYPERLINK("http://www.uniprot.org/uniprot/Q9Y5P1","Q9Y5P1")</f>
        <v>Q9Y5P1</v>
      </c>
      <c r="C2857" t="s">
        <v>28146</v>
      </c>
      <c r="D2857" t="s">
        <v>28147</v>
      </c>
      <c r="E2857" t="s">
        <v>39</v>
      </c>
      <c r="F2857" t="s">
        <v>55</v>
      </c>
      <c r="H2857">
        <v>312</v>
      </c>
      <c r="I2857">
        <v>7</v>
      </c>
      <c r="J2857">
        <v>0</v>
      </c>
      <c r="K2857" t="s">
        <v>28148</v>
      </c>
      <c r="L2857" t="s">
        <v>57</v>
      </c>
      <c r="N2857">
        <v>0.96609999999999996</v>
      </c>
      <c r="O2857" s="1">
        <v>1</v>
      </c>
      <c r="P2857" t="s">
        <v>28149</v>
      </c>
      <c r="Q2857" t="s">
        <v>28150</v>
      </c>
      <c r="S2857" t="s">
        <v>166</v>
      </c>
      <c r="T2857" t="s">
        <v>167</v>
      </c>
      <c r="U2857">
        <v>4</v>
      </c>
      <c r="V2857">
        <v>1</v>
      </c>
      <c r="AE2857" t="s">
        <v>74</v>
      </c>
      <c r="AF2857" t="s">
        <v>169</v>
      </c>
      <c r="AG2857" t="s">
        <v>28151</v>
      </c>
      <c r="AH2857" t="str">
        <f>HYPERLINK("http://compartments.jensenlab.org/Entity?figures=subcell_cell_%&amp;knowledge=10&amp;textmining=10&amp;experiments=10&amp;predictions=10&amp;type1=9606&amp;type2=-22&amp;id1=ENSP00000327540","link")</f>
        <v>link</v>
      </c>
      <c r="AI2857" t="s">
        <v>65</v>
      </c>
      <c r="AJ2857" t="s">
        <v>51</v>
      </c>
      <c r="AK2857" t="str">
        <f>HYPERLINK("http://www.proteinatlas.org/Q9Y5P1","no")</f>
        <v>no</v>
      </c>
      <c r="AM2857">
        <v>79345</v>
      </c>
    </row>
    <row r="2858" spans="1:39" x14ac:dyDescent="0.35">
      <c r="A2858" t="s">
        <v>28152</v>
      </c>
      <c r="B2858" t="str">
        <f>HYPERLINK("http://www.uniprot.org/uniprot/Q9Y5Q5","Q9Y5Q5")</f>
        <v>Q9Y5Q5</v>
      </c>
      <c r="C2858" t="s">
        <v>28153</v>
      </c>
      <c r="D2858" t="s">
        <v>28154</v>
      </c>
      <c r="E2858" t="s">
        <v>39</v>
      </c>
      <c r="F2858" t="s">
        <v>55</v>
      </c>
      <c r="H2858">
        <v>1042</v>
      </c>
      <c r="I2858">
        <v>1</v>
      </c>
      <c r="J2858">
        <v>0</v>
      </c>
      <c r="K2858" t="s">
        <v>28155</v>
      </c>
      <c r="L2858" t="s">
        <v>57</v>
      </c>
      <c r="M2858" t="s">
        <v>39</v>
      </c>
      <c r="N2858">
        <v>0.81769999999999998</v>
      </c>
      <c r="O2858" s="1">
        <v>1</v>
      </c>
      <c r="P2858" t="s">
        <v>28156</v>
      </c>
      <c r="Q2858" t="s">
        <v>28157</v>
      </c>
      <c r="S2858" t="s">
        <v>947</v>
      </c>
      <c r="T2858" t="s">
        <v>4787</v>
      </c>
      <c r="U2858" t="s">
        <v>28158</v>
      </c>
      <c r="V2858">
        <v>19</v>
      </c>
      <c r="W2858" t="s">
        <v>28159</v>
      </c>
      <c r="X2858" t="s">
        <v>28160</v>
      </c>
      <c r="Y2858" t="s">
        <v>28161</v>
      </c>
      <c r="AE2858" t="s">
        <v>28162</v>
      </c>
      <c r="AF2858" t="s">
        <v>28163</v>
      </c>
      <c r="AG2858" t="s">
        <v>28164</v>
      </c>
      <c r="AH2858" t="str">
        <f>HYPERLINK("http://compartments.jensenlab.org/Entity?figures=subcell_cell_%&amp;knowledge=10&amp;textmining=10&amp;experiments=10&amp;predictions=10&amp;type1=9606&amp;type2=-22&amp;id1=ENSP00000273857","link")</f>
        <v>link</v>
      </c>
      <c r="AI2858" t="s">
        <v>1058</v>
      </c>
      <c r="AJ2858" t="s">
        <v>902</v>
      </c>
      <c r="AK2858" t="str">
        <f>HYPERLINK("http://www.proteinatlas.org/Q9Y5Q5","no")</f>
        <v>no</v>
      </c>
      <c r="AM2858">
        <v>10699</v>
      </c>
    </row>
    <row r="2859" spans="1:39" x14ac:dyDescent="0.35">
      <c r="A2859" t="s">
        <v>28165</v>
      </c>
      <c r="B2859" t="str">
        <f>HYPERLINK("http://www.uniprot.org/uniprot/Q9Y5S1","Q9Y5S1")</f>
        <v>Q9Y5S1</v>
      </c>
      <c r="C2859" t="s">
        <v>28166</v>
      </c>
      <c r="D2859" t="s">
        <v>28167</v>
      </c>
      <c r="E2859" t="s">
        <v>39</v>
      </c>
      <c r="F2859" t="s">
        <v>55</v>
      </c>
      <c r="H2859">
        <v>764</v>
      </c>
      <c r="I2859">
        <v>6</v>
      </c>
      <c r="J2859">
        <v>0</v>
      </c>
      <c r="K2859" t="s">
        <v>28168</v>
      </c>
      <c r="L2859" t="s">
        <v>101</v>
      </c>
      <c r="M2859" t="s">
        <v>39</v>
      </c>
      <c r="N2859">
        <v>0.56399999999999995</v>
      </c>
      <c r="O2859" s="1">
        <v>3</v>
      </c>
      <c r="P2859" t="s">
        <v>28169</v>
      </c>
      <c r="Q2859" t="s">
        <v>28170</v>
      </c>
      <c r="S2859" t="s">
        <v>45</v>
      </c>
      <c r="T2859" t="s">
        <v>12824</v>
      </c>
      <c r="U2859">
        <v>570</v>
      </c>
      <c r="V2859">
        <v>1</v>
      </c>
      <c r="W2859">
        <v>570</v>
      </c>
      <c r="Y2859" t="s">
        <v>28171</v>
      </c>
      <c r="Z2859" t="s">
        <v>107</v>
      </c>
      <c r="AA2859">
        <v>2</v>
      </c>
      <c r="AB2859" t="s">
        <v>28172</v>
      </c>
      <c r="AC2859">
        <v>570</v>
      </c>
      <c r="AD2859" t="s">
        <v>28173</v>
      </c>
      <c r="AE2859" t="s">
        <v>28174</v>
      </c>
      <c r="AF2859" t="s">
        <v>28175</v>
      </c>
      <c r="AG2859" t="s">
        <v>28176</v>
      </c>
      <c r="AH2859" t="str">
        <f>HYPERLINK("http://compartments.jensenlab.org/Entity?figures=subcell_cell_%&amp;knowledge=10&amp;textmining=10&amp;experiments=10&amp;predictions=10&amp;type1=9606&amp;type2=-22&amp;id1=ENSP00000342222","link")</f>
        <v>link</v>
      </c>
      <c r="AI2859" t="s">
        <v>65</v>
      </c>
      <c r="AJ2859" t="s">
        <v>2124</v>
      </c>
      <c r="AK2859" t="str">
        <f>HYPERLINK("http://www.proteinatlas.org/Q9Y5S1","HPA044993")</f>
        <v>HPA044993</v>
      </c>
      <c r="AM2859">
        <v>51393</v>
      </c>
    </row>
    <row r="2860" spans="1:39" x14ac:dyDescent="0.35">
      <c r="A2860" t="s">
        <v>28177</v>
      </c>
      <c r="B2860" t="str">
        <f>HYPERLINK("http://www.uniprot.org/uniprot/Q9Y5U5","Q9Y5U5")</f>
        <v>Q9Y5U5</v>
      </c>
      <c r="C2860" t="s">
        <v>28178</v>
      </c>
      <c r="D2860" t="s">
        <v>28179</v>
      </c>
      <c r="E2860" t="s">
        <v>39</v>
      </c>
      <c r="F2860" t="s">
        <v>40</v>
      </c>
      <c r="H2860">
        <v>241</v>
      </c>
      <c r="I2860">
        <v>1</v>
      </c>
      <c r="J2860">
        <v>1</v>
      </c>
      <c r="K2860" t="s">
        <v>28180</v>
      </c>
      <c r="L2860" t="s">
        <v>57</v>
      </c>
      <c r="N2860">
        <v>0.83030000000000004</v>
      </c>
      <c r="O2860" s="1">
        <v>1</v>
      </c>
      <c r="P2860" t="s">
        <v>28181</v>
      </c>
      <c r="Q2860" t="s">
        <v>28182</v>
      </c>
      <c r="R2860" t="s">
        <v>28183</v>
      </c>
      <c r="S2860" t="s">
        <v>166</v>
      </c>
      <c r="T2860" t="s">
        <v>864</v>
      </c>
      <c r="U2860">
        <v>146</v>
      </c>
      <c r="V2860">
        <v>1</v>
      </c>
      <c r="W2860">
        <v>146</v>
      </c>
      <c r="X2860" t="s">
        <v>28184</v>
      </c>
      <c r="AE2860" t="s">
        <v>1250</v>
      </c>
      <c r="AF2860" t="s">
        <v>28185</v>
      </c>
      <c r="AG2860" t="s">
        <v>28186</v>
      </c>
      <c r="AH2860" t="str">
        <f>HYPERLINK("http://compartments.jensenlab.org/Entity?figures=subcell_cell_%&amp;knowledge=10&amp;textmining=10&amp;experiments=10&amp;predictions=10&amp;type1=9606&amp;type2=-22&amp;id1=ENSP00000368570","link")</f>
        <v>link</v>
      </c>
      <c r="AK2860" t="str">
        <f>HYPERLINK("http://www.proteinatlas.org/Q9Y5U5","HPA008025")</f>
        <v>HPA008025</v>
      </c>
      <c r="AM2860">
        <v>8784</v>
      </c>
    </row>
    <row r="2861" spans="1:39" x14ac:dyDescent="0.35">
      <c r="A2861" t="s">
        <v>28187</v>
      </c>
      <c r="B2861" t="str">
        <f>HYPERLINK("http://www.uniprot.org/uniprot/Q9Y5X5","Q9Y5X5")</f>
        <v>Q9Y5X5</v>
      </c>
      <c r="C2861" t="s">
        <v>28188</v>
      </c>
      <c r="D2861" t="s">
        <v>28189</v>
      </c>
      <c r="E2861" t="s">
        <v>39</v>
      </c>
      <c r="F2861" t="s">
        <v>55</v>
      </c>
      <c r="H2861">
        <v>522</v>
      </c>
      <c r="I2861">
        <v>7</v>
      </c>
      <c r="J2861">
        <v>0</v>
      </c>
      <c r="K2861" t="s">
        <v>28190</v>
      </c>
      <c r="L2861" t="s">
        <v>57</v>
      </c>
      <c r="M2861" t="s">
        <v>39</v>
      </c>
      <c r="N2861">
        <v>0.92179999999999995</v>
      </c>
      <c r="O2861" s="1">
        <v>1</v>
      </c>
      <c r="P2861" t="s">
        <v>28191</v>
      </c>
      <c r="Q2861" t="s">
        <v>28192</v>
      </c>
      <c r="S2861" t="s">
        <v>166</v>
      </c>
      <c r="T2861" t="s">
        <v>838</v>
      </c>
      <c r="U2861" t="s">
        <v>28193</v>
      </c>
      <c r="V2861">
        <v>4</v>
      </c>
      <c r="W2861" t="s">
        <v>28194</v>
      </c>
      <c r="AE2861" t="s">
        <v>74</v>
      </c>
      <c r="AF2861" t="s">
        <v>1723</v>
      </c>
      <c r="AG2861" t="s">
        <v>28195</v>
      </c>
      <c r="AH2861" t="str">
        <f>HYPERLINK("http://compartments.jensenlab.org/Entity?figures=subcell_cell_%&amp;knowledge=10&amp;textmining=10&amp;experiments=10&amp;predictions=10&amp;type1=9606&amp;type2=-22&amp;id1=ENSP00000307822","link")</f>
        <v>link</v>
      </c>
      <c r="AI2861" t="s">
        <v>65</v>
      </c>
      <c r="AJ2861" t="s">
        <v>1811</v>
      </c>
      <c r="AK2861" t="str">
        <f>HYPERLINK("http://www.proteinatlas.org/Q9Y5X5","CAB004780;HPA026825")</f>
        <v>CAB004780;HPA026825</v>
      </c>
      <c r="AM2861">
        <v>10886</v>
      </c>
    </row>
    <row r="2862" spans="1:39" x14ac:dyDescent="0.35">
      <c r="A2862" t="s">
        <v>28196</v>
      </c>
      <c r="B2862" t="str">
        <f>HYPERLINK("http://www.uniprot.org/uniprot/Q9Y5Y0","Q9Y5Y0")</f>
        <v>Q9Y5Y0</v>
      </c>
      <c r="C2862" t="s">
        <v>28197</v>
      </c>
      <c r="D2862" t="s">
        <v>28198</v>
      </c>
      <c r="E2862" t="s">
        <v>39</v>
      </c>
      <c r="F2862" t="s">
        <v>40</v>
      </c>
      <c r="H2862">
        <v>555</v>
      </c>
      <c r="I2862">
        <v>12</v>
      </c>
      <c r="J2862">
        <v>0</v>
      </c>
      <c r="K2862" t="s">
        <v>28199</v>
      </c>
      <c r="L2862" t="s">
        <v>57</v>
      </c>
      <c r="N2862">
        <v>0.74250000000000005</v>
      </c>
      <c r="O2862" s="1">
        <v>2</v>
      </c>
      <c r="P2862" t="s">
        <v>28200</v>
      </c>
      <c r="Q2862" t="s">
        <v>28201</v>
      </c>
      <c r="S2862" t="s">
        <v>60</v>
      </c>
      <c r="T2862" t="s">
        <v>60</v>
      </c>
      <c r="U2862" t="s">
        <v>28202</v>
      </c>
      <c r="V2862">
        <v>2</v>
      </c>
      <c r="W2862">
        <v>265</v>
      </c>
      <c r="AE2862" t="s">
        <v>27346</v>
      </c>
      <c r="AF2862" t="s">
        <v>28203</v>
      </c>
      <c r="AG2862" t="s">
        <v>28204</v>
      </c>
      <c r="AH2862" t="str">
        <f>HYPERLINK("http://compartments.jensenlab.org/Entity?figures=subcell_cell_%&amp;knowledge=10&amp;textmining=10&amp;experiments=10&amp;predictions=10&amp;type1=9606&amp;type2=-22&amp;id1=ENSP00000355938","link")</f>
        <v>link</v>
      </c>
      <c r="AI2862" t="s">
        <v>65</v>
      </c>
      <c r="AJ2862" t="s">
        <v>51</v>
      </c>
      <c r="AK2862" t="str">
        <f>HYPERLINK("http://www.proteinatlas.org/Q9Y5Y0","HPA046646")</f>
        <v>HPA046646</v>
      </c>
      <c r="AM2862">
        <v>28982</v>
      </c>
    </row>
    <row r="2863" spans="1:39" x14ac:dyDescent="0.35">
      <c r="A2863" t="s">
        <v>28205</v>
      </c>
      <c r="B2863" t="str">
        <f>HYPERLINK("http://www.uniprot.org/uniprot/Q9Y5Y3","Q9Y5Y3")</f>
        <v>Q9Y5Y3</v>
      </c>
      <c r="C2863" t="s">
        <v>28206</v>
      </c>
      <c r="D2863" t="s">
        <v>28207</v>
      </c>
      <c r="E2863" t="s">
        <v>39</v>
      </c>
      <c r="F2863" t="s">
        <v>55</v>
      </c>
      <c r="H2863">
        <v>372</v>
      </c>
      <c r="I2863">
        <v>7</v>
      </c>
      <c r="J2863">
        <v>0</v>
      </c>
      <c r="K2863" t="s">
        <v>28208</v>
      </c>
      <c r="L2863" t="s">
        <v>57</v>
      </c>
      <c r="M2863" t="s">
        <v>39</v>
      </c>
      <c r="N2863">
        <v>0.96299999999999997</v>
      </c>
      <c r="O2863" s="1">
        <v>1</v>
      </c>
      <c r="P2863" t="s">
        <v>28209</v>
      </c>
      <c r="Q2863" t="s">
        <v>28210</v>
      </c>
      <c r="S2863" t="s">
        <v>166</v>
      </c>
      <c r="T2863" t="s">
        <v>838</v>
      </c>
      <c r="U2863" t="s">
        <v>28211</v>
      </c>
      <c r="V2863">
        <v>3</v>
      </c>
      <c r="AE2863" t="s">
        <v>74</v>
      </c>
      <c r="AF2863" t="s">
        <v>910</v>
      </c>
      <c r="AG2863" t="s">
        <v>28212</v>
      </c>
      <c r="AH2863" t="str">
        <f>HYPERLINK("http://compartments.jensenlab.org/Entity?figures=subcell_cell_%&amp;knowledge=10&amp;textmining=10&amp;experiments=10&amp;predictions=10&amp;type1=9606&amp;type2=-22&amp;id1=ENSP00000258456","link")</f>
        <v>link</v>
      </c>
      <c r="AI2863" t="s">
        <v>65</v>
      </c>
      <c r="AJ2863" t="s">
        <v>51</v>
      </c>
      <c r="AK2863" t="str">
        <f>HYPERLINK("http://www.proteinatlas.org/Q9Y5Y3","HPA055940")</f>
        <v>HPA055940</v>
      </c>
      <c r="AM2863">
        <v>11250</v>
      </c>
    </row>
    <row r="2864" spans="1:39" x14ac:dyDescent="0.35">
      <c r="A2864" t="s">
        <v>28213</v>
      </c>
      <c r="B2864" t="str">
        <f>HYPERLINK("http://www.uniprot.org/uniprot/Q9Y5Y4","Q9Y5Y4")</f>
        <v>Q9Y5Y4</v>
      </c>
      <c r="C2864" t="s">
        <v>28214</v>
      </c>
      <c r="D2864" t="s">
        <v>28215</v>
      </c>
      <c r="E2864" t="s">
        <v>39</v>
      </c>
      <c r="F2864" t="s">
        <v>55</v>
      </c>
      <c r="H2864">
        <v>395</v>
      </c>
      <c r="I2864">
        <v>7</v>
      </c>
      <c r="J2864">
        <v>0</v>
      </c>
      <c r="K2864" t="s">
        <v>28216</v>
      </c>
      <c r="L2864" t="s">
        <v>101</v>
      </c>
      <c r="M2864" t="s">
        <v>39</v>
      </c>
      <c r="N2864">
        <v>0.93020000000000003</v>
      </c>
      <c r="O2864" s="1">
        <v>1</v>
      </c>
      <c r="P2864" t="s">
        <v>28217</v>
      </c>
      <c r="Q2864" t="s">
        <v>28218</v>
      </c>
      <c r="R2864" t="s">
        <v>28219</v>
      </c>
      <c r="S2864" t="s">
        <v>166</v>
      </c>
      <c r="T2864" t="s">
        <v>838</v>
      </c>
      <c r="U2864" t="s">
        <v>28220</v>
      </c>
      <c r="V2864">
        <v>2</v>
      </c>
      <c r="W2864">
        <v>4</v>
      </c>
      <c r="Z2864" t="s">
        <v>107</v>
      </c>
      <c r="AA2864">
        <v>1</v>
      </c>
      <c r="AB2864" t="s">
        <v>28221</v>
      </c>
      <c r="AC2864">
        <v>25</v>
      </c>
      <c r="AD2864" t="s">
        <v>28222</v>
      </c>
      <c r="AE2864" t="s">
        <v>74</v>
      </c>
      <c r="AF2864" t="s">
        <v>967</v>
      </c>
      <c r="AG2864" t="s">
        <v>28223</v>
      </c>
      <c r="AH2864" t="str">
        <f>HYPERLINK("http://compartments.jensenlab.org/Entity?figures=subcell_cell_%&amp;knowledge=10&amp;textmining=10&amp;experiments=10&amp;predictions=10&amp;type1=9606&amp;type2=-22&amp;id1=ENSP00000332812","link")</f>
        <v>link</v>
      </c>
      <c r="AI2864" t="s">
        <v>65</v>
      </c>
      <c r="AJ2864" t="s">
        <v>51</v>
      </c>
      <c r="AK2864" t="str">
        <f>HYPERLINK("http://www.proteinatlas.org/Q9Y5Y4","HPA014259")</f>
        <v>HPA014259</v>
      </c>
      <c r="AL2864" t="s">
        <v>28224</v>
      </c>
      <c r="AM2864">
        <v>11251</v>
      </c>
    </row>
    <row r="2865" spans="1:39" x14ac:dyDescent="0.35">
      <c r="A2865" t="s">
        <v>28225</v>
      </c>
      <c r="B2865" t="str">
        <f>HYPERLINK("http://www.uniprot.org/uniprot/Q9Y5Y7","Q9Y5Y7")</f>
        <v>Q9Y5Y7</v>
      </c>
      <c r="C2865" t="s">
        <v>28226</v>
      </c>
      <c r="D2865" t="s">
        <v>28227</v>
      </c>
      <c r="E2865" t="s">
        <v>39</v>
      </c>
      <c r="F2865" t="s">
        <v>40</v>
      </c>
      <c r="H2865">
        <v>322</v>
      </c>
      <c r="I2865">
        <v>1</v>
      </c>
      <c r="J2865">
        <v>1</v>
      </c>
      <c r="K2865" t="s">
        <v>28228</v>
      </c>
      <c r="L2865" t="s">
        <v>57</v>
      </c>
      <c r="N2865">
        <v>0.94010000000000005</v>
      </c>
      <c r="O2865" s="1">
        <v>1</v>
      </c>
      <c r="P2865" t="s">
        <v>28229</v>
      </c>
      <c r="Q2865" t="s">
        <v>28230</v>
      </c>
      <c r="S2865" t="s">
        <v>60</v>
      </c>
      <c r="T2865" t="s">
        <v>60</v>
      </c>
      <c r="U2865" t="s">
        <v>28231</v>
      </c>
      <c r="V2865">
        <v>2</v>
      </c>
      <c r="W2865">
        <v>53</v>
      </c>
      <c r="X2865" t="s">
        <v>28232</v>
      </c>
      <c r="AE2865" t="s">
        <v>144</v>
      </c>
      <c r="AF2865" t="s">
        <v>28233</v>
      </c>
      <c r="AG2865" t="s">
        <v>28234</v>
      </c>
      <c r="AH2865" t="str">
        <f>HYPERLINK("http://compartments.jensenlab.org/Entity?figures=subcell_cell_%&amp;knowledge=10&amp;textmining=10&amp;experiments=10&amp;predictions=10&amp;type1=9606&amp;type2=-22&amp;id1=ENSP00000256178","link")</f>
        <v>link</v>
      </c>
      <c r="AJ2865" t="s">
        <v>51</v>
      </c>
      <c r="AK2865" t="str">
        <f>HYPERLINK("http://www.proteinatlas.org/Q9Y5Y7","CAB025860;HPA042953")</f>
        <v>CAB025860;HPA042953</v>
      </c>
      <c r="AM2865">
        <v>10894</v>
      </c>
    </row>
    <row r="2866" spans="1:39" x14ac:dyDescent="0.35">
      <c r="A2866" t="s">
        <v>28235</v>
      </c>
      <c r="B2866" t="str">
        <f>HYPERLINK("http://www.uniprot.org/uniprot/Q9Y5Y9","Q9Y5Y9")</f>
        <v>Q9Y5Y9</v>
      </c>
      <c r="C2866" t="s">
        <v>28236</v>
      </c>
      <c r="D2866" t="s">
        <v>28237</v>
      </c>
      <c r="E2866" t="s">
        <v>39</v>
      </c>
      <c r="F2866" t="s">
        <v>40</v>
      </c>
      <c r="H2866">
        <v>1956</v>
      </c>
      <c r="I2866">
        <v>23</v>
      </c>
      <c r="J2866">
        <v>0</v>
      </c>
      <c r="K2866" t="s">
        <v>28238</v>
      </c>
      <c r="L2866" t="s">
        <v>42</v>
      </c>
      <c r="N2866">
        <v>0.78039999999999998</v>
      </c>
      <c r="O2866" s="1">
        <v>1</v>
      </c>
      <c r="P2866" t="s">
        <v>28239</v>
      </c>
      <c r="Q2866" t="s">
        <v>28240</v>
      </c>
      <c r="S2866" t="s">
        <v>45</v>
      </c>
      <c r="T2866" t="s">
        <v>8727</v>
      </c>
      <c r="U2866" t="s">
        <v>28241</v>
      </c>
      <c r="V2866">
        <v>9</v>
      </c>
      <c r="Y2866">
        <v>827</v>
      </c>
      <c r="AE2866" t="s">
        <v>48</v>
      </c>
      <c r="AF2866" t="s">
        <v>28242</v>
      </c>
      <c r="AG2866" t="s">
        <v>28243</v>
      </c>
      <c r="AH2866" t="str">
        <f>HYPERLINK("http://compartments.jensenlab.org/Entity?figures=subcell_cell_%&amp;knowledge=10&amp;textmining=10&amp;experiments=10&amp;predictions=10&amp;type1=9606&amp;type2=-22&amp;id1=ENSP00000390600","link")</f>
        <v>link</v>
      </c>
      <c r="AJ2866" t="s">
        <v>51</v>
      </c>
      <c r="AK2866" t="str">
        <f>HYPERLINK("http://www.proteinatlas.org/Q9Y5Y9","no")</f>
        <v>no</v>
      </c>
      <c r="AL2866" t="s">
        <v>28244</v>
      </c>
      <c r="AM2866">
        <v>6336</v>
      </c>
    </row>
    <row r="2867" spans="1:39" x14ac:dyDescent="0.35">
      <c r="A2867" t="s">
        <v>28245</v>
      </c>
      <c r="B2867" t="str">
        <f>HYPERLINK("http://www.uniprot.org/uniprot/Q9Y5Z0","Q9Y5Z0")</f>
        <v>Q9Y5Z0</v>
      </c>
      <c r="C2867" t="s">
        <v>28246</v>
      </c>
      <c r="D2867" t="s">
        <v>28247</v>
      </c>
      <c r="E2867" t="s">
        <v>39</v>
      </c>
      <c r="F2867" t="s">
        <v>40</v>
      </c>
      <c r="H2867">
        <v>518</v>
      </c>
      <c r="I2867">
        <v>1</v>
      </c>
      <c r="J2867">
        <v>1</v>
      </c>
      <c r="K2867" t="s">
        <v>28248</v>
      </c>
      <c r="L2867" t="s">
        <v>57</v>
      </c>
      <c r="N2867">
        <v>0.7984</v>
      </c>
      <c r="O2867" s="1">
        <v>1</v>
      </c>
      <c r="P2867" t="s">
        <v>28249</v>
      </c>
      <c r="Q2867" t="s">
        <v>28250</v>
      </c>
      <c r="S2867" t="s">
        <v>947</v>
      </c>
      <c r="T2867" t="s">
        <v>10986</v>
      </c>
      <c r="U2867" t="s">
        <v>28251</v>
      </c>
      <c r="V2867">
        <v>2</v>
      </c>
      <c r="W2867" t="s">
        <v>28251</v>
      </c>
      <c r="AE2867" t="s">
        <v>28252</v>
      </c>
      <c r="AF2867" t="s">
        <v>28253</v>
      </c>
      <c r="AG2867" t="s">
        <v>28254</v>
      </c>
      <c r="AH2867" t="str">
        <f>HYPERLINK("http://compartments.jensenlab.org/Entity?figures=subcell_cell_%&amp;knowledge=10&amp;textmining=10&amp;experiments=10&amp;predictions=10&amp;type1=9606&amp;type2=-22&amp;id1=ENSP00000332979","link")</f>
        <v>link</v>
      </c>
      <c r="AI2867" t="s">
        <v>28255</v>
      </c>
      <c r="AJ2867" t="s">
        <v>3644</v>
      </c>
      <c r="AK2867" t="str">
        <f>HYPERLINK("http://www.proteinatlas.org/Q9Y5Z0","CAB008975")</f>
        <v>CAB008975</v>
      </c>
      <c r="AM2867">
        <v>25825</v>
      </c>
    </row>
    <row r="2868" spans="1:39" x14ac:dyDescent="0.35">
      <c r="A2868" t="s">
        <v>28256</v>
      </c>
      <c r="B2868" t="str">
        <f>HYPERLINK("http://www.uniprot.org/uniprot/Q9Y624","Q9Y624")</f>
        <v>Q9Y624</v>
      </c>
      <c r="C2868" t="s">
        <v>28257</v>
      </c>
      <c r="D2868" t="s">
        <v>28258</v>
      </c>
      <c r="E2868" t="s">
        <v>39</v>
      </c>
      <c r="F2868" t="s">
        <v>55</v>
      </c>
      <c r="H2868">
        <v>299</v>
      </c>
      <c r="I2868">
        <v>1</v>
      </c>
      <c r="J2868">
        <v>1</v>
      </c>
      <c r="K2868" t="s">
        <v>28259</v>
      </c>
      <c r="L2868" t="s">
        <v>101</v>
      </c>
      <c r="M2868" t="s">
        <v>39</v>
      </c>
      <c r="N2868">
        <v>0.84619999999999995</v>
      </c>
      <c r="O2868" s="1">
        <v>1</v>
      </c>
      <c r="P2868" t="s">
        <v>28260</v>
      </c>
      <c r="Q2868" t="s">
        <v>28261</v>
      </c>
      <c r="R2868" t="s">
        <v>28262</v>
      </c>
      <c r="S2868" t="s">
        <v>91</v>
      </c>
      <c r="T2868" t="s">
        <v>14321</v>
      </c>
      <c r="U2868">
        <v>185</v>
      </c>
      <c r="V2868">
        <v>1</v>
      </c>
      <c r="X2868" t="s">
        <v>28263</v>
      </c>
      <c r="Z2868" t="s">
        <v>107</v>
      </c>
      <c r="AA2868">
        <v>4</v>
      </c>
      <c r="AB2868" t="s">
        <v>28264</v>
      </c>
      <c r="AC2868">
        <v>185</v>
      </c>
      <c r="AD2868" t="s">
        <v>28265</v>
      </c>
      <c r="AE2868" t="s">
        <v>8853</v>
      </c>
      <c r="AF2868" t="s">
        <v>28266</v>
      </c>
      <c r="AG2868" t="s">
        <v>28267</v>
      </c>
      <c r="AH2868" t="str">
        <f>HYPERLINK("http://compartments.jensenlab.org/Entity?figures=subcell_cell_%&amp;knowledge=10&amp;textmining=10&amp;experiments=10&amp;predictions=10&amp;type1=9606&amp;type2=-22&amp;id1=ENSP00000357005","link")</f>
        <v>link</v>
      </c>
      <c r="AK2868" t="str">
        <f>HYPERLINK("http://www.proteinatlas.org/Q9Y624","CAB004671;HPA043616;HPA061700")</f>
        <v>CAB004671;HPA043616;HPA061700</v>
      </c>
      <c r="AM2868">
        <v>50848</v>
      </c>
    </row>
    <row r="2869" spans="1:39" x14ac:dyDescent="0.35">
      <c r="A2869" t="s">
        <v>28268</v>
      </c>
      <c r="B2869" t="str">
        <f>HYPERLINK("http://www.uniprot.org/uniprot/Q9Y625","Q9Y625")</f>
        <v>Q9Y625</v>
      </c>
      <c r="C2869" t="s">
        <v>28269</v>
      </c>
      <c r="D2869" t="s">
        <v>28270</v>
      </c>
      <c r="E2869" t="s">
        <v>39</v>
      </c>
      <c r="F2869" t="s">
        <v>239</v>
      </c>
      <c r="H2869">
        <v>555</v>
      </c>
      <c r="I2869">
        <v>0</v>
      </c>
      <c r="J2869">
        <v>1</v>
      </c>
      <c r="K2869" t="s">
        <v>28271</v>
      </c>
      <c r="L2869" t="s">
        <v>57</v>
      </c>
      <c r="N2869">
        <v>0.37719999999999998</v>
      </c>
      <c r="O2869" s="1"/>
      <c r="P2869" t="s">
        <v>28272</v>
      </c>
      <c r="Q2869" t="s">
        <v>28273</v>
      </c>
      <c r="S2869" t="s">
        <v>60</v>
      </c>
      <c r="T2869" t="s">
        <v>60</v>
      </c>
      <c r="V2869">
        <v>0</v>
      </c>
      <c r="AE2869" t="s">
        <v>2731</v>
      </c>
      <c r="AF2869" t="s">
        <v>28274</v>
      </c>
      <c r="AG2869" t="s">
        <v>28275</v>
      </c>
      <c r="AH2869" t="str">
        <f>HYPERLINK("http://compartments.jensenlab.org/Entity?figures=subcell_cell_%&amp;knowledge=10&amp;textmining=10&amp;experiments=10&amp;predictions=10&amp;type1=9606&amp;type2=-22&amp;id1=ENSP00000366246","link")</f>
        <v>link</v>
      </c>
      <c r="AI2869" t="s">
        <v>65</v>
      </c>
      <c r="AJ2869" t="s">
        <v>902</v>
      </c>
      <c r="AK2869" t="str">
        <f>HYPERLINK("http://www.proteinatlas.org/Q9Y625","HPA017671")</f>
        <v>HPA017671</v>
      </c>
      <c r="AM2869">
        <v>10082</v>
      </c>
    </row>
    <row r="2870" spans="1:39" x14ac:dyDescent="0.35">
      <c r="A2870" t="s">
        <v>28276</v>
      </c>
      <c r="B2870" t="str">
        <f>HYPERLINK("http://www.uniprot.org/uniprot/Q9Y639","Q9Y639")</f>
        <v>Q9Y639</v>
      </c>
      <c r="C2870" t="s">
        <v>28277</v>
      </c>
      <c r="D2870" t="s">
        <v>28278</v>
      </c>
      <c r="E2870" t="s">
        <v>39</v>
      </c>
      <c r="F2870" t="s">
        <v>55</v>
      </c>
      <c r="H2870">
        <v>398</v>
      </c>
      <c r="I2870">
        <v>1</v>
      </c>
      <c r="J2870">
        <v>1</v>
      </c>
      <c r="K2870" t="s">
        <v>28279</v>
      </c>
      <c r="L2870" t="s">
        <v>101</v>
      </c>
      <c r="M2870" t="s">
        <v>39</v>
      </c>
      <c r="N2870">
        <v>0.78820000000000001</v>
      </c>
      <c r="O2870" s="1">
        <v>1</v>
      </c>
      <c r="P2870" t="s">
        <v>28280</v>
      </c>
      <c r="Q2870" t="s">
        <v>28281</v>
      </c>
      <c r="S2870" t="s">
        <v>60</v>
      </c>
      <c r="T2870" t="s">
        <v>60</v>
      </c>
      <c r="U2870" t="s">
        <v>28282</v>
      </c>
      <c r="V2870">
        <v>6</v>
      </c>
      <c r="Z2870" t="s">
        <v>107</v>
      </c>
      <c r="AA2870">
        <v>25</v>
      </c>
      <c r="AB2870" t="s">
        <v>28283</v>
      </c>
      <c r="AC2870" t="s">
        <v>28284</v>
      </c>
      <c r="AD2870" t="s">
        <v>28285</v>
      </c>
      <c r="AE2870" t="s">
        <v>332</v>
      </c>
      <c r="AF2870" t="s">
        <v>28286</v>
      </c>
      <c r="AG2870" t="s">
        <v>28287</v>
      </c>
      <c r="AH2870" t="str">
        <f>HYPERLINK("http://compartments.jensenlab.org/Entity?figures=subcell_cell_%&amp;knowledge=10&amp;textmining=10&amp;experiments=10&amp;predictions=10&amp;type1=9606&amp;type2=-22&amp;id1=ENSP00000342958","link")</f>
        <v>link</v>
      </c>
      <c r="AK2870" t="str">
        <f>HYPERLINK("http://www.proteinatlas.org/Q9Y639","HPA051497")</f>
        <v>HPA051497</v>
      </c>
      <c r="AM2870">
        <v>27020</v>
      </c>
    </row>
    <row r="2871" spans="1:39" x14ac:dyDescent="0.35">
      <c r="A2871" t="s">
        <v>28288</v>
      </c>
      <c r="B2871" t="str">
        <f>HYPERLINK("http://www.uniprot.org/uniprot/Q9Y653","Q9Y653")</f>
        <v>Q9Y653</v>
      </c>
      <c r="C2871" t="s">
        <v>28289</v>
      </c>
      <c r="D2871" t="s">
        <v>28290</v>
      </c>
      <c r="E2871" t="s">
        <v>39</v>
      </c>
      <c r="F2871" t="s">
        <v>55</v>
      </c>
      <c r="H2871">
        <v>693</v>
      </c>
      <c r="I2871">
        <v>7</v>
      </c>
      <c r="J2871">
        <v>1</v>
      </c>
      <c r="K2871" t="s">
        <v>28291</v>
      </c>
      <c r="L2871" t="s">
        <v>101</v>
      </c>
      <c r="M2871" t="s">
        <v>39</v>
      </c>
      <c r="N2871">
        <v>0.98509999999999998</v>
      </c>
      <c r="O2871" s="1">
        <v>1</v>
      </c>
      <c r="P2871" t="s">
        <v>28292</v>
      </c>
      <c r="Q2871" t="s">
        <v>28293</v>
      </c>
      <c r="S2871" t="s">
        <v>166</v>
      </c>
      <c r="T2871" t="s">
        <v>1149</v>
      </c>
      <c r="U2871" t="s">
        <v>28294</v>
      </c>
      <c r="V2871">
        <v>7</v>
      </c>
      <c r="W2871" t="s">
        <v>28295</v>
      </c>
      <c r="Z2871" t="s">
        <v>107</v>
      </c>
      <c r="AA2871">
        <v>18</v>
      </c>
      <c r="AB2871" t="s">
        <v>28296</v>
      </c>
      <c r="AC2871" t="s">
        <v>28297</v>
      </c>
      <c r="AD2871" t="s">
        <v>28298</v>
      </c>
      <c r="AE2871" t="s">
        <v>28299</v>
      </c>
      <c r="AF2871" t="s">
        <v>28300</v>
      </c>
      <c r="AG2871" t="s">
        <v>28301</v>
      </c>
      <c r="AH2871" t="str">
        <f>HYPERLINK("http://compartments.jensenlab.org/Entity?figures=subcell_cell_%&amp;knowledge=10&amp;textmining=10&amp;experiments=10&amp;predictions=10&amp;type1=9606&amp;type2=-22&amp;id1=ENSP00000456794","link")</f>
        <v>link</v>
      </c>
      <c r="AK2871" t="str">
        <f>HYPERLINK("http://www.proteinatlas.org/Q9Y653","HPA046065")</f>
        <v>HPA046065</v>
      </c>
      <c r="AM2871">
        <v>9289</v>
      </c>
    </row>
    <row r="2872" spans="1:39" x14ac:dyDescent="0.35">
      <c r="A2872" t="s">
        <v>28302</v>
      </c>
      <c r="B2872" t="str">
        <f>HYPERLINK("http://www.uniprot.org/uniprot/Q9Y666","Q9Y666")</f>
        <v>Q9Y666</v>
      </c>
      <c r="C2872" t="s">
        <v>28303</v>
      </c>
      <c r="D2872" t="s">
        <v>28304</v>
      </c>
      <c r="E2872" t="s">
        <v>39</v>
      </c>
      <c r="F2872" t="s">
        <v>55</v>
      </c>
      <c r="H2872">
        <v>1083</v>
      </c>
      <c r="I2872">
        <v>12</v>
      </c>
      <c r="J2872">
        <v>0</v>
      </c>
      <c r="K2872" t="s">
        <v>28305</v>
      </c>
      <c r="L2872" t="s">
        <v>101</v>
      </c>
      <c r="M2872" t="s">
        <v>39</v>
      </c>
      <c r="N2872">
        <v>0.89300000000000002</v>
      </c>
      <c r="O2872" s="1">
        <v>1</v>
      </c>
      <c r="P2872" t="s">
        <v>28306</v>
      </c>
      <c r="Q2872" t="s">
        <v>28307</v>
      </c>
      <c r="S2872" t="s">
        <v>45</v>
      </c>
      <c r="T2872" t="s">
        <v>46</v>
      </c>
      <c r="U2872" t="s">
        <v>28308</v>
      </c>
      <c r="V2872">
        <v>4</v>
      </c>
      <c r="W2872" t="s">
        <v>28309</v>
      </c>
      <c r="Z2872" t="s">
        <v>107</v>
      </c>
      <c r="AA2872">
        <v>1</v>
      </c>
      <c r="AB2872" t="s">
        <v>28310</v>
      </c>
      <c r="AC2872">
        <v>312</v>
      </c>
      <c r="AD2872" t="s">
        <v>28311</v>
      </c>
      <c r="AE2872" t="s">
        <v>74</v>
      </c>
      <c r="AF2872" t="s">
        <v>28312</v>
      </c>
      <c r="AG2872" t="s">
        <v>28313</v>
      </c>
      <c r="AH2872" t="str">
        <f>HYPERLINK("http://compartments.jensenlab.org/Entity?figures=subcell_cell_%&amp;knowledge=10&amp;textmining=10&amp;experiments=10&amp;predictions=10&amp;type1=9606&amp;type2=-22&amp;id1=ENSP00000264930","link")</f>
        <v>link</v>
      </c>
      <c r="AJ2872" t="s">
        <v>51</v>
      </c>
      <c r="AK2872" t="str">
        <f>HYPERLINK("http://www.proteinatlas.org/Q9Y666","HPA041652")</f>
        <v>HPA041652</v>
      </c>
      <c r="AL2872" t="s">
        <v>26642</v>
      </c>
      <c r="AM2872">
        <v>10723</v>
      </c>
    </row>
    <row r="2873" spans="1:39" x14ac:dyDescent="0.35">
      <c r="A2873" t="s">
        <v>28314</v>
      </c>
      <c r="B2873" t="str">
        <f>HYPERLINK("http://www.uniprot.org/uniprot/Q9Y691","Q9Y691")</f>
        <v>Q9Y691</v>
      </c>
      <c r="C2873" t="s">
        <v>28315</v>
      </c>
      <c r="D2873" t="s">
        <v>28316</v>
      </c>
      <c r="E2873" t="s">
        <v>39</v>
      </c>
      <c r="F2873" t="s">
        <v>40</v>
      </c>
      <c r="H2873">
        <v>235</v>
      </c>
      <c r="I2873">
        <v>2</v>
      </c>
      <c r="J2873">
        <v>0</v>
      </c>
      <c r="K2873" t="s">
        <v>28317</v>
      </c>
      <c r="L2873" t="s">
        <v>57</v>
      </c>
      <c r="N2873">
        <v>0.61080000000000001</v>
      </c>
      <c r="O2873" s="1">
        <v>2</v>
      </c>
      <c r="P2873" t="s">
        <v>28318</v>
      </c>
      <c r="Q2873" t="s">
        <v>28319</v>
      </c>
      <c r="S2873" t="s">
        <v>45</v>
      </c>
      <c r="T2873" t="s">
        <v>13807</v>
      </c>
      <c r="U2873" t="s">
        <v>28320</v>
      </c>
      <c r="V2873">
        <v>3</v>
      </c>
      <c r="AE2873" t="s">
        <v>48</v>
      </c>
      <c r="AF2873" t="s">
        <v>28321</v>
      </c>
      <c r="AG2873" t="s">
        <v>28322</v>
      </c>
      <c r="AH2873" t="str">
        <f>HYPERLINK("http://compartments.jensenlab.org/Entity?figures=subcell_cell_%&amp;knowledge=10&amp;textmining=10&amp;experiments=10&amp;predictions=10&amp;type1=9606&amp;type2=-22&amp;id1=ENSP00000351068","link")</f>
        <v>link</v>
      </c>
      <c r="AI2873" t="s">
        <v>65</v>
      </c>
      <c r="AJ2873" t="s">
        <v>51</v>
      </c>
      <c r="AK2873" t="str">
        <f>HYPERLINK("http://www.proteinatlas.org/Q9Y691","CAB022649")</f>
        <v>CAB022649</v>
      </c>
      <c r="AL2873" t="s">
        <v>13811</v>
      </c>
      <c r="AM2873">
        <v>10242</v>
      </c>
    </row>
    <row r="2874" spans="1:39" x14ac:dyDescent="0.35">
      <c r="A2874" t="s">
        <v>28323</v>
      </c>
      <c r="B2874" t="str">
        <f>HYPERLINK("http://www.uniprot.org/uniprot/Q9Y694","Q9Y694")</f>
        <v>Q9Y694</v>
      </c>
      <c r="C2874" t="s">
        <v>28324</v>
      </c>
      <c r="D2874" t="s">
        <v>28325</v>
      </c>
      <c r="E2874" t="s">
        <v>39</v>
      </c>
      <c r="F2874" t="s">
        <v>40</v>
      </c>
      <c r="H2874">
        <v>548</v>
      </c>
      <c r="I2874">
        <v>11</v>
      </c>
      <c r="J2874">
        <v>0</v>
      </c>
      <c r="K2874" t="s">
        <v>28326</v>
      </c>
      <c r="L2874" t="s">
        <v>42</v>
      </c>
      <c r="N2874">
        <v>0.64870000000000005</v>
      </c>
      <c r="O2874" s="1">
        <v>2</v>
      </c>
      <c r="P2874" t="s">
        <v>28327</v>
      </c>
      <c r="Q2874" t="s">
        <v>28328</v>
      </c>
      <c r="S2874" t="s">
        <v>45</v>
      </c>
      <c r="T2874" t="s">
        <v>121</v>
      </c>
      <c r="U2874" t="s">
        <v>28329</v>
      </c>
      <c r="V2874">
        <v>2</v>
      </c>
      <c r="W2874">
        <v>91</v>
      </c>
      <c r="AE2874" t="s">
        <v>21270</v>
      </c>
      <c r="AF2874" t="s">
        <v>25523</v>
      </c>
      <c r="AG2874" t="s">
        <v>28330</v>
      </c>
      <c r="AH2874" t="str">
        <f>HYPERLINK("http://compartments.jensenlab.org/Entity?figures=subcell_cell_%&amp;knowledge=10&amp;textmining=10&amp;experiments=10&amp;predictions=10&amp;type1=9606&amp;type2=-22&amp;id1=ENSP00000361666","link")</f>
        <v>link</v>
      </c>
      <c r="AI2874" t="s">
        <v>65</v>
      </c>
      <c r="AJ2874" t="s">
        <v>51</v>
      </c>
      <c r="AK2874" t="str">
        <f>HYPERLINK("http://www.proteinatlas.org/Q9Y694","HPA030220")</f>
        <v>HPA030220</v>
      </c>
      <c r="AM2874">
        <v>10864</v>
      </c>
    </row>
    <row r="2875" spans="1:39" x14ac:dyDescent="0.35">
      <c r="A2875" t="s">
        <v>28331</v>
      </c>
      <c r="B2875" t="str">
        <f>HYPERLINK("http://www.uniprot.org/uniprot/Q9Y698","Q9Y698")</f>
        <v>Q9Y698</v>
      </c>
      <c r="C2875" t="s">
        <v>28332</v>
      </c>
      <c r="D2875" t="s">
        <v>28333</v>
      </c>
      <c r="E2875" t="s">
        <v>39</v>
      </c>
      <c r="F2875" t="s">
        <v>40</v>
      </c>
      <c r="H2875">
        <v>323</v>
      </c>
      <c r="I2875">
        <v>4</v>
      </c>
      <c r="J2875">
        <v>0</v>
      </c>
      <c r="K2875" t="s">
        <v>28334</v>
      </c>
      <c r="L2875" t="s">
        <v>42</v>
      </c>
      <c r="N2875">
        <v>0.78039999999999998</v>
      </c>
      <c r="O2875" s="1">
        <v>1</v>
      </c>
      <c r="P2875" t="s">
        <v>28335</v>
      </c>
      <c r="Q2875" t="s">
        <v>28336</v>
      </c>
      <c r="S2875" t="s">
        <v>45</v>
      </c>
      <c r="T2875" t="s">
        <v>341</v>
      </c>
      <c r="U2875">
        <v>48</v>
      </c>
      <c r="V2875">
        <v>1</v>
      </c>
      <c r="Y2875" t="s">
        <v>28337</v>
      </c>
      <c r="AE2875" t="s">
        <v>48</v>
      </c>
      <c r="AF2875" t="s">
        <v>28338</v>
      </c>
      <c r="AG2875" t="s">
        <v>28339</v>
      </c>
      <c r="AH2875" t="str">
        <f>HYPERLINK("http://compartments.jensenlab.org/Entity?figures=subcell_cell_%&amp;knowledge=10&amp;textmining=10&amp;experiments=10&amp;predictions=10&amp;type1=9606&amp;type2=-22&amp;id1=ENSP00000300105","link")</f>
        <v>link</v>
      </c>
      <c r="AJ2875" t="s">
        <v>51</v>
      </c>
      <c r="AK2875" t="str">
        <f>HYPERLINK("http://www.proteinatlas.org/Q9Y698","no")</f>
        <v>no</v>
      </c>
      <c r="AM2875">
        <v>10369</v>
      </c>
    </row>
    <row r="2876" spans="1:39" x14ac:dyDescent="0.35">
      <c r="A2876" t="s">
        <v>28340</v>
      </c>
      <c r="B2876" t="str">
        <f>HYPERLINK("http://www.uniprot.org/uniprot/Q9Y6F6","Q9Y6F6")</f>
        <v>Q9Y6F6</v>
      </c>
      <c r="C2876" t="s">
        <v>28341</v>
      </c>
      <c r="D2876" t="s">
        <v>28342</v>
      </c>
      <c r="E2876" t="s">
        <v>39</v>
      </c>
      <c r="F2876" t="s">
        <v>40</v>
      </c>
      <c r="H2876">
        <v>885</v>
      </c>
      <c r="I2876">
        <v>1</v>
      </c>
      <c r="J2876">
        <v>1</v>
      </c>
      <c r="K2876" t="s">
        <v>28343</v>
      </c>
      <c r="L2876" t="s">
        <v>42</v>
      </c>
      <c r="N2876">
        <v>0.58279999999999998</v>
      </c>
      <c r="O2876" s="1">
        <v>2</v>
      </c>
      <c r="P2876" t="s">
        <v>28344</v>
      </c>
      <c r="S2876" t="s">
        <v>60</v>
      </c>
      <c r="T2876" t="s">
        <v>60</v>
      </c>
      <c r="U2876" t="s">
        <v>28345</v>
      </c>
      <c r="V2876">
        <v>6</v>
      </c>
      <c r="X2876" t="s">
        <v>28346</v>
      </c>
      <c r="AE2876" t="s">
        <v>28347</v>
      </c>
      <c r="AF2876" t="s">
        <v>28348</v>
      </c>
      <c r="AG2876" t="s">
        <v>28349</v>
      </c>
      <c r="AK2876" t="str">
        <f>HYPERLINK("http://www.proteinatlas.org/Q9Y6F6","HPA008704")</f>
        <v>HPA008704</v>
      </c>
      <c r="AM2876">
        <v>10335</v>
      </c>
    </row>
    <row r="2877" spans="1:39" x14ac:dyDescent="0.35">
      <c r="A2877" t="s">
        <v>28350</v>
      </c>
      <c r="B2877" t="str">
        <f>HYPERLINK("http://www.uniprot.org/uniprot/Q9Y6H8","Q9Y6H8")</f>
        <v>Q9Y6H8</v>
      </c>
      <c r="C2877" t="s">
        <v>28351</v>
      </c>
      <c r="D2877" t="s">
        <v>28352</v>
      </c>
      <c r="E2877" t="s">
        <v>39</v>
      </c>
      <c r="F2877" t="s">
        <v>55</v>
      </c>
      <c r="H2877">
        <v>435</v>
      </c>
      <c r="I2877">
        <v>4</v>
      </c>
      <c r="J2877">
        <v>0</v>
      </c>
      <c r="K2877" t="s">
        <v>28353</v>
      </c>
      <c r="L2877" t="s">
        <v>57</v>
      </c>
      <c r="M2877" t="s">
        <v>39</v>
      </c>
      <c r="N2877">
        <v>0.54700000000000004</v>
      </c>
      <c r="O2877" s="1">
        <v>3</v>
      </c>
      <c r="P2877" t="s">
        <v>28354</v>
      </c>
      <c r="Q2877" t="s">
        <v>28355</v>
      </c>
      <c r="S2877" t="s">
        <v>91</v>
      </c>
      <c r="T2877" t="s">
        <v>2797</v>
      </c>
      <c r="V2877">
        <v>0</v>
      </c>
      <c r="AE2877" t="s">
        <v>2798</v>
      </c>
      <c r="AF2877" t="s">
        <v>28356</v>
      </c>
      <c r="AG2877" t="s">
        <v>28357</v>
      </c>
      <c r="AH2877" t="str">
        <f>HYPERLINK("http://compartments.jensenlab.org/Entity?figures=subcell_cell_%&amp;knowledge=10&amp;textmining=10&amp;experiments=10&amp;predictions=10&amp;type1=9606&amp;type2=-22&amp;id1=ENSP00000241125","link")</f>
        <v>link</v>
      </c>
      <c r="AI2877" t="s">
        <v>65</v>
      </c>
      <c r="AJ2877" t="s">
        <v>51</v>
      </c>
      <c r="AK2877" t="str">
        <f>HYPERLINK("http://www.proteinatlas.org/Q9Y6H8","no")</f>
        <v>no</v>
      </c>
      <c r="AM2877">
        <v>2700</v>
      </c>
    </row>
    <row r="2878" spans="1:39" x14ac:dyDescent="0.35">
      <c r="A2878" t="s">
        <v>28358</v>
      </c>
      <c r="B2878" t="str">
        <f>HYPERLINK("http://www.uniprot.org/uniprot/Q9Y6L6","Q9Y6L6")</f>
        <v>Q9Y6L6</v>
      </c>
      <c r="C2878" t="s">
        <v>28359</v>
      </c>
      <c r="D2878" t="s">
        <v>28360</v>
      </c>
      <c r="E2878" t="s">
        <v>39</v>
      </c>
      <c r="F2878" t="s">
        <v>40</v>
      </c>
      <c r="H2878">
        <v>691</v>
      </c>
      <c r="I2878">
        <v>12</v>
      </c>
      <c r="J2878">
        <v>0</v>
      </c>
      <c r="K2878" t="s">
        <v>28361</v>
      </c>
      <c r="L2878" t="s">
        <v>57</v>
      </c>
      <c r="N2878">
        <v>0.85829999999999995</v>
      </c>
      <c r="O2878" s="1">
        <v>1</v>
      </c>
      <c r="P2878" t="s">
        <v>28362</v>
      </c>
      <c r="Q2878" t="s">
        <v>28363</v>
      </c>
      <c r="S2878" t="s">
        <v>45</v>
      </c>
      <c r="T2878" t="s">
        <v>797</v>
      </c>
      <c r="U2878" t="s">
        <v>28364</v>
      </c>
      <c r="V2878">
        <v>6</v>
      </c>
      <c r="W2878" t="s">
        <v>28365</v>
      </c>
      <c r="AE2878" t="s">
        <v>1460</v>
      </c>
      <c r="AF2878" t="s">
        <v>28366</v>
      </c>
      <c r="AG2878" t="s">
        <v>28367</v>
      </c>
      <c r="AH2878" t="str">
        <f>HYPERLINK("http://compartments.jensenlab.org/Entity?figures=subcell_cell_%&amp;knowledge=10&amp;textmining=10&amp;experiments=10&amp;predictions=10&amp;type1=9606&amp;type2=-22&amp;id1=ENSP00000256958","link")</f>
        <v>link</v>
      </c>
      <c r="AI2878" t="s">
        <v>65</v>
      </c>
      <c r="AJ2878" t="s">
        <v>51</v>
      </c>
      <c r="AK2878" t="str">
        <f>HYPERLINK("http://www.proteinatlas.org/Q9Y6L6","HPA050892")</f>
        <v>HPA050892</v>
      </c>
      <c r="AM2878">
        <v>10599</v>
      </c>
    </row>
    <row r="2879" spans="1:39" x14ac:dyDescent="0.35">
      <c r="A2879" t="s">
        <v>28368</v>
      </c>
      <c r="B2879" t="str">
        <f>HYPERLINK("http://www.uniprot.org/uniprot/Q9Y6M0","Q9Y6M0")</f>
        <v>Q9Y6M0</v>
      </c>
      <c r="C2879" t="s">
        <v>28369</v>
      </c>
      <c r="D2879" t="s">
        <v>28370</v>
      </c>
      <c r="E2879" t="s">
        <v>39</v>
      </c>
      <c r="F2879" t="s">
        <v>239</v>
      </c>
      <c r="H2879">
        <v>314</v>
      </c>
      <c r="I2879">
        <v>0</v>
      </c>
      <c r="J2879">
        <v>1</v>
      </c>
      <c r="K2879" t="s">
        <v>28371</v>
      </c>
      <c r="L2879" t="s">
        <v>57</v>
      </c>
      <c r="N2879">
        <v>0.68659999999999999</v>
      </c>
      <c r="O2879" s="1" t="s">
        <v>241</v>
      </c>
      <c r="P2879" t="s">
        <v>28372</v>
      </c>
      <c r="Q2879" t="s">
        <v>28373</v>
      </c>
      <c r="U2879" t="s">
        <v>28374</v>
      </c>
      <c r="V2879">
        <v>3</v>
      </c>
      <c r="W2879" t="s">
        <v>28374</v>
      </c>
      <c r="AE2879" t="s">
        <v>243</v>
      </c>
      <c r="AF2879" t="s">
        <v>28375</v>
      </c>
      <c r="AG2879" t="s">
        <v>28376</v>
      </c>
      <c r="AH2879" t="str">
        <f>HYPERLINK("http://compartments.jensenlab.org/Entity?figures=subcell_cell_%&amp;knowledge=10&amp;textmining=10&amp;experiments=10&amp;predictions=10&amp;type1=9606&amp;type2=-22&amp;id1=ENSP00000005995","link")</f>
        <v>link</v>
      </c>
      <c r="AI2879" t="s">
        <v>65</v>
      </c>
      <c r="AJ2879" t="s">
        <v>2124</v>
      </c>
      <c r="AK2879" t="str">
        <f>HYPERLINK("http://www.proteinatlas.org/Q9Y6M0","HPA008477")</f>
        <v>HPA008477</v>
      </c>
      <c r="AM2879">
        <v>10942</v>
      </c>
    </row>
    <row r="2880" spans="1:39" x14ac:dyDescent="0.35">
      <c r="A2880" t="s">
        <v>28377</v>
      </c>
      <c r="B2880" t="str">
        <f>HYPERLINK("http://www.uniprot.org/uniprot/Q9Y6M5","Q9Y6M5")</f>
        <v>Q9Y6M5</v>
      </c>
      <c r="C2880" t="s">
        <v>28378</v>
      </c>
      <c r="D2880" t="s">
        <v>28379</v>
      </c>
      <c r="E2880" t="s">
        <v>39</v>
      </c>
      <c r="F2880" t="s">
        <v>40</v>
      </c>
      <c r="H2880">
        <v>507</v>
      </c>
      <c r="I2880">
        <v>6</v>
      </c>
      <c r="J2880">
        <v>0</v>
      </c>
      <c r="K2880" t="s">
        <v>28380</v>
      </c>
      <c r="L2880" t="s">
        <v>57</v>
      </c>
      <c r="N2880">
        <v>0.67469999999999997</v>
      </c>
      <c r="O2880" s="1">
        <v>2</v>
      </c>
      <c r="P2880" t="s">
        <v>28381</v>
      </c>
      <c r="Q2880" t="s">
        <v>28382</v>
      </c>
      <c r="S2880" t="s">
        <v>45</v>
      </c>
      <c r="T2880" t="s">
        <v>28383</v>
      </c>
      <c r="U2880" t="s">
        <v>28384</v>
      </c>
      <c r="V2880">
        <v>1</v>
      </c>
      <c r="AE2880" t="s">
        <v>74</v>
      </c>
      <c r="AF2880" t="s">
        <v>28385</v>
      </c>
      <c r="AG2880" t="s">
        <v>28386</v>
      </c>
      <c r="AH2880" t="str">
        <f>HYPERLINK("http://compartments.jensenlab.org/Entity?figures=subcell_cell_%&amp;knowledge=10&amp;textmining=10&amp;experiments=10&amp;predictions=10&amp;type1=9606&amp;type2=-22&amp;id1=ENSP00000355968","link")</f>
        <v>link</v>
      </c>
      <c r="AI2880" t="s">
        <v>65</v>
      </c>
      <c r="AJ2880" t="s">
        <v>51</v>
      </c>
      <c r="AK2880" t="str">
        <f>HYPERLINK("http://www.proteinatlas.org/Q9Y6M5","HPA015275;HPA049000")</f>
        <v>HPA015275;HPA049000</v>
      </c>
      <c r="AM2880">
        <v>7779</v>
      </c>
    </row>
    <row r="2881" spans="1:39" x14ac:dyDescent="0.35">
      <c r="A2881" t="s">
        <v>28387</v>
      </c>
      <c r="B2881" t="str">
        <f>HYPERLINK("http://www.uniprot.org/uniprot/Q9Y6M7","Q9Y6M7")</f>
        <v>Q9Y6M7</v>
      </c>
      <c r="C2881" t="s">
        <v>28388</v>
      </c>
      <c r="D2881" t="s">
        <v>28389</v>
      </c>
      <c r="E2881" t="s">
        <v>39</v>
      </c>
      <c r="F2881" t="s">
        <v>55</v>
      </c>
      <c r="H2881">
        <v>1214</v>
      </c>
      <c r="I2881">
        <v>11</v>
      </c>
      <c r="J2881">
        <v>0</v>
      </c>
      <c r="K2881" t="s">
        <v>28390</v>
      </c>
      <c r="L2881" t="s">
        <v>101</v>
      </c>
      <c r="M2881" t="s">
        <v>39</v>
      </c>
      <c r="N2881">
        <v>0.7581</v>
      </c>
      <c r="O2881" s="1">
        <v>1</v>
      </c>
      <c r="P2881" t="s">
        <v>28391</v>
      </c>
      <c r="Q2881" t="s">
        <v>28392</v>
      </c>
      <c r="S2881" t="s">
        <v>45</v>
      </c>
      <c r="T2881" t="s">
        <v>3762</v>
      </c>
      <c r="U2881" t="s">
        <v>28393</v>
      </c>
      <c r="V2881">
        <v>9</v>
      </c>
      <c r="Z2881" t="s">
        <v>107</v>
      </c>
      <c r="AA2881">
        <v>18</v>
      </c>
      <c r="AB2881" t="s">
        <v>28394</v>
      </c>
      <c r="AC2881" t="s">
        <v>28395</v>
      </c>
      <c r="AD2881" t="s">
        <v>28396</v>
      </c>
      <c r="AE2881" t="s">
        <v>28397</v>
      </c>
      <c r="AF2881" t="s">
        <v>28398</v>
      </c>
      <c r="AG2881" t="s">
        <v>28399</v>
      </c>
      <c r="AH2881" t="str">
        <f>HYPERLINK("http://compartments.jensenlab.org/Entity?figures=subcell_cell_%&amp;knowledge=10&amp;textmining=10&amp;experiments=10&amp;predictions=10&amp;type1=9606&amp;type2=-22&amp;id1=ENSP00000295736","link")</f>
        <v>link</v>
      </c>
      <c r="AI2881" t="s">
        <v>65</v>
      </c>
      <c r="AJ2881" t="s">
        <v>51</v>
      </c>
      <c r="AK2881" t="str">
        <f>HYPERLINK("http://www.proteinatlas.org/Q9Y6M7","CAB022494;HPA035857")</f>
        <v>CAB022494;HPA035857</v>
      </c>
      <c r="AM2881">
        <v>9497</v>
      </c>
    </row>
    <row r="2882" spans="1:39" x14ac:dyDescent="0.35">
      <c r="A2882" t="s">
        <v>28400</v>
      </c>
      <c r="B2882" t="str">
        <f>HYPERLINK("http://www.uniprot.org/uniprot/Q9Y6N7","Q9Y6N7")</f>
        <v>Q9Y6N7</v>
      </c>
      <c r="C2882" t="s">
        <v>28401</v>
      </c>
      <c r="D2882" t="s">
        <v>28402</v>
      </c>
      <c r="E2882" t="s">
        <v>39</v>
      </c>
      <c r="F2882" t="s">
        <v>40</v>
      </c>
      <c r="H2882">
        <v>1651</v>
      </c>
      <c r="I2882">
        <v>1</v>
      </c>
      <c r="J2882">
        <v>1</v>
      </c>
      <c r="K2882" t="s">
        <v>28403</v>
      </c>
      <c r="L2882" t="s">
        <v>101</v>
      </c>
      <c r="N2882">
        <v>0.96409999999999996</v>
      </c>
      <c r="O2882" s="1">
        <v>1</v>
      </c>
      <c r="P2882" t="s">
        <v>28404</v>
      </c>
      <c r="Q2882" t="s">
        <v>28405</v>
      </c>
      <c r="S2882" t="s">
        <v>166</v>
      </c>
      <c r="T2882" t="s">
        <v>22192</v>
      </c>
      <c r="U2882" t="s">
        <v>28406</v>
      </c>
      <c r="V2882">
        <v>5</v>
      </c>
      <c r="W2882" t="s">
        <v>28407</v>
      </c>
      <c r="Z2882" t="s">
        <v>107</v>
      </c>
      <c r="AA2882">
        <v>2</v>
      </c>
      <c r="AB2882" t="s">
        <v>28408</v>
      </c>
      <c r="AC2882" t="s">
        <v>28409</v>
      </c>
      <c r="AD2882" t="s">
        <v>28410</v>
      </c>
      <c r="AE2882" t="s">
        <v>144</v>
      </c>
      <c r="AF2882" t="s">
        <v>28411</v>
      </c>
      <c r="AG2882" t="s">
        <v>28412</v>
      </c>
      <c r="AH2882" t="str">
        <f>HYPERLINK("http://compartments.jensenlab.org/Entity?figures=subcell_cell_%&amp;knowledge=10&amp;textmining=10&amp;experiments=10&amp;predictions=10&amp;type1=9606&amp;type2=-22&amp;id1=ENSP00000420321","link")</f>
        <v>link</v>
      </c>
      <c r="AK2882" t="str">
        <f>HYPERLINK("http://www.proteinatlas.org/Q9Y6N7","CAB013524;HPA052968")</f>
        <v>CAB013524;HPA052968</v>
      </c>
      <c r="AM2882">
        <v>6091</v>
      </c>
    </row>
    <row r="2883" spans="1:39" x14ac:dyDescent="0.35">
      <c r="A2883" t="s">
        <v>28413</v>
      </c>
      <c r="B2883" t="str">
        <f>HYPERLINK("http://www.uniprot.org/uniprot/Q9Y6N8","Q9Y6N8")</f>
        <v>Q9Y6N8</v>
      </c>
      <c r="C2883" t="s">
        <v>28414</v>
      </c>
      <c r="D2883" t="s">
        <v>28415</v>
      </c>
      <c r="E2883" t="s">
        <v>39</v>
      </c>
      <c r="F2883" t="s">
        <v>55</v>
      </c>
      <c r="H2883">
        <v>788</v>
      </c>
      <c r="I2883">
        <v>1</v>
      </c>
      <c r="J2883">
        <v>1</v>
      </c>
      <c r="K2883" t="s">
        <v>28416</v>
      </c>
      <c r="L2883" t="s">
        <v>101</v>
      </c>
      <c r="N2883">
        <v>0.96809999999999996</v>
      </c>
      <c r="O2883" s="1">
        <v>1</v>
      </c>
      <c r="P2883" t="s">
        <v>28417</v>
      </c>
      <c r="Q2883" t="s">
        <v>28418</v>
      </c>
      <c r="S2883" t="s">
        <v>91</v>
      </c>
      <c r="T2883" t="s">
        <v>2622</v>
      </c>
      <c r="U2883" t="s">
        <v>28419</v>
      </c>
      <c r="V2883">
        <v>4</v>
      </c>
      <c r="Z2883" t="s">
        <v>107</v>
      </c>
      <c r="AA2883">
        <v>4</v>
      </c>
      <c r="AB2883" t="s">
        <v>28420</v>
      </c>
      <c r="AC2883" t="s">
        <v>28421</v>
      </c>
      <c r="AD2883" t="s">
        <v>28422</v>
      </c>
      <c r="AE2883" t="s">
        <v>332</v>
      </c>
      <c r="AF2883" t="s">
        <v>28423</v>
      </c>
      <c r="AG2883" t="s">
        <v>28424</v>
      </c>
      <c r="AH2883" t="str">
        <f>HYPERLINK("http://compartments.jensenlab.org/Entity?figures=subcell_cell_%&amp;knowledge=10&amp;textmining=10&amp;experiments=10&amp;predictions=10&amp;type1=9606&amp;type2=-22&amp;id1=ENSP00000264463","link")</f>
        <v>link</v>
      </c>
      <c r="AI2883" t="s">
        <v>65</v>
      </c>
      <c r="AJ2883" t="s">
        <v>51</v>
      </c>
      <c r="AK2883" t="str">
        <f>HYPERLINK("http://www.proteinatlas.org/Q9Y6N8","HPA010651")</f>
        <v>HPA010651</v>
      </c>
      <c r="AM2883">
        <v>1008</v>
      </c>
    </row>
    <row r="2884" spans="1:39" x14ac:dyDescent="0.35">
      <c r="A2884" t="s">
        <v>28425</v>
      </c>
      <c r="B2884" t="str">
        <f>HYPERLINK("http://www.uniprot.org/uniprot/Q9Y6Q6","Q9Y6Q6")</f>
        <v>Q9Y6Q6</v>
      </c>
      <c r="C2884" t="s">
        <v>28426</v>
      </c>
      <c r="D2884" t="s">
        <v>28427</v>
      </c>
      <c r="E2884" t="s">
        <v>39</v>
      </c>
      <c r="F2884" t="s">
        <v>55</v>
      </c>
      <c r="H2884">
        <v>616</v>
      </c>
      <c r="I2884">
        <v>1</v>
      </c>
      <c r="J2884">
        <v>1</v>
      </c>
      <c r="K2884" t="s">
        <v>28428</v>
      </c>
      <c r="L2884" t="s">
        <v>101</v>
      </c>
      <c r="M2884" t="s">
        <v>39</v>
      </c>
      <c r="N2884">
        <v>0.92490000000000006</v>
      </c>
      <c r="O2884" s="1">
        <v>1</v>
      </c>
      <c r="P2884" t="s">
        <v>28429</v>
      </c>
      <c r="Q2884" t="s">
        <v>28430</v>
      </c>
      <c r="R2884" t="s">
        <v>28431</v>
      </c>
      <c r="S2884" t="s">
        <v>166</v>
      </c>
      <c r="T2884" t="s">
        <v>864</v>
      </c>
      <c r="U2884" t="s">
        <v>28432</v>
      </c>
      <c r="V2884">
        <v>2</v>
      </c>
      <c r="W2884" t="s">
        <v>28433</v>
      </c>
      <c r="Z2884" t="s">
        <v>107</v>
      </c>
      <c r="AA2884">
        <v>2</v>
      </c>
      <c r="AB2884" t="s">
        <v>28434</v>
      </c>
      <c r="AC2884">
        <v>105</v>
      </c>
      <c r="AD2884" t="s">
        <v>28435</v>
      </c>
      <c r="AE2884" t="s">
        <v>28436</v>
      </c>
      <c r="AF2884" t="s">
        <v>28437</v>
      </c>
      <c r="AG2884" t="s">
        <v>28438</v>
      </c>
      <c r="AH2884" t="str">
        <f>HYPERLINK("http://compartments.jensenlab.org/Entity?figures=subcell_cell_%&amp;knowledge=10&amp;textmining=10&amp;experiments=10&amp;predictions=10&amp;type1=9606&amp;type2=-22&amp;id1=ENSP00000465500","link")</f>
        <v>link</v>
      </c>
      <c r="AK2884" t="str">
        <f>HYPERLINK("http://www.proteinatlas.org/Q9Y6Q6","CAB010391;HPA027728")</f>
        <v>CAB010391;HPA027728</v>
      </c>
      <c r="AM2884">
        <v>8792</v>
      </c>
    </row>
    <row r="2885" spans="1:39" x14ac:dyDescent="0.35">
      <c r="A2885" t="s">
        <v>28439</v>
      </c>
      <c r="B2885" t="str">
        <f>HYPERLINK("http://www.uniprot.org/uniprot/Q9Y6R1","Q9Y6R1")</f>
        <v>Q9Y6R1</v>
      </c>
      <c r="C2885" t="s">
        <v>28440</v>
      </c>
      <c r="D2885" t="s">
        <v>28441</v>
      </c>
      <c r="E2885" t="s">
        <v>39</v>
      </c>
      <c r="F2885" t="s">
        <v>40</v>
      </c>
      <c r="H2885">
        <v>1079</v>
      </c>
      <c r="I2885">
        <v>10</v>
      </c>
      <c r="J2885">
        <v>0</v>
      </c>
      <c r="K2885" t="s">
        <v>28442</v>
      </c>
      <c r="L2885" t="s">
        <v>57</v>
      </c>
      <c r="N2885">
        <v>0.85029999999999994</v>
      </c>
      <c r="O2885" s="1">
        <v>1</v>
      </c>
      <c r="P2885" t="s">
        <v>28443</v>
      </c>
      <c r="Q2885" t="s">
        <v>28444</v>
      </c>
      <c r="S2885" t="s">
        <v>45</v>
      </c>
      <c r="T2885" t="s">
        <v>3762</v>
      </c>
      <c r="U2885" t="s">
        <v>28445</v>
      </c>
      <c r="V2885">
        <v>3</v>
      </c>
      <c r="W2885" t="s">
        <v>28446</v>
      </c>
      <c r="AE2885" t="s">
        <v>21270</v>
      </c>
      <c r="AF2885" t="s">
        <v>28447</v>
      </c>
      <c r="AG2885" t="s">
        <v>28448</v>
      </c>
      <c r="AH2885" t="str">
        <f>HYPERLINK("http://compartments.jensenlab.org/Entity?figures=subcell_cell_%&amp;knowledge=10&amp;textmining=10&amp;experiments=10&amp;predictions=10&amp;type1=9606&amp;type2=-22&amp;id1=ENSP00000264485","link")</f>
        <v>link</v>
      </c>
      <c r="AK2885" t="str">
        <f>HYPERLINK("http://www.proteinatlas.org/Q9Y6R1","CAB022493;HPA035628;HPA035629")</f>
        <v>CAB022493;HPA035628;HPA035629</v>
      </c>
      <c r="AM2885">
        <v>8671</v>
      </c>
    </row>
    <row r="2886" spans="1:39" x14ac:dyDescent="0.35">
      <c r="A2886" t="s">
        <v>28449</v>
      </c>
      <c r="B2886" t="str">
        <f>HYPERLINK("http://www.uniprot.org/uniprot/Q9Y6W8","Q9Y6W8")</f>
        <v>Q9Y6W8</v>
      </c>
      <c r="C2886" t="s">
        <v>28450</v>
      </c>
      <c r="D2886" t="s">
        <v>28451</v>
      </c>
      <c r="E2886" t="s">
        <v>39</v>
      </c>
      <c r="F2886" t="s">
        <v>40</v>
      </c>
      <c r="H2886">
        <v>199</v>
      </c>
      <c r="I2886">
        <v>1</v>
      </c>
      <c r="J2886">
        <v>1</v>
      </c>
      <c r="K2886" t="s">
        <v>28452</v>
      </c>
      <c r="L2886" t="s">
        <v>57</v>
      </c>
      <c r="N2886">
        <v>0.84030000000000005</v>
      </c>
      <c r="O2886" s="1">
        <v>1</v>
      </c>
      <c r="P2886" t="s">
        <v>28453</v>
      </c>
      <c r="Q2886" t="s">
        <v>28454</v>
      </c>
      <c r="R2886" t="s">
        <v>28455</v>
      </c>
      <c r="S2886" t="s">
        <v>60</v>
      </c>
      <c r="T2886" t="s">
        <v>60</v>
      </c>
      <c r="U2886" t="s">
        <v>28456</v>
      </c>
      <c r="V2886">
        <v>3</v>
      </c>
      <c r="W2886" t="s">
        <v>28456</v>
      </c>
      <c r="X2886">
        <v>171</v>
      </c>
      <c r="AE2886" t="s">
        <v>1250</v>
      </c>
      <c r="AF2886" t="s">
        <v>28457</v>
      </c>
      <c r="AG2886" t="s">
        <v>28458</v>
      </c>
      <c r="AH2886" t="str">
        <f>HYPERLINK("http://compartments.jensenlab.org/Entity?figures=subcell_cell_%&amp;knowledge=10&amp;textmining=10&amp;experiments=10&amp;predictions=10&amp;type1=9606&amp;type2=-22&amp;id1=ENSP00000319476","link")</f>
        <v>link</v>
      </c>
      <c r="AI2886" t="s">
        <v>65</v>
      </c>
      <c r="AJ2886" t="s">
        <v>902</v>
      </c>
      <c r="AK2886" t="str">
        <f>HYPERLINK("http://www.proteinatlas.org/Q9Y6W8","CAB032575")</f>
        <v>CAB032575</v>
      </c>
      <c r="AM2886">
        <v>29851</v>
      </c>
    </row>
    <row r="2887" spans="1:39" x14ac:dyDescent="0.35">
      <c r="A2887" t="s">
        <v>28459</v>
      </c>
      <c r="B2887" t="str">
        <f>HYPERLINK("http://www.uniprot.org/uniprot/Q9Y6X5","Q9Y6X5")</f>
        <v>Q9Y6X5</v>
      </c>
      <c r="C2887" t="s">
        <v>28460</v>
      </c>
      <c r="D2887" t="s">
        <v>28461</v>
      </c>
      <c r="E2887" t="s">
        <v>39</v>
      </c>
      <c r="F2887" t="s">
        <v>55</v>
      </c>
      <c r="H2887">
        <v>453</v>
      </c>
      <c r="I2887">
        <v>1</v>
      </c>
      <c r="J2887">
        <v>1</v>
      </c>
      <c r="K2887" t="s">
        <v>28462</v>
      </c>
      <c r="L2887" t="s">
        <v>101</v>
      </c>
      <c r="M2887" t="s">
        <v>39</v>
      </c>
      <c r="N2887">
        <v>0.78290000000000004</v>
      </c>
      <c r="O2887" s="1">
        <v>1</v>
      </c>
      <c r="P2887" t="s">
        <v>28463</v>
      </c>
      <c r="Q2887" t="s">
        <v>28464</v>
      </c>
      <c r="S2887" t="s">
        <v>947</v>
      </c>
      <c r="T2887" t="s">
        <v>26769</v>
      </c>
      <c r="U2887" t="s">
        <v>28465</v>
      </c>
      <c r="V2887">
        <v>9</v>
      </c>
      <c r="Z2887" t="s">
        <v>107</v>
      </c>
      <c r="AA2887">
        <v>2</v>
      </c>
      <c r="AB2887" t="s">
        <v>28466</v>
      </c>
      <c r="AC2887" t="s">
        <v>28467</v>
      </c>
      <c r="AD2887" t="s">
        <v>28468</v>
      </c>
      <c r="AE2887" t="s">
        <v>332</v>
      </c>
      <c r="AF2887" t="s">
        <v>28469</v>
      </c>
      <c r="AG2887" t="s">
        <v>28470</v>
      </c>
      <c r="AH2887" t="str">
        <f>HYPERLINK("http://compartments.jensenlab.org/Entity?figures=subcell_cell_%&amp;knowledge=10&amp;textmining=10&amp;experiments=10&amp;predictions=10&amp;type1=9606&amp;type2=-22&amp;id1=ENSP00000318066","link")</f>
        <v>link</v>
      </c>
      <c r="AJ2887" t="s">
        <v>51</v>
      </c>
      <c r="AK2887" t="str">
        <f>HYPERLINK("http://www.proteinatlas.org/Q9Y6X5","HPA016594")</f>
        <v>HPA016594</v>
      </c>
      <c r="AM2887">
        <v>22875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11.7_Surfaceome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Bojar</dc:creator>
  <cp:lastModifiedBy>Daniel Bojar</cp:lastModifiedBy>
  <dcterms:created xsi:type="dcterms:W3CDTF">2018-12-13T16:25:15Z</dcterms:created>
  <dcterms:modified xsi:type="dcterms:W3CDTF">2018-12-13T18:32:00Z</dcterms:modified>
</cp:coreProperties>
</file>