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GRFStuff\UK Finescale Set\"/>
    </mc:Choice>
  </mc:AlternateContent>
  <xr:revisionPtr revIDLastSave="0" documentId="13_ncr:1_{832CC4FB-C160-4DC8-844C-87A2A3B1A17F}" xr6:coauthVersionLast="47" xr6:coauthVersionMax="47" xr10:uidLastSave="{00000000-0000-0000-0000-000000000000}"/>
  <bookViews>
    <workbookView xWindow="28680" yWindow="-120" windowWidth="29040" windowHeight="15840" activeTab="4" xr2:uid="{857BF7F3-4843-4495-BC2D-6D08C3451E58}"/>
  </bookViews>
  <sheets>
    <sheet name="Name Stuff" sheetId="4" r:id="rId1"/>
    <sheet name="Air Drag" sheetId="15" r:id="rId2"/>
    <sheet name="TE" sheetId="17" r:id="rId3"/>
    <sheet name="UKRS2 Stats" sheetId="7" r:id="rId4"/>
    <sheet name="Wagon Stats" sheetId="13" r:id="rId5"/>
    <sheet name="Sprite Aligner" sheetId="5" r:id="rId6"/>
    <sheet name="TE Calc" sheetId="6" r:id="rId7"/>
    <sheet name="Dates" sheetId="11" r:id="rId8"/>
    <sheet name="Wagon Capacities" sheetId="12" r:id="rId9"/>
    <sheet name="Wagon Cost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7" l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J42" i="15"/>
  <c r="J41" i="15"/>
  <c r="J40" i="15"/>
  <c r="J39" i="15"/>
  <c r="J38" i="15"/>
  <c r="J37" i="15"/>
  <c r="J36" i="15"/>
  <c r="J35" i="15"/>
  <c r="J34" i="15"/>
  <c r="J33" i="15"/>
  <c r="J3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K11" i="15"/>
  <c r="K10" i="15"/>
  <c r="K9" i="15"/>
  <c r="K8" i="15"/>
  <c r="K7" i="15"/>
  <c r="K6" i="15"/>
  <c r="K5" i="15"/>
  <c r="K4" i="15"/>
  <c r="K3" i="15"/>
  <c r="K2" i="15"/>
  <c r="K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  <c r="H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  <c r="E1" i="15"/>
  <c r="B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1" i="15"/>
  <c r="G105" i="7"/>
  <c r="K105" i="7"/>
  <c r="M105" i="7" s="1" a="1"/>
  <c r="M105" i="7" s="1"/>
  <c r="L105" i="7"/>
  <c r="T105" i="7"/>
  <c r="G104" i="7"/>
  <c r="K104" i="7"/>
  <c r="M104" i="7" s="1" a="1"/>
  <c r="M104" i="7" s="1"/>
  <c r="L104" i="7"/>
  <c r="T104" i="7"/>
  <c r="G103" i="7"/>
  <c r="K103" i="7"/>
  <c r="M103" i="7" s="1" a="1"/>
  <c r="M103" i="7" s="1"/>
  <c r="L103" i="7"/>
  <c r="T103" i="7"/>
  <c r="G102" i="7"/>
  <c r="K102" i="7"/>
  <c r="M102" i="7" s="1" a="1"/>
  <c r="M102" i="7" s="1"/>
  <c r="L102" i="7"/>
  <c r="T102" i="7"/>
  <c r="O2" i="13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N2" i="13"/>
  <c r="N3" i="13"/>
  <c r="N4" i="13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I2" i="13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H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G35" i="13"/>
  <c r="F35" i="13" s="1"/>
  <c r="G36" i="13"/>
  <c r="F36" i="13" s="1"/>
  <c r="G37" i="13"/>
  <c r="F37" i="13" s="1"/>
  <c r="G38" i="13"/>
  <c r="F38" i="13" s="1"/>
  <c r="G39" i="13"/>
  <c r="F39" i="13" s="1"/>
  <c r="G40" i="13"/>
  <c r="F40" i="13" s="1"/>
  <c r="G41" i="13"/>
  <c r="F41" i="13" s="1"/>
  <c r="G42" i="13"/>
  <c r="F42" i="13" s="1"/>
  <c r="G43" i="13"/>
  <c r="F43" i="13" s="1"/>
  <c r="G44" i="13"/>
  <c r="F44" i="13" s="1"/>
  <c r="G45" i="13"/>
  <c r="F45" i="13" s="1"/>
  <c r="G46" i="13"/>
  <c r="F46" i="13" s="1"/>
  <c r="G47" i="13"/>
  <c r="F47" i="13" s="1"/>
  <c r="G48" i="13"/>
  <c r="F48" i="13" s="1"/>
  <c r="G49" i="13"/>
  <c r="F49" i="13" s="1"/>
  <c r="G50" i="13"/>
  <c r="F50" i="13" s="1"/>
  <c r="G51" i="13"/>
  <c r="F51" i="13" s="1"/>
  <c r="G52" i="13"/>
  <c r="F52" i="13" s="1"/>
  <c r="G53" i="13"/>
  <c r="F53" i="13" s="1"/>
  <c r="G54" i="13"/>
  <c r="F54" i="13" s="1"/>
  <c r="G55" i="13"/>
  <c r="F55" i="13" s="1"/>
  <c r="G56" i="13"/>
  <c r="F56" i="13" s="1"/>
  <c r="G57" i="13"/>
  <c r="F57" i="13" s="1"/>
  <c r="G32" i="13"/>
  <c r="F32" i="13" s="1"/>
  <c r="G33" i="13"/>
  <c r="F33" i="13" s="1"/>
  <c r="G34" i="13"/>
  <c r="F34" i="13" s="1"/>
  <c r="G2" i="13"/>
  <c r="F2" i="13" s="1"/>
  <c r="G3" i="13"/>
  <c r="F3" i="13" s="1"/>
  <c r="G4" i="13"/>
  <c r="F4" i="13" s="1"/>
  <c r="G5" i="13"/>
  <c r="F5" i="13" s="1"/>
  <c r="G6" i="13"/>
  <c r="F6" i="13" s="1"/>
  <c r="G7" i="13"/>
  <c r="F7" i="13" s="1"/>
  <c r="G8" i="13"/>
  <c r="F8" i="13" s="1"/>
  <c r="G9" i="13"/>
  <c r="F9" i="13" s="1"/>
  <c r="G10" i="13"/>
  <c r="F10" i="13" s="1"/>
  <c r="G11" i="13"/>
  <c r="F11" i="13" s="1"/>
  <c r="G12" i="13"/>
  <c r="F12" i="13" s="1"/>
  <c r="G13" i="13"/>
  <c r="F13" i="13" s="1"/>
  <c r="G14" i="13"/>
  <c r="F14" i="13" s="1"/>
  <c r="G15" i="13"/>
  <c r="F15" i="13" s="1"/>
  <c r="G16" i="13"/>
  <c r="F16" i="13" s="1"/>
  <c r="G17" i="13"/>
  <c r="F17" i="13" s="1"/>
  <c r="G18" i="13"/>
  <c r="F18" i="13" s="1"/>
  <c r="G19" i="13"/>
  <c r="F19" i="13" s="1"/>
  <c r="G20" i="13"/>
  <c r="F20" i="13" s="1"/>
  <c r="G21" i="13"/>
  <c r="F21" i="13" s="1"/>
  <c r="G22" i="13"/>
  <c r="F22" i="13" s="1"/>
  <c r="G23" i="13"/>
  <c r="F23" i="13" s="1"/>
  <c r="G24" i="13"/>
  <c r="F24" i="13" s="1"/>
  <c r="G25" i="13"/>
  <c r="F25" i="13" s="1"/>
  <c r="G26" i="13"/>
  <c r="F26" i="13" s="1"/>
  <c r="G27" i="13"/>
  <c r="F27" i="13" s="1"/>
  <c r="G28" i="13"/>
  <c r="F28" i="13" s="1"/>
  <c r="G29" i="13"/>
  <c r="F29" i="13" s="1"/>
  <c r="G30" i="13"/>
  <c r="F30" i="13" s="1"/>
  <c r="G31" i="13"/>
  <c r="F31" i="13" s="1"/>
  <c r="G58" i="13"/>
  <c r="F58" i="13" s="1"/>
  <c r="G59" i="13"/>
  <c r="F59" i="13" s="1"/>
  <c r="G60" i="13"/>
  <c r="F60" i="13" s="1"/>
  <c r="G61" i="13"/>
  <c r="F61" i="13" s="1"/>
  <c r="G62" i="13"/>
  <c r="F62" i="13" s="1"/>
  <c r="G63" i="13"/>
  <c r="F63" i="13" s="1"/>
  <c r="G64" i="13"/>
  <c r="F64" i="13" s="1"/>
  <c r="G65" i="13"/>
  <c r="F65" i="13" s="1"/>
  <c r="G66" i="13"/>
  <c r="F66" i="13" s="1"/>
  <c r="G67" i="13"/>
  <c r="F67" i="13" s="1"/>
  <c r="G68" i="13"/>
  <c r="F68" i="13" s="1"/>
  <c r="G69" i="13"/>
  <c r="F69" i="13" s="1"/>
  <c r="G70" i="13"/>
  <c r="F70" i="13" s="1"/>
  <c r="G71" i="13"/>
  <c r="F71" i="13" s="1"/>
  <c r="G72" i="13"/>
  <c r="F72" i="13" s="1"/>
  <c r="G73" i="13"/>
  <c r="F73" i="13" s="1"/>
  <c r="G74" i="13"/>
  <c r="F74" i="13" s="1"/>
  <c r="G75" i="13"/>
  <c r="F75" i="13" s="1"/>
  <c r="G76" i="13"/>
  <c r="F76" i="13" s="1"/>
  <c r="G77" i="13"/>
  <c r="F77" i="13" s="1"/>
  <c r="G78" i="13"/>
  <c r="F78" i="13" s="1"/>
  <c r="G79" i="13"/>
  <c r="F79" i="13" s="1"/>
  <c r="G80" i="13"/>
  <c r="F80" i="13" s="1"/>
  <c r="G81" i="13"/>
  <c r="F81" i="13" s="1"/>
  <c r="G82" i="13"/>
  <c r="F82" i="13" s="1"/>
  <c r="G83" i="13"/>
  <c r="F83" i="13" s="1"/>
  <c r="G84" i="13"/>
  <c r="F84" i="13" s="1"/>
  <c r="G85" i="13"/>
  <c r="F85" i="13" s="1"/>
  <c r="G86" i="13"/>
  <c r="F86" i="13" s="1"/>
  <c r="G87" i="13"/>
  <c r="F87" i="13" s="1"/>
  <c r="G88" i="13"/>
  <c r="F88" i="13" s="1"/>
  <c r="G89" i="13"/>
  <c r="F89" i="13" s="1"/>
  <c r="G90" i="13"/>
  <c r="F90" i="13" s="1"/>
  <c r="G91" i="13"/>
  <c r="F91" i="13" s="1"/>
  <c r="G92" i="13"/>
  <c r="F92" i="13" s="1"/>
  <c r="G93" i="13"/>
  <c r="F93" i="13" s="1"/>
  <c r="G94" i="13"/>
  <c r="F94" i="13" s="1"/>
  <c r="G95" i="13"/>
  <c r="F95" i="13" s="1"/>
  <c r="G96" i="13"/>
  <c r="F96" i="13" s="1"/>
  <c r="G97" i="13"/>
  <c r="F97" i="13" s="1"/>
  <c r="G98" i="13"/>
  <c r="F98" i="13" s="1"/>
  <c r="G99" i="13"/>
  <c r="F99" i="13" s="1"/>
  <c r="G100" i="13"/>
  <c r="F100" i="13" s="1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2" i="14"/>
  <c r="T101" i="7"/>
  <c r="L101" i="7"/>
  <c r="K101" i="7"/>
  <c r="M101" i="7" s="1" a="1"/>
  <c r="M101" i="7" s="1"/>
  <c r="G101" i="7"/>
  <c r="T100" i="7"/>
  <c r="L100" i="7"/>
  <c r="K100" i="7"/>
  <c r="M100" i="7" s="1" a="1"/>
  <c r="M100" i="7" s="1"/>
  <c r="G100" i="7"/>
  <c r="Q3" i="5"/>
  <c r="Q4" i="5"/>
  <c r="Q5" i="5"/>
  <c r="Q6" i="5"/>
  <c r="Q7" i="5"/>
  <c r="Q8" i="5"/>
  <c r="Q9" i="5"/>
  <c r="Q2" i="5"/>
  <c r="O2" i="5"/>
  <c r="O3" i="5"/>
  <c r="O4" i="5"/>
  <c r="O5" i="5"/>
  <c r="O6" i="5"/>
  <c r="O7" i="5"/>
  <c r="O8" i="5"/>
  <c r="O9" i="5"/>
  <c r="G2" i="7"/>
  <c r="G3" i="7"/>
  <c r="G4" i="7"/>
  <c r="G5" i="7"/>
  <c r="G16" i="7"/>
  <c r="G9" i="7"/>
  <c r="G10" i="7"/>
  <c r="G17" i="7"/>
  <c r="G18" i="7"/>
  <c r="G11" i="7"/>
  <c r="G6" i="7"/>
  <c r="G12" i="7"/>
  <c r="G13" i="7"/>
  <c r="G14" i="7"/>
  <c r="G19" i="7"/>
  <c r="G7" i="7"/>
  <c r="G80" i="7"/>
  <c r="G20" i="7"/>
  <c r="G15" i="7"/>
  <c r="G21" i="7"/>
  <c r="G22" i="7"/>
  <c r="G23" i="7"/>
  <c r="G67" i="7"/>
  <c r="G89" i="7"/>
  <c r="G24" i="7"/>
  <c r="G25" i="7"/>
  <c r="G68" i="7"/>
  <c r="G37" i="7"/>
  <c r="G29" i="7"/>
  <c r="G31" i="7"/>
  <c r="G32" i="7"/>
  <c r="G33" i="7"/>
  <c r="G26" i="7"/>
  <c r="G34" i="7"/>
  <c r="G35" i="7"/>
  <c r="G82" i="7"/>
  <c r="G90" i="7"/>
  <c r="G36" i="7"/>
  <c r="G38" i="7"/>
  <c r="G39" i="7"/>
  <c r="G46" i="7"/>
  <c r="G40" i="7"/>
  <c r="G65" i="7"/>
  <c r="G69" i="7"/>
  <c r="G30" i="7"/>
  <c r="G8" i="7"/>
  <c r="G41" i="7"/>
  <c r="G28" i="7"/>
  <c r="G27" i="7"/>
  <c r="G52" i="7"/>
  <c r="G42" i="7"/>
  <c r="G81" i="7"/>
  <c r="G43" i="7"/>
  <c r="G70" i="7"/>
  <c r="G44" i="7"/>
  <c r="G83" i="7"/>
  <c r="G58" i="7"/>
  <c r="G48" i="7"/>
  <c r="G45" i="7"/>
  <c r="G50" i="7"/>
  <c r="G54" i="7"/>
  <c r="G66" i="7"/>
  <c r="G51" i="7"/>
  <c r="G56" i="7"/>
  <c r="G71" i="7"/>
  <c r="G53" i="7"/>
  <c r="G49" i="7"/>
  <c r="G55" i="7"/>
  <c r="G57" i="7"/>
  <c r="G47" i="7"/>
  <c r="G91" i="7"/>
  <c r="G64" i="7"/>
  <c r="G72" i="7"/>
  <c r="G93" i="7"/>
  <c r="G88" i="7"/>
  <c r="G94" i="7"/>
  <c r="G77" i="7"/>
  <c r="G59" i="7"/>
  <c r="G84" i="7"/>
  <c r="G73" i="7"/>
  <c r="G74" i="7"/>
  <c r="G78" i="7"/>
  <c r="G92" i="7"/>
  <c r="G95" i="7"/>
  <c r="G60" i="7"/>
  <c r="G85" i="7"/>
  <c r="G75" i="7"/>
  <c r="G79" i="7"/>
  <c r="G96" i="7"/>
  <c r="G61" i="7"/>
  <c r="G86" i="7"/>
  <c r="G62" i="7"/>
  <c r="G97" i="7"/>
  <c r="G87" i="7"/>
  <c r="G98" i="7"/>
  <c r="G63" i="7"/>
  <c r="G99" i="7"/>
  <c r="G76" i="7"/>
  <c r="L2" i="7"/>
  <c r="L3" i="7"/>
  <c r="L4" i="7"/>
  <c r="L5" i="7"/>
  <c r="L16" i="7"/>
  <c r="L9" i="7"/>
  <c r="L10" i="7"/>
  <c r="L17" i="7"/>
  <c r="L18" i="7"/>
  <c r="L11" i="7"/>
  <c r="L6" i="7"/>
  <c r="L12" i="7"/>
  <c r="L13" i="7"/>
  <c r="L14" i="7"/>
  <c r="L19" i="7"/>
  <c r="L7" i="7"/>
  <c r="L80" i="7"/>
  <c r="L20" i="7"/>
  <c r="L15" i="7"/>
  <c r="L21" i="7"/>
  <c r="L22" i="7"/>
  <c r="L23" i="7"/>
  <c r="L67" i="7"/>
  <c r="L89" i="7"/>
  <c r="L24" i="7"/>
  <c r="L25" i="7"/>
  <c r="L68" i="7"/>
  <c r="L37" i="7"/>
  <c r="L29" i="7"/>
  <c r="L31" i="7"/>
  <c r="L32" i="7"/>
  <c r="L33" i="7"/>
  <c r="L26" i="7"/>
  <c r="L34" i="7"/>
  <c r="L35" i="7"/>
  <c r="L82" i="7"/>
  <c r="L90" i="7"/>
  <c r="L36" i="7"/>
  <c r="L38" i="7"/>
  <c r="L39" i="7"/>
  <c r="L46" i="7"/>
  <c r="L40" i="7"/>
  <c r="L65" i="7"/>
  <c r="L69" i="7"/>
  <c r="L30" i="7"/>
  <c r="L8" i="7"/>
  <c r="L41" i="7"/>
  <c r="L28" i="7"/>
  <c r="L27" i="7"/>
  <c r="L52" i="7"/>
  <c r="L42" i="7"/>
  <c r="L81" i="7"/>
  <c r="L43" i="7"/>
  <c r="L70" i="7"/>
  <c r="L44" i="7"/>
  <c r="L83" i="7"/>
  <c r="L58" i="7"/>
  <c r="L48" i="7"/>
  <c r="L45" i="7"/>
  <c r="L50" i="7"/>
  <c r="L54" i="7"/>
  <c r="L66" i="7"/>
  <c r="L51" i="7"/>
  <c r="L56" i="7"/>
  <c r="L71" i="7"/>
  <c r="L53" i="7"/>
  <c r="L49" i="7"/>
  <c r="L55" i="7"/>
  <c r="L57" i="7"/>
  <c r="L47" i="7"/>
  <c r="L91" i="7"/>
  <c r="L64" i="7"/>
  <c r="L72" i="7"/>
  <c r="L93" i="7"/>
  <c r="L88" i="7"/>
  <c r="L94" i="7"/>
  <c r="L77" i="7"/>
  <c r="L59" i="7"/>
  <c r="L84" i="7"/>
  <c r="L73" i="7"/>
  <c r="L74" i="7"/>
  <c r="L78" i="7"/>
  <c r="L92" i="7"/>
  <c r="L95" i="7"/>
  <c r="L60" i="7"/>
  <c r="L85" i="7"/>
  <c r="L75" i="7"/>
  <c r="L79" i="7"/>
  <c r="L96" i="7"/>
  <c r="L61" i="7"/>
  <c r="L86" i="7"/>
  <c r="L62" i="7"/>
  <c r="L97" i="7"/>
  <c r="L87" i="7"/>
  <c r="L98" i="7"/>
  <c r="L63" i="7"/>
  <c r="L99" i="7"/>
  <c r="L76" i="7"/>
  <c r="K2" i="7"/>
  <c r="M2" i="7" s="1" a="1"/>
  <c r="M2" i="7" s="1"/>
  <c r="K3" i="7"/>
  <c r="M3" i="7" s="1" a="1"/>
  <c r="M3" i="7" s="1"/>
  <c r="K4" i="7"/>
  <c r="M4" i="7" s="1" a="1"/>
  <c r="M4" i="7" s="1"/>
  <c r="K5" i="7"/>
  <c r="M5" i="7" s="1" a="1"/>
  <c r="M5" i="7" s="1"/>
  <c r="K16" i="7"/>
  <c r="M16" i="7" s="1" a="1"/>
  <c r="M16" i="7" s="1"/>
  <c r="K9" i="7"/>
  <c r="M9" i="7" s="1" a="1"/>
  <c r="M9" i="7" s="1"/>
  <c r="K10" i="7"/>
  <c r="M10" i="7" s="1" a="1"/>
  <c r="M10" i="7" s="1"/>
  <c r="K17" i="7"/>
  <c r="M17" i="7" s="1" a="1"/>
  <c r="M17" i="7" s="1"/>
  <c r="K18" i="7"/>
  <c r="M18" i="7" s="1" a="1"/>
  <c r="M18" i="7" s="1"/>
  <c r="K11" i="7"/>
  <c r="M11" i="7" s="1" a="1"/>
  <c r="M11" i="7" s="1"/>
  <c r="K6" i="7"/>
  <c r="M6" i="7" s="1" a="1"/>
  <c r="M6" i="7" s="1"/>
  <c r="K12" i="7"/>
  <c r="M12" i="7" s="1" a="1"/>
  <c r="M12" i="7" s="1"/>
  <c r="K13" i="7"/>
  <c r="M13" i="7" s="1" a="1"/>
  <c r="M13" i="7" s="1"/>
  <c r="K14" i="7"/>
  <c r="M14" i="7" s="1" a="1"/>
  <c r="M14" i="7" s="1"/>
  <c r="K19" i="7"/>
  <c r="M19" i="7" s="1" a="1"/>
  <c r="M19" i="7" s="1"/>
  <c r="K7" i="7"/>
  <c r="M7" i="7" s="1" a="1"/>
  <c r="M7" i="7" s="1"/>
  <c r="K80" i="7"/>
  <c r="M80" i="7" s="1" a="1"/>
  <c r="M80" i="7" s="1"/>
  <c r="K20" i="7"/>
  <c r="M20" i="7" s="1" a="1"/>
  <c r="M20" i="7" s="1"/>
  <c r="K15" i="7"/>
  <c r="M15" i="7" s="1" a="1"/>
  <c r="M15" i="7" s="1"/>
  <c r="K21" i="7"/>
  <c r="M21" i="7" s="1" a="1"/>
  <c r="M21" i="7" s="1"/>
  <c r="K22" i="7"/>
  <c r="M22" i="7" s="1" a="1"/>
  <c r="M22" i="7" s="1"/>
  <c r="K23" i="7"/>
  <c r="M23" i="7" s="1" a="1"/>
  <c r="M23" i="7" s="1"/>
  <c r="K67" i="7"/>
  <c r="M67" i="7" s="1" a="1"/>
  <c r="M67" i="7" s="1"/>
  <c r="K89" i="7"/>
  <c r="M89" i="7" s="1" a="1"/>
  <c r="M89" i="7" s="1"/>
  <c r="K24" i="7"/>
  <c r="M24" i="7" s="1" a="1"/>
  <c r="M24" i="7" s="1"/>
  <c r="K25" i="7"/>
  <c r="M25" i="7" s="1" a="1"/>
  <c r="M25" i="7" s="1"/>
  <c r="K68" i="7"/>
  <c r="M68" i="7" s="1" a="1"/>
  <c r="M68" i="7" s="1"/>
  <c r="K37" i="7"/>
  <c r="M37" i="7" s="1" a="1"/>
  <c r="M37" i="7" s="1"/>
  <c r="K29" i="7"/>
  <c r="M29" i="7" s="1" a="1"/>
  <c r="M29" i="7" s="1"/>
  <c r="K31" i="7"/>
  <c r="M31" i="7" s="1" a="1"/>
  <c r="M31" i="7" s="1"/>
  <c r="K32" i="7"/>
  <c r="M32" i="7" s="1" a="1"/>
  <c r="M32" i="7" s="1"/>
  <c r="K33" i="7"/>
  <c r="M33" i="7" s="1" a="1"/>
  <c r="M33" i="7" s="1"/>
  <c r="K26" i="7"/>
  <c r="M26" i="7" s="1" a="1"/>
  <c r="M26" i="7" s="1"/>
  <c r="K34" i="7"/>
  <c r="M34" i="7" s="1" a="1"/>
  <c r="M34" i="7" s="1"/>
  <c r="K35" i="7"/>
  <c r="M35" i="7" s="1" a="1"/>
  <c r="M35" i="7" s="1"/>
  <c r="K82" i="7"/>
  <c r="M82" i="7" s="1" a="1"/>
  <c r="M82" i="7" s="1"/>
  <c r="K90" i="7"/>
  <c r="M90" i="7" s="1" a="1"/>
  <c r="M90" i="7" s="1"/>
  <c r="K36" i="7"/>
  <c r="M36" i="7" s="1" a="1"/>
  <c r="M36" i="7" s="1"/>
  <c r="K38" i="7"/>
  <c r="M38" i="7" s="1" a="1"/>
  <c r="M38" i="7" s="1"/>
  <c r="K39" i="7"/>
  <c r="M39" i="7" s="1" a="1"/>
  <c r="M39" i="7" s="1"/>
  <c r="K46" i="7"/>
  <c r="M46" i="7" s="1" a="1"/>
  <c r="M46" i="7" s="1"/>
  <c r="K40" i="7"/>
  <c r="M40" i="7" s="1" a="1"/>
  <c r="M40" i="7" s="1"/>
  <c r="K65" i="7"/>
  <c r="M65" i="7" s="1" a="1"/>
  <c r="M65" i="7" s="1"/>
  <c r="K69" i="7"/>
  <c r="M69" i="7" s="1" a="1"/>
  <c r="M69" i="7" s="1"/>
  <c r="K30" i="7"/>
  <c r="M30" i="7" s="1" a="1"/>
  <c r="M30" i="7" s="1"/>
  <c r="K8" i="7"/>
  <c r="M8" i="7" s="1" a="1"/>
  <c r="M8" i="7" s="1"/>
  <c r="K41" i="7"/>
  <c r="M41" i="7" s="1" a="1"/>
  <c r="M41" i="7" s="1"/>
  <c r="K28" i="7"/>
  <c r="M28" i="7" s="1" a="1"/>
  <c r="M28" i="7" s="1"/>
  <c r="K27" i="7"/>
  <c r="M27" i="7" s="1" a="1"/>
  <c r="M27" i="7" s="1"/>
  <c r="K52" i="7"/>
  <c r="M52" i="7" s="1" a="1"/>
  <c r="M52" i="7" s="1"/>
  <c r="K42" i="7"/>
  <c r="M42" i="7" s="1" a="1"/>
  <c r="M42" i="7" s="1"/>
  <c r="K81" i="7"/>
  <c r="M81" i="7" s="1" a="1"/>
  <c r="M81" i="7" s="1"/>
  <c r="K43" i="7"/>
  <c r="M43" i="7" s="1" a="1"/>
  <c r="M43" i="7" s="1"/>
  <c r="K70" i="7"/>
  <c r="M70" i="7" s="1" a="1"/>
  <c r="M70" i="7" s="1"/>
  <c r="K44" i="7"/>
  <c r="M44" i="7" s="1" a="1"/>
  <c r="M44" i="7" s="1"/>
  <c r="K83" i="7"/>
  <c r="M83" i="7" s="1" a="1"/>
  <c r="M83" i="7" s="1"/>
  <c r="K58" i="7"/>
  <c r="M58" i="7" s="1" a="1"/>
  <c r="M58" i="7" s="1"/>
  <c r="K48" i="7"/>
  <c r="M48" i="7" s="1" a="1"/>
  <c r="M48" i="7" s="1"/>
  <c r="K45" i="7"/>
  <c r="M45" i="7" s="1" a="1"/>
  <c r="M45" i="7" s="1"/>
  <c r="K50" i="7"/>
  <c r="M50" i="7" s="1" a="1"/>
  <c r="M50" i="7" s="1"/>
  <c r="K54" i="7"/>
  <c r="M54" i="7" s="1" a="1"/>
  <c r="M54" i="7" s="1"/>
  <c r="K66" i="7"/>
  <c r="M66" i="7" s="1" a="1"/>
  <c r="M66" i="7" s="1"/>
  <c r="K51" i="7"/>
  <c r="M51" i="7" s="1" a="1"/>
  <c r="M51" i="7" s="1"/>
  <c r="K56" i="7"/>
  <c r="M56" i="7" s="1" a="1"/>
  <c r="M56" i="7" s="1"/>
  <c r="K71" i="7"/>
  <c r="M71" i="7" s="1" a="1"/>
  <c r="M71" i="7" s="1"/>
  <c r="K53" i="7"/>
  <c r="M53" i="7" s="1" a="1"/>
  <c r="M53" i="7" s="1"/>
  <c r="K49" i="7"/>
  <c r="M49" i="7" s="1" a="1"/>
  <c r="M49" i="7" s="1"/>
  <c r="K55" i="7"/>
  <c r="M55" i="7" s="1" a="1"/>
  <c r="M55" i="7" s="1"/>
  <c r="K57" i="7"/>
  <c r="M57" i="7" s="1" a="1"/>
  <c r="M57" i="7" s="1"/>
  <c r="K47" i="7"/>
  <c r="M47" i="7" s="1" a="1"/>
  <c r="M47" i="7" s="1"/>
  <c r="K91" i="7"/>
  <c r="M91" i="7" s="1" a="1"/>
  <c r="M91" i="7" s="1"/>
  <c r="K64" i="7"/>
  <c r="M64" i="7" s="1" a="1"/>
  <c r="M64" i="7" s="1"/>
  <c r="K72" i="7"/>
  <c r="M72" i="7" s="1" a="1"/>
  <c r="M72" i="7" s="1"/>
  <c r="K93" i="7"/>
  <c r="M93" i="7" s="1" a="1"/>
  <c r="M93" i="7" s="1"/>
  <c r="K88" i="7"/>
  <c r="M88" i="7" s="1" a="1"/>
  <c r="M88" i="7" s="1"/>
  <c r="K94" i="7"/>
  <c r="M94" i="7" s="1" a="1"/>
  <c r="M94" i="7" s="1"/>
  <c r="K77" i="7"/>
  <c r="M77" i="7" s="1" a="1"/>
  <c r="M77" i="7" s="1"/>
  <c r="K59" i="7"/>
  <c r="M59" i="7" s="1" a="1"/>
  <c r="M59" i="7" s="1"/>
  <c r="K84" i="7"/>
  <c r="M84" i="7" s="1" a="1"/>
  <c r="M84" i="7" s="1"/>
  <c r="K73" i="7"/>
  <c r="M73" i="7" s="1" a="1"/>
  <c r="M73" i="7" s="1"/>
  <c r="K74" i="7"/>
  <c r="M74" i="7" s="1" a="1"/>
  <c r="M74" i="7" s="1"/>
  <c r="K78" i="7"/>
  <c r="M78" i="7" s="1" a="1"/>
  <c r="M78" i="7" s="1"/>
  <c r="K92" i="7"/>
  <c r="M92" i="7" s="1" a="1"/>
  <c r="M92" i="7" s="1"/>
  <c r="K95" i="7"/>
  <c r="M95" i="7" s="1" a="1"/>
  <c r="M95" i="7" s="1"/>
  <c r="K60" i="7"/>
  <c r="M60" i="7" s="1" a="1"/>
  <c r="M60" i="7" s="1"/>
  <c r="K85" i="7"/>
  <c r="M85" i="7" s="1" a="1"/>
  <c r="M85" i="7" s="1"/>
  <c r="K75" i="7"/>
  <c r="M75" i="7" s="1" a="1"/>
  <c r="M75" i="7" s="1"/>
  <c r="K79" i="7"/>
  <c r="M79" i="7" s="1" a="1"/>
  <c r="M79" i="7" s="1"/>
  <c r="K96" i="7"/>
  <c r="M96" i="7" s="1" a="1"/>
  <c r="M96" i="7" s="1"/>
  <c r="K61" i="7"/>
  <c r="M61" i="7" s="1" a="1"/>
  <c r="M61" i="7" s="1"/>
  <c r="K86" i="7"/>
  <c r="M86" i="7" s="1" a="1"/>
  <c r="M86" i="7" s="1"/>
  <c r="K62" i="7"/>
  <c r="M62" i="7" s="1" a="1"/>
  <c r="M62" i="7" s="1"/>
  <c r="K97" i="7"/>
  <c r="M97" i="7" s="1" a="1"/>
  <c r="M97" i="7" s="1"/>
  <c r="K87" i="7"/>
  <c r="M87" i="7" s="1" a="1"/>
  <c r="M87" i="7" s="1"/>
  <c r="K98" i="7"/>
  <c r="M98" i="7" s="1" a="1"/>
  <c r="M98" i="7" s="1"/>
  <c r="K63" i="7"/>
  <c r="M63" i="7" s="1" a="1"/>
  <c r="M63" i="7" s="1"/>
  <c r="K99" i="7"/>
  <c r="M99" i="7" s="1" a="1"/>
  <c r="M99" i="7" s="1"/>
  <c r="K76" i="7"/>
  <c r="M76" i="7" s="1" a="1"/>
  <c r="M76" i="7" s="1"/>
  <c r="K2" i="6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2" i="1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B45" i="7"/>
  <c r="T45" i="7" s="1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46" i="7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56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2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2" i="6"/>
  <c r="G82" i="4"/>
  <c r="G96" i="4"/>
  <c r="G95" i="4"/>
  <c r="G87" i="4"/>
  <c r="G80" i="4"/>
  <c r="G62" i="4"/>
  <c r="G64" i="4"/>
  <c r="G60" i="4"/>
  <c r="G61" i="4"/>
  <c r="G65" i="4"/>
  <c r="G77" i="4"/>
  <c r="G85" i="4"/>
  <c r="G59" i="4"/>
  <c r="D60" i="4"/>
  <c r="D61" i="4"/>
  <c r="D62" i="4"/>
  <c r="D63" i="4"/>
  <c r="G63" i="4" s="1"/>
  <c r="D64" i="4"/>
  <c r="D65" i="4"/>
  <c r="D66" i="4"/>
  <c r="G66" i="4" s="1"/>
  <c r="D67" i="4"/>
  <c r="G67" i="4" s="1"/>
  <c r="D68" i="4"/>
  <c r="G68" i="4" s="1"/>
  <c r="D69" i="4"/>
  <c r="G69" i="4" s="1"/>
  <c r="D70" i="4"/>
  <c r="G70" i="4" s="1"/>
  <c r="D71" i="4"/>
  <c r="G71" i="4" s="1"/>
  <c r="D72" i="4"/>
  <c r="G72" i="4" s="1"/>
  <c r="D73" i="4"/>
  <c r="G73" i="4" s="1"/>
  <c r="D74" i="4"/>
  <c r="G74" i="4" s="1"/>
  <c r="D75" i="4"/>
  <c r="G75" i="4" s="1"/>
  <c r="D76" i="4"/>
  <c r="G76" i="4" s="1"/>
  <c r="D77" i="4"/>
  <c r="D78" i="4"/>
  <c r="G78" i="4" s="1"/>
  <c r="D79" i="4"/>
  <c r="G79" i="4" s="1"/>
  <c r="D80" i="4"/>
  <c r="D81" i="4"/>
  <c r="G81" i="4" s="1"/>
  <c r="D82" i="4"/>
  <c r="D83" i="4"/>
  <c r="G83" i="4" s="1"/>
  <c r="D84" i="4"/>
  <c r="G84" i="4" s="1"/>
  <c r="D85" i="4"/>
  <c r="D86" i="4"/>
  <c r="G86" i="4" s="1"/>
  <c r="D87" i="4"/>
  <c r="D88" i="4"/>
  <c r="G88" i="4" s="1"/>
  <c r="D89" i="4"/>
  <c r="G89" i="4" s="1"/>
  <c r="D90" i="4"/>
  <c r="G90" i="4" s="1"/>
  <c r="D91" i="4"/>
  <c r="G91" i="4" s="1"/>
  <c r="D92" i="4"/>
  <c r="G92" i="4" s="1"/>
  <c r="D93" i="4"/>
  <c r="G93" i="4" s="1"/>
  <c r="D94" i="4"/>
  <c r="G94" i="4" s="1"/>
  <c r="D95" i="4"/>
  <c r="D96" i="4"/>
  <c r="D97" i="4"/>
  <c r="G97" i="4" s="1"/>
  <c r="D98" i="4"/>
  <c r="G98" i="4" s="1"/>
  <c r="D99" i="4"/>
  <c r="G99" i="4" s="1"/>
  <c r="D59" i="4"/>
  <c r="D57" i="4"/>
  <c r="G57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3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2" i="5"/>
  <c r="A10" i="5"/>
  <c r="C10" i="5"/>
  <c r="A11" i="5"/>
  <c r="C11" i="5"/>
  <c r="A12" i="5"/>
  <c r="C12" i="5"/>
  <c r="A13" i="5"/>
  <c r="C13" i="5"/>
  <c r="A14" i="5"/>
  <c r="C14" i="5"/>
  <c r="A15" i="5"/>
  <c r="C15" i="5"/>
  <c r="A16" i="5"/>
  <c r="C16" i="5"/>
  <c r="A17" i="5"/>
  <c r="C17" i="5"/>
  <c r="A18" i="5"/>
  <c r="C18" i="5"/>
  <c r="A19" i="5"/>
  <c r="C19" i="5"/>
  <c r="A20" i="5"/>
  <c r="C20" i="5"/>
  <c r="A21" i="5"/>
  <c r="C21" i="5"/>
  <c r="A22" i="5"/>
  <c r="C22" i="5"/>
  <c r="A23" i="5"/>
  <c r="C23" i="5"/>
  <c r="A24" i="5"/>
  <c r="C24" i="5"/>
  <c r="A25" i="5"/>
  <c r="C25" i="5"/>
  <c r="A26" i="5"/>
  <c r="C26" i="5"/>
  <c r="A27" i="5"/>
  <c r="C27" i="5"/>
  <c r="A28" i="5"/>
  <c r="C28" i="5"/>
  <c r="A29" i="5"/>
  <c r="C29" i="5"/>
  <c r="A30" i="5"/>
  <c r="C30" i="5"/>
  <c r="C3" i="5"/>
  <c r="A3" i="5" s="1"/>
  <c r="C4" i="5"/>
  <c r="A4" i="5" s="1"/>
  <c r="C5" i="5"/>
  <c r="A5" i="5" s="1"/>
  <c r="C6" i="5"/>
  <c r="A6" i="5" s="1"/>
  <c r="C7" i="5"/>
  <c r="A7" i="5" s="1"/>
  <c r="C8" i="5"/>
  <c r="A8" i="5" s="1"/>
  <c r="C9" i="5"/>
  <c r="A9" i="5" s="1"/>
  <c r="C2" i="5"/>
  <c r="A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5" i="4"/>
  <c r="D26" i="4"/>
  <c r="D27" i="4"/>
  <c r="D28" i="4"/>
  <c r="D29" i="4"/>
  <c r="D30" i="4"/>
  <c r="D31" i="4"/>
  <c r="D33" i="4"/>
  <c r="D34" i="4"/>
  <c r="D35" i="4"/>
  <c r="D39" i="4"/>
  <c r="D40" i="4"/>
  <c r="D41" i="4"/>
  <c r="D42" i="4"/>
  <c r="D43" i="4"/>
  <c r="D44" i="4"/>
  <c r="D46" i="4"/>
  <c r="D47" i="4"/>
  <c r="D48" i="4"/>
  <c r="D49" i="4"/>
  <c r="D50" i="4"/>
  <c r="D51" i="4"/>
  <c r="D52" i="4"/>
  <c r="D53" i="4"/>
  <c r="D54" i="4"/>
  <c r="D55" i="4"/>
  <c r="D2" i="4"/>
  <c r="A59" i="15"/>
  <c r="A55" i="15"/>
  <c r="A51" i="15"/>
  <c r="A47" i="15"/>
  <c r="A39" i="15"/>
  <c r="A35" i="15"/>
  <c r="A34" i="15"/>
  <c r="A38" i="15"/>
  <c r="A42" i="15"/>
  <c r="A46" i="15"/>
  <c r="A50" i="15"/>
  <c r="A58" i="15"/>
  <c r="A32" i="15"/>
  <c r="A54" i="15"/>
  <c r="A43" i="15"/>
  <c r="A61" i="15"/>
  <c r="A57" i="15"/>
  <c r="A53" i="15"/>
  <c r="A49" i="15"/>
  <c r="A45" i="15"/>
  <c r="A41" i="15"/>
  <c r="A37" i="15"/>
  <c r="A33" i="15"/>
  <c r="A36" i="15"/>
  <c r="A40" i="15"/>
  <c r="A44" i="15"/>
  <c r="A48" i="15"/>
  <c r="A52" i="15"/>
  <c r="A56" i="15"/>
  <c r="A60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<sst xmlns="http://schemas.openxmlformats.org/spreadsheetml/2006/main" count="1355" uniqueCount="621">
  <si>
    <t>Propulsion</t>
  </si>
  <si>
    <t>Code</t>
  </si>
  <si>
    <t>X</t>
  </si>
  <si>
    <t>Steam</t>
  </si>
  <si>
    <t>Diesel</t>
  </si>
  <si>
    <t>Electric</t>
  </si>
  <si>
    <t>D</t>
  </si>
  <si>
    <t>E</t>
  </si>
  <si>
    <t>S</t>
  </si>
  <si>
    <t>M</t>
  </si>
  <si>
    <t>ID</t>
  </si>
  <si>
    <t>Role</t>
  </si>
  <si>
    <t>Passenger</t>
  </si>
  <si>
    <t>Goods</t>
  </si>
  <si>
    <t>Freight</t>
  </si>
  <si>
    <t>Cargo</t>
  </si>
  <si>
    <t>Bone</t>
  </si>
  <si>
    <t>Light Cargo</t>
  </si>
  <si>
    <t>Heavy Cargo</t>
  </si>
  <si>
    <t>Name</t>
  </si>
  <si>
    <t>Class</t>
  </si>
  <si>
    <t>Power</t>
  </si>
  <si>
    <t>Spinner</t>
  </si>
  <si>
    <t>4-2-2</t>
  </si>
  <si>
    <t>0-6-0</t>
  </si>
  <si>
    <t>4-4-0</t>
  </si>
  <si>
    <t>4-4-2</t>
  </si>
  <si>
    <t>2-6-0</t>
  </si>
  <si>
    <t>2-8-0</t>
  </si>
  <si>
    <t>0-10-0</t>
  </si>
  <si>
    <t>4-6-0</t>
  </si>
  <si>
    <t>0-8-0</t>
  </si>
  <si>
    <t>2-6-0+0-6-2</t>
  </si>
  <si>
    <t>2-6-2</t>
  </si>
  <si>
    <t>Class 90</t>
  </si>
  <si>
    <t>Class 91</t>
  </si>
  <si>
    <t>EM1</t>
  </si>
  <si>
    <t>EM2</t>
  </si>
  <si>
    <t>Class 101</t>
  </si>
  <si>
    <t>Class 321</t>
  </si>
  <si>
    <t>UKRS Name</t>
  </si>
  <si>
    <t>EE Shunter</t>
  </si>
  <si>
    <t>BR Class 14</t>
  </si>
  <si>
    <t>EE Type 1</t>
  </si>
  <si>
    <t>Clayton Type 1</t>
  </si>
  <si>
    <t>Sulzer Type 2</t>
  </si>
  <si>
    <t>EE Baby Deltic</t>
  </si>
  <si>
    <t>EE 10000</t>
  </si>
  <si>
    <t>EE Type 3</t>
  </si>
  <si>
    <t>WR Warship</t>
  </si>
  <si>
    <t>WR Western</t>
  </si>
  <si>
    <t>Sulzer Type 4</t>
  </si>
  <si>
    <t>Brush Type 4</t>
  </si>
  <si>
    <t>EE Deltic</t>
  </si>
  <si>
    <t>BREL Class 58</t>
  </si>
  <si>
    <t>Brush Type 5</t>
  </si>
  <si>
    <t>EMD Class 66</t>
  </si>
  <si>
    <t>EMD Class 67</t>
  </si>
  <si>
    <t>GE PowerHaul</t>
  </si>
  <si>
    <t>BR Type JB</t>
  </si>
  <si>
    <t>SR CC</t>
  </si>
  <si>
    <t>BR Type HA</t>
  </si>
  <si>
    <t>NER EF1</t>
  </si>
  <si>
    <t>NER EE1</t>
  </si>
  <si>
    <t>Metrovick EM1</t>
  </si>
  <si>
    <t>Metrovick EM2</t>
  </si>
  <si>
    <t>AEI AL1</t>
  </si>
  <si>
    <t>EE AL6</t>
  </si>
  <si>
    <t>Brush Avocet</t>
  </si>
  <si>
    <t>BREL Class 90</t>
  </si>
  <si>
    <t>Brush Class 92</t>
  </si>
  <si>
    <t>Bidwell</t>
  </si>
  <si>
    <t>BREL APT</t>
  </si>
  <si>
    <t>GEC Class 91</t>
  </si>
  <si>
    <t>Eurostar</t>
  </si>
  <si>
    <t>Railmotor</t>
  </si>
  <si>
    <t>AEC Railbus</t>
  </si>
  <si>
    <t>AEC Railcar</t>
  </si>
  <si>
    <t>MetCam DMU</t>
  </si>
  <si>
    <t>Sprinter</t>
  </si>
  <si>
    <t>Expr. Sprinter</t>
  </si>
  <si>
    <t>Turbostar</t>
  </si>
  <si>
    <t>Voyager</t>
  </si>
  <si>
    <t>BR HST</t>
  </si>
  <si>
    <t>MetCam EMU</t>
  </si>
  <si>
    <t>Southern EMU</t>
  </si>
  <si>
    <t>Renewal EMU</t>
  </si>
  <si>
    <t>Wessex EMU</t>
  </si>
  <si>
    <t>AM10</t>
  </si>
  <si>
    <t>Class 313</t>
  </si>
  <si>
    <t>Class 325</t>
  </si>
  <si>
    <t>Electrostar</t>
  </si>
  <si>
    <t>Pendolino</t>
  </si>
  <si>
    <t>Hitachi A-Train</t>
  </si>
  <si>
    <t>Full Name</t>
  </si>
  <si>
    <t>08</t>
  </si>
  <si>
    <t>Shunter</t>
  </si>
  <si>
    <t>Deltic</t>
  </si>
  <si>
    <t>Warship</t>
  </si>
  <si>
    <t>Western</t>
  </si>
  <si>
    <t>AL1</t>
  </si>
  <si>
    <t>AL6</t>
  </si>
  <si>
    <t>APT</t>
  </si>
  <si>
    <t>HST</t>
  </si>
  <si>
    <t>14</t>
  </si>
  <si>
    <t>58</t>
  </si>
  <si>
    <t>66</t>
  </si>
  <si>
    <t>67</t>
  </si>
  <si>
    <t>90</t>
  </si>
  <si>
    <t>92</t>
  </si>
  <si>
    <t>91</t>
  </si>
  <si>
    <t>313</t>
  </si>
  <si>
    <t>321</t>
  </si>
  <si>
    <t>17</t>
  </si>
  <si>
    <t>20</t>
  </si>
  <si>
    <t>23</t>
  </si>
  <si>
    <t>Baby Deltic</t>
  </si>
  <si>
    <t>24</t>
  </si>
  <si>
    <t>D16</t>
  </si>
  <si>
    <t>LMS 10000</t>
  </si>
  <si>
    <t>37</t>
  </si>
  <si>
    <t>41</t>
  </si>
  <si>
    <t>52</t>
  </si>
  <si>
    <t>Peak</t>
  </si>
  <si>
    <t>44</t>
  </si>
  <si>
    <t>47</t>
  </si>
  <si>
    <t>55</t>
  </si>
  <si>
    <t>60</t>
  </si>
  <si>
    <t>70 (II)</t>
  </si>
  <si>
    <t>70 (I)</t>
  </si>
  <si>
    <t>73 (JB)</t>
  </si>
  <si>
    <t>71 (HA)</t>
  </si>
  <si>
    <t>76</t>
  </si>
  <si>
    <t>77</t>
  </si>
  <si>
    <t>81</t>
  </si>
  <si>
    <t>86</t>
  </si>
  <si>
    <t>325</t>
  </si>
  <si>
    <t>Express Sprinter</t>
  </si>
  <si>
    <t>A-Train</t>
  </si>
  <si>
    <t>89</t>
  </si>
  <si>
    <t>370</t>
  </si>
  <si>
    <t>170</t>
  </si>
  <si>
    <t>150</t>
  </si>
  <si>
    <t>158</t>
  </si>
  <si>
    <t>220</t>
  </si>
  <si>
    <t>253</t>
  </si>
  <si>
    <t>310</t>
  </si>
  <si>
    <t>373</t>
  </si>
  <si>
    <t>GWR Railcar</t>
  </si>
  <si>
    <t>101</t>
  </si>
  <si>
    <t>GWR Railmotor</t>
  </si>
  <si>
    <t>421</t>
  </si>
  <si>
    <t>404</t>
  </si>
  <si>
    <t>LNWR EMU</t>
  </si>
  <si>
    <t>Bidwell Tripworker</t>
  </si>
  <si>
    <t>442</t>
  </si>
  <si>
    <t>Wessex Express</t>
  </si>
  <si>
    <t>390</t>
  </si>
  <si>
    <t>357</t>
  </si>
  <si>
    <t>395</t>
  </si>
  <si>
    <t>Chopper</t>
  </si>
  <si>
    <t>Tractor</t>
  </si>
  <si>
    <t>Teddy Bear</t>
  </si>
  <si>
    <t>Tug</t>
  </si>
  <si>
    <t>Skip</t>
  </si>
  <si>
    <t>Badger</t>
  </si>
  <si>
    <t>Spoon</t>
  </si>
  <si>
    <t>Rat</t>
  </si>
  <si>
    <t>Caravan</t>
  </si>
  <si>
    <t>KM/H</t>
  </si>
  <si>
    <t>MP/H</t>
  </si>
  <si>
    <t>M/S</t>
  </si>
  <si>
    <t>STEAM</t>
  </si>
  <si>
    <t>DIESEL</t>
  </si>
  <si>
    <t>ELEC</t>
  </si>
  <si>
    <t>Picker</t>
  </si>
  <si>
    <t>Electro-Diesel</t>
  </si>
  <si>
    <t>Turbine</t>
  </si>
  <si>
    <t>GT3</t>
  </si>
  <si>
    <t>EE</t>
  </si>
  <si>
    <t>2-2-0</t>
  </si>
  <si>
    <t>Planet</t>
  </si>
  <si>
    <t>0-4-0</t>
  </si>
  <si>
    <t>4-2-0</t>
  </si>
  <si>
    <t>0-4-2</t>
  </si>
  <si>
    <t>0-4-4</t>
  </si>
  <si>
    <t>2-2-2</t>
  </si>
  <si>
    <t>2-6-4</t>
  </si>
  <si>
    <t>4-6-2</t>
  </si>
  <si>
    <t>0-6-6-0</t>
  </si>
  <si>
    <t>2-10-0</t>
  </si>
  <si>
    <t>Coppernob</t>
  </si>
  <si>
    <t>Crampton</t>
  </si>
  <si>
    <t>Long Boiler</t>
  </si>
  <si>
    <t>Industrial</t>
  </si>
  <si>
    <t>Tram Engine</t>
  </si>
  <si>
    <t>Hunslet</t>
  </si>
  <si>
    <t>Tank</t>
  </si>
  <si>
    <t>Metropolitan</t>
  </si>
  <si>
    <t>Jinty</t>
  </si>
  <si>
    <t>Suburban</t>
  </si>
  <si>
    <t>Prairie</t>
  </si>
  <si>
    <t>Lady</t>
  </si>
  <si>
    <t>Klondyke</t>
  </si>
  <si>
    <t>Edwardian</t>
  </si>
  <si>
    <t>Mogul</t>
  </si>
  <si>
    <t>Mineral</t>
  </si>
  <si>
    <t>Banker</t>
  </si>
  <si>
    <t>King Arthur</t>
  </si>
  <si>
    <t>Pannier</t>
  </si>
  <si>
    <t>Pannier II</t>
  </si>
  <si>
    <t>Ivatt</t>
  </si>
  <si>
    <t>Austerity</t>
  </si>
  <si>
    <t>Shire</t>
  </si>
  <si>
    <t>Royal Scot</t>
  </si>
  <si>
    <t>Garratt</t>
  </si>
  <si>
    <t>8F</t>
  </si>
  <si>
    <t>Jubilee</t>
  </si>
  <si>
    <t>Arrow</t>
  </si>
  <si>
    <t>Pacific</t>
  </si>
  <si>
    <t>Streak</t>
  </si>
  <si>
    <t>Coronation</t>
  </si>
  <si>
    <t>Merchant Navy</t>
  </si>
  <si>
    <t>Light Pacific</t>
  </si>
  <si>
    <t>Leader</t>
  </si>
  <si>
    <t>Britannia</t>
  </si>
  <si>
    <t>Star</t>
  </si>
  <si>
    <t>TE</t>
  </si>
  <si>
    <t>Weight (t)</t>
  </si>
  <si>
    <t>Coefficient</t>
  </si>
  <si>
    <t>*</t>
  </si>
  <si>
    <t>=</t>
  </si>
  <si>
    <t>/</t>
  </si>
  <si>
    <t>Weight</t>
  </si>
  <si>
    <t>Speed</t>
  </si>
  <si>
    <t>Class 14 'Teddy Bear'</t>
  </si>
  <si>
    <t>Class 20 'Chopper'</t>
  </si>
  <si>
    <t>Class 17</t>
  </si>
  <si>
    <t>Class 24 'Rat'</t>
  </si>
  <si>
    <t>Class 23 'Baby Deltic'</t>
  </si>
  <si>
    <t>Class D16 'LMS 10000'</t>
  </si>
  <si>
    <t>Class 37 'Tractor'</t>
  </si>
  <si>
    <t>Class 41 'Warship'</t>
  </si>
  <si>
    <t>Class 52 'Western'</t>
  </si>
  <si>
    <t>Class 44 'Peak'</t>
  </si>
  <si>
    <t>Class 47 'Spoon'</t>
  </si>
  <si>
    <t>Class 55 'Deltic'</t>
  </si>
  <si>
    <t>Class 58 'Bone'</t>
  </si>
  <si>
    <t>Class 60 'Tug'</t>
  </si>
  <si>
    <t>Class 66</t>
  </si>
  <si>
    <t>Class 67 'Skip'</t>
  </si>
  <si>
    <t>Class 70 (II)</t>
  </si>
  <si>
    <t>Class 73 (JB)</t>
  </si>
  <si>
    <t>Class 70 (I)</t>
  </si>
  <si>
    <t>Class 71 (HA)</t>
  </si>
  <si>
    <t>Class 76 'EM1'</t>
  </si>
  <si>
    <t>Class 77 'EM2'</t>
  </si>
  <si>
    <t>Class 81 'AL1'</t>
  </si>
  <si>
    <t>Class 86 'AL6'</t>
  </si>
  <si>
    <t>Class 89 'Badger'</t>
  </si>
  <si>
    <t>Class 92 'Caravan'</t>
  </si>
  <si>
    <t>Class 370 'APT'</t>
  </si>
  <si>
    <t>Class 373 'Eurostar'</t>
  </si>
  <si>
    <t>Class 150 'Sprinter'</t>
  </si>
  <si>
    <t>Class 158 'Express Sprinter'</t>
  </si>
  <si>
    <t>Class 170 'Turbostar'</t>
  </si>
  <si>
    <t>Class 220 'Voyager'</t>
  </si>
  <si>
    <t>Class 404</t>
  </si>
  <si>
    <t>Class 421</t>
  </si>
  <si>
    <t>Class 442 'Wessex Express'</t>
  </si>
  <si>
    <t>Class 310 'AM10'</t>
  </si>
  <si>
    <t>Class 357 'Electrostar'</t>
  </si>
  <si>
    <t>Class 390 'Pendolino'</t>
  </si>
  <si>
    <t>Class 395 'A-Train'</t>
  </si>
  <si>
    <t>EE 'GT3'</t>
  </si>
  <si>
    <t>2-2-0 'Planet'</t>
  </si>
  <si>
    <t>0-4-0 'Coppernob'</t>
  </si>
  <si>
    <t>4-2-0 'Crampton'</t>
  </si>
  <si>
    <t>0-6-0 'Long Boiler'</t>
  </si>
  <si>
    <t>0-4-0 'Industrial'</t>
  </si>
  <si>
    <t>0-6-0 'Tram Engine'</t>
  </si>
  <si>
    <t>0-6-0 'Hunslet'</t>
  </si>
  <si>
    <t>0-4-2 'Tank'</t>
  </si>
  <si>
    <t>0-4-4 'Metropolitan'</t>
  </si>
  <si>
    <t>0-6-0 'Jinty'</t>
  </si>
  <si>
    <t>4-4-2 'Suburban'</t>
  </si>
  <si>
    <t>2-6-2 'Prairie'</t>
  </si>
  <si>
    <t>2-2-2 'Lady'</t>
  </si>
  <si>
    <t>4-2-2 'Spinner'</t>
  </si>
  <si>
    <t>0-6-0 'Goods'</t>
  </si>
  <si>
    <t>4-4-2 'Klondyke'</t>
  </si>
  <si>
    <t>4-4-0 'Edwardian'</t>
  </si>
  <si>
    <t>0-6-0 'Freight'</t>
  </si>
  <si>
    <t>2-6-0 'Mogul'</t>
  </si>
  <si>
    <t>0-8-0 'Mineral'</t>
  </si>
  <si>
    <t>0-10-0 'Banker'</t>
  </si>
  <si>
    <t>4-6-0 'King Arthur'</t>
  </si>
  <si>
    <t>0-6-0 'Pannier'</t>
  </si>
  <si>
    <t>0-6-0 'Pannier II'</t>
  </si>
  <si>
    <t>2-6-2 'Ivatt'</t>
  </si>
  <si>
    <t>2-6-4 'Suburban'</t>
  </si>
  <si>
    <t>0-6-0 'Austerity'</t>
  </si>
  <si>
    <t>4-4-0 'Shire'</t>
  </si>
  <si>
    <t>4-6-0 'Royal Scot'</t>
  </si>
  <si>
    <t>2-6-0+0-6-2 'Garratt'</t>
  </si>
  <si>
    <t>2-8-0 '8F'</t>
  </si>
  <si>
    <t>4-6-0 'Jubilee'</t>
  </si>
  <si>
    <t>2-6-2 'Arrow'</t>
  </si>
  <si>
    <t>4-6-2 'Pacific'</t>
  </si>
  <si>
    <t>4-6-2 'Streak'</t>
  </si>
  <si>
    <t>4-6-2 'Coronation'</t>
  </si>
  <si>
    <t>4-6-2 'Merchant Navy'</t>
  </si>
  <si>
    <t>4-6-2 'Light Pacific'</t>
  </si>
  <si>
    <t>0-6-6-0 'Leader'</t>
  </si>
  <si>
    <t>4-6-2 'Britannia'</t>
  </si>
  <si>
    <t>2-10-0 'Star'</t>
  </si>
  <si>
    <t>TE Coeff</t>
  </si>
  <si>
    <t>Cost</t>
  </si>
  <si>
    <t>Cost Factor</t>
  </si>
  <si>
    <t>RunCost</t>
  </si>
  <si>
    <t>New RC</t>
  </si>
  <si>
    <t>Class 43 'HST'</t>
  </si>
  <si>
    <t>Intro Year</t>
  </si>
  <si>
    <t>Class 08 'Gronk'</t>
  </si>
  <si>
    <t>Intro</t>
  </si>
  <si>
    <t>Expire</t>
  </si>
  <si>
    <t>Local Passenger</t>
  </si>
  <si>
    <t>Shunting</t>
  </si>
  <si>
    <t>Express Passenger</t>
  </si>
  <si>
    <t>Light General Purpose</t>
  </si>
  <si>
    <t>General Purpose</t>
  </si>
  <si>
    <t>Superheavy Cargo</t>
  </si>
  <si>
    <t>FullName</t>
  </si>
  <si>
    <t>Fast General Purpose</t>
  </si>
  <si>
    <t>Mail</t>
  </si>
  <si>
    <t>EE 'GT3' - (EE 'GT3')</t>
  </si>
  <si>
    <t>Class 08 'Gronk' - (EE Shunter)</t>
  </si>
  <si>
    <t>Class 14 'Teddy Bear' - (BR Class 14)</t>
  </si>
  <si>
    <t>Class 20 'Chopper' - (EE Type 1)</t>
  </si>
  <si>
    <t>Class 17 - (Clayton Type 1)</t>
  </si>
  <si>
    <t>Class 24 'Rat' - (Sulzer Type 2)</t>
  </si>
  <si>
    <t>Class 23 'Baby Deltic' - (EE Baby Deltic)</t>
  </si>
  <si>
    <t>Class D16 'LMS 10000' - (EE 10000)</t>
  </si>
  <si>
    <t>Class 37 'Tractor' - (EE Type 3)</t>
  </si>
  <si>
    <t>Class 41 'Warship' - (WR Warship)</t>
  </si>
  <si>
    <t>Class 52 'Western' - (WR Western)</t>
  </si>
  <si>
    <t>Class 44 'Peak' - (Sulzer Type 4)</t>
  </si>
  <si>
    <t>Class 47 'Spoon' - (Brush Type 4)</t>
  </si>
  <si>
    <t>Class 55 'Deltic' - (EE Deltic)</t>
  </si>
  <si>
    <t>Class 58 'Bone' - (BREL Class 58)</t>
  </si>
  <si>
    <t>Class 60 'Tug' - (Brush Type 5)</t>
  </si>
  <si>
    <t>Class 66 - (EMD Class 66)</t>
  </si>
  <si>
    <t>Class 67 'Skip' - (EMD Class 67)</t>
  </si>
  <si>
    <t>Class 70 (II) - (GE PowerHaul)</t>
  </si>
  <si>
    <t>Class 73 (JB) - (BR Type JB)</t>
  </si>
  <si>
    <t>Class 70 (I) - (SR CC)</t>
  </si>
  <si>
    <t>Class 71 (HA) - (BR Type HA)</t>
  </si>
  <si>
    <t>NER EF1 - (NER EF1)</t>
  </si>
  <si>
    <t>NER EE1 - (NER EE1)</t>
  </si>
  <si>
    <t>Class 76 'EM1' - (Metrovick EM1)</t>
  </si>
  <si>
    <t>Class 77 'EM2' - (Metrovick EM2)</t>
  </si>
  <si>
    <t>Class 81 'AL1' - (AEI AL1)</t>
  </si>
  <si>
    <t>Class 86 'AL6' - (EE AL6)</t>
  </si>
  <si>
    <t>Class 89 'Badger' - (Brush Avocet)</t>
  </si>
  <si>
    <t>Class 90 - (BREL Class 90)</t>
  </si>
  <si>
    <t>Class 92 'Caravan' - (Brush Class 92)</t>
  </si>
  <si>
    <t>Bidwell Tripworker - (Bidwell)</t>
  </si>
  <si>
    <t>Class 370 'APT' - (BREL APT)</t>
  </si>
  <si>
    <t>Class 91 - (GEC Class 91)</t>
  </si>
  <si>
    <t>Class 373 'Eurostar' - (Eurostar)</t>
  </si>
  <si>
    <t>GWR Railmotor - (Railmotor)</t>
  </si>
  <si>
    <t>AEC Railbus - (AEC Railbus)</t>
  </si>
  <si>
    <t>GWR Railcar - (AEC Railcar)</t>
  </si>
  <si>
    <t>Class 101 - (MetCam DMU)</t>
  </si>
  <si>
    <t>Class 150 'Sprinter' - (Sprinter)</t>
  </si>
  <si>
    <t>Class 158 'Express Sprinter' - (Expr. Sprinter)</t>
  </si>
  <si>
    <t>Class 170 'Turbostar' - (Turbostar)</t>
  </si>
  <si>
    <t>Class 220 'Voyager' - (Voyager)</t>
  </si>
  <si>
    <t>Class 43 'HST' - (BR HST)</t>
  </si>
  <si>
    <t>LNWR EMU - (MetCam EMU)</t>
  </si>
  <si>
    <t>Class 404 - (Southern EMU)</t>
  </si>
  <si>
    <t>Class 421 - (Renewal EMU)</t>
  </si>
  <si>
    <t>Class 442 'Wessex Express' - (Wessex EMU)</t>
  </si>
  <si>
    <t>Class 310 'AM10' - (AM10)</t>
  </si>
  <si>
    <t>Class 313 - (Class 313)</t>
  </si>
  <si>
    <t>Class 321 - (Class 321)</t>
  </si>
  <si>
    <t>Class 325 - (Class 325)</t>
  </si>
  <si>
    <t>Class 357 'Electrostar' - (Electrostar)</t>
  </si>
  <si>
    <t>Class 390 'Pendolino' - (Pendolino)</t>
  </si>
  <si>
    <t>Class 395 'A-Train' - (Hitachi A-Train)</t>
  </si>
  <si>
    <t>Stephenson 'Planet'</t>
  </si>
  <si>
    <t>Bury 'Coppernob'</t>
  </si>
  <si>
    <t>Bouch 1001 'Long Boiler'</t>
  </si>
  <si>
    <t>Avonside 'Industrial'</t>
  </si>
  <si>
    <t>Holden C53 'Tram Engine'</t>
  </si>
  <si>
    <t>Hunslet 4F 'Austerity'</t>
  </si>
  <si>
    <t>Armstrong 517 'Tank'</t>
  </si>
  <si>
    <t>Armstrong 3571 'Tank'</t>
  </si>
  <si>
    <t>MR 'Metropolitan'</t>
  </si>
  <si>
    <t>Johnson 2441</t>
  </si>
  <si>
    <t>Fowler 3F 'Jinty'</t>
  </si>
  <si>
    <t>Adams 415 'Radial Tank'</t>
  </si>
  <si>
    <t>Churchward 5100 'Prairie'</t>
  </si>
  <si>
    <t>Ramsbottom 'Lady of the Lake'</t>
  </si>
  <si>
    <t>Johnson 115 'Spinner'</t>
  </si>
  <si>
    <t>Stirling J3 'Goods'</t>
  </si>
  <si>
    <t>Ivatt C2 'Klondike'</t>
  </si>
  <si>
    <t>Johnson 1000 'Compound'</t>
  </si>
  <si>
    <t>Gresley J6 'Freight'</t>
  </si>
  <si>
    <t>Gresley K1 'Mogul'</t>
  </si>
  <si>
    <t>Raven Q6 'Mineral'</t>
  </si>
  <si>
    <t>Anderson Lickey Banker 'Big Bertha'</t>
  </si>
  <si>
    <t>Maunsell N15 'King Arthur'</t>
  </si>
  <si>
    <t>Collett 5700 'Pannier'</t>
  </si>
  <si>
    <t>Collett 9400 'Pannier II'</t>
  </si>
  <si>
    <t>Ivatt 2MT 'Ivatt'</t>
  </si>
  <si>
    <t>Fowler 4MT 'Suburban'</t>
  </si>
  <si>
    <t>Bulleid Q1 'Austerity'</t>
  </si>
  <si>
    <t>Gresley D49 'Shire'</t>
  </si>
  <si>
    <t>Fowler 7P 'Royal Scot'</t>
  </si>
  <si>
    <t>Stanier 8F</t>
  </si>
  <si>
    <t>Stanier 6P 'Jubilee'</t>
  </si>
  <si>
    <t>Gresley V2 'Arrow'</t>
  </si>
  <si>
    <t>Gresley A1 'Pacific'</t>
  </si>
  <si>
    <t>Gresley A4 'Streak'</t>
  </si>
  <si>
    <t>Stanier 8P 'Coronation'</t>
  </si>
  <si>
    <t>Bulleid 'Merchant Navy'</t>
  </si>
  <si>
    <t>Bulleid 'Light Pacific'</t>
  </si>
  <si>
    <t>Bulleid 'Leader'</t>
  </si>
  <si>
    <t>BR Class 7 'Britannia'</t>
  </si>
  <si>
    <t>BR 9F 'Star'</t>
  </si>
  <si>
    <t>Stephenson 'Planet' - (2-2-0 'Planet')</t>
  </si>
  <si>
    <t>Bury 'Coppernob' - (0-4-0 'Coppernob')</t>
  </si>
  <si>
    <t>Crampton - (4-2-0 'Crampton')</t>
  </si>
  <si>
    <t>Bouch 1001 'Long Boiler' - (0-6-0 'Long Boiler')</t>
  </si>
  <si>
    <t>Ramsbottom 'Lady of the Lake' - (2-2-2 'Lady')</t>
  </si>
  <si>
    <t>Armstrong 517 'Tank' - (0-4-2 'Tank')</t>
  </si>
  <si>
    <t>Armstrong 3571 'Tank' - (0-4-2 'Tank')</t>
  </si>
  <si>
    <t>Johnson 115 'Spinner' - (4-2-2 'Spinner')</t>
  </si>
  <si>
    <t>Stirling J3 'Goods' - (0-6-0 'Goods')</t>
  </si>
  <si>
    <t>MR 'Metropolitan' - (0-4-4 'Metropolitan')</t>
  </si>
  <si>
    <t>Avonside 'Industrial' - (0-4-0 'Industrial')</t>
  </si>
  <si>
    <t>Johnson 2441 - (0-6-0 'Jinty')</t>
  </si>
  <si>
    <t>Fowler 3F 'Jinty' - (0-6-0 'Jinty')</t>
  </si>
  <si>
    <t>Adams 415 'Radial Tank' - (4-4-2 'Suburban')</t>
  </si>
  <si>
    <t>Ivatt C2 'Klondike' - (4-4-2 'Klondyke')</t>
  </si>
  <si>
    <t>Holden C53 'Tram Engine' - (0-6-0 'Tram Engine')</t>
  </si>
  <si>
    <t>Johnson 1000 'Compound' - (4-4-0 'Edwardian')</t>
  </si>
  <si>
    <t>Churchward 5100 'Prairie' - (2-6-2 'Prairie')</t>
  </si>
  <si>
    <t>Gresley J6 'Freight' - (0-6-0 'Freight')</t>
  </si>
  <si>
    <t>Gresley K1 'Mogul' - (2-6-0 'Mogul')</t>
  </si>
  <si>
    <t>Raven Q6 'Mineral' - (0-8-0 'Mineral')</t>
  </si>
  <si>
    <t>Anderson Lickey Banker 'Big Bertha' - (0-10-0 'Banker')</t>
  </si>
  <si>
    <t>Maunsell N15 'King Arthur' - (4-6-0 'King Arthur')</t>
  </si>
  <si>
    <t>Gresley A1 'Pacific' - (4-6-2 'Pacific')</t>
  </si>
  <si>
    <t>Fowler 4MT 'Suburban' - (2-6-4 'Suburban')</t>
  </si>
  <si>
    <t>Gresley D49 'Shire' - (4-4-0 'Shire')</t>
  </si>
  <si>
    <t>Fowler 7P 'Royal Scot' - (4-6-0 'Royal Scot')</t>
  </si>
  <si>
    <t>Beyer-Garratt - (2-6-0+0-6-2 'Garratt')</t>
  </si>
  <si>
    <t>Collett 5700 'Pannier' - (0-6-0 'Pannier')</t>
  </si>
  <si>
    <t>Stanier 8F - (2-8-0 '8F')</t>
  </si>
  <si>
    <t>Stanier 6P 'Jubilee' - (4-6-0 'Jubilee')</t>
  </si>
  <si>
    <t>Gresley V2 'Arrow' - (2-6-2 'Arrow')</t>
  </si>
  <si>
    <t>Gresley A4 'Streak' - (4-6-2 'Streak')</t>
  </si>
  <si>
    <t>Stanier 8P 'Coronation' - (4-6-2 'Coronation')</t>
  </si>
  <si>
    <t>Bulleid 'Merchant Navy' - (4-6-2 'Merchant Navy')</t>
  </si>
  <si>
    <t>Bulleid Q1 'Austerity' - (0-6-0 'Austerity')</t>
  </si>
  <si>
    <t>Hunslet 4F 'Austerity' - (0-6-0 'Hunslet')</t>
  </si>
  <si>
    <t>Bulleid 'Light Pacific' - (4-6-2 'Light Pacific')</t>
  </si>
  <si>
    <t>Ivatt 2MT 'Ivatt' - (2-6-2 'Ivatt')</t>
  </si>
  <si>
    <t>Collett 9400 'Pannier II' - (0-6-0 'Pannier II')</t>
  </si>
  <si>
    <t>Bulleid 'Leader' - (0-6-6-0 'Leader')</t>
  </si>
  <si>
    <t>BR Class 7 'Britannia' - (4-6-2 'Britannia')</t>
  </si>
  <si>
    <t>BR 9F 'Star' - (2-10-0 'Star')</t>
  </si>
  <si>
    <t>Riddles 'Austerity' - (2-8-0 '8F')</t>
  </si>
  <si>
    <t>UKRS Capacity</t>
  </si>
  <si>
    <t>TW Capacity</t>
  </si>
  <si>
    <t>Target Capacity</t>
  </si>
  <si>
    <t>Target Name</t>
  </si>
  <si>
    <t>Passenger Coach</t>
  </si>
  <si>
    <t>Compartment Coach</t>
  </si>
  <si>
    <t>6-Wheel Coach</t>
  </si>
  <si>
    <t>Clerestory Coach</t>
  </si>
  <si>
    <t>Articulated Carriage</t>
  </si>
  <si>
    <t>Standard Carriage</t>
  </si>
  <si>
    <t>High-Speed Carriage</t>
  </si>
  <si>
    <t>6-Wheel Mail Coach</t>
  </si>
  <si>
    <t>Covered Carriage Truck</t>
  </si>
  <si>
    <t>Siphon Van</t>
  </si>
  <si>
    <t>Express Mail Carriage</t>
  </si>
  <si>
    <t>Mail Carriage</t>
  </si>
  <si>
    <t>Open Wagon</t>
  </si>
  <si>
    <t>5-Plank Open Wagon</t>
  </si>
  <si>
    <t>Steel Open Wagon</t>
  </si>
  <si>
    <t>Bogie Hopper</t>
  </si>
  <si>
    <t>MGR Hopper</t>
  </si>
  <si>
    <t>PGA Hopper</t>
  </si>
  <si>
    <t>Monster Box</t>
  </si>
  <si>
    <t>Grain Hopper</t>
  </si>
  <si>
    <t>Covered Hopper</t>
  </si>
  <si>
    <t>Presflo Hopper</t>
  </si>
  <si>
    <t>Polybulk Hopper</t>
  </si>
  <si>
    <t>Single Bolster</t>
  </si>
  <si>
    <t>Flat Wagon</t>
  </si>
  <si>
    <t>Bogie Bolster</t>
  </si>
  <si>
    <t>Bogie Bolster B</t>
  </si>
  <si>
    <t>Cartic</t>
  </si>
  <si>
    <t>Freightliner</t>
  </si>
  <si>
    <t>Timber Wagon</t>
  </si>
  <si>
    <t>Coil Carrier</t>
  </si>
  <si>
    <t>Tank Wagon</t>
  </si>
  <si>
    <t>6-Wheel Tank Wagon</t>
  </si>
  <si>
    <t>Welded Tank Wagon</t>
  </si>
  <si>
    <t>Bogie Tanker</t>
  </si>
  <si>
    <t>Covered Van</t>
  </si>
  <si>
    <t>XP Van</t>
  </si>
  <si>
    <t>Speedlink (Open)</t>
  </si>
  <si>
    <t>Speedlink Van</t>
  </si>
  <si>
    <t>Fertiliser Van</t>
  </si>
  <si>
    <t>Habfis Van</t>
  </si>
  <si>
    <t>Livestock Van</t>
  </si>
  <si>
    <t>Scrap Wagon</t>
  </si>
  <si>
    <t>Passenger Carriage</t>
  </si>
  <si>
    <t>4-Wheel Coach</t>
  </si>
  <si>
    <t>Clerestory Coach (First Class)</t>
  </si>
  <si>
    <t>Articulated Coach</t>
  </si>
  <si>
    <t>Pullman Coach</t>
  </si>
  <si>
    <t>Passenger Coach (Mk1)</t>
  </si>
  <si>
    <t>Passenger Coach (Mk2)</t>
  </si>
  <si>
    <t>Passenger Coach (Mk3)</t>
  </si>
  <si>
    <t>57, 66, 69</t>
  </si>
  <si>
    <t>6-Wheel Van</t>
  </si>
  <si>
    <t>TPO Carriage</t>
  </si>
  <si>
    <t>Grain Van</t>
  </si>
  <si>
    <t>Express Bogie Bolster</t>
  </si>
  <si>
    <t>Container Wagon</t>
  </si>
  <si>
    <t>Bogie Tank Wagon</t>
  </si>
  <si>
    <t>Fitted Van</t>
  </si>
  <si>
    <t>Speedlink Gondola</t>
  </si>
  <si>
    <t>Improved Livestock Van</t>
  </si>
  <si>
    <t>Refurbished Van</t>
  </si>
  <si>
    <t>Self-Discharging Hopper Wagon</t>
  </si>
  <si>
    <t>Hopper Wagon</t>
  </si>
  <si>
    <t>Bogie Hopper Wagon</t>
  </si>
  <si>
    <t>Max Speed</t>
  </si>
  <si>
    <t>Initial Speed</t>
  </si>
  <si>
    <t>Notes</t>
  </si>
  <si>
    <t>Scrap Only</t>
  </si>
  <si>
    <t>Woods Only</t>
  </si>
  <si>
    <t>Metals Only</t>
  </si>
  <si>
    <t>Fertiliser OR Goods</t>
  </si>
  <si>
    <t>Livestock Only</t>
  </si>
  <si>
    <t>Cars OR Goods</t>
  </si>
  <si>
    <t>Grain/Feed Only</t>
  </si>
  <si>
    <t>Mail/Parcels Only</t>
  </si>
  <si>
    <t>RC Factor?</t>
  </si>
  <si>
    <t>Beyer, Peacock &amp; Co 'Garratt'</t>
  </si>
  <si>
    <t>Real Length</t>
  </si>
  <si>
    <t>Code Length</t>
  </si>
  <si>
    <t>Length</t>
  </si>
  <si>
    <t>3, 2</t>
  </si>
  <si>
    <t>3, 3</t>
  </si>
  <si>
    <t>4, 3</t>
  </si>
  <si>
    <t>5, 3</t>
  </si>
  <si>
    <t>6, 3</t>
  </si>
  <si>
    <t>7, 4</t>
  </si>
  <si>
    <t>4, 6, 4</t>
  </si>
  <si>
    <t>6, 4</t>
  </si>
  <si>
    <t>8, 6</t>
  </si>
  <si>
    <t>Wardale '5AT'</t>
  </si>
  <si>
    <t>Wardale '604'</t>
  </si>
  <si>
    <t>5AT</t>
  </si>
  <si>
    <t>Whistle</t>
  </si>
  <si>
    <t>LMS</t>
  </si>
  <si>
    <t>A4</t>
  </si>
  <si>
    <t>QR</t>
  </si>
  <si>
    <t>Carries</t>
  </si>
  <si>
    <t>Articulated Carriages</t>
  </si>
  <si>
    <t>Clerestory Carriage</t>
  </si>
  <si>
    <t>Mk1 Carriage</t>
  </si>
  <si>
    <t>Mk2 Carriage</t>
  </si>
  <si>
    <t>Mk3 Carriage</t>
  </si>
  <si>
    <t>Intercity Carriage</t>
  </si>
  <si>
    <t>HST Carriage</t>
  </si>
  <si>
    <t>TPO Van</t>
  </si>
  <si>
    <t>General Utility Van</t>
  </si>
  <si>
    <t>Speedlink Open</t>
  </si>
  <si>
    <t>10t Brake Van</t>
  </si>
  <si>
    <t>20t Brake Van</t>
  </si>
  <si>
    <t>BR Brake Van</t>
  </si>
  <si>
    <t>Alt Name</t>
  </si>
  <si>
    <t>Tube Carriage</t>
  </si>
  <si>
    <t>MU Coach</t>
  </si>
  <si>
    <t>New Cost</t>
  </si>
  <si>
    <t>Figured out RC?</t>
  </si>
  <si>
    <t>Capacity (D)</t>
  </si>
  <si>
    <t>Capacity (T)</t>
  </si>
  <si>
    <t>PASS</t>
  </si>
  <si>
    <t>N/A</t>
  </si>
  <si>
    <t>MAIL</t>
  </si>
  <si>
    <t>GRAIN</t>
  </si>
  <si>
    <t>Capacity (R)</t>
  </si>
  <si>
    <t>Capacity (2)</t>
  </si>
  <si>
    <t>Capacity (4)</t>
  </si>
  <si>
    <t>WASTE</t>
  </si>
  <si>
    <t>BULK</t>
  </si>
  <si>
    <t>GOODS</t>
  </si>
  <si>
    <t>WOOD</t>
  </si>
  <si>
    <t>METAL</t>
  </si>
  <si>
    <t>LIQUID</t>
  </si>
  <si>
    <t>NON-LIQUID</t>
  </si>
  <si>
    <t>NON-BULK</t>
  </si>
  <si>
    <t>GENERAL</t>
  </si>
  <si>
    <t>LIVESTOCK</t>
  </si>
  <si>
    <t>FERTILIZER</t>
  </si>
  <si>
    <t>Air Drag</t>
  </si>
  <si>
    <t>Gate Tube</t>
  </si>
  <si>
    <t>New Works Tube</t>
  </si>
  <si>
    <t>Victoria Tube</t>
  </si>
  <si>
    <t>Adtranz Tube</t>
  </si>
  <si>
    <t>Air Drag Coef.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</si>
</sst>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[$£-809]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75EDDE-3AAA-4483-ACE3-DCAE8EA3E8E7}" name="Table2" displayName="Table2" ref="A1:T105" totalsRowShown="0" headerRowDxfId="43" dataDxfId="42">
  <autoFilter ref="A1:T105" xr:uid="{36D57E6B-8B33-4ACF-A7F0-0856AF37967D}"/>
  <sortState xmlns:xlrd2="http://schemas.microsoft.com/office/spreadsheetml/2017/richdata2" ref="A2:T101">
    <sortCondition ref="A1:A101"/>
  </sortState>
  <tableColumns count="20">
    <tableColumn id="1" xr3:uid="{68CBBF4D-117B-46E6-B7A4-54509CD6E6FB}" name="ID" dataDxfId="41"/>
    <tableColumn id="19" xr3:uid="{03AC1107-CE99-4984-A642-BF90BC17A239}" name="UKRS Name" dataDxfId="40"/>
    <tableColumn id="3" xr3:uid="{BF20BF4A-0C5E-449A-ACE9-902DD6F25C69}" name="Weight" dataDxfId="39"/>
    <tableColumn id="4" xr3:uid="{6F02F023-E63F-47BD-8453-9990FFD54AA5}" name="Speed" dataDxfId="38"/>
    <tableColumn id="5" xr3:uid="{93D71C14-746F-4DF8-A137-B414A2B01F0B}" name="Power" dataDxfId="37"/>
    <tableColumn id="6" xr3:uid="{4B59892B-E1F2-4F5C-BD85-8447BA247813}" name="TE" dataDxfId="36"/>
    <tableColumn id="7" xr3:uid="{AC10C65A-66CC-4985-B3F7-B0FB085872AF}" name="TE Coeff" dataDxfId="35">
      <calculatedColumnFormula>F2/10/C2</calculatedColumnFormula>
    </tableColumn>
    <tableColumn id="17" xr3:uid="{C806CAA6-3838-4674-880C-06C79D31398A}" name="Air Drag" dataDxfId="34"/>
    <tableColumn id="23" xr3:uid="{135FB07C-1FE9-48C6-A372-142B86E05EA8}" name="Air Drag Coef." dataDxfId="33">
      <calculatedColumnFormula>ROUND((Table2[[#This Row],[Air Drag]]+0.3504)/293.4,2)</calculatedColumnFormula>
    </tableColumn>
    <tableColumn id="8" xr3:uid="{7CCBBFAF-1597-42B4-A0E0-8848B36F3A85}" name="Cost" dataDxfId="32"/>
    <tableColumn id="9" xr3:uid="{A935D94E-3872-4036-A743-42E97F0A5706}" name="Cost Factor" dataDxfId="31">
      <calculatedColumnFormula>ROUNDDOWN(J2/1171,0)</calculatedColumnFormula>
    </tableColumn>
    <tableColumn id="11" xr3:uid="{025F4854-003D-4C1D-86DE-3CE439FE9C7E}" name="RC Factor?" dataDxfId="30">
      <calculatedColumnFormula>Table2[[#This Row],[RunCost]]/(23400/255)</calculatedColumnFormula>
    </tableColumn>
    <tableColumn id="14" xr3:uid="{5BCDCD29-35DE-42FD-B065-4D759BF7D38E}" name="New RC" dataDxfId="29">
      <calculatedColumnFormula array="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calculatedColumnFormula>
    </tableColumn>
    <tableColumn id="10" xr3:uid="{4EF97444-7DF2-4C1C-9399-2AF176D2421D}" name="RunCost" dataDxfId="28"/>
    <tableColumn id="12" xr3:uid="{1BC97C8C-0238-41D7-8180-11A9FE8439B0}" name="Intro Year" dataDxfId="27"/>
    <tableColumn id="13" xr3:uid="{5B6AB601-40E1-4161-8BD3-27417D3EF971}" name="Propulsion" dataDxfId="26"/>
    <tableColumn id="15" xr3:uid="{3DD9EBC7-6915-4B09-94B8-EB93AD555BB9}" name="Length" dataDxfId="25"/>
    <tableColumn id="16" xr3:uid="{6FAB79C9-0044-4515-B975-0FECD4FE0705}" name="Whistle" dataDxfId="24"/>
    <tableColumn id="2" xr3:uid="{7544EFBE-4B04-489D-B161-77017965D88F}" name="Name" dataDxfId="23"/>
    <tableColumn id="18" xr3:uid="{AB5CB6B3-E247-433B-9AAE-1FAD1BCAC333}" name="FullName" dataDxfId="22">
      <calculatedColumnFormula>CONCATENATE(Table2[[#This Row],[Name]]," - (",Table2[[#This Row],[UKRS Name]],")")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D809-E0DA-4679-B4A9-491D10C625C4}" name="Table1" displayName="Table1" ref="A1:S100" totalsRowShown="0" headerRowDxfId="20" dataDxfId="19">
  <autoFilter ref="A1:S100" xr:uid="{86C7D809-E0DA-4679-B4A9-491D10C625C4}"/>
  <tableColumns count="19">
    <tableColumn id="1" xr3:uid="{F0988B62-1E4B-4DA4-AF85-98CF7A0BB62C}" name="ID" dataDxfId="18"/>
    <tableColumn id="2" xr3:uid="{6C3DAFD2-B5B6-4947-BC53-A9C9458F0725}" name="Name" dataDxfId="17"/>
    <tableColumn id="3" xr3:uid="{ED9D427A-4B36-45C7-A02F-8BD0DD77B5E9}" name="Weight" dataDxfId="16"/>
    <tableColumn id="4" xr3:uid="{9548E84D-C4FE-46B2-9350-6028631F9F44}" name="Speed" dataDxfId="15"/>
    <tableColumn id="5" xr3:uid="{20748489-081E-419D-AC6B-372FE5768A07}" name="Cost" dataDxfId="14"/>
    <tableColumn id="15" xr3:uid="{6CEDAC5A-5CFC-4919-802C-D4A941BB54CE}" name="New Cost" dataDxfId="13">
      <calculatedColumnFormula>ROUNDDOWN((1494/255)*Table1[[#This Row],[Cost Factor]],0)</calculatedColumnFormula>
    </tableColumn>
    <tableColumn id="6" xr3:uid="{EF424F8F-7FA6-4793-BF3A-60DD9EEB7163}" name="Cost Factor" dataDxfId="12">
      <calculatedColumnFormula>VLOOKUP(Table1[[#This Row],[Cost]],'Wagon Costs'!D:E,2)</calculatedColumnFormula>
    </tableColumn>
    <tableColumn id="7" xr3:uid="{F73465CE-43D8-4293-B6BF-5D5365C10B22}" name="RC Factor?" dataDxfId="11">
      <calculatedColumnFormula>Table1[[#This Row],[RunCost]]/(124/255)</calculatedColumnFormula>
    </tableColumn>
    <tableColumn id="8" xr3:uid="{9B59C6C3-FB3F-4980-9AB3-5A1CEEC459C2}" name="New RC" dataDxfId="10">
      <calculatedColumnFormula>IF(X2=1,Table1[[#This Row],[RC Factor?]]*(1792/255),0)</calculatedColumnFormula>
    </tableColumn>
    <tableColumn id="9" xr3:uid="{6DF48C41-8E9F-4153-A1C2-66E9BC9790CA}" name="RunCost" dataDxfId="9"/>
    <tableColumn id="10" xr3:uid="{B2A0025E-CFA5-46F8-98DD-509D6B8E2167}" name="Intro Year" dataDxfId="8"/>
    <tableColumn id="11" xr3:uid="{2E946355-C8E5-4B63-BC77-D6B0FE9522B9}" name="Length" dataDxfId="7"/>
    <tableColumn id="17" xr3:uid="{0BDF56F8-A331-4829-8791-E172F6D37265}" name="Capacity (D)" dataDxfId="6"/>
    <tableColumn id="18" xr3:uid="{32219701-A423-4708-8B46-93D5CBAB6AD2}" name="Capacity (2)" dataDxfId="5">
      <calculatedColumnFormula>Table1[[#This Row],[Capacity (D)]]*2</calculatedColumnFormula>
    </tableColumn>
    <tableColumn id="19" xr3:uid="{82FC54E3-BC6E-4FAD-9DB7-25D6FC06B77F}" name="Capacity (4)" dataDxfId="4">
      <calculatedColumnFormula>Table1[[#This Row],[Capacity (D)]]*4</calculatedColumnFormula>
    </tableColumn>
    <tableColumn id="16" xr3:uid="{3F4C0448-F5B2-49FF-A4B0-B6C47E30AF5C}" name="Capacity (R)" dataDxfId="3"/>
    <tableColumn id="12" xr3:uid="{ED1CEE75-E7B9-4CB0-9E2A-4140191C4EE4}" name="Capacity (T)" dataDxfId="2"/>
    <tableColumn id="13" xr3:uid="{692F26B5-5EE4-424C-A39C-048687D2AD44}" name="Carries" dataDxfId="1"/>
    <tableColumn id="14" xr3:uid="{A96C7EAA-24E2-4227-9C9D-044DD168DC44}" name="Alt Na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824B-A24B-40E7-912E-57ABA8D1E046}">
  <dimension ref="A1:L100"/>
  <sheetViews>
    <sheetView workbookViewId="0">
      <pane ySplit="1" topLeftCell="A50" activePane="bottomLeft" state="frozen"/>
      <selection pane="bottomLeft" activeCell="C86" sqref="C86"/>
    </sheetView>
  </sheetViews>
  <sheetFormatPr defaultRowHeight="11.25" x14ac:dyDescent="0.25"/>
  <cols>
    <col min="1" max="1" width="10.85546875" style="2" bestFit="1" customWidth="1"/>
    <col min="2" max="2" width="5.7109375" style="2" bestFit="1" customWidth="1"/>
    <col min="3" max="3" width="11.85546875" style="2" bestFit="1" customWidth="1"/>
    <col min="4" max="4" width="19.42578125" style="2" bestFit="1" customWidth="1"/>
    <col min="5" max="5" width="10.42578125" style="2" bestFit="1" customWidth="1"/>
    <col min="6" max="6" width="9.140625" style="3"/>
    <col min="7" max="7" width="9.140625" style="8"/>
    <col min="8" max="11" width="9.140625" style="2"/>
    <col min="12" max="12" width="9.140625" style="3"/>
    <col min="13" max="16384" width="9.140625" style="2"/>
  </cols>
  <sheetData>
    <row r="1" spans="1:12" s="1" customFormat="1" ht="12.75" x14ac:dyDescent="0.25">
      <c r="A1" s="1" t="s">
        <v>40</v>
      </c>
      <c r="B1" s="1" t="s">
        <v>20</v>
      </c>
      <c r="C1" s="1" t="s">
        <v>19</v>
      </c>
      <c r="D1" s="1" t="s">
        <v>94</v>
      </c>
      <c r="E1" s="1" t="s">
        <v>21</v>
      </c>
      <c r="F1" s="6"/>
      <c r="G1" s="7"/>
      <c r="L1" s="6"/>
    </row>
    <row r="2" spans="1:12" x14ac:dyDescent="0.25">
      <c r="A2" s="2" t="s">
        <v>41</v>
      </c>
      <c r="B2" s="2" t="s">
        <v>95</v>
      </c>
      <c r="C2" s="2" t="s">
        <v>96</v>
      </c>
      <c r="D2" s="3" t="str">
        <f>IF(C2&lt;&gt;"",CONCATENATE("Class ",B2," '",C2,"'"),CONCATENATE("Class ",B2))</f>
        <v>Class 08 'Shunter'</v>
      </c>
      <c r="E2" s="2" t="s">
        <v>4</v>
      </c>
      <c r="F2" s="2"/>
      <c r="G2" s="8" t="str">
        <f>CONCATENATE("STR_NAME_LOCO_CLASS_",B2,": ",D2," (",E2,")")</f>
        <v>STR_NAME_LOCO_CLASS_08: Class 08 'Shunter' (Diesel)</v>
      </c>
      <c r="L2" s="8" t="str">
        <f>CONCATENATE("ITEM_FAI_CLASS_",B2)</f>
        <v>ITEM_FAI_CLASS_08</v>
      </c>
    </row>
    <row r="3" spans="1:12" x14ac:dyDescent="0.25">
      <c r="A3" s="2" t="s">
        <v>42</v>
      </c>
      <c r="B3" s="2" t="s">
        <v>104</v>
      </c>
      <c r="C3" s="2" t="s">
        <v>162</v>
      </c>
      <c r="D3" s="3" t="str">
        <f t="shared" ref="D3:D55" si="0">IF(C3&lt;&gt;"",CONCATENATE("Class ",B3," '",C3,"'"),CONCATENATE("Class ",B3))</f>
        <v>Class 14 'Teddy Bear'</v>
      </c>
      <c r="E3" s="2" t="s">
        <v>4</v>
      </c>
      <c r="G3" s="8" t="str">
        <f t="shared" ref="G3:G31" si="1">CONCATENATE("STR_NAME_LOCO_CLASS_",B3,": ",D3," (",E3,")")</f>
        <v>STR_NAME_LOCO_CLASS_14: Class 14 'Teddy Bear' (Diesel)</v>
      </c>
      <c r="L3" s="8" t="str">
        <f t="shared" ref="L3:L55" si="2">CONCATENATE("ITEM_FAI_CLASS_",B3)</f>
        <v>ITEM_FAI_CLASS_14</v>
      </c>
    </row>
    <row r="4" spans="1:12" x14ac:dyDescent="0.25">
      <c r="A4" s="2" t="s">
        <v>43</v>
      </c>
      <c r="B4" s="2" t="s">
        <v>114</v>
      </c>
      <c r="C4" s="2" t="s">
        <v>160</v>
      </c>
      <c r="D4" s="3" t="str">
        <f t="shared" si="0"/>
        <v>Class 20 'Chopper'</v>
      </c>
      <c r="E4" s="2" t="s">
        <v>4</v>
      </c>
      <c r="G4" s="8" t="str">
        <f t="shared" si="1"/>
        <v>STR_NAME_LOCO_CLASS_20: Class 20 'Chopper' (Diesel)</v>
      </c>
      <c r="L4" s="8" t="str">
        <f t="shared" si="2"/>
        <v>ITEM_FAI_CLASS_20</v>
      </c>
    </row>
    <row r="5" spans="1:12" x14ac:dyDescent="0.25">
      <c r="A5" s="2" t="s">
        <v>44</v>
      </c>
      <c r="B5" s="2" t="s">
        <v>113</v>
      </c>
      <c r="D5" s="3" t="str">
        <f t="shared" si="0"/>
        <v>Class 17</v>
      </c>
      <c r="E5" s="2" t="s">
        <v>4</v>
      </c>
      <c r="G5" s="8" t="str">
        <f t="shared" si="1"/>
        <v>STR_NAME_LOCO_CLASS_17: Class 17 (Diesel)</v>
      </c>
      <c r="L5" s="8" t="str">
        <f t="shared" si="2"/>
        <v>ITEM_FAI_CLASS_17</v>
      </c>
    </row>
    <row r="6" spans="1:12" x14ac:dyDescent="0.25">
      <c r="A6" s="2" t="s">
        <v>45</v>
      </c>
      <c r="B6" s="2" t="s">
        <v>117</v>
      </c>
      <c r="C6" s="2" t="s">
        <v>167</v>
      </c>
      <c r="D6" s="3" t="str">
        <f t="shared" si="0"/>
        <v>Class 24 'Rat'</v>
      </c>
      <c r="E6" s="2" t="s">
        <v>4</v>
      </c>
      <c r="G6" s="8" t="str">
        <f t="shared" si="1"/>
        <v>STR_NAME_LOCO_CLASS_24: Class 24 'Rat' (Diesel)</v>
      </c>
      <c r="L6" s="8" t="str">
        <f t="shared" si="2"/>
        <v>ITEM_FAI_CLASS_24</v>
      </c>
    </row>
    <row r="7" spans="1:12" x14ac:dyDescent="0.25">
      <c r="A7" s="2" t="s">
        <v>46</v>
      </c>
      <c r="B7" s="2" t="s">
        <v>115</v>
      </c>
      <c r="C7" s="2" t="s">
        <v>116</v>
      </c>
      <c r="D7" s="3" t="str">
        <f t="shared" si="0"/>
        <v>Class 23 'Baby Deltic'</v>
      </c>
      <c r="E7" s="2" t="s">
        <v>4</v>
      </c>
      <c r="G7" s="8" t="str">
        <f t="shared" si="1"/>
        <v>STR_NAME_LOCO_CLASS_23: Class 23 'Baby Deltic' (Diesel)</v>
      </c>
      <c r="L7" s="8" t="str">
        <f t="shared" si="2"/>
        <v>ITEM_FAI_CLASS_23</v>
      </c>
    </row>
    <row r="8" spans="1:12" x14ac:dyDescent="0.25">
      <c r="A8" s="2" t="s">
        <v>47</v>
      </c>
      <c r="B8" s="2" t="s">
        <v>118</v>
      </c>
      <c r="C8" s="2" t="s">
        <v>119</v>
      </c>
      <c r="D8" s="3" t="str">
        <f t="shared" si="0"/>
        <v>Class D16 'LMS 10000'</v>
      </c>
      <c r="E8" s="2" t="s">
        <v>4</v>
      </c>
      <c r="G8" s="8" t="str">
        <f t="shared" si="1"/>
        <v>STR_NAME_LOCO_CLASS_D16: Class D16 'LMS 10000' (Diesel)</v>
      </c>
      <c r="L8" s="8" t="str">
        <f t="shared" si="2"/>
        <v>ITEM_FAI_CLASS_D16</v>
      </c>
    </row>
    <row r="9" spans="1:12" x14ac:dyDescent="0.25">
      <c r="A9" s="2" t="s">
        <v>48</v>
      </c>
      <c r="B9" s="2" t="s">
        <v>120</v>
      </c>
      <c r="C9" s="2" t="s">
        <v>161</v>
      </c>
      <c r="D9" s="3" t="str">
        <f t="shared" si="0"/>
        <v>Class 37 'Tractor'</v>
      </c>
      <c r="E9" s="2" t="s">
        <v>4</v>
      </c>
      <c r="G9" s="8" t="str">
        <f t="shared" si="1"/>
        <v>STR_NAME_LOCO_CLASS_37: Class 37 'Tractor' (Diesel)</v>
      </c>
      <c r="L9" s="8" t="str">
        <f t="shared" si="2"/>
        <v>ITEM_FAI_CLASS_37</v>
      </c>
    </row>
    <row r="10" spans="1:12" x14ac:dyDescent="0.25">
      <c r="A10" s="2" t="s">
        <v>49</v>
      </c>
      <c r="B10" s="2" t="s">
        <v>121</v>
      </c>
      <c r="C10" s="2" t="s">
        <v>98</v>
      </c>
      <c r="D10" s="3" t="str">
        <f t="shared" si="0"/>
        <v>Class 41 'Warship'</v>
      </c>
      <c r="E10" s="2" t="s">
        <v>4</v>
      </c>
      <c r="G10" s="8" t="str">
        <f t="shared" si="1"/>
        <v>STR_NAME_LOCO_CLASS_41: Class 41 'Warship' (Diesel)</v>
      </c>
      <c r="L10" s="8" t="str">
        <f t="shared" si="2"/>
        <v>ITEM_FAI_CLASS_41</v>
      </c>
    </row>
    <row r="11" spans="1:12" x14ac:dyDescent="0.25">
      <c r="A11" s="2" t="s">
        <v>50</v>
      </c>
      <c r="B11" s="2" t="s">
        <v>122</v>
      </c>
      <c r="C11" s="2" t="s">
        <v>99</v>
      </c>
      <c r="D11" s="3" t="str">
        <f t="shared" si="0"/>
        <v>Class 52 'Western'</v>
      </c>
      <c r="E11" s="2" t="s">
        <v>4</v>
      </c>
      <c r="G11" s="8" t="str">
        <f t="shared" si="1"/>
        <v>STR_NAME_LOCO_CLASS_52: Class 52 'Western' (Diesel)</v>
      </c>
      <c r="L11" s="8" t="str">
        <f t="shared" si="2"/>
        <v>ITEM_FAI_CLASS_52</v>
      </c>
    </row>
    <row r="12" spans="1:12" x14ac:dyDescent="0.25">
      <c r="A12" s="2" t="s">
        <v>51</v>
      </c>
      <c r="B12" s="2" t="s">
        <v>124</v>
      </c>
      <c r="C12" s="2" t="s">
        <v>123</v>
      </c>
      <c r="D12" s="3" t="str">
        <f t="shared" si="0"/>
        <v>Class 44 'Peak'</v>
      </c>
      <c r="E12" s="2" t="s">
        <v>4</v>
      </c>
      <c r="G12" s="8" t="str">
        <f t="shared" si="1"/>
        <v>STR_NAME_LOCO_CLASS_44: Class 44 'Peak' (Diesel)</v>
      </c>
      <c r="L12" s="8" t="str">
        <f t="shared" si="2"/>
        <v>ITEM_FAI_CLASS_44</v>
      </c>
    </row>
    <row r="13" spans="1:12" x14ac:dyDescent="0.25">
      <c r="A13" s="2" t="s">
        <v>52</v>
      </c>
      <c r="B13" s="2" t="s">
        <v>125</v>
      </c>
      <c r="C13" s="2" t="s">
        <v>166</v>
      </c>
      <c r="D13" s="3" t="str">
        <f t="shared" si="0"/>
        <v>Class 47 'Spoon'</v>
      </c>
      <c r="E13" s="2" t="s">
        <v>4</v>
      </c>
      <c r="G13" s="8" t="str">
        <f t="shared" si="1"/>
        <v>STR_NAME_LOCO_CLASS_47: Class 47 'Spoon' (Diesel)</v>
      </c>
      <c r="L13" s="8" t="str">
        <f t="shared" si="2"/>
        <v>ITEM_FAI_CLASS_47</v>
      </c>
    </row>
    <row r="14" spans="1:12" x14ac:dyDescent="0.25">
      <c r="A14" s="2" t="s">
        <v>53</v>
      </c>
      <c r="B14" s="2" t="s">
        <v>126</v>
      </c>
      <c r="C14" s="2" t="s">
        <v>97</v>
      </c>
      <c r="D14" s="3" t="str">
        <f t="shared" si="0"/>
        <v>Class 55 'Deltic'</v>
      </c>
      <c r="E14" s="2" t="s">
        <v>4</v>
      </c>
      <c r="G14" s="8" t="str">
        <f t="shared" si="1"/>
        <v>STR_NAME_LOCO_CLASS_55: Class 55 'Deltic' (Diesel)</v>
      </c>
      <c r="L14" s="8" t="str">
        <f t="shared" si="2"/>
        <v>ITEM_FAI_CLASS_55</v>
      </c>
    </row>
    <row r="15" spans="1:12" x14ac:dyDescent="0.25">
      <c r="A15" s="2" t="s">
        <v>54</v>
      </c>
      <c r="B15" s="2" t="s">
        <v>105</v>
      </c>
      <c r="C15" s="2" t="s">
        <v>16</v>
      </c>
      <c r="D15" s="3" t="str">
        <f t="shared" si="0"/>
        <v>Class 58 'Bone'</v>
      </c>
      <c r="E15" s="2" t="s">
        <v>4</v>
      </c>
      <c r="G15" s="8" t="str">
        <f t="shared" si="1"/>
        <v>STR_NAME_LOCO_CLASS_58: Class 58 'Bone' (Diesel)</v>
      </c>
      <c r="L15" s="8" t="str">
        <f t="shared" si="2"/>
        <v>ITEM_FAI_CLASS_58</v>
      </c>
    </row>
    <row r="16" spans="1:12" x14ac:dyDescent="0.25">
      <c r="A16" s="2" t="s">
        <v>55</v>
      </c>
      <c r="B16" s="2" t="s">
        <v>127</v>
      </c>
      <c r="C16" s="2" t="s">
        <v>163</v>
      </c>
      <c r="D16" s="3" t="str">
        <f t="shared" si="0"/>
        <v>Class 60 'Tug'</v>
      </c>
      <c r="E16" s="2" t="s">
        <v>4</v>
      </c>
      <c r="G16" s="8" t="str">
        <f t="shared" si="1"/>
        <v>STR_NAME_LOCO_CLASS_60: Class 60 'Tug' (Diesel)</v>
      </c>
      <c r="L16" s="8" t="str">
        <f t="shared" si="2"/>
        <v>ITEM_FAI_CLASS_60</v>
      </c>
    </row>
    <row r="17" spans="1:12" x14ac:dyDescent="0.25">
      <c r="A17" s="2" t="s">
        <v>56</v>
      </c>
      <c r="B17" s="2" t="s">
        <v>106</v>
      </c>
      <c r="D17" s="3" t="str">
        <f t="shared" si="0"/>
        <v>Class 66</v>
      </c>
      <c r="E17" s="2" t="s">
        <v>4</v>
      </c>
      <c r="G17" s="8" t="str">
        <f t="shared" si="1"/>
        <v>STR_NAME_LOCO_CLASS_66: Class 66 (Diesel)</v>
      </c>
      <c r="L17" s="8" t="str">
        <f t="shared" si="2"/>
        <v>ITEM_FAI_CLASS_66</v>
      </c>
    </row>
    <row r="18" spans="1:12" x14ac:dyDescent="0.25">
      <c r="A18" s="2" t="s">
        <v>57</v>
      </c>
      <c r="B18" s="2" t="s">
        <v>107</v>
      </c>
      <c r="C18" s="2" t="s">
        <v>164</v>
      </c>
      <c r="D18" s="3" t="str">
        <f t="shared" si="0"/>
        <v>Class 67 'Skip'</v>
      </c>
      <c r="E18" s="2" t="s">
        <v>4</v>
      </c>
      <c r="G18" s="8" t="str">
        <f t="shared" si="1"/>
        <v>STR_NAME_LOCO_CLASS_67: Class 67 'Skip' (Diesel)</v>
      </c>
      <c r="L18" s="8" t="str">
        <f t="shared" si="2"/>
        <v>ITEM_FAI_CLASS_67</v>
      </c>
    </row>
    <row r="19" spans="1:12" x14ac:dyDescent="0.25">
      <c r="A19" s="2" t="s">
        <v>58</v>
      </c>
      <c r="B19" s="2" t="s">
        <v>128</v>
      </c>
      <c r="D19" s="3" t="str">
        <f t="shared" si="0"/>
        <v>Class 70 (II)</v>
      </c>
      <c r="E19" s="2" t="s">
        <v>4</v>
      </c>
      <c r="G19" s="8" t="str">
        <f t="shared" si="1"/>
        <v>STR_NAME_LOCO_CLASS_70 (II): Class 70 (II) (Diesel)</v>
      </c>
      <c r="L19" s="8" t="str">
        <f t="shared" si="2"/>
        <v>ITEM_FAI_CLASS_70 (II)</v>
      </c>
    </row>
    <row r="20" spans="1:12" x14ac:dyDescent="0.25">
      <c r="A20" s="2" t="s">
        <v>59</v>
      </c>
      <c r="B20" s="2" t="s">
        <v>130</v>
      </c>
      <c r="D20" s="3" t="str">
        <f t="shared" si="0"/>
        <v>Class 73 (JB)</v>
      </c>
      <c r="E20" s="2" t="s">
        <v>176</v>
      </c>
      <c r="G20" s="8" t="str">
        <f t="shared" si="1"/>
        <v>STR_NAME_LOCO_CLASS_73 (JB): Class 73 (JB) (Electro-Diesel)</v>
      </c>
      <c r="L20" s="8" t="str">
        <f t="shared" si="2"/>
        <v>ITEM_FAI_CLASS_73 (JB)</v>
      </c>
    </row>
    <row r="21" spans="1:12" x14ac:dyDescent="0.25">
      <c r="A21" s="2" t="s">
        <v>60</v>
      </c>
      <c r="B21" s="2" t="s">
        <v>129</v>
      </c>
      <c r="D21" s="3" t="str">
        <f t="shared" si="0"/>
        <v>Class 70 (I)</v>
      </c>
      <c r="E21" s="2" t="s">
        <v>5</v>
      </c>
      <c r="G21" s="8" t="str">
        <f t="shared" si="1"/>
        <v>STR_NAME_LOCO_CLASS_70 (I): Class 70 (I) (Electric)</v>
      </c>
      <c r="L21" s="8" t="str">
        <f t="shared" si="2"/>
        <v>ITEM_FAI_CLASS_70 (I)</v>
      </c>
    </row>
    <row r="22" spans="1:12" x14ac:dyDescent="0.25">
      <c r="A22" s="2" t="s">
        <v>61</v>
      </c>
      <c r="B22" s="2" t="s">
        <v>131</v>
      </c>
      <c r="D22" s="3" t="str">
        <f t="shared" si="0"/>
        <v>Class 71 (HA)</v>
      </c>
      <c r="E22" s="2" t="s">
        <v>5</v>
      </c>
      <c r="G22" s="8" t="str">
        <f t="shared" si="1"/>
        <v>STR_NAME_LOCO_CLASS_71 (HA): Class 71 (HA) (Electric)</v>
      </c>
      <c r="L22" s="8" t="str">
        <f t="shared" si="2"/>
        <v>ITEM_FAI_CLASS_71 (HA)</v>
      </c>
    </row>
    <row r="23" spans="1:12" x14ac:dyDescent="0.25">
      <c r="A23" s="2" t="s">
        <v>62</v>
      </c>
      <c r="B23" s="2" t="s">
        <v>2</v>
      </c>
      <c r="D23" s="2" t="s">
        <v>62</v>
      </c>
      <c r="E23" s="2" t="s">
        <v>5</v>
      </c>
      <c r="G23" s="8" t="str">
        <f t="shared" si="1"/>
        <v>STR_NAME_LOCO_CLASS_X: NER EF1 (Electric)</v>
      </c>
      <c r="L23" s="8" t="str">
        <f t="shared" si="2"/>
        <v>ITEM_FAI_CLASS_X</v>
      </c>
    </row>
    <row r="24" spans="1:12" x14ac:dyDescent="0.25">
      <c r="A24" s="2" t="s">
        <v>63</v>
      </c>
      <c r="B24" s="2" t="s">
        <v>2</v>
      </c>
      <c r="D24" s="2" t="s">
        <v>63</v>
      </c>
      <c r="E24" s="2" t="s">
        <v>5</v>
      </c>
      <c r="G24" s="8" t="str">
        <f t="shared" si="1"/>
        <v>STR_NAME_LOCO_CLASS_X: NER EE1 (Electric)</v>
      </c>
      <c r="L24" s="8" t="str">
        <f t="shared" si="2"/>
        <v>ITEM_FAI_CLASS_X</v>
      </c>
    </row>
    <row r="25" spans="1:12" x14ac:dyDescent="0.25">
      <c r="A25" s="2" t="s">
        <v>64</v>
      </c>
      <c r="B25" s="2" t="s">
        <v>132</v>
      </c>
      <c r="C25" s="2" t="s">
        <v>36</v>
      </c>
      <c r="D25" s="3" t="str">
        <f t="shared" si="0"/>
        <v>Class 76 'EM1'</v>
      </c>
      <c r="E25" s="2" t="s">
        <v>5</v>
      </c>
      <c r="G25" s="8" t="str">
        <f t="shared" si="1"/>
        <v>STR_NAME_LOCO_CLASS_76: Class 76 'EM1' (Electric)</v>
      </c>
      <c r="L25" s="8" t="str">
        <f t="shared" si="2"/>
        <v>ITEM_FAI_CLASS_76</v>
      </c>
    </row>
    <row r="26" spans="1:12" x14ac:dyDescent="0.25">
      <c r="A26" s="2" t="s">
        <v>65</v>
      </c>
      <c r="B26" s="2" t="s">
        <v>133</v>
      </c>
      <c r="C26" s="2" t="s">
        <v>37</v>
      </c>
      <c r="D26" s="3" t="str">
        <f t="shared" si="0"/>
        <v>Class 77 'EM2'</v>
      </c>
      <c r="E26" s="2" t="s">
        <v>5</v>
      </c>
      <c r="G26" s="8" t="str">
        <f t="shared" si="1"/>
        <v>STR_NAME_LOCO_CLASS_77: Class 77 'EM2' (Electric)</v>
      </c>
      <c r="L26" s="8" t="str">
        <f t="shared" si="2"/>
        <v>ITEM_FAI_CLASS_77</v>
      </c>
    </row>
    <row r="27" spans="1:12" x14ac:dyDescent="0.25">
      <c r="A27" s="2" t="s">
        <v>66</v>
      </c>
      <c r="B27" s="2" t="s">
        <v>134</v>
      </c>
      <c r="C27" s="2" t="s">
        <v>100</v>
      </c>
      <c r="D27" s="3" t="str">
        <f t="shared" si="0"/>
        <v>Class 81 'AL1'</v>
      </c>
      <c r="E27" s="2" t="s">
        <v>5</v>
      </c>
      <c r="G27" s="8" t="str">
        <f t="shared" si="1"/>
        <v>STR_NAME_LOCO_CLASS_81: Class 81 'AL1' (Electric)</v>
      </c>
      <c r="L27" s="8" t="str">
        <f t="shared" si="2"/>
        <v>ITEM_FAI_CLASS_81</v>
      </c>
    </row>
    <row r="28" spans="1:12" x14ac:dyDescent="0.25">
      <c r="A28" s="2" t="s">
        <v>67</v>
      </c>
      <c r="B28" s="2" t="s">
        <v>135</v>
      </c>
      <c r="C28" s="2" t="s">
        <v>101</v>
      </c>
      <c r="D28" s="3" t="str">
        <f t="shared" si="0"/>
        <v>Class 86 'AL6'</v>
      </c>
      <c r="E28" s="2" t="s">
        <v>5</v>
      </c>
      <c r="G28" s="8" t="str">
        <f t="shared" si="1"/>
        <v>STR_NAME_LOCO_CLASS_86: Class 86 'AL6' (Electric)</v>
      </c>
      <c r="L28" s="8" t="str">
        <f t="shared" si="2"/>
        <v>ITEM_FAI_CLASS_86</v>
      </c>
    </row>
    <row r="29" spans="1:12" x14ac:dyDescent="0.25">
      <c r="A29" s="2" t="s">
        <v>68</v>
      </c>
      <c r="B29" s="2" t="s">
        <v>139</v>
      </c>
      <c r="C29" s="2" t="s">
        <v>165</v>
      </c>
      <c r="D29" s="3" t="str">
        <f t="shared" si="0"/>
        <v>Class 89 'Badger'</v>
      </c>
      <c r="E29" s="2" t="s">
        <v>5</v>
      </c>
      <c r="G29" s="8" t="str">
        <f t="shared" si="1"/>
        <v>STR_NAME_LOCO_CLASS_89: Class 89 'Badger' (Electric)</v>
      </c>
      <c r="L29" s="8" t="str">
        <f t="shared" si="2"/>
        <v>ITEM_FAI_CLASS_89</v>
      </c>
    </row>
    <row r="30" spans="1:12" x14ac:dyDescent="0.25">
      <c r="A30" s="2" t="s">
        <v>69</v>
      </c>
      <c r="B30" s="2" t="s">
        <v>108</v>
      </c>
      <c r="D30" s="3" t="str">
        <f t="shared" si="0"/>
        <v>Class 90</v>
      </c>
      <c r="E30" s="2" t="s">
        <v>5</v>
      </c>
      <c r="G30" s="8" t="str">
        <f t="shared" si="1"/>
        <v>STR_NAME_LOCO_CLASS_90: Class 90 (Electric)</v>
      </c>
      <c r="L30" s="8" t="str">
        <f t="shared" si="2"/>
        <v>ITEM_FAI_CLASS_90</v>
      </c>
    </row>
    <row r="31" spans="1:12" x14ac:dyDescent="0.25">
      <c r="A31" s="2" t="s">
        <v>70</v>
      </c>
      <c r="B31" s="2" t="s">
        <v>109</v>
      </c>
      <c r="C31" s="2" t="s">
        <v>168</v>
      </c>
      <c r="D31" s="3" t="str">
        <f t="shared" si="0"/>
        <v>Class 92 'Caravan'</v>
      </c>
      <c r="E31" s="2" t="s">
        <v>5</v>
      </c>
      <c r="G31" s="8" t="str">
        <f t="shared" si="1"/>
        <v>STR_NAME_LOCO_CLASS_92: Class 92 'Caravan' (Electric)</v>
      </c>
      <c r="L31" s="8" t="str">
        <f t="shared" si="2"/>
        <v>ITEM_FAI_CLASS_92</v>
      </c>
    </row>
    <row r="32" spans="1:12" x14ac:dyDescent="0.25">
      <c r="A32" s="2" t="s">
        <v>71</v>
      </c>
      <c r="D32" s="3" t="s">
        <v>154</v>
      </c>
      <c r="E32" s="2" t="s">
        <v>5</v>
      </c>
      <c r="L32" s="8" t="str">
        <f t="shared" si="2"/>
        <v>ITEM_FAI_CLASS_</v>
      </c>
    </row>
    <row r="33" spans="1:12" x14ac:dyDescent="0.25">
      <c r="A33" s="2" t="s">
        <v>72</v>
      </c>
      <c r="B33" s="2" t="s">
        <v>140</v>
      </c>
      <c r="C33" s="2" t="s">
        <v>102</v>
      </c>
      <c r="D33" s="3" t="str">
        <f t="shared" si="0"/>
        <v>Class 370 'APT'</v>
      </c>
      <c r="E33" s="2" t="s">
        <v>5</v>
      </c>
      <c r="G33" s="8" t="str">
        <f>CONCATENATE("STR_NAME_MU_CLASS_",B33,": ",D33," (Electric)")</f>
        <v>STR_NAME_MU_CLASS_370: Class 370 'APT' (Electric)</v>
      </c>
      <c r="L33" s="8" t="str">
        <f t="shared" si="2"/>
        <v>ITEM_FAI_CLASS_370</v>
      </c>
    </row>
    <row r="34" spans="1:12" x14ac:dyDescent="0.25">
      <c r="A34" s="2" t="s">
        <v>73</v>
      </c>
      <c r="B34" s="2" t="s">
        <v>110</v>
      </c>
      <c r="D34" s="3" t="str">
        <f t="shared" si="0"/>
        <v>Class 91</v>
      </c>
      <c r="E34" s="2" t="s">
        <v>5</v>
      </c>
      <c r="G34" s="8" t="str">
        <f t="shared" ref="G34:G55" si="3">CONCATENATE("STR_NAME_MU_CLASS_",B34,": ",D34," (Electric)")</f>
        <v>STR_NAME_MU_CLASS_91: Class 91 (Electric)</v>
      </c>
      <c r="L34" s="8" t="str">
        <f t="shared" si="2"/>
        <v>ITEM_FAI_CLASS_91</v>
      </c>
    </row>
    <row r="35" spans="1:12" x14ac:dyDescent="0.25">
      <c r="A35" s="2" t="s">
        <v>74</v>
      </c>
      <c r="B35" s="2" t="s">
        <v>147</v>
      </c>
      <c r="C35" s="2" t="s">
        <v>74</v>
      </c>
      <c r="D35" s="3" t="str">
        <f t="shared" si="0"/>
        <v>Class 373 'Eurostar'</v>
      </c>
      <c r="E35" s="2" t="s">
        <v>5</v>
      </c>
      <c r="G35" s="8" t="str">
        <f t="shared" si="3"/>
        <v>STR_NAME_MU_CLASS_373: Class 373 'Eurostar' (Electric)</v>
      </c>
      <c r="L35" s="8" t="str">
        <f t="shared" si="2"/>
        <v>ITEM_FAI_CLASS_373</v>
      </c>
    </row>
    <row r="36" spans="1:12" x14ac:dyDescent="0.25">
      <c r="A36" s="2" t="s">
        <v>75</v>
      </c>
      <c r="D36" s="3" t="s">
        <v>150</v>
      </c>
      <c r="E36" s="2" t="s">
        <v>3</v>
      </c>
      <c r="G36" s="8" t="str">
        <f t="shared" si="3"/>
        <v>STR_NAME_MU_CLASS_: GWR Railmotor (Electric)</v>
      </c>
      <c r="L36" s="8" t="str">
        <f t="shared" si="2"/>
        <v>ITEM_FAI_CLASS_</v>
      </c>
    </row>
    <row r="37" spans="1:12" x14ac:dyDescent="0.25">
      <c r="A37" s="2" t="s">
        <v>76</v>
      </c>
      <c r="D37" s="3" t="s">
        <v>76</v>
      </c>
      <c r="E37" s="2" t="s">
        <v>4</v>
      </c>
      <c r="G37" s="8" t="str">
        <f t="shared" si="3"/>
        <v>STR_NAME_MU_CLASS_: AEC Railbus (Electric)</v>
      </c>
      <c r="L37" s="8" t="str">
        <f t="shared" si="2"/>
        <v>ITEM_FAI_CLASS_</v>
      </c>
    </row>
    <row r="38" spans="1:12" x14ac:dyDescent="0.25">
      <c r="A38" s="2" t="s">
        <v>77</v>
      </c>
      <c r="D38" s="3" t="s">
        <v>148</v>
      </c>
      <c r="E38" s="2" t="s">
        <v>4</v>
      </c>
      <c r="G38" s="8" t="str">
        <f t="shared" si="3"/>
        <v>STR_NAME_MU_CLASS_: GWR Railcar (Electric)</v>
      </c>
      <c r="L38" s="8" t="str">
        <f t="shared" si="2"/>
        <v>ITEM_FAI_CLASS_</v>
      </c>
    </row>
    <row r="39" spans="1:12" x14ac:dyDescent="0.25">
      <c r="A39" s="2" t="s">
        <v>78</v>
      </c>
      <c r="B39" s="2" t="s">
        <v>149</v>
      </c>
      <c r="D39" s="3" t="str">
        <f t="shared" si="0"/>
        <v>Class 101</v>
      </c>
      <c r="E39" s="2" t="s">
        <v>4</v>
      </c>
      <c r="G39" s="8" t="str">
        <f t="shared" si="3"/>
        <v>STR_NAME_MU_CLASS_101: Class 101 (Electric)</v>
      </c>
      <c r="L39" s="8" t="str">
        <f t="shared" si="2"/>
        <v>ITEM_FAI_CLASS_101</v>
      </c>
    </row>
    <row r="40" spans="1:12" x14ac:dyDescent="0.25">
      <c r="A40" s="2" t="s">
        <v>79</v>
      </c>
      <c r="B40" s="2" t="s">
        <v>142</v>
      </c>
      <c r="C40" s="2" t="s">
        <v>79</v>
      </c>
      <c r="D40" s="3" t="str">
        <f t="shared" si="0"/>
        <v>Class 150 'Sprinter'</v>
      </c>
      <c r="E40" s="2" t="s">
        <v>4</v>
      </c>
      <c r="G40" s="8" t="str">
        <f t="shared" si="3"/>
        <v>STR_NAME_MU_CLASS_150: Class 150 'Sprinter' (Electric)</v>
      </c>
      <c r="L40" s="8" t="str">
        <f t="shared" si="2"/>
        <v>ITEM_FAI_CLASS_150</v>
      </c>
    </row>
    <row r="41" spans="1:12" x14ac:dyDescent="0.25">
      <c r="A41" s="2" t="s">
        <v>80</v>
      </c>
      <c r="B41" s="2" t="s">
        <v>143</v>
      </c>
      <c r="C41" s="2" t="s">
        <v>137</v>
      </c>
      <c r="D41" s="3" t="str">
        <f t="shared" si="0"/>
        <v>Class 158 'Express Sprinter'</v>
      </c>
      <c r="E41" s="2" t="s">
        <v>4</v>
      </c>
      <c r="G41" s="8" t="str">
        <f t="shared" si="3"/>
        <v>STR_NAME_MU_CLASS_158: Class 158 'Express Sprinter' (Electric)</v>
      </c>
      <c r="L41" s="8" t="str">
        <f t="shared" si="2"/>
        <v>ITEM_FAI_CLASS_158</v>
      </c>
    </row>
    <row r="42" spans="1:12" x14ac:dyDescent="0.25">
      <c r="A42" s="2" t="s">
        <v>81</v>
      </c>
      <c r="B42" s="2" t="s">
        <v>141</v>
      </c>
      <c r="C42" s="2" t="s">
        <v>81</v>
      </c>
      <c r="D42" s="3" t="str">
        <f t="shared" si="0"/>
        <v>Class 170 'Turbostar'</v>
      </c>
      <c r="E42" s="2" t="s">
        <v>4</v>
      </c>
      <c r="G42" s="8" t="str">
        <f t="shared" si="3"/>
        <v>STR_NAME_MU_CLASS_170: Class 170 'Turbostar' (Electric)</v>
      </c>
      <c r="L42" s="8" t="str">
        <f t="shared" si="2"/>
        <v>ITEM_FAI_CLASS_170</v>
      </c>
    </row>
    <row r="43" spans="1:12" x14ac:dyDescent="0.25">
      <c r="A43" s="2" t="s">
        <v>82</v>
      </c>
      <c r="B43" s="2" t="s">
        <v>144</v>
      </c>
      <c r="C43" s="2" t="s">
        <v>82</v>
      </c>
      <c r="D43" s="3" t="str">
        <f t="shared" si="0"/>
        <v>Class 220 'Voyager'</v>
      </c>
      <c r="E43" s="2" t="s">
        <v>4</v>
      </c>
      <c r="G43" s="8" t="str">
        <f t="shared" si="3"/>
        <v>STR_NAME_MU_CLASS_220: Class 220 'Voyager' (Electric)</v>
      </c>
      <c r="L43" s="8" t="str">
        <f t="shared" si="2"/>
        <v>ITEM_FAI_CLASS_220</v>
      </c>
    </row>
    <row r="44" spans="1:12" x14ac:dyDescent="0.25">
      <c r="A44" s="2" t="s">
        <v>83</v>
      </c>
      <c r="B44" s="2" t="s">
        <v>145</v>
      </c>
      <c r="C44" s="2" t="s">
        <v>103</v>
      </c>
      <c r="D44" s="3" t="str">
        <f t="shared" si="0"/>
        <v>Class 253 'HST'</v>
      </c>
      <c r="E44" s="2" t="s">
        <v>4</v>
      </c>
      <c r="G44" s="8" t="str">
        <f t="shared" si="3"/>
        <v>STR_NAME_MU_CLASS_253: Class 253 'HST' (Electric)</v>
      </c>
      <c r="L44" s="8" t="str">
        <f t="shared" si="2"/>
        <v>ITEM_FAI_CLASS_253</v>
      </c>
    </row>
    <row r="45" spans="1:12" x14ac:dyDescent="0.25">
      <c r="A45" s="2" t="s">
        <v>84</v>
      </c>
      <c r="D45" s="3" t="s">
        <v>153</v>
      </c>
      <c r="E45" s="2" t="s">
        <v>5</v>
      </c>
      <c r="G45" s="8" t="str">
        <f t="shared" si="3"/>
        <v>STR_NAME_MU_CLASS_: LNWR EMU (Electric)</v>
      </c>
      <c r="L45" s="8" t="str">
        <f t="shared" si="2"/>
        <v>ITEM_FAI_CLASS_</v>
      </c>
    </row>
    <row r="46" spans="1:12" x14ac:dyDescent="0.25">
      <c r="A46" s="2" t="s">
        <v>85</v>
      </c>
      <c r="B46" s="2" t="s">
        <v>152</v>
      </c>
      <c r="D46" s="3" t="str">
        <f t="shared" si="0"/>
        <v>Class 404</v>
      </c>
      <c r="E46" s="2" t="s">
        <v>5</v>
      </c>
      <c r="G46" s="8" t="str">
        <f t="shared" si="3"/>
        <v>STR_NAME_MU_CLASS_404: Class 404 (Electric)</v>
      </c>
      <c r="L46" s="8" t="str">
        <f t="shared" si="2"/>
        <v>ITEM_FAI_CLASS_404</v>
      </c>
    </row>
    <row r="47" spans="1:12" x14ac:dyDescent="0.25">
      <c r="A47" s="2" t="s">
        <v>86</v>
      </c>
      <c r="B47" s="2" t="s">
        <v>151</v>
      </c>
      <c r="D47" s="3" t="str">
        <f t="shared" si="0"/>
        <v>Class 421</v>
      </c>
      <c r="E47" s="2" t="s">
        <v>5</v>
      </c>
      <c r="G47" s="8" t="str">
        <f t="shared" si="3"/>
        <v>STR_NAME_MU_CLASS_421: Class 421 (Electric)</v>
      </c>
      <c r="L47" s="8" t="str">
        <f t="shared" si="2"/>
        <v>ITEM_FAI_CLASS_421</v>
      </c>
    </row>
    <row r="48" spans="1:12" x14ac:dyDescent="0.25">
      <c r="A48" s="2" t="s">
        <v>87</v>
      </c>
      <c r="B48" s="2" t="s">
        <v>155</v>
      </c>
      <c r="C48" s="2" t="s">
        <v>156</v>
      </c>
      <c r="D48" s="3" t="str">
        <f t="shared" si="0"/>
        <v>Class 442 'Wessex Express'</v>
      </c>
      <c r="E48" s="2" t="s">
        <v>5</v>
      </c>
      <c r="G48" s="8" t="str">
        <f t="shared" si="3"/>
        <v>STR_NAME_MU_CLASS_442: Class 442 'Wessex Express' (Electric)</v>
      </c>
      <c r="L48" s="8" t="str">
        <f t="shared" si="2"/>
        <v>ITEM_FAI_CLASS_442</v>
      </c>
    </row>
    <row r="49" spans="1:12" x14ac:dyDescent="0.25">
      <c r="A49" s="2" t="s">
        <v>88</v>
      </c>
      <c r="B49" s="2" t="s">
        <v>146</v>
      </c>
      <c r="C49" s="2" t="s">
        <v>88</v>
      </c>
      <c r="D49" s="3" t="str">
        <f t="shared" si="0"/>
        <v>Class 310 'AM10'</v>
      </c>
      <c r="E49" s="2" t="s">
        <v>5</v>
      </c>
      <c r="G49" s="8" t="str">
        <f t="shared" si="3"/>
        <v>STR_NAME_MU_CLASS_310: Class 310 'AM10' (Electric)</v>
      </c>
      <c r="L49" s="8" t="str">
        <f t="shared" si="2"/>
        <v>ITEM_FAI_CLASS_310</v>
      </c>
    </row>
    <row r="50" spans="1:12" x14ac:dyDescent="0.25">
      <c r="A50" s="2" t="s">
        <v>89</v>
      </c>
      <c r="B50" s="2" t="s">
        <v>111</v>
      </c>
      <c r="D50" s="3" t="str">
        <f t="shared" si="0"/>
        <v>Class 313</v>
      </c>
      <c r="E50" s="2" t="s">
        <v>5</v>
      </c>
      <c r="G50" s="8" t="str">
        <f t="shared" si="3"/>
        <v>STR_NAME_MU_CLASS_313: Class 313 (Electric)</v>
      </c>
      <c r="L50" s="8" t="str">
        <f t="shared" si="2"/>
        <v>ITEM_FAI_CLASS_313</v>
      </c>
    </row>
    <row r="51" spans="1:12" x14ac:dyDescent="0.25">
      <c r="A51" s="2" t="s">
        <v>39</v>
      </c>
      <c r="B51" s="2" t="s">
        <v>112</v>
      </c>
      <c r="D51" s="3" t="str">
        <f t="shared" si="0"/>
        <v>Class 321</v>
      </c>
      <c r="E51" s="2" t="s">
        <v>5</v>
      </c>
      <c r="G51" s="8" t="str">
        <f t="shared" si="3"/>
        <v>STR_NAME_MU_CLASS_321: Class 321 (Electric)</v>
      </c>
      <c r="L51" s="8" t="str">
        <f t="shared" si="2"/>
        <v>ITEM_FAI_CLASS_321</v>
      </c>
    </row>
    <row r="52" spans="1:12" x14ac:dyDescent="0.25">
      <c r="A52" s="2" t="s">
        <v>90</v>
      </c>
      <c r="B52" s="2" t="s">
        <v>136</v>
      </c>
      <c r="D52" s="3" t="str">
        <f t="shared" si="0"/>
        <v>Class 325</v>
      </c>
      <c r="E52" s="2" t="s">
        <v>5</v>
      </c>
      <c r="G52" s="8" t="str">
        <f t="shared" si="3"/>
        <v>STR_NAME_MU_CLASS_325: Class 325 (Electric)</v>
      </c>
      <c r="L52" s="8" t="str">
        <f t="shared" si="2"/>
        <v>ITEM_FAI_CLASS_325</v>
      </c>
    </row>
    <row r="53" spans="1:12" x14ac:dyDescent="0.25">
      <c r="A53" s="2" t="s">
        <v>91</v>
      </c>
      <c r="B53" s="2" t="s">
        <v>158</v>
      </c>
      <c r="C53" s="2" t="s">
        <v>91</v>
      </c>
      <c r="D53" s="3" t="str">
        <f t="shared" si="0"/>
        <v>Class 357 'Electrostar'</v>
      </c>
      <c r="E53" s="2" t="s">
        <v>5</v>
      </c>
      <c r="G53" s="8" t="str">
        <f t="shared" si="3"/>
        <v>STR_NAME_MU_CLASS_357: Class 357 'Electrostar' (Electric)</v>
      </c>
      <c r="L53" s="8" t="str">
        <f t="shared" si="2"/>
        <v>ITEM_FAI_CLASS_357</v>
      </c>
    </row>
    <row r="54" spans="1:12" x14ac:dyDescent="0.25">
      <c r="A54" s="2" t="s">
        <v>92</v>
      </c>
      <c r="B54" s="2" t="s">
        <v>157</v>
      </c>
      <c r="C54" s="2" t="s">
        <v>92</v>
      </c>
      <c r="D54" s="3" t="str">
        <f t="shared" si="0"/>
        <v>Class 390 'Pendolino'</v>
      </c>
      <c r="E54" s="2" t="s">
        <v>5</v>
      </c>
      <c r="G54" s="8" t="str">
        <f t="shared" si="3"/>
        <v>STR_NAME_MU_CLASS_390: Class 390 'Pendolino' (Electric)</v>
      </c>
      <c r="L54" s="8" t="str">
        <f t="shared" si="2"/>
        <v>ITEM_FAI_CLASS_390</v>
      </c>
    </row>
    <row r="55" spans="1:12" x14ac:dyDescent="0.25">
      <c r="A55" s="2" t="s">
        <v>93</v>
      </c>
      <c r="B55" s="2" t="s">
        <v>159</v>
      </c>
      <c r="C55" s="2" t="s">
        <v>138</v>
      </c>
      <c r="D55" s="3" t="str">
        <f t="shared" si="0"/>
        <v>Class 395 'A-Train'</v>
      </c>
      <c r="E55" s="2" t="s">
        <v>5</v>
      </c>
      <c r="G55" s="8" t="str">
        <f t="shared" si="3"/>
        <v>STR_NAME_MU_CLASS_395: Class 395 'A-Train' (Electric)</v>
      </c>
      <c r="L55" s="8" t="str">
        <f t="shared" si="2"/>
        <v>ITEM_FAI_CLASS_395</v>
      </c>
    </row>
    <row r="56" spans="1:12" x14ac:dyDescent="0.25">
      <c r="L56" s="8" t="str">
        <f t="shared" ref="L56:L99" si="4">CONCATENATE("ITEM_FAI_",UPPER(C56))</f>
        <v>ITEM_FAI_</v>
      </c>
    </row>
    <row r="57" spans="1:12" x14ac:dyDescent="0.25">
      <c r="B57" s="2" t="s">
        <v>179</v>
      </c>
      <c r="C57" s="2" t="s">
        <v>178</v>
      </c>
      <c r="D57" s="3" t="str">
        <f>IF(C57&lt;&gt;"",CONCATENATE(B57," '",C57,"'"),CONCATENATE("Class ",B57))</f>
        <v>EE 'GT3'</v>
      </c>
      <c r="E57" s="2" t="s">
        <v>177</v>
      </c>
      <c r="G57" s="8" t="str">
        <f>CONCATENATE("STR_NAME_LOCO_",C57,": ",D57," (",E57,")")</f>
        <v>STR_NAME_LOCO_GT3: EE 'GT3' (Turbine)</v>
      </c>
      <c r="L57" s="8" t="str">
        <f t="shared" si="4"/>
        <v>ITEM_FAI_GT3</v>
      </c>
    </row>
    <row r="58" spans="1:12" x14ac:dyDescent="0.25">
      <c r="L58" s="8" t="str">
        <f t="shared" si="4"/>
        <v>ITEM_FAI_</v>
      </c>
    </row>
    <row r="59" spans="1:12" x14ac:dyDescent="0.25">
      <c r="B59" s="2" t="s">
        <v>180</v>
      </c>
      <c r="C59" s="2" t="s">
        <v>181</v>
      </c>
      <c r="D59" s="3" t="str">
        <f>IF(C59&lt;&gt;"",CONCATENATE(B59," '",C59,"'"),CONCATENATE("Class ",B59))</f>
        <v>2-2-0 'Planet'</v>
      </c>
      <c r="E59" s="2" t="s">
        <v>3</v>
      </c>
      <c r="G59" s="8" t="str">
        <f>CONCATENATE("STR_NAME_LOCO_",UPPER(C59),": ",D59," (",E59,")")</f>
        <v>STR_NAME_LOCO_PLANET: 2-2-0 'Planet' (Steam)</v>
      </c>
      <c r="L59" s="8" t="str">
        <f t="shared" si="4"/>
        <v>ITEM_FAI_PLANET</v>
      </c>
    </row>
    <row r="60" spans="1:12" x14ac:dyDescent="0.25">
      <c r="B60" s="2" t="s">
        <v>182</v>
      </c>
      <c r="C60" s="2" t="s">
        <v>191</v>
      </c>
      <c r="D60" s="3" t="str">
        <f t="shared" ref="D60:D99" si="5">IF(C60&lt;&gt;"",CONCATENATE(B60," '",C60,"'"),CONCATENATE("Class ",B60))</f>
        <v>0-4-0 'Coppernob'</v>
      </c>
      <c r="E60" s="2" t="s">
        <v>3</v>
      </c>
      <c r="G60" s="8" t="str">
        <f t="shared" ref="G60:G99" si="6">CONCATENATE("STR_NAME_LOCO_",UPPER(C60),": ",D60," (",E60,")")</f>
        <v>STR_NAME_LOCO_COPPERNOB: 0-4-0 'Coppernob' (Steam)</v>
      </c>
      <c r="L60" s="8" t="str">
        <f t="shared" si="4"/>
        <v>ITEM_FAI_COPPERNOB</v>
      </c>
    </row>
    <row r="61" spans="1:12" x14ac:dyDescent="0.25">
      <c r="B61" s="2" t="s">
        <v>183</v>
      </c>
      <c r="C61" s="2" t="s">
        <v>192</v>
      </c>
      <c r="D61" s="3" t="str">
        <f t="shared" si="5"/>
        <v>4-2-0 'Crampton'</v>
      </c>
      <c r="E61" s="2" t="s">
        <v>3</v>
      </c>
      <c r="G61" s="8" t="str">
        <f t="shared" si="6"/>
        <v>STR_NAME_LOCO_CRAMPTON: 4-2-0 'Crampton' (Steam)</v>
      </c>
      <c r="L61" s="8" t="str">
        <f t="shared" si="4"/>
        <v>ITEM_FAI_CRAMPTON</v>
      </c>
    </row>
    <row r="62" spans="1:12" x14ac:dyDescent="0.25">
      <c r="B62" s="2" t="s">
        <v>24</v>
      </c>
      <c r="C62" s="2" t="s">
        <v>193</v>
      </c>
      <c r="D62" s="3" t="str">
        <f t="shared" si="5"/>
        <v>0-6-0 'Long Boiler'</v>
      </c>
      <c r="E62" s="2" t="s">
        <v>3</v>
      </c>
      <c r="G62" s="8" t="str">
        <f>CONCATENATE("STR_NAME_LOCO_","LONG_BOILER",": ",D62," (",E62,")")</f>
        <v>STR_NAME_LOCO_LONG_BOILER: 0-6-0 'Long Boiler' (Steam)</v>
      </c>
      <c r="L62" s="8" t="str">
        <f t="shared" si="4"/>
        <v>ITEM_FAI_LONG BOILER</v>
      </c>
    </row>
    <row r="63" spans="1:12" x14ac:dyDescent="0.25">
      <c r="B63" s="2" t="s">
        <v>182</v>
      </c>
      <c r="C63" s="2" t="s">
        <v>194</v>
      </c>
      <c r="D63" s="3" t="str">
        <f t="shared" si="5"/>
        <v>0-4-0 'Industrial'</v>
      </c>
      <c r="E63" s="2" t="s">
        <v>3</v>
      </c>
      <c r="G63" s="8" t="str">
        <f t="shared" si="6"/>
        <v>STR_NAME_LOCO_INDUSTRIAL: 0-4-0 'Industrial' (Steam)</v>
      </c>
      <c r="L63" s="8" t="str">
        <f t="shared" si="4"/>
        <v>ITEM_FAI_INDUSTRIAL</v>
      </c>
    </row>
    <row r="64" spans="1:12" x14ac:dyDescent="0.25">
      <c r="B64" s="2" t="s">
        <v>24</v>
      </c>
      <c r="C64" s="2" t="s">
        <v>195</v>
      </c>
      <c r="D64" s="3" t="str">
        <f t="shared" si="5"/>
        <v>0-6-0 'Tram Engine'</v>
      </c>
      <c r="E64" s="2" t="s">
        <v>3</v>
      </c>
      <c r="G64" s="8" t="str">
        <f>CONCATENATE("STR_NAME_LOCO_","TRAM_ENGINE",": ",D64," (",E64,")")</f>
        <v>STR_NAME_LOCO_TRAM_ENGINE: 0-6-0 'Tram Engine' (Steam)</v>
      </c>
      <c r="L64" s="8" t="str">
        <f t="shared" si="4"/>
        <v>ITEM_FAI_TRAM ENGINE</v>
      </c>
    </row>
    <row r="65" spans="2:12" x14ac:dyDescent="0.25">
      <c r="B65" s="2" t="s">
        <v>24</v>
      </c>
      <c r="C65" s="2" t="s">
        <v>196</v>
      </c>
      <c r="D65" s="3" t="str">
        <f t="shared" si="5"/>
        <v>0-6-0 'Hunslet'</v>
      </c>
      <c r="E65" s="2" t="s">
        <v>3</v>
      </c>
      <c r="G65" s="8" t="str">
        <f t="shared" si="6"/>
        <v>STR_NAME_LOCO_HUNSLET: 0-6-0 'Hunslet' (Steam)</v>
      </c>
      <c r="L65" s="8" t="str">
        <f t="shared" si="4"/>
        <v>ITEM_FAI_HUNSLET</v>
      </c>
    </row>
    <row r="66" spans="2:12" x14ac:dyDescent="0.25">
      <c r="B66" s="2" t="s">
        <v>184</v>
      </c>
      <c r="C66" s="2" t="s">
        <v>197</v>
      </c>
      <c r="D66" s="3" t="str">
        <f t="shared" si="5"/>
        <v>0-4-2 'Tank'</v>
      </c>
      <c r="E66" s="2" t="s">
        <v>3</v>
      </c>
      <c r="G66" s="8" t="str">
        <f t="shared" si="6"/>
        <v>STR_NAME_LOCO_TANK: 0-4-2 'Tank' (Steam)</v>
      </c>
      <c r="L66" s="8" t="str">
        <f t="shared" si="4"/>
        <v>ITEM_FAI_TANK</v>
      </c>
    </row>
    <row r="67" spans="2:12" x14ac:dyDescent="0.25">
      <c r="B67" s="2" t="s">
        <v>185</v>
      </c>
      <c r="C67" s="2" t="s">
        <v>198</v>
      </c>
      <c r="D67" s="3" t="str">
        <f t="shared" si="5"/>
        <v>0-4-4 'Metropolitan'</v>
      </c>
      <c r="E67" s="2" t="s">
        <v>3</v>
      </c>
      <c r="G67" s="8" t="str">
        <f t="shared" si="6"/>
        <v>STR_NAME_LOCO_METROPOLITAN: 0-4-4 'Metropolitan' (Steam)</v>
      </c>
      <c r="L67" s="8" t="str">
        <f t="shared" si="4"/>
        <v>ITEM_FAI_METROPOLITAN</v>
      </c>
    </row>
    <row r="68" spans="2:12" x14ac:dyDescent="0.25">
      <c r="B68" s="2" t="s">
        <v>24</v>
      </c>
      <c r="C68" s="2" t="s">
        <v>199</v>
      </c>
      <c r="D68" s="3" t="str">
        <f t="shared" si="5"/>
        <v>0-6-0 'Jinty'</v>
      </c>
      <c r="E68" s="2" t="s">
        <v>3</v>
      </c>
      <c r="G68" s="8" t="str">
        <f t="shared" si="6"/>
        <v>STR_NAME_LOCO_JINTY: 0-6-0 'Jinty' (Steam)</v>
      </c>
      <c r="L68" s="8" t="str">
        <f t="shared" si="4"/>
        <v>ITEM_FAI_JINTY</v>
      </c>
    </row>
    <row r="69" spans="2:12" x14ac:dyDescent="0.25">
      <c r="B69" s="2" t="s">
        <v>26</v>
      </c>
      <c r="C69" s="2" t="s">
        <v>200</v>
      </c>
      <c r="D69" s="3" t="str">
        <f t="shared" si="5"/>
        <v>4-4-2 'Suburban'</v>
      </c>
      <c r="E69" s="2" t="s">
        <v>3</v>
      </c>
      <c r="G69" s="8" t="str">
        <f t="shared" si="6"/>
        <v>STR_NAME_LOCO_SUBURBAN: 4-4-2 'Suburban' (Steam)</v>
      </c>
      <c r="L69" s="8" t="str">
        <f t="shared" si="4"/>
        <v>ITEM_FAI_SUBURBAN</v>
      </c>
    </row>
    <row r="70" spans="2:12" x14ac:dyDescent="0.25">
      <c r="B70" s="2" t="s">
        <v>33</v>
      </c>
      <c r="C70" s="2" t="s">
        <v>201</v>
      </c>
      <c r="D70" s="3" t="str">
        <f t="shared" si="5"/>
        <v>2-6-2 'Prairie'</v>
      </c>
      <c r="E70" s="2" t="s">
        <v>3</v>
      </c>
      <c r="G70" s="8" t="str">
        <f t="shared" si="6"/>
        <v>STR_NAME_LOCO_PRAIRIE: 2-6-2 'Prairie' (Steam)</v>
      </c>
      <c r="L70" s="8" t="str">
        <f t="shared" si="4"/>
        <v>ITEM_FAI_PRAIRIE</v>
      </c>
    </row>
    <row r="71" spans="2:12" x14ac:dyDescent="0.25">
      <c r="B71" s="2" t="s">
        <v>186</v>
      </c>
      <c r="C71" s="2" t="s">
        <v>202</v>
      </c>
      <c r="D71" s="3" t="str">
        <f t="shared" si="5"/>
        <v>2-2-2 'Lady'</v>
      </c>
      <c r="E71" s="2" t="s">
        <v>3</v>
      </c>
      <c r="G71" s="8" t="str">
        <f t="shared" si="6"/>
        <v>STR_NAME_LOCO_LADY: 2-2-2 'Lady' (Steam)</v>
      </c>
      <c r="L71" s="8" t="str">
        <f t="shared" si="4"/>
        <v>ITEM_FAI_LADY</v>
      </c>
    </row>
    <row r="72" spans="2:12" x14ac:dyDescent="0.25">
      <c r="B72" s="2" t="s">
        <v>23</v>
      </c>
      <c r="C72" s="2" t="s">
        <v>22</v>
      </c>
      <c r="D72" s="3" t="str">
        <f t="shared" si="5"/>
        <v>4-2-2 'Spinner'</v>
      </c>
      <c r="E72" s="2" t="s">
        <v>3</v>
      </c>
      <c r="G72" s="8" t="str">
        <f t="shared" si="6"/>
        <v>STR_NAME_LOCO_SPINNER: 4-2-2 'Spinner' (Steam)</v>
      </c>
      <c r="L72" s="8" t="str">
        <f t="shared" si="4"/>
        <v>ITEM_FAI_SPINNER</v>
      </c>
    </row>
    <row r="73" spans="2:12" x14ac:dyDescent="0.25">
      <c r="B73" s="2" t="s">
        <v>24</v>
      </c>
      <c r="C73" s="2" t="s">
        <v>13</v>
      </c>
      <c r="D73" s="3" t="str">
        <f t="shared" si="5"/>
        <v>0-6-0 'Goods'</v>
      </c>
      <c r="E73" s="2" t="s">
        <v>3</v>
      </c>
      <c r="G73" s="8" t="str">
        <f t="shared" si="6"/>
        <v>STR_NAME_LOCO_GOODS: 0-6-0 'Goods' (Steam)</v>
      </c>
      <c r="L73" s="8" t="str">
        <f t="shared" si="4"/>
        <v>ITEM_FAI_GOODS</v>
      </c>
    </row>
    <row r="74" spans="2:12" x14ac:dyDescent="0.25">
      <c r="B74" s="2" t="s">
        <v>26</v>
      </c>
      <c r="C74" s="2" t="s">
        <v>203</v>
      </c>
      <c r="D74" s="3" t="str">
        <f t="shared" si="5"/>
        <v>4-4-2 'Klondyke'</v>
      </c>
      <c r="E74" s="2" t="s">
        <v>3</v>
      </c>
      <c r="G74" s="8" t="str">
        <f t="shared" si="6"/>
        <v>STR_NAME_LOCO_KLONDYKE: 4-4-2 'Klondyke' (Steam)</v>
      </c>
      <c r="L74" s="8" t="str">
        <f t="shared" si="4"/>
        <v>ITEM_FAI_KLONDYKE</v>
      </c>
    </row>
    <row r="75" spans="2:12" x14ac:dyDescent="0.25">
      <c r="B75" s="2" t="s">
        <v>25</v>
      </c>
      <c r="C75" s="2" t="s">
        <v>204</v>
      </c>
      <c r="D75" s="3" t="str">
        <f t="shared" si="5"/>
        <v>4-4-0 'Edwardian'</v>
      </c>
      <c r="E75" s="2" t="s">
        <v>3</v>
      </c>
      <c r="G75" s="8" t="str">
        <f t="shared" si="6"/>
        <v>STR_NAME_LOCO_EDWARDIAN: 4-4-0 'Edwardian' (Steam)</v>
      </c>
      <c r="L75" s="8" t="str">
        <f t="shared" si="4"/>
        <v>ITEM_FAI_EDWARDIAN</v>
      </c>
    </row>
    <row r="76" spans="2:12" x14ac:dyDescent="0.25">
      <c r="B76" s="2" t="s">
        <v>24</v>
      </c>
      <c r="C76" s="2" t="s">
        <v>14</v>
      </c>
      <c r="D76" s="3" t="str">
        <f t="shared" si="5"/>
        <v>0-6-0 'Freight'</v>
      </c>
      <c r="E76" s="2" t="s">
        <v>3</v>
      </c>
      <c r="G76" s="8" t="str">
        <f t="shared" si="6"/>
        <v>STR_NAME_LOCO_FREIGHT: 0-6-0 'Freight' (Steam)</v>
      </c>
      <c r="L76" s="8" t="str">
        <f t="shared" si="4"/>
        <v>ITEM_FAI_FREIGHT</v>
      </c>
    </row>
    <row r="77" spans="2:12" x14ac:dyDescent="0.25">
      <c r="B77" s="2" t="s">
        <v>27</v>
      </c>
      <c r="C77" s="2" t="s">
        <v>205</v>
      </c>
      <c r="D77" s="3" t="str">
        <f t="shared" si="5"/>
        <v>2-6-0 'Mogul'</v>
      </c>
      <c r="E77" s="2" t="s">
        <v>3</v>
      </c>
      <c r="G77" s="8" t="str">
        <f t="shared" si="6"/>
        <v>STR_NAME_LOCO_MOGUL: 2-6-0 'Mogul' (Steam)</v>
      </c>
      <c r="L77" s="8" t="str">
        <f t="shared" si="4"/>
        <v>ITEM_FAI_MOGUL</v>
      </c>
    </row>
    <row r="78" spans="2:12" x14ac:dyDescent="0.25">
      <c r="B78" s="2" t="s">
        <v>31</v>
      </c>
      <c r="C78" s="2" t="s">
        <v>206</v>
      </c>
      <c r="D78" s="3" t="str">
        <f t="shared" si="5"/>
        <v>0-8-0 'Mineral'</v>
      </c>
      <c r="E78" s="2" t="s">
        <v>3</v>
      </c>
      <c r="G78" s="8" t="str">
        <f t="shared" si="6"/>
        <v>STR_NAME_LOCO_MINERAL: 0-8-0 'Mineral' (Steam)</v>
      </c>
      <c r="L78" s="8" t="str">
        <f t="shared" si="4"/>
        <v>ITEM_FAI_MINERAL</v>
      </c>
    </row>
    <row r="79" spans="2:12" x14ac:dyDescent="0.25">
      <c r="B79" s="2" t="s">
        <v>29</v>
      </c>
      <c r="C79" s="2" t="s">
        <v>207</v>
      </c>
      <c r="D79" s="3" t="str">
        <f t="shared" si="5"/>
        <v>0-10-0 'Banker'</v>
      </c>
      <c r="E79" s="2" t="s">
        <v>3</v>
      </c>
      <c r="G79" s="8" t="str">
        <f t="shared" si="6"/>
        <v>STR_NAME_LOCO_BANKER: 0-10-0 'Banker' (Steam)</v>
      </c>
      <c r="L79" s="8" t="str">
        <f t="shared" si="4"/>
        <v>ITEM_FAI_BANKER</v>
      </c>
    </row>
    <row r="80" spans="2:12" x14ac:dyDescent="0.25">
      <c r="B80" s="2" t="s">
        <v>30</v>
      </c>
      <c r="C80" s="2" t="s">
        <v>208</v>
      </c>
      <c r="D80" s="3" t="str">
        <f t="shared" si="5"/>
        <v>4-6-0 'King Arthur'</v>
      </c>
      <c r="E80" s="2" t="s">
        <v>3</v>
      </c>
      <c r="G80" s="8" t="str">
        <f>CONCATENATE("STR_NAME_LOCO_","KING_ARTHUR",": ",D80," (",E80,")")</f>
        <v>STR_NAME_LOCO_KING_ARTHUR: 4-6-0 'King Arthur' (Steam)</v>
      </c>
      <c r="L80" s="8" t="str">
        <f t="shared" si="4"/>
        <v>ITEM_FAI_KING ARTHUR</v>
      </c>
    </row>
    <row r="81" spans="2:12" x14ac:dyDescent="0.25">
      <c r="B81" s="2" t="s">
        <v>24</v>
      </c>
      <c r="C81" s="2" t="s">
        <v>209</v>
      </c>
      <c r="D81" s="3" t="str">
        <f t="shared" si="5"/>
        <v>0-6-0 'Pannier'</v>
      </c>
      <c r="E81" s="2" t="s">
        <v>3</v>
      </c>
      <c r="G81" s="8" t="str">
        <f t="shared" si="6"/>
        <v>STR_NAME_LOCO_PANNIER: 0-6-0 'Pannier' (Steam)</v>
      </c>
      <c r="L81" s="8" t="str">
        <f t="shared" si="4"/>
        <v>ITEM_FAI_PANNIER</v>
      </c>
    </row>
    <row r="82" spans="2:12" x14ac:dyDescent="0.25">
      <c r="B82" s="2" t="s">
        <v>24</v>
      </c>
      <c r="C82" s="2" t="s">
        <v>210</v>
      </c>
      <c r="D82" s="3" t="str">
        <f t="shared" si="5"/>
        <v>0-6-0 'Pannier II'</v>
      </c>
      <c r="E82" s="2" t="s">
        <v>3</v>
      </c>
      <c r="G82" s="8" t="str">
        <f>CONCATENATE("STR_NAME_LOCO_","PANNIER2",": ",D82," (",E82,")")</f>
        <v>STR_NAME_LOCO_PANNIER2: 0-6-0 'Pannier II' (Steam)</v>
      </c>
      <c r="L82" s="8" t="str">
        <f t="shared" si="4"/>
        <v>ITEM_FAI_PANNIER II</v>
      </c>
    </row>
    <row r="83" spans="2:12" x14ac:dyDescent="0.25">
      <c r="B83" s="2" t="s">
        <v>33</v>
      </c>
      <c r="C83" s="2" t="s">
        <v>211</v>
      </c>
      <c r="D83" s="3" t="str">
        <f t="shared" si="5"/>
        <v>2-6-2 'Ivatt'</v>
      </c>
      <c r="E83" s="2" t="s">
        <v>3</v>
      </c>
      <c r="G83" s="8" t="str">
        <f t="shared" si="6"/>
        <v>STR_NAME_LOCO_IVATT: 2-6-2 'Ivatt' (Steam)</v>
      </c>
      <c r="L83" s="8" t="str">
        <f t="shared" si="4"/>
        <v>ITEM_FAI_IVATT</v>
      </c>
    </row>
    <row r="84" spans="2:12" x14ac:dyDescent="0.25">
      <c r="B84" s="2" t="s">
        <v>187</v>
      </c>
      <c r="C84" s="2" t="s">
        <v>200</v>
      </c>
      <c r="D84" s="3" t="str">
        <f t="shared" si="5"/>
        <v>2-6-4 'Suburban'</v>
      </c>
      <c r="E84" s="2" t="s">
        <v>3</v>
      </c>
      <c r="G84" s="8" t="str">
        <f t="shared" si="6"/>
        <v>STR_NAME_LOCO_SUBURBAN: 2-6-4 'Suburban' (Steam)</v>
      </c>
      <c r="L84" s="8" t="str">
        <f t="shared" si="4"/>
        <v>ITEM_FAI_SUBURBAN</v>
      </c>
    </row>
    <row r="85" spans="2:12" x14ac:dyDescent="0.25">
      <c r="B85" s="2" t="s">
        <v>24</v>
      </c>
      <c r="C85" s="2" t="s">
        <v>212</v>
      </c>
      <c r="D85" s="3" t="str">
        <f t="shared" si="5"/>
        <v>0-6-0 'Austerity'</v>
      </c>
      <c r="E85" s="2" t="s">
        <v>3</v>
      </c>
      <c r="G85" s="8" t="str">
        <f t="shared" si="6"/>
        <v>STR_NAME_LOCO_AUSTERITY: 0-6-0 'Austerity' (Steam)</v>
      </c>
      <c r="L85" s="8" t="str">
        <f t="shared" si="4"/>
        <v>ITEM_FAI_AUSTERITY</v>
      </c>
    </row>
    <row r="86" spans="2:12" x14ac:dyDescent="0.25">
      <c r="B86" s="2" t="s">
        <v>25</v>
      </c>
      <c r="C86" s="2" t="s">
        <v>213</v>
      </c>
      <c r="D86" s="3" t="str">
        <f t="shared" si="5"/>
        <v>4-4-0 'Shire'</v>
      </c>
      <c r="E86" s="2" t="s">
        <v>3</v>
      </c>
      <c r="G86" s="8" t="str">
        <f t="shared" si="6"/>
        <v>STR_NAME_LOCO_SHIRE: 4-4-0 'Shire' (Steam)</v>
      </c>
      <c r="L86" s="8" t="str">
        <f t="shared" si="4"/>
        <v>ITEM_FAI_SHIRE</v>
      </c>
    </row>
    <row r="87" spans="2:12" x14ac:dyDescent="0.25">
      <c r="B87" s="2" t="s">
        <v>30</v>
      </c>
      <c r="C87" s="2" t="s">
        <v>214</v>
      </c>
      <c r="D87" s="3" t="str">
        <f t="shared" si="5"/>
        <v>4-6-0 'Royal Scot'</v>
      </c>
      <c r="E87" s="2" t="s">
        <v>3</v>
      </c>
      <c r="G87" s="8" t="str">
        <f>CONCATENATE("STR_NAME_LOCO_","ROYAL_SCOT",": ",D87," (",E87,")")</f>
        <v>STR_NAME_LOCO_ROYAL_SCOT: 4-6-0 'Royal Scot' (Steam)</v>
      </c>
      <c r="L87" s="8" t="str">
        <f t="shared" si="4"/>
        <v>ITEM_FAI_ROYAL SCOT</v>
      </c>
    </row>
    <row r="88" spans="2:12" x14ac:dyDescent="0.25">
      <c r="B88" s="2" t="s">
        <v>32</v>
      </c>
      <c r="C88" s="2" t="s">
        <v>215</v>
      </c>
      <c r="D88" s="3" t="str">
        <f t="shared" si="5"/>
        <v>2-6-0+0-6-2 'Garratt'</v>
      </c>
      <c r="E88" s="2" t="s">
        <v>3</v>
      </c>
      <c r="G88" s="8" t="str">
        <f t="shared" si="6"/>
        <v>STR_NAME_LOCO_GARRATT: 2-6-0+0-6-2 'Garratt' (Steam)</v>
      </c>
      <c r="L88" s="8" t="str">
        <f t="shared" si="4"/>
        <v>ITEM_FAI_GARRATT</v>
      </c>
    </row>
    <row r="89" spans="2:12" x14ac:dyDescent="0.25">
      <c r="B89" s="2" t="s">
        <v>28</v>
      </c>
      <c r="C89" s="2" t="s">
        <v>216</v>
      </c>
      <c r="D89" s="3" t="str">
        <f t="shared" si="5"/>
        <v>2-8-0 '8F'</v>
      </c>
      <c r="E89" s="2" t="s">
        <v>3</v>
      </c>
      <c r="G89" s="8" t="str">
        <f t="shared" si="6"/>
        <v>STR_NAME_LOCO_8F: 2-8-0 '8F' (Steam)</v>
      </c>
      <c r="L89" s="8" t="str">
        <f t="shared" si="4"/>
        <v>ITEM_FAI_8F</v>
      </c>
    </row>
    <row r="90" spans="2:12" x14ac:dyDescent="0.25">
      <c r="B90" s="2" t="s">
        <v>30</v>
      </c>
      <c r="C90" s="2" t="s">
        <v>217</v>
      </c>
      <c r="D90" s="3" t="str">
        <f t="shared" si="5"/>
        <v>4-6-0 'Jubilee'</v>
      </c>
      <c r="E90" s="2" t="s">
        <v>3</v>
      </c>
      <c r="G90" s="8" t="str">
        <f t="shared" si="6"/>
        <v>STR_NAME_LOCO_JUBILEE: 4-6-0 'Jubilee' (Steam)</v>
      </c>
      <c r="L90" s="8" t="str">
        <f t="shared" si="4"/>
        <v>ITEM_FAI_JUBILEE</v>
      </c>
    </row>
    <row r="91" spans="2:12" x14ac:dyDescent="0.25">
      <c r="B91" s="2" t="s">
        <v>33</v>
      </c>
      <c r="C91" s="2" t="s">
        <v>218</v>
      </c>
      <c r="D91" s="3" t="str">
        <f t="shared" si="5"/>
        <v>2-6-2 'Arrow'</v>
      </c>
      <c r="E91" s="2" t="s">
        <v>3</v>
      </c>
      <c r="G91" s="8" t="str">
        <f t="shared" si="6"/>
        <v>STR_NAME_LOCO_ARROW: 2-6-2 'Arrow' (Steam)</v>
      </c>
      <c r="L91" s="8" t="str">
        <f t="shared" si="4"/>
        <v>ITEM_FAI_ARROW</v>
      </c>
    </row>
    <row r="92" spans="2:12" x14ac:dyDescent="0.25">
      <c r="B92" s="2" t="s">
        <v>188</v>
      </c>
      <c r="C92" s="2" t="s">
        <v>219</v>
      </c>
      <c r="D92" s="3" t="str">
        <f t="shared" si="5"/>
        <v>4-6-2 'Pacific'</v>
      </c>
      <c r="E92" s="2" t="s">
        <v>3</v>
      </c>
      <c r="G92" s="8" t="str">
        <f t="shared" si="6"/>
        <v>STR_NAME_LOCO_PACIFIC: 4-6-2 'Pacific' (Steam)</v>
      </c>
      <c r="L92" s="8" t="str">
        <f t="shared" si="4"/>
        <v>ITEM_FAI_PACIFIC</v>
      </c>
    </row>
    <row r="93" spans="2:12" x14ac:dyDescent="0.25">
      <c r="B93" s="2" t="s">
        <v>188</v>
      </c>
      <c r="C93" s="2" t="s">
        <v>220</v>
      </c>
      <c r="D93" s="3" t="str">
        <f t="shared" si="5"/>
        <v>4-6-2 'Streak'</v>
      </c>
      <c r="E93" s="2" t="s">
        <v>3</v>
      </c>
      <c r="G93" s="8" t="str">
        <f t="shared" si="6"/>
        <v>STR_NAME_LOCO_STREAK: 4-6-2 'Streak' (Steam)</v>
      </c>
      <c r="L93" s="8" t="str">
        <f t="shared" si="4"/>
        <v>ITEM_FAI_STREAK</v>
      </c>
    </row>
    <row r="94" spans="2:12" x14ac:dyDescent="0.25">
      <c r="B94" s="2" t="s">
        <v>188</v>
      </c>
      <c r="C94" s="2" t="s">
        <v>221</v>
      </c>
      <c r="D94" s="3" t="str">
        <f t="shared" si="5"/>
        <v>4-6-2 'Coronation'</v>
      </c>
      <c r="E94" s="2" t="s">
        <v>3</v>
      </c>
      <c r="G94" s="8" t="str">
        <f t="shared" si="6"/>
        <v>STR_NAME_LOCO_CORONATION: 4-6-2 'Coronation' (Steam)</v>
      </c>
      <c r="L94" s="8" t="str">
        <f t="shared" si="4"/>
        <v>ITEM_FAI_CORONATION</v>
      </c>
    </row>
    <row r="95" spans="2:12" x14ac:dyDescent="0.25">
      <c r="B95" s="2" t="s">
        <v>188</v>
      </c>
      <c r="C95" s="2" t="s">
        <v>222</v>
      </c>
      <c r="D95" s="3" t="str">
        <f t="shared" si="5"/>
        <v>4-6-2 'Merchant Navy'</v>
      </c>
      <c r="E95" s="2" t="s">
        <v>3</v>
      </c>
      <c r="G95" s="8" t="str">
        <f>CONCATENATE("STR_NAME_LOCO_","MERCHANT_NAVY",": ",D95," (",E95,")")</f>
        <v>STR_NAME_LOCO_MERCHANT_NAVY: 4-6-2 'Merchant Navy' (Steam)</v>
      </c>
      <c r="L95" s="8" t="str">
        <f t="shared" si="4"/>
        <v>ITEM_FAI_MERCHANT NAVY</v>
      </c>
    </row>
    <row r="96" spans="2:12" x14ac:dyDescent="0.25">
      <c r="B96" s="2" t="s">
        <v>188</v>
      </c>
      <c r="C96" s="2" t="s">
        <v>223</v>
      </c>
      <c r="D96" s="3" t="str">
        <f t="shared" si="5"/>
        <v>4-6-2 'Light Pacific'</v>
      </c>
      <c r="E96" s="2" t="s">
        <v>3</v>
      </c>
      <c r="G96" s="8" t="str">
        <f>CONCATENATE("STR_NAME_LOCO_","LIGHT_PACIFIC",": ",D96," (",E96,")")</f>
        <v>STR_NAME_LOCO_LIGHT_PACIFIC: 4-6-2 'Light Pacific' (Steam)</v>
      </c>
      <c r="L96" s="8" t="str">
        <f t="shared" si="4"/>
        <v>ITEM_FAI_LIGHT PACIFIC</v>
      </c>
    </row>
    <row r="97" spans="2:12" x14ac:dyDescent="0.25">
      <c r="B97" s="2" t="s">
        <v>189</v>
      </c>
      <c r="C97" s="2" t="s">
        <v>224</v>
      </c>
      <c r="D97" s="3" t="str">
        <f t="shared" si="5"/>
        <v>0-6-6-0 'Leader'</v>
      </c>
      <c r="E97" s="2" t="s">
        <v>3</v>
      </c>
      <c r="G97" s="8" t="str">
        <f t="shared" si="6"/>
        <v>STR_NAME_LOCO_LEADER: 0-6-6-0 'Leader' (Steam)</v>
      </c>
      <c r="L97" s="8" t="str">
        <f t="shared" si="4"/>
        <v>ITEM_FAI_LEADER</v>
      </c>
    </row>
    <row r="98" spans="2:12" x14ac:dyDescent="0.25">
      <c r="B98" s="2" t="s">
        <v>188</v>
      </c>
      <c r="C98" s="2" t="s">
        <v>225</v>
      </c>
      <c r="D98" s="3" t="str">
        <f t="shared" si="5"/>
        <v>4-6-2 'Britannia'</v>
      </c>
      <c r="E98" s="2" t="s">
        <v>3</v>
      </c>
      <c r="G98" s="8" t="str">
        <f t="shared" si="6"/>
        <v>STR_NAME_LOCO_BRITANNIA: 4-6-2 'Britannia' (Steam)</v>
      </c>
      <c r="L98" s="8" t="str">
        <f t="shared" si="4"/>
        <v>ITEM_FAI_BRITANNIA</v>
      </c>
    </row>
    <row r="99" spans="2:12" x14ac:dyDescent="0.25">
      <c r="B99" s="2" t="s">
        <v>190</v>
      </c>
      <c r="C99" s="2" t="s">
        <v>226</v>
      </c>
      <c r="D99" s="3" t="str">
        <f t="shared" si="5"/>
        <v>2-10-0 'Star'</v>
      </c>
      <c r="E99" s="2" t="s">
        <v>3</v>
      </c>
      <c r="G99" s="8" t="str">
        <f t="shared" si="6"/>
        <v>STR_NAME_LOCO_STAR: 2-10-0 'Star' (Steam)</v>
      </c>
      <c r="L99" s="8" t="str">
        <f t="shared" si="4"/>
        <v>ITEM_FAI_STAR</v>
      </c>
    </row>
    <row r="100" spans="2:12" x14ac:dyDescent="0.25">
      <c r="D1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97AA-91BA-429C-99D9-056F76E4AD9C}">
  <dimension ref="A1:K61"/>
  <sheetViews>
    <sheetView workbookViewId="0">
      <selection activeCell="K13" sqref="K13"/>
    </sheetView>
  </sheetViews>
  <sheetFormatPr defaultRowHeight="15" x14ac:dyDescent="0.25"/>
  <cols>
    <col min="1" max="16384" width="9.140625" style="39"/>
  </cols>
  <sheetData>
    <row r="1" spans="1:11" x14ac:dyDescent="0.25">
      <c r="A1" s="39">
        <v>0.01</v>
      </c>
      <c r="B1" s="39">
        <f>ROUND((293.4*A1)-0.3504,0)</f>
        <v>3</v>
      </c>
      <c r="D1" s="39">
        <v>0.3</v>
      </c>
      <c r="E1" s="39">
        <f>ROUND((293.4*D1)-0.3504,0)</f>
        <v>88</v>
      </c>
      <c r="G1" s="39">
        <v>0.6</v>
      </c>
      <c r="H1" s="39">
        <f>ROUND((293.4*G1)-0.3504,0)</f>
        <v>176</v>
      </c>
      <c r="J1" s="39">
        <v>0.9</v>
      </c>
      <c r="K1" s="39">
        <f>ROUND((293.4*J1)-0.3504,0)</f>
        <v>264</v>
      </c>
    </row>
    <row r="2" spans="1:11" x14ac:dyDescent="0.25">
      <c r="A2" s="39">
        <v>0.02</v>
      </c>
      <c r="B2" s="39">
        <f t="shared" ref="B2:B30" si="0">ROUND((293.4*A2)-0.3504,0)</f>
        <v>6</v>
      </c>
      <c r="D2" s="39">
        <v>0.31</v>
      </c>
      <c r="E2" s="39">
        <f t="shared" ref="E2:E30" si="1">ROUND((293.4*D2)-0.3504,0)</f>
        <v>91</v>
      </c>
      <c r="G2" s="39">
        <v>0.61</v>
      </c>
      <c r="H2" s="39">
        <f t="shared" ref="H2:H30" si="2">ROUND((293.4*G2)-0.3504,0)</f>
        <v>179</v>
      </c>
      <c r="J2" s="39">
        <v>0.91</v>
      </c>
      <c r="K2" s="39">
        <f t="shared" ref="K2:K11" si="3">ROUND((293.4*J2)-0.3504,0)</f>
        <v>267</v>
      </c>
    </row>
    <row r="3" spans="1:11" x14ac:dyDescent="0.25">
      <c r="A3" s="39">
        <v>0.03</v>
      </c>
      <c r="B3" s="39">
        <f t="shared" si="0"/>
        <v>8</v>
      </c>
      <c r="D3" s="39">
        <v>0.32</v>
      </c>
      <c r="E3" s="39">
        <f t="shared" si="1"/>
        <v>94</v>
      </c>
      <c r="G3" s="39">
        <v>0.62</v>
      </c>
      <c r="H3" s="39">
        <f t="shared" si="2"/>
        <v>182</v>
      </c>
      <c r="J3" s="39">
        <v>0.92</v>
      </c>
      <c r="K3" s="39">
        <f t="shared" si="3"/>
        <v>270</v>
      </c>
    </row>
    <row r="4" spans="1:11" x14ac:dyDescent="0.25">
      <c r="A4" s="39">
        <v>0.04</v>
      </c>
      <c r="B4" s="39">
        <f t="shared" si="0"/>
        <v>11</v>
      </c>
      <c r="D4" s="39">
        <v>0.33</v>
      </c>
      <c r="E4" s="39">
        <f t="shared" si="1"/>
        <v>96</v>
      </c>
      <c r="G4" s="39">
        <v>0.63</v>
      </c>
      <c r="H4" s="39">
        <f t="shared" si="2"/>
        <v>184</v>
      </c>
      <c r="J4" s="39">
        <v>0.93</v>
      </c>
      <c r="K4" s="39">
        <f t="shared" si="3"/>
        <v>273</v>
      </c>
    </row>
    <row r="5" spans="1:11" x14ac:dyDescent="0.25">
      <c r="A5" s="39">
        <v>0.05</v>
      </c>
      <c r="B5" s="39">
        <f t="shared" si="0"/>
        <v>14</v>
      </c>
      <c r="D5" s="39">
        <v>0.34</v>
      </c>
      <c r="E5" s="39">
        <f t="shared" si="1"/>
        <v>99</v>
      </c>
      <c r="G5" s="39">
        <v>0.64</v>
      </c>
      <c r="H5" s="39">
        <f t="shared" si="2"/>
        <v>187</v>
      </c>
      <c r="J5" s="39">
        <v>0.94</v>
      </c>
      <c r="K5" s="39">
        <f t="shared" si="3"/>
        <v>275</v>
      </c>
    </row>
    <row r="6" spans="1:11" x14ac:dyDescent="0.25">
      <c r="A6" s="39">
        <v>0.06</v>
      </c>
      <c r="B6" s="39">
        <f t="shared" si="0"/>
        <v>17</v>
      </c>
      <c r="D6" s="39">
        <v>0.35</v>
      </c>
      <c r="E6" s="39">
        <f t="shared" si="1"/>
        <v>102</v>
      </c>
      <c r="G6" s="39">
        <v>0.65</v>
      </c>
      <c r="H6" s="39">
        <f t="shared" si="2"/>
        <v>190</v>
      </c>
      <c r="J6" s="39">
        <v>0.95</v>
      </c>
      <c r="K6" s="39">
        <f t="shared" si="3"/>
        <v>278</v>
      </c>
    </row>
    <row r="7" spans="1:11" x14ac:dyDescent="0.25">
      <c r="A7" s="39">
        <v>7.0000000000000007E-2</v>
      </c>
      <c r="B7" s="39">
        <f t="shared" si="0"/>
        <v>20</v>
      </c>
      <c r="D7" s="39">
        <v>0.36</v>
      </c>
      <c r="E7" s="39">
        <f t="shared" si="1"/>
        <v>105</v>
      </c>
      <c r="G7" s="39">
        <v>0.66</v>
      </c>
      <c r="H7" s="39">
        <f t="shared" si="2"/>
        <v>193</v>
      </c>
      <c r="J7" s="39">
        <v>0.96</v>
      </c>
      <c r="K7" s="39">
        <f t="shared" si="3"/>
        <v>281</v>
      </c>
    </row>
    <row r="8" spans="1:11" x14ac:dyDescent="0.25">
      <c r="A8" s="39">
        <v>0.08</v>
      </c>
      <c r="B8" s="39">
        <f t="shared" si="0"/>
        <v>23</v>
      </c>
      <c r="D8" s="39">
        <v>0.37</v>
      </c>
      <c r="E8" s="39">
        <f t="shared" si="1"/>
        <v>108</v>
      </c>
      <c r="G8" s="39">
        <v>0.67</v>
      </c>
      <c r="H8" s="39">
        <f t="shared" si="2"/>
        <v>196</v>
      </c>
      <c r="J8" s="39">
        <v>0.97</v>
      </c>
      <c r="K8" s="39">
        <f t="shared" si="3"/>
        <v>284</v>
      </c>
    </row>
    <row r="9" spans="1:11" x14ac:dyDescent="0.25">
      <c r="A9" s="39">
        <v>0.09</v>
      </c>
      <c r="B9" s="39">
        <f t="shared" si="0"/>
        <v>26</v>
      </c>
      <c r="D9" s="39">
        <v>0.38</v>
      </c>
      <c r="E9" s="39">
        <f t="shared" si="1"/>
        <v>111</v>
      </c>
      <c r="G9" s="39">
        <v>0.68</v>
      </c>
      <c r="H9" s="39">
        <f t="shared" si="2"/>
        <v>199</v>
      </c>
      <c r="J9" s="39">
        <v>0.98</v>
      </c>
      <c r="K9" s="39">
        <f t="shared" si="3"/>
        <v>287</v>
      </c>
    </row>
    <row r="10" spans="1:11" x14ac:dyDescent="0.25">
      <c r="A10" s="39">
        <v>0.1</v>
      </c>
      <c r="B10" s="39">
        <f t="shared" si="0"/>
        <v>29</v>
      </c>
      <c r="D10" s="39">
        <v>0.39</v>
      </c>
      <c r="E10" s="39">
        <f t="shared" si="1"/>
        <v>114</v>
      </c>
      <c r="G10" s="39">
        <v>0.69</v>
      </c>
      <c r="H10" s="39">
        <f t="shared" si="2"/>
        <v>202</v>
      </c>
      <c r="J10" s="39">
        <v>0.99</v>
      </c>
      <c r="K10" s="39">
        <f t="shared" si="3"/>
        <v>290</v>
      </c>
    </row>
    <row r="11" spans="1:11" x14ac:dyDescent="0.25">
      <c r="A11" s="39">
        <v>0.11</v>
      </c>
      <c r="B11" s="39">
        <f t="shared" si="0"/>
        <v>32</v>
      </c>
      <c r="D11" s="39">
        <v>0.4</v>
      </c>
      <c r="E11" s="39">
        <f t="shared" si="1"/>
        <v>117</v>
      </c>
      <c r="G11" s="39">
        <v>0.7</v>
      </c>
      <c r="H11" s="39">
        <f t="shared" si="2"/>
        <v>205</v>
      </c>
      <c r="J11" s="39">
        <v>1</v>
      </c>
      <c r="K11" s="39">
        <f t="shared" si="3"/>
        <v>293</v>
      </c>
    </row>
    <row r="12" spans="1:11" x14ac:dyDescent="0.25">
      <c r="A12" s="39">
        <v>0.12</v>
      </c>
      <c r="B12" s="39">
        <f t="shared" si="0"/>
        <v>35</v>
      </c>
      <c r="D12" s="39">
        <v>0.41</v>
      </c>
      <c r="E12" s="39">
        <f t="shared" si="1"/>
        <v>120</v>
      </c>
      <c r="G12" s="39">
        <v>0.71</v>
      </c>
      <c r="H12" s="39">
        <f t="shared" si="2"/>
        <v>208</v>
      </c>
    </row>
    <row r="13" spans="1:11" x14ac:dyDescent="0.25">
      <c r="A13" s="39">
        <v>0.13</v>
      </c>
      <c r="B13" s="39">
        <f t="shared" si="0"/>
        <v>38</v>
      </c>
      <c r="D13" s="39">
        <v>0.42</v>
      </c>
      <c r="E13" s="39">
        <f t="shared" si="1"/>
        <v>123</v>
      </c>
      <c r="G13" s="39">
        <v>0.72</v>
      </c>
      <c r="H13" s="39">
        <f t="shared" si="2"/>
        <v>211</v>
      </c>
    </row>
    <row r="14" spans="1:11" x14ac:dyDescent="0.25">
      <c r="A14" s="39">
        <v>0.14000000000000001</v>
      </c>
      <c r="B14" s="39">
        <f t="shared" si="0"/>
        <v>41</v>
      </c>
      <c r="D14" s="39">
        <v>0.43</v>
      </c>
      <c r="E14" s="39">
        <f t="shared" si="1"/>
        <v>126</v>
      </c>
      <c r="G14" s="39">
        <v>0.73</v>
      </c>
      <c r="H14" s="39">
        <f t="shared" si="2"/>
        <v>214</v>
      </c>
    </row>
    <row r="15" spans="1:11" x14ac:dyDescent="0.25">
      <c r="A15" s="39">
        <v>0.15</v>
      </c>
      <c r="B15" s="39">
        <f t="shared" si="0"/>
        <v>44</v>
      </c>
      <c r="D15" s="39">
        <v>0.44</v>
      </c>
      <c r="E15" s="39">
        <f t="shared" si="1"/>
        <v>129</v>
      </c>
      <c r="G15" s="39">
        <v>0.74</v>
      </c>
      <c r="H15" s="39">
        <f t="shared" si="2"/>
        <v>217</v>
      </c>
    </row>
    <row r="16" spans="1:11" x14ac:dyDescent="0.25">
      <c r="A16" s="39">
        <v>0.16</v>
      </c>
      <c r="B16" s="39">
        <f t="shared" si="0"/>
        <v>47</v>
      </c>
      <c r="D16" s="39">
        <v>0.45</v>
      </c>
      <c r="E16" s="39">
        <f t="shared" si="1"/>
        <v>132</v>
      </c>
      <c r="G16" s="39">
        <v>0.75</v>
      </c>
      <c r="H16" s="39">
        <f t="shared" si="2"/>
        <v>220</v>
      </c>
    </row>
    <row r="17" spans="1:11" x14ac:dyDescent="0.25">
      <c r="A17" s="39">
        <v>0.17</v>
      </c>
      <c r="B17" s="39">
        <f t="shared" si="0"/>
        <v>50</v>
      </c>
      <c r="D17" s="39">
        <v>0.46</v>
      </c>
      <c r="E17" s="39">
        <f t="shared" si="1"/>
        <v>135</v>
      </c>
      <c r="G17" s="39">
        <v>0.76</v>
      </c>
      <c r="H17" s="39">
        <f t="shared" si="2"/>
        <v>223</v>
      </c>
    </row>
    <row r="18" spans="1:11" x14ac:dyDescent="0.25">
      <c r="A18" s="39">
        <v>0.18</v>
      </c>
      <c r="B18" s="39">
        <f t="shared" si="0"/>
        <v>52</v>
      </c>
      <c r="D18" s="39">
        <v>0.47</v>
      </c>
      <c r="E18" s="39">
        <f t="shared" si="1"/>
        <v>138</v>
      </c>
      <c r="G18" s="39">
        <v>0.77</v>
      </c>
      <c r="H18" s="39">
        <f t="shared" si="2"/>
        <v>226</v>
      </c>
    </row>
    <row r="19" spans="1:11" x14ac:dyDescent="0.25">
      <c r="A19" s="39">
        <v>0.19</v>
      </c>
      <c r="B19" s="39">
        <f t="shared" si="0"/>
        <v>55</v>
      </c>
      <c r="D19" s="39">
        <v>0.48</v>
      </c>
      <c r="E19" s="39">
        <f t="shared" si="1"/>
        <v>140</v>
      </c>
      <c r="G19" s="39">
        <v>0.78</v>
      </c>
      <c r="H19" s="39">
        <f t="shared" si="2"/>
        <v>229</v>
      </c>
    </row>
    <row r="20" spans="1:11" x14ac:dyDescent="0.25">
      <c r="A20" s="39">
        <v>0.2</v>
      </c>
      <c r="B20" s="39">
        <f t="shared" si="0"/>
        <v>58</v>
      </c>
      <c r="D20" s="39">
        <v>0.49</v>
      </c>
      <c r="E20" s="39">
        <f t="shared" si="1"/>
        <v>143</v>
      </c>
      <c r="G20" s="39">
        <v>0.79</v>
      </c>
      <c r="H20" s="39">
        <f t="shared" si="2"/>
        <v>231</v>
      </c>
    </row>
    <row r="21" spans="1:11" x14ac:dyDescent="0.25">
      <c r="A21" s="39">
        <v>0.21</v>
      </c>
      <c r="B21" s="39">
        <f t="shared" si="0"/>
        <v>61</v>
      </c>
      <c r="D21" s="39">
        <v>0.5</v>
      </c>
      <c r="E21" s="39">
        <f t="shared" si="1"/>
        <v>146</v>
      </c>
      <c r="G21" s="39">
        <v>0.8</v>
      </c>
      <c r="H21" s="39">
        <f t="shared" si="2"/>
        <v>234</v>
      </c>
    </row>
    <row r="22" spans="1:11" x14ac:dyDescent="0.25">
      <c r="A22" s="39">
        <v>0.22</v>
      </c>
      <c r="B22" s="39">
        <f t="shared" si="0"/>
        <v>64</v>
      </c>
      <c r="D22" s="39">
        <v>0.51</v>
      </c>
      <c r="E22" s="39">
        <f t="shared" si="1"/>
        <v>149</v>
      </c>
      <c r="G22" s="39">
        <v>0.81</v>
      </c>
      <c r="H22" s="39">
        <f t="shared" si="2"/>
        <v>237</v>
      </c>
    </row>
    <row r="23" spans="1:11" x14ac:dyDescent="0.25">
      <c r="A23" s="39">
        <v>0.23</v>
      </c>
      <c r="B23" s="39">
        <f t="shared" si="0"/>
        <v>67</v>
      </c>
      <c r="D23" s="39">
        <v>0.52</v>
      </c>
      <c r="E23" s="39">
        <f t="shared" si="1"/>
        <v>152</v>
      </c>
      <c r="G23" s="39">
        <v>0.82</v>
      </c>
      <c r="H23" s="39">
        <f t="shared" si="2"/>
        <v>240</v>
      </c>
    </row>
    <row r="24" spans="1:11" x14ac:dyDescent="0.25">
      <c r="A24" s="39">
        <v>0.24</v>
      </c>
      <c r="B24" s="39">
        <f t="shared" si="0"/>
        <v>70</v>
      </c>
      <c r="D24" s="39">
        <v>0.53</v>
      </c>
      <c r="E24" s="39">
        <f t="shared" si="1"/>
        <v>155</v>
      </c>
      <c r="G24" s="39">
        <v>0.83</v>
      </c>
      <c r="H24" s="39">
        <f t="shared" si="2"/>
        <v>243</v>
      </c>
    </row>
    <row r="25" spans="1:11" x14ac:dyDescent="0.25">
      <c r="A25" s="39">
        <v>0.25</v>
      </c>
      <c r="B25" s="39">
        <f t="shared" si="0"/>
        <v>73</v>
      </c>
      <c r="D25" s="39">
        <v>0.54</v>
      </c>
      <c r="E25" s="39">
        <f t="shared" si="1"/>
        <v>158</v>
      </c>
      <c r="G25" s="39">
        <v>0.84</v>
      </c>
      <c r="H25" s="39">
        <f t="shared" si="2"/>
        <v>246</v>
      </c>
    </row>
    <row r="26" spans="1:11" x14ac:dyDescent="0.25">
      <c r="A26" s="39">
        <v>0.26</v>
      </c>
      <c r="B26" s="39">
        <f t="shared" si="0"/>
        <v>76</v>
      </c>
      <c r="D26" s="39">
        <v>0.55000000000000004</v>
      </c>
      <c r="E26" s="39">
        <f t="shared" si="1"/>
        <v>161</v>
      </c>
      <c r="G26" s="39">
        <v>0.85</v>
      </c>
      <c r="H26" s="39">
        <f t="shared" si="2"/>
        <v>249</v>
      </c>
    </row>
    <row r="27" spans="1:11" x14ac:dyDescent="0.25">
      <c r="A27" s="39">
        <v>0.27</v>
      </c>
      <c r="B27" s="39">
        <f t="shared" si="0"/>
        <v>79</v>
      </c>
      <c r="D27" s="39">
        <v>0.56000000000000005</v>
      </c>
      <c r="E27" s="39">
        <f t="shared" si="1"/>
        <v>164</v>
      </c>
      <c r="G27" s="39">
        <v>0.86</v>
      </c>
      <c r="H27" s="39">
        <f t="shared" si="2"/>
        <v>252</v>
      </c>
    </row>
    <row r="28" spans="1:11" x14ac:dyDescent="0.25">
      <c r="A28" s="39">
        <v>0.28000000000000003</v>
      </c>
      <c r="B28" s="39">
        <f t="shared" si="0"/>
        <v>82</v>
      </c>
      <c r="D28" s="39">
        <v>0.56999999999999995</v>
      </c>
      <c r="E28" s="39">
        <f t="shared" si="1"/>
        <v>167</v>
      </c>
      <c r="G28" s="39">
        <v>0.87</v>
      </c>
      <c r="H28" s="39">
        <f t="shared" si="2"/>
        <v>255</v>
      </c>
    </row>
    <row r="29" spans="1:11" x14ac:dyDescent="0.25">
      <c r="A29" s="39">
        <v>0.28999999999999998</v>
      </c>
      <c r="B29" s="39">
        <f t="shared" si="0"/>
        <v>85</v>
      </c>
      <c r="D29" s="39">
        <v>0.57999999999999996</v>
      </c>
      <c r="E29" s="39">
        <f t="shared" si="1"/>
        <v>170</v>
      </c>
      <c r="G29" s="39">
        <v>0.88</v>
      </c>
      <c r="H29" s="39">
        <f t="shared" si="2"/>
        <v>258</v>
      </c>
    </row>
    <row r="30" spans="1:11" x14ac:dyDescent="0.25">
      <c r="A30" s="39">
        <v>0.3</v>
      </c>
      <c r="B30" s="39">
        <f t="shared" si="0"/>
        <v>88</v>
      </c>
      <c r="D30" s="39">
        <v>0.59</v>
      </c>
      <c r="E30" s="39">
        <f t="shared" si="1"/>
        <v>173</v>
      </c>
      <c r="G30" s="39">
        <v>0.89</v>
      </c>
      <c r="H30" s="39">
        <f t="shared" si="2"/>
        <v>261</v>
      </c>
    </row>
    <row r="32" spans="1:11" x14ac:dyDescent="0.25">
      <c r="A32" s="39">
        <f>ROUND((B32+0.3504)/293.4,2)</f>
        <v>0.01</v>
      </c>
      <c r="B32" s="39">
        <v>3</v>
      </c>
      <c r="D32" s="39">
        <f>ROUND((E32+0.3504)/293.4,2)</f>
        <v>0.3</v>
      </c>
      <c r="E32" s="39">
        <v>88</v>
      </c>
      <c r="G32" s="39">
        <f>ROUND((H32+0.3504)/293.4,2)</f>
        <v>0.6</v>
      </c>
      <c r="H32" s="39">
        <v>176</v>
      </c>
      <c r="J32" s="39">
        <f>ROUND((K32+0.3504)/293.4,2)</f>
        <v>0.9</v>
      </c>
      <c r="K32" s="39">
        <v>264</v>
      </c>
    </row>
    <row r="33" spans="1:11" x14ac:dyDescent="0.25">
      <c r="A33" s="39">
        <f t="shared" ref="A33:A61" si="4">ROUND((B33+0.3504)/293.4,2)</f>
        <v>0.02</v>
      </c>
      <c r="B33" s="39">
        <v>6</v>
      </c>
      <c r="D33" s="39">
        <f t="shared" ref="D33:D61" si="5">ROUND((E33+0.3504)/293.4,2)</f>
        <v>0.31</v>
      </c>
      <c r="E33" s="39">
        <v>91</v>
      </c>
      <c r="G33" s="39">
        <f t="shared" ref="G33:G61" si="6">ROUND((H33+0.3504)/293.4,2)</f>
        <v>0.61</v>
      </c>
      <c r="H33" s="39">
        <v>179</v>
      </c>
      <c r="J33" s="39">
        <f t="shared" ref="J33:J42" si="7">ROUND((K33+0.3504)/293.4,2)</f>
        <v>0.91</v>
      </c>
      <c r="K33" s="39">
        <v>267</v>
      </c>
    </row>
    <row r="34" spans="1:11" x14ac:dyDescent="0.25">
      <c r="A34" s="39">
        <f t="shared" si="4"/>
        <v>0.03</v>
      </c>
      <c r="B34" s="39">
        <v>8</v>
      </c>
      <c r="D34" s="39">
        <f t="shared" si="5"/>
        <v>0.32</v>
      </c>
      <c r="E34" s="39">
        <v>94</v>
      </c>
      <c r="G34" s="39">
        <f t="shared" si="6"/>
        <v>0.62</v>
      </c>
      <c r="H34" s="39">
        <v>182</v>
      </c>
      <c r="J34" s="39">
        <f t="shared" si="7"/>
        <v>0.92</v>
      </c>
      <c r="K34" s="39">
        <v>270</v>
      </c>
    </row>
    <row r="35" spans="1:11" x14ac:dyDescent="0.25">
      <c r="A35" s="39">
        <f t="shared" si="4"/>
        <v>0.04</v>
      </c>
      <c r="B35" s="39">
        <v>11</v>
      </c>
      <c r="D35" s="39">
        <f t="shared" si="5"/>
        <v>0.33</v>
      </c>
      <c r="E35" s="39">
        <v>96</v>
      </c>
      <c r="G35" s="39">
        <f t="shared" si="6"/>
        <v>0.63</v>
      </c>
      <c r="H35" s="39">
        <v>184</v>
      </c>
      <c r="J35" s="39">
        <f t="shared" si="7"/>
        <v>0.93</v>
      </c>
      <c r="K35" s="39">
        <v>273</v>
      </c>
    </row>
    <row r="36" spans="1:11" x14ac:dyDescent="0.25">
      <c r="A36" s="39">
        <f t="shared" si="4"/>
        <v>0.05</v>
      </c>
      <c r="B36" s="39">
        <v>14</v>
      </c>
      <c r="D36" s="39">
        <f t="shared" si="5"/>
        <v>0.34</v>
      </c>
      <c r="E36" s="39">
        <v>99</v>
      </c>
      <c r="G36" s="39">
        <f t="shared" si="6"/>
        <v>0.64</v>
      </c>
      <c r="H36" s="39">
        <v>187</v>
      </c>
      <c r="J36" s="39">
        <f t="shared" si="7"/>
        <v>0.94</v>
      </c>
      <c r="K36" s="39">
        <v>275</v>
      </c>
    </row>
    <row r="37" spans="1:11" x14ac:dyDescent="0.25">
      <c r="A37" s="39">
        <f t="shared" si="4"/>
        <v>0.06</v>
      </c>
      <c r="B37" s="39">
        <v>17</v>
      </c>
      <c r="D37" s="39">
        <f t="shared" si="5"/>
        <v>0.35</v>
      </c>
      <c r="E37" s="39">
        <v>102</v>
      </c>
      <c r="G37" s="39">
        <f t="shared" si="6"/>
        <v>0.65</v>
      </c>
      <c r="H37" s="39">
        <v>190</v>
      </c>
      <c r="J37" s="39">
        <f t="shared" si="7"/>
        <v>0.95</v>
      </c>
      <c r="K37" s="39">
        <v>278</v>
      </c>
    </row>
    <row r="38" spans="1:11" x14ac:dyDescent="0.25">
      <c r="A38" s="39">
        <f t="shared" si="4"/>
        <v>7.0000000000000007E-2</v>
      </c>
      <c r="B38" s="39">
        <v>20</v>
      </c>
      <c r="D38" s="39">
        <f t="shared" si="5"/>
        <v>0.36</v>
      </c>
      <c r="E38" s="39">
        <v>105</v>
      </c>
      <c r="G38" s="39">
        <f t="shared" si="6"/>
        <v>0.66</v>
      </c>
      <c r="H38" s="39">
        <v>193</v>
      </c>
      <c r="J38" s="39">
        <f t="shared" si="7"/>
        <v>0.96</v>
      </c>
      <c r="K38" s="39">
        <v>281</v>
      </c>
    </row>
    <row r="39" spans="1:11" x14ac:dyDescent="0.25">
      <c r="A39" s="39">
        <f t="shared" si="4"/>
        <v>0.08</v>
      </c>
      <c r="B39" s="39">
        <v>23</v>
      </c>
      <c r="D39" s="39">
        <f t="shared" si="5"/>
        <v>0.37</v>
      </c>
      <c r="E39" s="39">
        <v>108</v>
      </c>
      <c r="G39" s="39">
        <f t="shared" si="6"/>
        <v>0.67</v>
      </c>
      <c r="H39" s="39">
        <v>196</v>
      </c>
      <c r="J39" s="39">
        <f t="shared" si="7"/>
        <v>0.97</v>
      </c>
      <c r="K39" s="39">
        <v>284</v>
      </c>
    </row>
    <row r="40" spans="1:11" x14ac:dyDescent="0.25">
      <c r="A40" s="39">
        <f t="shared" si="4"/>
        <v>0.09</v>
      </c>
      <c r="B40" s="39">
        <v>26</v>
      </c>
      <c r="D40" s="39">
        <f t="shared" si="5"/>
        <v>0.38</v>
      </c>
      <c r="E40" s="39">
        <v>111</v>
      </c>
      <c r="G40" s="39">
        <f t="shared" si="6"/>
        <v>0.68</v>
      </c>
      <c r="H40" s="39">
        <v>199</v>
      </c>
      <c r="J40" s="39">
        <f t="shared" si="7"/>
        <v>0.98</v>
      </c>
      <c r="K40" s="39">
        <v>287</v>
      </c>
    </row>
    <row r="41" spans="1:11" x14ac:dyDescent="0.25">
      <c r="A41" s="39">
        <f t="shared" si="4"/>
        <v>0.1</v>
      </c>
      <c r="B41" s="39">
        <v>29</v>
      </c>
      <c r="D41" s="39">
        <f t="shared" si="5"/>
        <v>0.39</v>
      </c>
      <c r="E41" s="39">
        <v>114</v>
      </c>
      <c r="G41" s="39">
        <f t="shared" si="6"/>
        <v>0.69</v>
      </c>
      <c r="H41" s="39">
        <v>202</v>
      </c>
      <c r="J41" s="39">
        <f t="shared" si="7"/>
        <v>0.99</v>
      </c>
      <c r="K41" s="39">
        <v>290</v>
      </c>
    </row>
    <row r="42" spans="1:11" x14ac:dyDescent="0.25">
      <c r="A42" s="39">
        <f t="shared" si="4"/>
        <v>0.11</v>
      </c>
      <c r="B42" s="39">
        <v>32</v>
      </c>
      <c r="D42" s="39">
        <f t="shared" si="5"/>
        <v>0.4</v>
      </c>
      <c r="E42" s="39">
        <v>117</v>
      </c>
      <c r="G42" s="39">
        <f t="shared" si="6"/>
        <v>0.7</v>
      </c>
      <c r="H42" s="39">
        <v>205</v>
      </c>
      <c r="J42" s="39">
        <f t="shared" si="7"/>
        <v>1</v>
      </c>
      <c r="K42" s="39">
        <v>293</v>
      </c>
    </row>
    <row r="43" spans="1:11" x14ac:dyDescent="0.25">
      <c r="A43" s="39">
        <f t="shared" si="4"/>
        <v>0.12</v>
      </c>
      <c r="B43" s="39">
        <v>35</v>
      </c>
      <c r="D43" s="39">
        <f t="shared" si="5"/>
        <v>0.41</v>
      </c>
      <c r="E43" s="39">
        <v>120</v>
      </c>
      <c r="G43" s="39">
        <f t="shared" si="6"/>
        <v>0.71</v>
      </c>
      <c r="H43" s="39">
        <v>208</v>
      </c>
    </row>
    <row r="44" spans="1:11" x14ac:dyDescent="0.25">
      <c r="A44" s="39">
        <f t="shared" si="4"/>
        <v>0.13</v>
      </c>
      <c r="B44" s="39">
        <v>38</v>
      </c>
      <c r="D44" s="39">
        <f t="shared" si="5"/>
        <v>0.42</v>
      </c>
      <c r="E44" s="39">
        <v>123</v>
      </c>
      <c r="G44" s="39">
        <f t="shared" si="6"/>
        <v>0.72</v>
      </c>
      <c r="H44" s="39">
        <v>211</v>
      </c>
    </row>
    <row r="45" spans="1:11" x14ac:dyDescent="0.25">
      <c r="A45" s="39">
        <f t="shared" si="4"/>
        <v>0.14000000000000001</v>
      </c>
      <c r="B45" s="39">
        <v>41</v>
      </c>
      <c r="D45" s="39">
        <f t="shared" si="5"/>
        <v>0.43</v>
      </c>
      <c r="E45" s="39">
        <v>126</v>
      </c>
      <c r="G45" s="39">
        <f t="shared" si="6"/>
        <v>0.73</v>
      </c>
      <c r="H45" s="39">
        <v>214</v>
      </c>
    </row>
    <row r="46" spans="1:11" x14ac:dyDescent="0.25">
      <c r="A46" s="39">
        <f t="shared" si="4"/>
        <v>0.15</v>
      </c>
      <c r="B46" s="39">
        <v>44</v>
      </c>
      <c r="D46" s="39">
        <f t="shared" si="5"/>
        <v>0.44</v>
      </c>
      <c r="E46" s="39">
        <v>129</v>
      </c>
      <c r="G46" s="39">
        <f t="shared" si="6"/>
        <v>0.74</v>
      </c>
      <c r="H46" s="39">
        <v>217</v>
      </c>
    </row>
    <row r="47" spans="1:11" x14ac:dyDescent="0.25">
      <c r="A47" s="39">
        <f t="shared" si="4"/>
        <v>0.16</v>
      </c>
      <c r="B47" s="39">
        <v>47</v>
      </c>
      <c r="D47" s="39">
        <f t="shared" si="5"/>
        <v>0.45</v>
      </c>
      <c r="E47" s="39">
        <v>132</v>
      </c>
      <c r="G47" s="39">
        <f t="shared" si="6"/>
        <v>0.75</v>
      </c>
      <c r="H47" s="39">
        <v>220</v>
      </c>
    </row>
    <row r="48" spans="1:11" x14ac:dyDescent="0.25">
      <c r="A48" s="39">
        <f t="shared" si="4"/>
        <v>0.17</v>
      </c>
      <c r="B48" s="39">
        <v>50</v>
      </c>
      <c r="D48" s="39">
        <f t="shared" si="5"/>
        <v>0.46</v>
      </c>
      <c r="E48" s="39">
        <v>135</v>
      </c>
      <c r="G48" s="39">
        <f t="shared" si="6"/>
        <v>0.76</v>
      </c>
      <c r="H48" s="39">
        <v>223</v>
      </c>
    </row>
    <row r="49" spans="1:8" x14ac:dyDescent="0.25">
      <c r="A49" s="39">
        <f t="shared" si="4"/>
        <v>0.18</v>
      </c>
      <c r="B49" s="39">
        <v>52</v>
      </c>
      <c r="D49" s="39">
        <f t="shared" si="5"/>
        <v>0.47</v>
      </c>
      <c r="E49" s="39">
        <v>138</v>
      </c>
      <c r="G49" s="39">
        <f t="shared" si="6"/>
        <v>0.77</v>
      </c>
      <c r="H49" s="39">
        <v>226</v>
      </c>
    </row>
    <row r="50" spans="1:8" x14ac:dyDescent="0.25">
      <c r="A50" s="39">
        <f t="shared" si="4"/>
        <v>0.19</v>
      </c>
      <c r="B50" s="39">
        <v>55</v>
      </c>
      <c r="D50" s="39">
        <f t="shared" si="5"/>
        <v>0.48</v>
      </c>
      <c r="E50" s="39">
        <v>140</v>
      </c>
      <c r="G50" s="39">
        <f t="shared" si="6"/>
        <v>0.78</v>
      </c>
      <c r="H50" s="39">
        <v>229</v>
      </c>
    </row>
    <row r="51" spans="1:8" x14ac:dyDescent="0.25">
      <c r="A51" s="39">
        <f t="shared" si="4"/>
        <v>0.2</v>
      </c>
      <c r="B51" s="39">
        <v>58</v>
      </c>
      <c r="D51" s="39">
        <f t="shared" si="5"/>
        <v>0.49</v>
      </c>
      <c r="E51" s="39">
        <v>143</v>
      </c>
      <c r="G51" s="39">
        <f t="shared" si="6"/>
        <v>0.79</v>
      </c>
      <c r="H51" s="39">
        <v>231</v>
      </c>
    </row>
    <row r="52" spans="1:8" x14ac:dyDescent="0.25">
      <c r="A52" s="39">
        <f t="shared" si="4"/>
        <v>0.21</v>
      </c>
      <c r="B52" s="39">
        <v>61</v>
      </c>
      <c r="D52" s="39">
        <f t="shared" si="5"/>
        <v>0.5</v>
      </c>
      <c r="E52" s="39">
        <v>146</v>
      </c>
      <c r="G52" s="39">
        <f t="shared" si="6"/>
        <v>0.8</v>
      </c>
      <c r="H52" s="39">
        <v>234</v>
      </c>
    </row>
    <row r="53" spans="1:8" x14ac:dyDescent="0.25">
      <c r="A53" s="39">
        <f t="shared" si="4"/>
        <v>0.22</v>
      </c>
      <c r="B53" s="39">
        <v>64</v>
      </c>
      <c r="D53" s="39">
        <f t="shared" si="5"/>
        <v>0.51</v>
      </c>
      <c r="E53" s="39">
        <v>149</v>
      </c>
      <c r="G53" s="39">
        <f t="shared" si="6"/>
        <v>0.81</v>
      </c>
      <c r="H53" s="39">
        <v>237</v>
      </c>
    </row>
    <row r="54" spans="1:8" x14ac:dyDescent="0.25">
      <c r="A54" s="39">
        <f t="shared" si="4"/>
        <v>0.23</v>
      </c>
      <c r="B54" s="39">
        <v>67</v>
      </c>
      <c r="D54" s="39">
        <f t="shared" si="5"/>
        <v>0.52</v>
      </c>
      <c r="E54" s="39">
        <v>152</v>
      </c>
      <c r="G54" s="39">
        <f t="shared" si="6"/>
        <v>0.82</v>
      </c>
      <c r="H54" s="39">
        <v>240</v>
      </c>
    </row>
    <row r="55" spans="1:8" x14ac:dyDescent="0.25">
      <c r="A55" s="39">
        <f t="shared" si="4"/>
        <v>0.24</v>
      </c>
      <c r="B55" s="39">
        <v>70</v>
      </c>
      <c r="D55" s="39">
        <f t="shared" si="5"/>
        <v>0.53</v>
      </c>
      <c r="E55" s="39">
        <v>155</v>
      </c>
      <c r="G55" s="39">
        <f t="shared" si="6"/>
        <v>0.83</v>
      </c>
      <c r="H55" s="39">
        <v>243</v>
      </c>
    </row>
    <row r="56" spans="1:8" x14ac:dyDescent="0.25">
      <c r="A56" s="39">
        <f t="shared" si="4"/>
        <v>0.25</v>
      </c>
      <c r="B56" s="39">
        <v>73</v>
      </c>
      <c r="D56" s="39">
        <f t="shared" si="5"/>
        <v>0.54</v>
      </c>
      <c r="E56" s="39">
        <v>158</v>
      </c>
      <c r="G56" s="39">
        <f t="shared" si="6"/>
        <v>0.84</v>
      </c>
      <c r="H56" s="39">
        <v>246</v>
      </c>
    </row>
    <row r="57" spans="1:8" x14ac:dyDescent="0.25">
      <c r="A57" s="39">
        <f t="shared" si="4"/>
        <v>0.26</v>
      </c>
      <c r="B57" s="39">
        <v>76</v>
      </c>
      <c r="D57" s="39">
        <f t="shared" si="5"/>
        <v>0.55000000000000004</v>
      </c>
      <c r="E57" s="39">
        <v>161</v>
      </c>
      <c r="G57" s="39">
        <f t="shared" si="6"/>
        <v>0.85</v>
      </c>
      <c r="H57" s="39">
        <v>249</v>
      </c>
    </row>
    <row r="58" spans="1:8" x14ac:dyDescent="0.25">
      <c r="A58" s="39">
        <f t="shared" si="4"/>
        <v>0.27</v>
      </c>
      <c r="B58" s="39">
        <v>79</v>
      </c>
      <c r="D58" s="39">
        <f t="shared" si="5"/>
        <v>0.56000000000000005</v>
      </c>
      <c r="E58" s="39">
        <v>164</v>
      </c>
      <c r="G58" s="39">
        <f t="shared" si="6"/>
        <v>0.86</v>
      </c>
      <c r="H58" s="39">
        <v>252</v>
      </c>
    </row>
    <row r="59" spans="1:8" x14ac:dyDescent="0.25">
      <c r="A59" s="39">
        <f t="shared" si="4"/>
        <v>0.28000000000000003</v>
      </c>
      <c r="B59" s="39">
        <v>82</v>
      </c>
      <c r="D59" s="39">
        <f t="shared" si="5"/>
        <v>0.56999999999999995</v>
      </c>
      <c r="E59" s="39">
        <v>167</v>
      </c>
      <c r="G59" s="39">
        <f t="shared" si="6"/>
        <v>0.87</v>
      </c>
      <c r="H59" s="39">
        <v>255</v>
      </c>
    </row>
    <row r="60" spans="1:8" x14ac:dyDescent="0.25">
      <c r="A60" s="39">
        <f t="shared" si="4"/>
        <v>0.28999999999999998</v>
      </c>
      <c r="B60" s="39">
        <v>85</v>
      </c>
      <c r="D60" s="39">
        <f t="shared" si="5"/>
        <v>0.57999999999999996</v>
      </c>
      <c r="E60" s="39">
        <v>170</v>
      </c>
      <c r="G60" s="39">
        <f t="shared" si="6"/>
        <v>0.88</v>
      </c>
      <c r="H60" s="39">
        <v>258</v>
      </c>
    </row>
    <row r="61" spans="1:8" x14ac:dyDescent="0.25">
      <c r="A61" s="39">
        <f t="shared" si="4"/>
        <v>0.3</v>
      </c>
      <c r="B61" s="39">
        <v>88</v>
      </c>
      <c r="D61" s="39">
        <f t="shared" si="5"/>
        <v>0.59</v>
      </c>
      <c r="E61" s="39">
        <v>173</v>
      </c>
      <c r="G61" s="39">
        <f t="shared" si="6"/>
        <v>0.89</v>
      </c>
      <c r="H61" s="39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4C86-4399-4E1F-8087-368B898B666F}">
  <dimension ref="A1:AB100"/>
  <sheetViews>
    <sheetView topLeftCell="A61" workbookViewId="0">
      <selection activeCell="I78" sqref="I78"/>
    </sheetView>
  </sheetViews>
  <sheetFormatPr defaultRowHeight="15" x14ac:dyDescent="0.25"/>
  <cols>
    <col min="1" max="1" width="9.140625" style="56"/>
    <col min="2" max="3" width="9.140625" style="39"/>
    <col min="4" max="4" width="9.140625" style="56"/>
    <col min="5" max="6" width="9.140625" style="39"/>
    <col min="7" max="7" width="9.140625" style="56"/>
    <col min="8" max="9" width="9.140625" style="39"/>
    <col min="10" max="10" width="9.140625" style="56"/>
    <col min="11" max="12" width="9.140625" style="39"/>
    <col min="13" max="13" width="9.140625" style="56"/>
    <col min="14" max="15" width="9.140625" style="39"/>
    <col min="16" max="16" width="9.140625" style="56"/>
    <col min="17" max="18" width="9.140625" style="39"/>
    <col min="19" max="19" width="9.140625" style="56"/>
    <col min="20" max="21" width="9.140625" style="39"/>
    <col min="22" max="22" width="9.140625" style="56"/>
    <col min="23" max="24" width="9.140625" style="39"/>
    <col min="25" max="25" width="9.140625" style="56"/>
    <col min="26" max="27" width="9.140625" style="39"/>
    <col min="28" max="28" width="9.140625" style="56"/>
    <col min="29" max="16384" width="9.140625" style="39"/>
  </cols>
  <sheetData>
    <row r="1" spans="1:28" ht="12" customHeight="1" x14ac:dyDescent="0.25">
      <c r="A1" s="56">
        <v>1.00000000000001E-3</v>
      </c>
      <c r="D1" s="56">
        <v>0.10100000000000001</v>
      </c>
      <c r="G1" s="56">
        <v>0.20100000000000001</v>
      </c>
      <c r="J1" s="56">
        <v>0.30099999999999999</v>
      </c>
      <c r="M1" s="56">
        <v>0.40100000000000002</v>
      </c>
      <c r="P1" s="56">
        <v>0.501</v>
      </c>
      <c r="S1" s="56">
        <v>0.60099999999999998</v>
      </c>
      <c r="V1" s="56">
        <v>0.70099999999999996</v>
      </c>
      <c r="Y1" s="56">
        <v>0.80100000000000005</v>
      </c>
      <c r="AB1" s="56">
        <v>0.90100000000000002</v>
      </c>
    </row>
    <row r="2" spans="1:28" ht="12" customHeight="1" x14ac:dyDescent="0.25">
      <c r="A2" s="56">
        <v>2.00000000000001E-3</v>
      </c>
      <c r="D2" s="56">
        <v>0.10199999999999999</v>
      </c>
      <c r="G2" s="56">
        <v>0.20200000000000001</v>
      </c>
      <c r="J2" s="56">
        <v>0.30199999999999999</v>
      </c>
      <c r="M2" s="56">
        <v>0.40200000000000002</v>
      </c>
      <c r="P2" s="56">
        <v>0.502</v>
      </c>
      <c r="S2" s="56">
        <v>0.60199999999999998</v>
      </c>
      <c r="V2" s="56">
        <v>0.70199999999999996</v>
      </c>
      <c r="Y2" s="56">
        <v>0.80200000000000005</v>
      </c>
      <c r="AB2" s="56">
        <v>0.90200000000000002</v>
      </c>
    </row>
    <row r="3" spans="1:28" ht="12" customHeight="1" x14ac:dyDescent="0.25">
      <c r="A3" s="56">
        <v>3.00000000000001E-3</v>
      </c>
      <c r="D3" s="56">
        <v>0.10299999999999999</v>
      </c>
      <c r="G3" s="56">
        <v>0.20300000000000001</v>
      </c>
      <c r="J3" s="56">
        <v>0.30299999999999999</v>
      </c>
      <c r="M3" s="56">
        <v>0.40300000000000002</v>
      </c>
      <c r="P3" s="56">
        <v>0.503</v>
      </c>
      <c r="S3" s="56">
        <v>0.60299999999999998</v>
      </c>
      <c r="V3" s="56">
        <v>0.70299999999999996</v>
      </c>
      <c r="Y3" s="56">
        <v>0.80300000000000005</v>
      </c>
      <c r="AB3" s="56">
        <v>0.90300000000000002</v>
      </c>
    </row>
    <row r="4" spans="1:28" ht="12" customHeight="1" x14ac:dyDescent="0.25">
      <c r="A4" s="56">
        <v>4.0000000000000096E-3</v>
      </c>
      <c r="D4" s="56">
        <v>0.104</v>
      </c>
      <c r="G4" s="56">
        <v>0.20399999999999999</v>
      </c>
      <c r="J4" s="56">
        <v>0.30399999999999999</v>
      </c>
      <c r="M4" s="56">
        <v>0.40400000000000003</v>
      </c>
      <c r="P4" s="56">
        <v>0.504</v>
      </c>
      <c r="S4" s="56">
        <v>0.60399999999999998</v>
      </c>
      <c r="V4" s="56">
        <v>0.70399999999999996</v>
      </c>
      <c r="Y4" s="56">
        <v>0.80400000000000005</v>
      </c>
      <c r="AB4" s="56">
        <v>0.90400000000000003</v>
      </c>
    </row>
    <row r="5" spans="1:28" ht="12" customHeight="1" x14ac:dyDescent="0.25">
      <c r="A5" s="56">
        <v>5.0000000000000001E-3</v>
      </c>
      <c r="D5" s="56">
        <v>0.105</v>
      </c>
      <c r="G5" s="56">
        <v>0.20499999999999999</v>
      </c>
      <c r="J5" s="56">
        <v>0.30499999999999999</v>
      </c>
      <c r="M5" s="56">
        <v>0.40500000000000003</v>
      </c>
      <c r="P5" s="56">
        <v>0.505</v>
      </c>
      <c r="S5" s="56">
        <v>0.60499999999999998</v>
      </c>
      <c r="V5" s="56">
        <v>0.70499999999999996</v>
      </c>
      <c r="Y5" s="56">
        <v>0.80500000000000005</v>
      </c>
      <c r="AB5" s="56">
        <v>0.90500000000000003</v>
      </c>
    </row>
    <row r="6" spans="1:28" ht="12" customHeight="1" x14ac:dyDescent="0.25">
      <c r="A6" s="56">
        <v>6.0000000000000001E-3</v>
      </c>
      <c r="D6" s="56">
        <v>0.106</v>
      </c>
      <c r="G6" s="56">
        <v>0.20599999999999999</v>
      </c>
      <c r="J6" s="56">
        <v>0.30599999999999999</v>
      </c>
      <c r="M6" s="56">
        <v>0.40600000000000003</v>
      </c>
      <c r="P6" s="56">
        <v>0.50600000000000001</v>
      </c>
      <c r="S6" s="56">
        <v>0.60599999999999998</v>
      </c>
      <c r="V6" s="56">
        <v>0.70599999999999996</v>
      </c>
      <c r="Y6" s="56">
        <v>0.80600000000000005</v>
      </c>
      <c r="AB6" s="56">
        <v>0.90600000000000003</v>
      </c>
    </row>
    <row r="7" spans="1:28" ht="12" customHeight="1" x14ac:dyDescent="0.25">
      <c r="A7" s="56">
        <v>7.0000000000000001E-3</v>
      </c>
      <c r="D7" s="56">
        <v>0.107</v>
      </c>
      <c r="G7" s="56">
        <v>0.20699999999999999</v>
      </c>
      <c r="J7" s="56">
        <v>0.307</v>
      </c>
      <c r="M7" s="56">
        <v>0.40699999999999997</v>
      </c>
      <c r="P7" s="56">
        <v>0.50700000000000001</v>
      </c>
      <c r="S7" s="56">
        <v>0.60699999999999998</v>
      </c>
      <c r="V7" s="56">
        <v>0.70699999999999996</v>
      </c>
      <c r="Y7" s="56">
        <v>0.80700000000000005</v>
      </c>
      <c r="AB7" s="56">
        <v>0.90700000000000003</v>
      </c>
    </row>
    <row r="8" spans="1:28" ht="12" customHeight="1" x14ac:dyDescent="0.25">
      <c r="A8" s="56">
        <v>8.0000000000000002E-3</v>
      </c>
      <c r="D8" s="56">
        <v>0.108</v>
      </c>
      <c r="G8" s="56">
        <v>0.20799999999999999</v>
      </c>
      <c r="J8" s="56">
        <v>0.308</v>
      </c>
      <c r="M8" s="56">
        <v>0.40799999999999997</v>
      </c>
      <c r="P8" s="56">
        <v>0.50800000000000001</v>
      </c>
      <c r="S8" s="56">
        <v>0.60799999999999998</v>
      </c>
      <c r="V8" s="56">
        <v>0.70799999999999996</v>
      </c>
      <c r="Y8" s="56">
        <v>0.80800000000000005</v>
      </c>
      <c r="AB8" s="56">
        <v>0.90800000000000003</v>
      </c>
    </row>
    <row r="9" spans="1:28" ht="12" customHeight="1" x14ac:dyDescent="0.25">
      <c r="A9" s="56">
        <v>8.9999999999999993E-3</v>
      </c>
      <c r="D9" s="56">
        <v>0.109</v>
      </c>
      <c r="G9" s="56">
        <v>0.20899999999999999</v>
      </c>
      <c r="J9" s="56">
        <v>0.309</v>
      </c>
      <c r="M9" s="56">
        <v>0.40899999999999997</v>
      </c>
      <c r="P9" s="56">
        <v>0.50900000000000001</v>
      </c>
      <c r="S9" s="56">
        <v>0.60899999999999999</v>
      </c>
      <c r="V9" s="56">
        <v>0.70899999999999996</v>
      </c>
      <c r="Y9" s="56">
        <v>0.80900000000000005</v>
      </c>
      <c r="AB9" s="56">
        <v>0.90900000000000003</v>
      </c>
    </row>
    <row r="10" spans="1:28" ht="12" customHeight="1" x14ac:dyDescent="0.25">
      <c r="A10" s="56">
        <v>0.01</v>
      </c>
      <c r="D10" s="56">
        <v>0.11</v>
      </c>
      <c r="G10" s="56">
        <v>0.21</v>
      </c>
      <c r="J10" s="56">
        <v>0.31</v>
      </c>
      <c r="M10" s="56">
        <v>0.41</v>
      </c>
      <c r="P10" s="56">
        <v>0.51</v>
      </c>
      <c r="S10" s="56">
        <v>0.61</v>
      </c>
      <c r="V10" s="56">
        <v>0.71</v>
      </c>
      <c r="Y10" s="56">
        <v>0.81</v>
      </c>
      <c r="AB10" s="56">
        <v>0.91</v>
      </c>
    </row>
    <row r="11" spans="1:28" ht="12" customHeight="1" x14ac:dyDescent="0.25">
      <c r="A11" s="56">
        <v>1.0999999999999999E-2</v>
      </c>
      <c r="D11" s="56">
        <v>0.111</v>
      </c>
      <c r="G11" s="56">
        <v>0.21099999999999999</v>
      </c>
      <c r="J11" s="56">
        <v>0.311</v>
      </c>
      <c r="M11" s="56">
        <v>0.41099999999999998</v>
      </c>
      <c r="P11" s="56">
        <v>0.51100000000000001</v>
      </c>
      <c r="S11" s="56">
        <v>0.61099999999999999</v>
      </c>
      <c r="V11" s="56">
        <v>0.71099999999999997</v>
      </c>
      <c r="Y11" s="56">
        <v>0.81100000000000005</v>
      </c>
      <c r="AB11" s="56">
        <v>0.91100000000000003</v>
      </c>
    </row>
    <row r="12" spans="1:28" ht="12" customHeight="1" x14ac:dyDescent="0.25">
      <c r="A12" s="56">
        <v>1.2E-2</v>
      </c>
      <c r="D12" s="56">
        <v>0.112</v>
      </c>
      <c r="G12" s="56">
        <v>0.21199999999999999</v>
      </c>
      <c r="J12" s="56">
        <v>0.312</v>
      </c>
      <c r="M12" s="56">
        <v>0.41199999999999998</v>
      </c>
      <c r="P12" s="56">
        <v>0.51200000000000001</v>
      </c>
      <c r="S12" s="56">
        <v>0.61199999999999999</v>
      </c>
      <c r="V12" s="56">
        <v>0.71199999999999997</v>
      </c>
      <c r="Y12" s="56">
        <v>0.81200000000000006</v>
      </c>
      <c r="AB12" s="56">
        <v>0.91200000000000003</v>
      </c>
    </row>
    <row r="13" spans="1:28" ht="12" customHeight="1" x14ac:dyDescent="0.25">
      <c r="A13" s="56">
        <v>1.2999999999999999E-2</v>
      </c>
      <c r="D13" s="56">
        <v>0.113</v>
      </c>
      <c r="G13" s="56">
        <v>0.21299999999999999</v>
      </c>
      <c r="J13" s="56">
        <v>0.313</v>
      </c>
      <c r="M13" s="56">
        <v>0.41299999999999998</v>
      </c>
      <c r="P13" s="56">
        <v>0.51300000000000001</v>
      </c>
      <c r="S13" s="56">
        <v>0.61299999999999999</v>
      </c>
      <c r="V13" s="56">
        <v>0.71299999999999997</v>
      </c>
      <c r="Y13" s="56">
        <v>0.81299999999999994</v>
      </c>
      <c r="AB13" s="56">
        <v>0.91300000000000003</v>
      </c>
    </row>
    <row r="14" spans="1:28" ht="12" customHeight="1" x14ac:dyDescent="0.25">
      <c r="A14" s="56">
        <v>1.4E-2</v>
      </c>
      <c r="D14" s="56">
        <v>0.114</v>
      </c>
      <c r="G14" s="56">
        <v>0.214</v>
      </c>
      <c r="J14" s="56">
        <v>0.314</v>
      </c>
      <c r="M14" s="56">
        <v>0.41399999999999998</v>
      </c>
      <c r="P14" s="56">
        <v>0.51400000000000001</v>
      </c>
      <c r="S14" s="56">
        <v>0.61399999999999999</v>
      </c>
      <c r="V14" s="56">
        <v>0.71399999999999997</v>
      </c>
      <c r="Y14" s="56">
        <v>0.81399999999999995</v>
      </c>
      <c r="AB14" s="56">
        <v>0.91400000000000003</v>
      </c>
    </row>
    <row r="15" spans="1:28" ht="12" customHeight="1" x14ac:dyDescent="0.25">
      <c r="A15" s="56">
        <v>1.4999999999999999E-2</v>
      </c>
      <c r="D15" s="56">
        <v>0.115</v>
      </c>
      <c r="G15" s="56">
        <v>0.215</v>
      </c>
      <c r="J15" s="56">
        <v>0.315</v>
      </c>
      <c r="M15" s="56">
        <v>0.41499999999999998</v>
      </c>
      <c r="P15" s="56">
        <v>0.51500000000000001</v>
      </c>
      <c r="S15" s="56">
        <v>0.61499999999999999</v>
      </c>
      <c r="V15" s="56">
        <v>0.71499999999999997</v>
      </c>
      <c r="Y15" s="56">
        <v>0.81499999999999995</v>
      </c>
      <c r="AB15" s="56">
        <v>0.91500000000000004</v>
      </c>
    </row>
    <row r="16" spans="1:28" ht="12" customHeight="1" x14ac:dyDescent="0.25">
      <c r="A16" s="56">
        <v>1.6E-2</v>
      </c>
      <c r="D16" s="56">
        <v>0.11600000000000001</v>
      </c>
      <c r="G16" s="56">
        <v>0.216</v>
      </c>
      <c r="J16" s="56">
        <v>0.316</v>
      </c>
      <c r="M16" s="56">
        <v>0.41599999999999998</v>
      </c>
      <c r="P16" s="56">
        <v>0.51600000000000001</v>
      </c>
      <c r="S16" s="56">
        <v>0.61599999999999999</v>
      </c>
      <c r="V16" s="56">
        <v>0.71599999999999997</v>
      </c>
      <c r="Y16" s="56">
        <v>0.81599999999999995</v>
      </c>
      <c r="AB16" s="56">
        <v>0.91600000000000004</v>
      </c>
    </row>
    <row r="17" spans="1:28" ht="12" customHeight="1" x14ac:dyDescent="0.25">
      <c r="A17" s="56">
        <v>1.7000000000000001E-2</v>
      </c>
      <c r="D17" s="56">
        <v>0.11700000000000001</v>
      </c>
      <c r="G17" s="56">
        <v>0.217</v>
      </c>
      <c r="J17" s="56">
        <v>0.317</v>
      </c>
      <c r="M17" s="56">
        <v>0.41699999999999998</v>
      </c>
      <c r="P17" s="56">
        <v>0.51700000000000002</v>
      </c>
      <c r="S17" s="56">
        <v>0.61699999999999999</v>
      </c>
      <c r="V17" s="56">
        <v>0.71699999999999997</v>
      </c>
      <c r="Y17" s="56">
        <v>0.81699999999999995</v>
      </c>
      <c r="AB17" s="56">
        <v>0.91700000000000004</v>
      </c>
    </row>
    <row r="18" spans="1:28" ht="12" customHeight="1" x14ac:dyDescent="0.25">
      <c r="A18" s="56">
        <v>1.7999999999999999E-2</v>
      </c>
      <c r="D18" s="56">
        <v>0.11799999999999999</v>
      </c>
      <c r="G18" s="56">
        <v>0.218</v>
      </c>
      <c r="J18" s="56">
        <v>0.318</v>
      </c>
      <c r="M18" s="56">
        <v>0.41799999999999998</v>
      </c>
      <c r="P18" s="56">
        <v>0.51800000000000002</v>
      </c>
      <c r="S18" s="56">
        <v>0.61799999999999999</v>
      </c>
      <c r="V18" s="56">
        <v>0.71799999999999997</v>
      </c>
      <c r="Y18" s="56">
        <v>0.81799999999999995</v>
      </c>
      <c r="AB18" s="56">
        <v>0.91800000000000004</v>
      </c>
    </row>
    <row r="19" spans="1:28" ht="12" customHeight="1" x14ac:dyDescent="0.25">
      <c r="A19" s="56">
        <v>1.9E-2</v>
      </c>
      <c r="D19" s="56">
        <v>0.11899999999999999</v>
      </c>
      <c r="G19" s="56">
        <v>0.219</v>
      </c>
      <c r="J19" s="56">
        <v>0.31900000000000001</v>
      </c>
      <c r="M19" s="56">
        <v>0.41899999999999998</v>
      </c>
      <c r="P19" s="56">
        <v>0.51900000000000002</v>
      </c>
      <c r="S19" s="56">
        <v>0.61899999999999999</v>
      </c>
      <c r="V19" s="56">
        <v>0.71899999999999997</v>
      </c>
      <c r="Y19" s="56">
        <v>0.81899999999999995</v>
      </c>
      <c r="AB19" s="56">
        <v>0.91900000000000004</v>
      </c>
    </row>
    <row r="20" spans="1:28" ht="12" customHeight="1" x14ac:dyDescent="0.25">
      <c r="A20" s="56">
        <v>0.02</v>
      </c>
      <c r="D20" s="56">
        <v>0.12</v>
      </c>
      <c r="G20" s="56">
        <v>0.22</v>
      </c>
      <c r="J20" s="56">
        <v>0.32</v>
      </c>
      <c r="M20" s="56">
        <v>0.42</v>
      </c>
      <c r="P20" s="56">
        <v>0.52</v>
      </c>
      <c r="S20" s="56">
        <v>0.62</v>
      </c>
      <c r="V20" s="56">
        <v>0.72</v>
      </c>
      <c r="Y20" s="56">
        <v>0.82</v>
      </c>
      <c r="AB20" s="56">
        <v>0.92</v>
      </c>
    </row>
    <row r="21" spans="1:28" ht="12" customHeight="1" x14ac:dyDescent="0.25">
      <c r="A21" s="56">
        <v>2.1000000000000001E-2</v>
      </c>
      <c r="D21" s="56">
        <v>0.121</v>
      </c>
      <c r="G21" s="56">
        <v>0.221</v>
      </c>
      <c r="J21" s="56">
        <v>0.32100000000000001</v>
      </c>
      <c r="M21" s="56">
        <v>0.42099999999999999</v>
      </c>
      <c r="P21" s="56">
        <v>0.52100000000000002</v>
      </c>
      <c r="S21" s="56">
        <v>0.621</v>
      </c>
      <c r="V21" s="56">
        <v>0.72099999999999997</v>
      </c>
      <c r="Y21" s="56">
        <v>0.82099999999999995</v>
      </c>
      <c r="AB21" s="56">
        <v>0.92100000000000004</v>
      </c>
    </row>
    <row r="22" spans="1:28" ht="12" customHeight="1" x14ac:dyDescent="0.25">
      <c r="A22" s="56">
        <v>2.1999999999999999E-2</v>
      </c>
      <c r="D22" s="56">
        <v>0.122</v>
      </c>
      <c r="G22" s="56">
        <v>0.222</v>
      </c>
      <c r="J22" s="56">
        <v>0.32200000000000001</v>
      </c>
      <c r="M22" s="56">
        <v>0.42199999999999999</v>
      </c>
      <c r="P22" s="56">
        <v>0.52200000000000002</v>
      </c>
      <c r="S22" s="56">
        <v>0.622</v>
      </c>
      <c r="V22" s="56">
        <v>0.72199999999999998</v>
      </c>
      <c r="Y22" s="56">
        <v>0.82199999999999995</v>
      </c>
      <c r="AB22" s="56">
        <v>0.92200000000000004</v>
      </c>
    </row>
    <row r="23" spans="1:28" ht="12" customHeight="1" x14ac:dyDescent="0.25">
      <c r="A23" s="56">
        <v>2.3E-2</v>
      </c>
      <c r="D23" s="56">
        <v>0.123</v>
      </c>
      <c r="G23" s="56">
        <v>0.223</v>
      </c>
      <c r="J23" s="56">
        <v>0.32300000000000001</v>
      </c>
      <c r="M23" s="56">
        <v>0.42299999999999999</v>
      </c>
      <c r="P23" s="56">
        <v>0.52300000000000002</v>
      </c>
      <c r="S23" s="56">
        <v>0.623</v>
      </c>
      <c r="V23" s="56">
        <v>0.72299999999999998</v>
      </c>
      <c r="Y23" s="56">
        <v>0.82299999999999995</v>
      </c>
      <c r="AB23" s="56">
        <v>0.92300000000000004</v>
      </c>
    </row>
    <row r="24" spans="1:28" ht="12" customHeight="1" x14ac:dyDescent="0.25">
      <c r="A24" s="56">
        <v>2.4E-2</v>
      </c>
      <c r="D24" s="56">
        <v>0.124</v>
      </c>
      <c r="G24" s="56">
        <v>0.224</v>
      </c>
      <c r="J24" s="56">
        <v>0.32400000000000001</v>
      </c>
      <c r="M24" s="56">
        <v>0.42399999999999999</v>
      </c>
      <c r="P24" s="56">
        <v>0.52400000000000002</v>
      </c>
      <c r="S24" s="56">
        <v>0.624</v>
      </c>
      <c r="V24" s="56">
        <v>0.72399999999999998</v>
      </c>
      <c r="Y24" s="56">
        <v>0.82399999999999995</v>
      </c>
      <c r="AB24" s="56">
        <v>0.92400000000000004</v>
      </c>
    </row>
    <row r="25" spans="1:28" ht="12" customHeight="1" x14ac:dyDescent="0.25">
      <c r="A25" s="56">
        <v>2.5000000000000001E-2</v>
      </c>
      <c r="D25" s="56">
        <v>0.125</v>
      </c>
      <c r="G25" s="56">
        <v>0.22500000000000001</v>
      </c>
      <c r="J25" s="56">
        <v>0.32500000000000001</v>
      </c>
      <c r="M25" s="56">
        <v>0.42499999999999999</v>
      </c>
      <c r="P25" s="56">
        <v>0.52500000000000002</v>
      </c>
      <c r="S25" s="56">
        <v>0.625</v>
      </c>
      <c r="V25" s="56">
        <v>0.72499999999999998</v>
      </c>
      <c r="Y25" s="56">
        <v>0.82499999999999996</v>
      </c>
      <c r="AB25" s="56">
        <v>0.92500000000000004</v>
      </c>
    </row>
    <row r="26" spans="1:28" ht="12" customHeight="1" x14ac:dyDescent="0.25">
      <c r="A26" s="56">
        <v>2.5999999999999999E-2</v>
      </c>
      <c r="D26" s="56">
        <v>0.126</v>
      </c>
      <c r="G26" s="56">
        <v>0.22600000000000001</v>
      </c>
      <c r="J26" s="56">
        <v>0.32600000000000001</v>
      </c>
      <c r="M26" s="56">
        <v>0.42599999999999999</v>
      </c>
      <c r="P26" s="56">
        <v>0.52600000000000002</v>
      </c>
      <c r="S26" s="56">
        <v>0.626</v>
      </c>
      <c r="V26" s="56">
        <v>0.72599999999999998</v>
      </c>
      <c r="Y26" s="56">
        <v>0.82599999999999996</v>
      </c>
      <c r="AB26" s="56">
        <v>0.92600000000000005</v>
      </c>
    </row>
    <row r="27" spans="1:28" ht="12" customHeight="1" x14ac:dyDescent="0.25">
      <c r="A27" s="56">
        <v>2.7E-2</v>
      </c>
      <c r="D27" s="56">
        <v>0.127</v>
      </c>
      <c r="G27" s="56">
        <v>0.22700000000000001</v>
      </c>
      <c r="J27" s="56">
        <v>0.32700000000000001</v>
      </c>
      <c r="M27" s="56">
        <v>0.42699999999999999</v>
      </c>
      <c r="P27" s="56">
        <v>0.52700000000000002</v>
      </c>
      <c r="S27" s="56">
        <v>0.627</v>
      </c>
      <c r="V27" s="56">
        <v>0.72699999999999998</v>
      </c>
      <c r="Y27" s="56">
        <v>0.82699999999999996</v>
      </c>
      <c r="AB27" s="56">
        <v>0.92700000000000005</v>
      </c>
    </row>
    <row r="28" spans="1:28" ht="12" customHeight="1" x14ac:dyDescent="0.25">
      <c r="A28" s="56">
        <v>2.8000000000000001E-2</v>
      </c>
      <c r="D28" s="56">
        <v>0.128</v>
      </c>
      <c r="G28" s="56">
        <v>0.22800000000000001</v>
      </c>
      <c r="J28" s="56">
        <v>0.32800000000000001</v>
      </c>
      <c r="M28" s="56">
        <v>0.42799999999999999</v>
      </c>
      <c r="P28" s="56">
        <v>0.52800000000000002</v>
      </c>
      <c r="S28" s="56">
        <v>0.628</v>
      </c>
      <c r="V28" s="56">
        <v>0.72799999999999998</v>
      </c>
      <c r="Y28" s="56">
        <v>0.82799999999999996</v>
      </c>
      <c r="AB28" s="56">
        <v>0.92800000000000005</v>
      </c>
    </row>
    <row r="29" spans="1:28" ht="12" customHeight="1" x14ac:dyDescent="0.25">
      <c r="A29" s="56">
        <v>2.9000000000000001E-2</v>
      </c>
      <c r="D29" s="56">
        <v>0.129</v>
      </c>
      <c r="G29" s="56">
        <v>0.22900000000000001</v>
      </c>
      <c r="J29" s="56">
        <v>0.32900000000000001</v>
      </c>
      <c r="M29" s="56">
        <v>0.42899999999999999</v>
      </c>
      <c r="P29" s="56">
        <v>0.52900000000000003</v>
      </c>
      <c r="S29" s="56">
        <v>0.629</v>
      </c>
      <c r="V29" s="56">
        <v>0.72899999999999998</v>
      </c>
      <c r="Y29" s="56">
        <v>0.82899999999999996</v>
      </c>
      <c r="AB29" s="56">
        <v>0.92900000000000005</v>
      </c>
    </row>
    <row r="30" spans="1:28" ht="12" customHeight="1" x14ac:dyDescent="0.25">
      <c r="A30" s="56">
        <v>0.03</v>
      </c>
      <c r="D30" s="56">
        <v>0.13</v>
      </c>
      <c r="G30" s="56">
        <v>0.23</v>
      </c>
      <c r="J30" s="56">
        <v>0.33</v>
      </c>
      <c r="M30" s="56">
        <v>0.43</v>
      </c>
      <c r="P30" s="56">
        <v>0.53</v>
      </c>
      <c r="S30" s="56">
        <v>0.63</v>
      </c>
      <c r="V30" s="56">
        <v>0.73</v>
      </c>
      <c r="Y30" s="56">
        <v>0.83</v>
      </c>
      <c r="AB30" s="56">
        <v>0.93</v>
      </c>
    </row>
    <row r="31" spans="1:28" ht="12" customHeight="1" x14ac:dyDescent="0.25">
      <c r="A31" s="56">
        <v>3.1E-2</v>
      </c>
      <c r="D31" s="56">
        <v>0.13100000000000001</v>
      </c>
      <c r="G31" s="56">
        <v>0.23100000000000001</v>
      </c>
      <c r="J31" s="56">
        <v>0.33100000000000002</v>
      </c>
      <c r="M31" s="56">
        <v>0.43099999999999999</v>
      </c>
      <c r="P31" s="56">
        <v>0.53100000000000003</v>
      </c>
      <c r="S31" s="56">
        <v>0.63100000000000001</v>
      </c>
      <c r="V31" s="56">
        <v>0.73099999999999998</v>
      </c>
      <c r="Y31" s="56">
        <v>0.83099999999999996</v>
      </c>
      <c r="AB31" s="56">
        <v>0.93100000000000005</v>
      </c>
    </row>
    <row r="32" spans="1:28" ht="12" customHeight="1" x14ac:dyDescent="0.25">
      <c r="A32" s="56">
        <v>3.2000000000000001E-2</v>
      </c>
      <c r="D32" s="56">
        <v>0.13200000000000001</v>
      </c>
      <c r="G32" s="56">
        <v>0.23200000000000001</v>
      </c>
      <c r="J32" s="56">
        <v>0.33200000000000002</v>
      </c>
      <c r="M32" s="56">
        <v>0.432</v>
      </c>
      <c r="P32" s="56">
        <v>0.53200000000000003</v>
      </c>
      <c r="S32" s="56">
        <v>0.63200000000000001</v>
      </c>
      <c r="V32" s="56">
        <v>0.73199999999999998</v>
      </c>
      <c r="Y32" s="56">
        <v>0.83199999999999996</v>
      </c>
      <c r="AB32" s="56">
        <v>0.93200000000000005</v>
      </c>
    </row>
    <row r="33" spans="1:28" ht="12" customHeight="1" x14ac:dyDescent="0.25">
      <c r="A33" s="56">
        <v>3.3000000000000002E-2</v>
      </c>
      <c r="D33" s="56">
        <v>0.13300000000000001</v>
      </c>
      <c r="G33" s="56">
        <v>0.23300000000000001</v>
      </c>
      <c r="J33" s="56">
        <v>0.33300000000000002</v>
      </c>
      <c r="M33" s="56">
        <v>0.433</v>
      </c>
      <c r="P33" s="56">
        <v>0.53300000000000003</v>
      </c>
      <c r="S33" s="56">
        <v>0.63300000000000001</v>
      </c>
      <c r="V33" s="56">
        <v>0.73299999999999998</v>
      </c>
      <c r="Y33" s="56">
        <v>0.83299999999999996</v>
      </c>
      <c r="AB33" s="56">
        <v>0.93300000000000005</v>
      </c>
    </row>
    <row r="34" spans="1:28" ht="12" customHeight="1" x14ac:dyDescent="0.25">
      <c r="A34" s="56">
        <v>3.4000000000000002E-2</v>
      </c>
      <c r="D34" s="56">
        <v>0.13400000000000001</v>
      </c>
      <c r="G34" s="56">
        <v>0.23400000000000001</v>
      </c>
      <c r="J34" s="56">
        <v>0.33400000000000002</v>
      </c>
      <c r="M34" s="56">
        <v>0.434</v>
      </c>
      <c r="P34" s="56">
        <v>0.53400000000000003</v>
      </c>
      <c r="S34" s="56">
        <v>0.63400000000000001</v>
      </c>
      <c r="V34" s="56">
        <v>0.73399999999999999</v>
      </c>
      <c r="Y34" s="56">
        <v>0.83399999999999996</v>
      </c>
      <c r="AB34" s="56">
        <v>0.93400000000000005</v>
      </c>
    </row>
    <row r="35" spans="1:28" ht="12" customHeight="1" x14ac:dyDescent="0.25">
      <c r="A35" s="56">
        <v>3.5000000000000003E-2</v>
      </c>
      <c r="D35" s="56">
        <v>0.13500000000000001</v>
      </c>
      <c r="G35" s="56">
        <v>0.23499999999999999</v>
      </c>
      <c r="J35" s="56">
        <v>0.33500000000000002</v>
      </c>
      <c r="M35" s="56">
        <v>0.435</v>
      </c>
      <c r="P35" s="56">
        <v>0.53500000000000003</v>
      </c>
      <c r="S35" s="56">
        <v>0.63500000000000001</v>
      </c>
      <c r="V35" s="56">
        <v>0.73499999999999999</v>
      </c>
      <c r="Y35" s="56">
        <v>0.83499999999999996</v>
      </c>
      <c r="AB35" s="56">
        <v>0.93500000000000005</v>
      </c>
    </row>
    <row r="36" spans="1:28" ht="12" customHeight="1" x14ac:dyDescent="0.25">
      <c r="A36" s="56">
        <v>3.5999999999999997E-2</v>
      </c>
      <c r="D36" s="56">
        <v>0.13600000000000001</v>
      </c>
      <c r="G36" s="56">
        <v>0.23599999999999999</v>
      </c>
      <c r="J36" s="56">
        <v>0.33600000000000002</v>
      </c>
      <c r="M36" s="56">
        <v>0.436</v>
      </c>
      <c r="P36" s="56">
        <v>0.53600000000000003</v>
      </c>
      <c r="S36" s="56">
        <v>0.63600000000000001</v>
      </c>
      <c r="V36" s="56">
        <v>0.73599999999999999</v>
      </c>
      <c r="Y36" s="56">
        <v>0.83599999999999997</v>
      </c>
      <c r="AB36" s="56">
        <v>0.93600000000000005</v>
      </c>
    </row>
    <row r="37" spans="1:28" ht="12" customHeight="1" x14ac:dyDescent="0.25">
      <c r="A37" s="56">
        <v>3.6999999999999998E-2</v>
      </c>
      <c r="D37" s="56">
        <v>0.13700000000000001</v>
      </c>
      <c r="G37" s="56">
        <v>0.23699999999999999</v>
      </c>
      <c r="J37" s="56">
        <v>0.33700000000000002</v>
      </c>
      <c r="M37" s="56">
        <v>0.437</v>
      </c>
      <c r="P37" s="56">
        <v>0.53700000000000003</v>
      </c>
      <c r="S37" s="56">
        <v>0.63700000000000001</v>
      </c>
      <c r="V37" s="56">
        <v>0.73699999999999999</v>
      </c>
      <c r="Y37" s="56">
        <v>0.83699999999999997</v>
      </c>
      <c r="AB37" s="56">
        <v>0.93700000000000006</v>
      </c>
    </row>
    <row r="38" spans="1:28" ht="12" customHeight="1" x14ac:dyDescent="0.25">
      <c r="A38" s="56">
        <v>3.7999999999999999E-2</v>
      </c>
      <c r="D38" s="56">
        <v>0.13800000000000001</v>
      </c>
      <c r="G38" s="56">
        <v>0.23799999999999999</v>
      </c>
      <c r="J38" s="56">
        <v>0.33800000000000002</v>
      </c>
      <c r="M38" s="56">
        <v>0.438</v>
      </c>
      <c r="P38" s="56">
        <v>0.53800000000000003</v>
      </c>
      <c r="S38" s="56">
        <v>0.63800000000000001</v>
      </c>
      <c r="V38" s="56">
        <v>0.73799999999999999</v>
      </c>
      <c r="Y38" s="56">
        <v>0.83799999999999997</v>
      </c>
      <c r="AB38" s="56">
        <v>0.93799999999999994</v>
      </c>
    </row>
    <row r="39" spans="1:28" ht="12" customHeight="1" x14ac:dyDescent="0.25">
      <c r="A39" s="56">
        <v>3.9E-2</v>
      </c>
      <c r="D39" s="56">
        <v>0.13900000000000001</v>
      </c>
      <c r="G39" s="56">
        <v>0.23899999999999999</v>
      </c>
      <c r="J39" s="56">
        <v>0.33900000000000002</v>
      </c>
      <c r="M39" s="56">
        <v>0.439</v>
      </c>
      <c r="P39" s="56">
        <v>0.53900000000000003</v>
      </c>
      <c r="S39" s="56">
        <v>0.63900000000000001</v>
      </c>
      <c r="V39" s="56">
        <v>0.73899999999999999</v>
      </c>
      <c r="Y39" s="56">
        <v>0.83899999999999997</v>
      </c>
      <c r="AB39" s="56">
        <v>0.93899999999999995</v>
      </c>
    </row>
    <row r="40" spans="1:28" ht="12" customHeight="1" x14ac:dyDescent="0.25">
      <c r="A40" s="56">
        <v>0.04</v>
      </c>
      <c r="D40" s="56">
        <v>0.14000000000000001</v>
      </c>
      <c r="G40" s="56">
        <v>0.24</v>
      </c>
      <c r="J40" s="56">
        <v>0.34</v>
      </c>
      <c r="M40" s="56">
        <v>0.44</v>
      </c>
      <c r="P40" s="56">
        <v>0.54</v>
      </c>
      <c r="S40" s="56">
        <v>0.64</v>
      </c>
      <c r="V40" s="56">
        <v>0.74</v>
      </c>
      <c r="Y40" s="56">
        <v>0.84</v>
      </c>
      <c r="AB40" s="56">
        <v>0.94</v>
      </c>
    </row>
    <row r="41" spans="1:28" ht="12" customHeight="1" x14ac:dyDescent="0.25">
      <c r="A41" s="56">
        <v>4.1000000000000002E-2</v>
      </c>
      <c r="D41" s="56">
        <v>0.14099999999999999</v>
      </c>
      <c r="G41" s="56">
        <v>0.24099999999999999</v>
      </c>
      <c r="J41" s="56">
        <v>0.34100000000000003</v>
      </c>
      <c r="M41" s="56">
        <v>0.441</v>
      </c>
      <c r="P41" s="56">
        <v>0.54100000000000004</v>
      </c>
      <c r="S41" s="56">
        <v>0.64100000000000001</v>
      </c>
      <c r="V41" s="56">
        <v>0.74099999999999999</v>
      </c>
      <c r="Y41" s="56">
        <v>0.84099999999999997</v>
      </c>
      <c r="AB41" s="56">
        <v>0.94099999999999995</v>
      </c>
    </row>
    <row r="42" spans="1:28" ht="12" customHeight="1" x14ac:dyDescent="0.25">
      <c r="A42" s="56">
        <v>4.2000000000000003E-2</v>
      </c>
      <c r="D42" s="56">
        <v>0.14199999999999999</v>
      </c>
      <c r="G42" s="56">
        <v>0.24199999999999999</v>
      </c>
      <c r="J42" s="56">
        <v>0.34200000000000003</v>
      </c>
      <c r="M42" s="56">
        <v>0.442</v>
      </c>
      <c r="P42" s="56">
        <v>0.54200000000000004</v>
      </c>
      <c r="S42" s="56">
        <v>0.64200000000000002</v>
      </c>
      <c r="V42" s="56">
        <v>0.74199999999999999</v>
      </c>
      <c r="Y42" s="56">
        <v>0.84199999999999997</v>
      </c>
      <c r="AB42" s="56">
        <v>0.94199999999999995</v>
      </c>
    </row>
    <row r="43" spans="1:28" ht="12" customHeight="1" x14ac:dyDescent="0.25">
      <c r="A43" s="56">
        <v>4.2999999999999997E-2</v>
      </c>
      <c r="D43" s="56">
        <v>0.14299999999999999</v>
      </c>
      <c r="G43" s="56">
        <v>0.24299999999999999</v>
      </c>
      <c r="J43" s="56">
        <v>0.34300000000000003</v>
      </c>
      <c r="M43" s="56">
        <v>0.443</v>
      </c>
      <c r="P43" s="56">
        <v>0.54300000000000004</v>
      </c>
      <c r="S43" s="56">
        <v>0.64300000000000002</v>
      </c>
      <c r="V43" s="56">
        <v>0.74299999999999999</v>
      </c>
      <c r="Y43" s="56">
        <v>0.84299999999999997</v>
      </c>
      <c r="AB43" s="56">
        <v>0.94299999999999995</v>
      </c>
    </row>
    <row r="44" spans="1:28" ht="12" customHeight="1" x14ac:dyDescent="0.25">
      <c r="A44" s="56">
        <v>4.3999999999999997E-2</v>
      </c>
      <c r="D44" s="56">
        <v>0.14399999999999899</v>
      </c>
      <c r="G44" s="56">
        <v>0.24399999999999999</v>
      </c>
      <c r="J44" s="56">
        <v>0.34399999999999997</v>
      </c>
      <c r="M44" s="56">
        <v>0.44400000000000001</v>
      </c>
      <c r="P44" s="56">
        <v>0.54400000000000004</v>
      </c>
      <c r="S44" s="56">
        <v>0.64400000000000002</v>
      </c>
      <c r="V44" s="56">
        <v>0.74399999999999999</v>
      </c>
      <c r="Y44" s="56">
        <v>0.84399999999999997</v>
      </c>
      <c r="AB44" s="56">
        <v>0.94399999999999995</v>
      </c>
    </row>
    <row r="45" spans="1:28" ht="12" customHeight="1" x14ac:dyDescent="0.25">
      <c r="A45" s="56">
        <v>4.4999999999999998E-2</v>
      </c>
      <c r="D45" s="56">
        <v>0.14499999999999899</v>
      </c>
      <c r="G45" s="56">
        <v>0.245</v>
      </c>
      <c r="J45" s="56">
        <v>0.34499999999999997</v>
      </c>
      <c r="M45" s="56">
        <v>0.44500000000000001</v>
      </c>
      <c r="P45" s="56">
        <v>0.54500000000000004</v>
      </c>
      <c r="S45" s="56">
        <v>0.64500000000000002</v>
      </c>
      <c r="V45" s="56">
        <v>0.745</v>
      </c>
      <c r="Y45" s="56">
        <v>0.84499999999999997</v>
      </c>
      <c r="AB45" s="56">
        <v>0.94499999999999995</v>
      </c>
    </row>
    <row r="46" spans="1:28" ht="12" customHeight="1" x14ac:dyDescent="0.25">
      <c r="A46" s="56">
        <v>4.5999999999999999E-2</v>
      </c>
      <c r="D46" s="56">
        <v>0.14599999999999899</v>
      </c>
      <c r="G46" s="56">
        <v>0.246</v>
      </c>
      <c r="J46" s="56">
        <v>0.34599999999999997</v>
      </c>
      <c r="M46" s="56">
        <v>0.44600000000000001</v>
      </c>
      <c r="P46" s="56">
        <v>0.54600000000000004</v>
      </c>
      <c r="S46" s="56">
        <v>0.64600000000000002</v>
      </c>
      <c r="V46" s="56">
        <v>0.746</v>
      </c>
      <c r="Y46" s="56">
        <v>0.84599999999999997</v>
      </c>
      <c r="AB46" s="56">
        <v>0.94599999999999995</v>
      </c>
    </row>
    <row r="47" spans="1:28" ht="12" customHeight="1" x14ac:dyDescent="0.25">
      <c r="A47" s="56">
        <v>4.7E-2</v>
      </c>
      <c r="D47" s="56">
        <v>0.14699999999999899</v>
      </c>
      <c r="G47" s="56">
        <v>0.247</v>
      </c>
      <c r="J47" s="56">
        <v>0.34699999999999998</v>
      </c>
      <c r="M47" s="56">
        <v>0.44700000000000001</v>
      </c>
      <c r="P47" s="56">
        <v>0.54700000000000004</v>
      </c>
      <c r="S47" s="56">
        <v>0.64700000000000002</v>
      </c>
      <c r="V47" s="56">
        <v>0.747</v>
      </c>
      <c r="Y47" s="56">
        <v>0.84699999999999998</v>
      </c>
      <c r="AB47" s="56">
        <v>0.94699999999999995</v>
      </c>
    </row>
    <row r="48" spans="1:28" ht="12" customHeight="1" x14ac:dyDescent="0.25">
      <c r="A48" s="56">
        <v>4.8000000000000001E-2</v>
      </c>
      <c r="D48" s="56">
        <v>0.14799999999999899</v>
      </c>
      <c r="G48" s="56">
        <v>0.248</v>
      </c>
      <c r="J48" s="56">
        <v>0.34799999999999998</v>
      </c>
      <c r="M48" s="56">
        <v>0.44800000000000001</v>
      </c>
      <c r="P48" s="56">
        <v>0.54800000000000004</v>
      </c>
      <c r="S48" s="56">
        <v>0.64800000000000002</v>
      </c>
      <c r="V48" s="56">
        <v>0.748</v>
      </c>
      <c r="Y48" s="56">
        <v>0.84799999999999998</v>
      </c>
      <c r="AB48" s="56">
        <v>0.94799999999999995</v>
      </c>
    </row>
    <row r="49" spans="1:28" ht="12" customHeight="1" x14ac:dyDescent="0.25">
      <c r="A49" s="56">
        <v>4.9000000000000002E-2</v>
      </c>
      <c r="D49" s="56">
        <v>0.14899999999999899</v>
      </c>
      <c r="G49" s="56">
        <v>0.249</v>
      </c>
      <c r="J49" s="56">
        <v>0.34899999999999998</v>
      </c>
      <c r="M49" s="56">
        <v>0.44900000000000001</v>
      </c>
      <c r="P49" s="56">
        <v>0.54900000000000004</v>
      </c>
      <c r="S49" s="56">
        <v>0.64900000000000002</v>
      </c>
      <c r="V49" s="56">
        <v>0.749</v>
      </c>
      <c r="Y49" s="56">
        <v>0.84899999999999998</v>
      </c>
      <c r="AB49" s="56">
        <v>0.94899999999999995</v>
      </c>
    </row>
    <row r="50" spans="1:28" ht="12" customHeight="1" x14ac:dyDescent="0.25">
      <c r="A50" s="56">
        <v>0.05</v>
      </c>
      <c r="D50" s="56">
        <v>0.149999999999999</v>
      </c>
      <c r="G50" s="56">
        <v>0.25</v>
      </c>
      <c r="J50" s="56">
        <v>0.35</v>
      </c>
      <c r="M50" s="56">
        <v>0.45</v>
      </c>
      <c r="P50" s="56">
        <v>0.55000000000000004</v>
      </c>
      <c r="S50" s="56">
        <v>0.65</v>
      </c>
      <c r="V50" s="56">
        <v>0.75</v>
      </c>
      <c r="Y50" s="56">
        <v>0.85</v>
      </c>
      <c r="AB50" s="56">
        <v>0.95</v>
      </c>
    </row>
    <row r="51" spans="1:28" ht="12" customHeight="1" x14ac:dyDescent="0.25">
      <c r="A51" s="56">
        <v>5.0999999999999997E-2</v>
      </c>
      <c r="D51" s="56">
        <v>0.150999999999999</v>
      </c>
      <c r="G51" s="56">
        <v>0.251</v>
      </c>
      <c r="J51" s="56">
        <v>0.35099999999999998</v>
      </c>
      <c r="M51" s="56">
        <v>0.45100000000000001</v>
      </c>
      <c r="P51" s="56">
        <v>0.55100000000000005</v>
      </c>
      <c r="S51" s="56">
        <v>0.65100000000000002</v>
      </c>
      <c r="V51" s="56">
        <v>0.751</v>
      </c>
      <c r="Y51" s="56">
        <v>0.85099999999999998</v>
      </c>
      <c r="AB51" s="56">
        <v>0.95099999999999996</v>
      </c>
    </row>
    <row r="52" spans="1:28" ht="12" customHeight="1" x14ac:dyDescent="0.25">
      <c r="A52" s="56">
        <v>5.1999999999999998E-2</v>
      </c>
      <c r="D52" s="56">
        <v>0.151999999999999</v>
      </c>
      <c r="G52" s="56">
        <v>0.252</v>
      </c>
      <c r="J52" s="56">
        <v>0.35199999999999998</v>
      </c>
      <c r="M52" s="56">
        <v>0.45200000000000001</v>
      </c>
      <c r="P52" s="56">
        <v>0.55200000000000005</v>
      </c>
      <c r="S52" s="56">
        <v>0.65200000000000002</v>
      </c>
      <c r="V52" s="56">
        <v>0.752</v>
      </c>
      <c r="Y52" s="56">
        <v>0.85199999999999998</v>
      </c>
      <c r="AB52" s="56">
        <v>0.95199999999999996</v>
      </c>
    </row>
    <row r="53" spans="1:28" ht="12" customHeight="1" x14ac:dyDescent="0.25">
      <c r="A53" s="56">
        <v>5.2999999999999999E-2</v>
      </c>
      <c r="D53" s="56">
        <v>0.152999999999999</v>
      </c>
      <c r="G53" s="56">
        <v>0.253</v>
      </c>
      <c r="J53" s="56">
        <v>0.35299999999999998</v>
      </c>
      <c r="M53" s="56">
        <v>0.45300000000000001</v>
      </c>
      <c r="P53" s="56">
        <v>0.55300000000000005</v>
      </c>
      <c r="S53" s="56">
        <v>0.65300000000000002</v>
      </c>
      <c r="V53" s="56">
        <v>0.753</v>
      </c>
      <c r="Y53" s="56">
        <v>0.85299999999999998</v>
      </c>
      <c r="AB53" s="56">
        <v>0.95299999999999996</v>
      </c>
    </row>
    <row r="54" spans="1:28" ht="12" customHeight="1" x14ac:dyDescent="0.25">
      <c r="A54" s="56">
        <v>5.3999999999999999E-2</v>
      </c>
      <c r="D54" s="56">
        <v>0.153999999999999</v>
      </c>
      <c r="G54" s="56">
        <v>0.254</v>
      </c>
      <c r="J54" s="56">
        <v>0.35399999999999998</v>
      </c>
      <c r="M54" s="56">
        <v>0.45400000000000001</v>
      </c>
      <c r="P54" s="56">
        <v>0.55400000000000005</v>
      </c>
      <c r="S54" s="56">
        <v>0.65400000000000003</v>
      </c>
      <c r="V54" s="56">
        <v>0.754</v>
      </c>
      <c r="Y54" s="56">
        <v>0.85399999999999998</v>
      </c>
      <c r="AB54" s="56">
        <v>0.95399999999999996</v>
      </c>
    </row>
    <row r="55" spans="1:28" ht="12" customHeight="1" x14ac:dyDescent="0.25">
      <c r="A55" s="56">
        <v>5.5E-2</v>
      </c>
      <c r="D55" s="56">
        <v>0.154999999999999</v>
      </c>
      <c r="G55" s="56">
        <v>0.255</v>
      </c>
      <c r="J55" s="56">
        <v>0.35499999999999998</v>
      </c>
      <c r="M55" s="56">
        <v>0.45500000000000002</v>
      </c>
      <c r="P55" s="56">
        <v>0.55500000000000005</v>
      </c>
      <c r="S55" s="56">
        <v>0.65500000000000003</v>
      </c>
      <c r="V55" s="56">
        <v>0.755</v>
      </c>
      <c r="Y55" s="56">
        <v>0.85499999999999998</v>
      </c>
      <c r="AB55" s="56">
        <v>0.95499999999999996</v>
      </c>
    </row>
    <row r="56" spans="1:28" ht="12" customHeight="1" x14ac:dyDescent="0.25">
      <c r="A56" s="56">
        <v>5.6000000000000001E-2</v>
      </c>
      <c r="D56" s="56">
        <v>0.155999999999999</v>
      </c>
      <c r="G56" s="56">
        <v>0.25600000000000001</v>
      </c>
      <c r="J56" s="56">
        <v>0.35599999999999998</v>
      </c>
      <c r="M56" s="56">
        <v>0.45600000000000002</v>
      </c>
      <c r="P56" s="56">
        <v>0.55600000000000005</v>
      </c>
      <c r="S56" s="56">
        <v>0.65600000000000003</v>
      </c>
      <c r="V56" s="56">
        <v>0.75600000000000001</v>
      </c>
      <c r="Y56" s="56">
        <v>0.85599999999999998</v>
      </c>
      <c r="AB56" s="56">
        <v>0.95599999999999996</v>
      </c>
    </row>
    <row r="57" spans="1:28" ht="12" customHeight="1" x14ac:dyDescent="0.25">
      <c r="A57" s="56">
        <v>5.7000000000000002E-2</v>
      </c>
      <c r="D57" s="56">
        <v>0.156999999999999</v>
      </c>
      <c r="G57" s="56">
        <v>0.25700000000000001</v>
      </c>
      <c r="J57" s="56">
        <v>0.35699999999999998</v>
      </c>
      <c r="M57" s="56">
        <v>0.45700000000000002</v>
      </c>
      <c r="P57" s="56">
        <v>0.55700000000000005</v>
      </c>
      <c r="S57" s="56">
        <v>0.65700000000000003</v>
      </c>
      <c r="V57" s="56">
        <v>0.75700000000000001</v>
      </c>
      <c r="Y57" s="56">
        <v>0.85699999999999998</v>
      </c>
      <c r="AB57" s="56">
        <v>0.95699999999999996</v>
      </c>
    </row>
    <row r="58" spans="1:28" ht="12" customHeight="1" x14ac:dyDescent="0.25">
      <c r="A58" s="56">
        <v>5.8000000000000003E-2</v>
      </c>
      <c r="D58" s="56">
        <v>0.157999999999999</v>
      </c>
      <c r="G58" s="56">
        <v>0.25800000000000001</v>
      </c>
      <c r="J58" s="56">
        <v>0.35799999999999998</v>
      </c>
      <c r="M58" s="56">
        <v>0.45800000000000002</v>
      </c>
      <c r="P58" s="56">
        <v>0.55800000000000005</v>
      </c>
      <c r="S58" s="56">
        <v>0.65800000000000003</v>
      </c>
      <c r="V58" s="56">
        <v>0.75800000000000001</v>
      </c>
      <c r="Y58" s="56">
        <v>0.85799999999999998</v>
      </c>
      <c r="AB58" s="56">
        <v>0.95799999999999996</v>
      </c>
    </row>
    <row r="59" spans="1:28" ht="12" customHeight="1" x14ac:dyDescent="0.25">
      <c r="A59" s="56">
        <v>5.8999999999999997E-2</v>
      </c>
      <c r="D59" s="56">
        <v>0.158999999999999</v>
      </c>
      <c r="G59" s="56">
        <v>0.25900000000000001</v>
      </c>
      <c r="J59" s="56">
        <v>0.35899999999999999</v>
      </c>
      <c r="M59" s="56">
        <v>0.45900000000000002</v>
      </c>
      <c r="P59" s="56">
        <v>0.55900000000000005</v>
      </c>
      <c r="S59" s="56">
        <v>0.65900000000000003</v>
      </c>
      <c r="V59" s="56">
        <v>0.75900000000000001</v>
      </c>
      <c r="Y59" s="56">
        <v>0.85899999999999999</v>
      </c>
      <c r="AB59" s="56">
        <v>0.95899999999999996</v>
      </c>
    </row>
    <row r="60" spans="1:28" ht="12" customHeight="1" x14ac:dyDescent="0.25">
      <c r="A60" s="56">
        <v>5.9999999999999901E-2</v>
      </c>
      <c r="D60" s="56">
        <v>0.159999999999999</v>
      </c>
      <c r="G60" s="56">
        <v>0.26</v>
      </c>
      <c r="J60" s="56">
        <v>0.36</v>
      </c>
      <c r="M60" s="56">
        <v>0.46</v>
      </c>
      <c r="P60" s="56">
        <v>0.56000000000000005</v>
      </c>
      <c r="S60" s="56">
        <v>0.66</v>
      </c>
      <c r="V60" s="56">
        <v>0.76</v>
      </c>
      <c r="Y60" s="56">
        <v>0.86</v>
      </c>
      <c r="AB60" s="56">
        <v>0.96</v>
      </c>
    </row>
    <row r="61" spans="1:28" ht="12" customHeight="1" x14ac:dyDescent="0.25">
      <c r="A61" s="56">
        <v>6.0999999999999902E-2</v>
      </c>
      <c r="D61" s="56">
        <v>0.16099999999999901</v>
      </c>
      <c r="G61" s="56">
        <v>0.26100000000000001</v>
      </c>
      <c r="J61" s="56">
        <v>0.36099999999999999</v>
      </c>
      <c r="M61" s="56">
        <v>0.46100000000000002</v>
      </c>
      <c r="P61" s="56">
        <v>0.56100000000000005</v>
      </c>
      <c r="S61" s="56">
        <v>0.66100000000000003</v>
      </c>
      <c r="V61" s="56">
        <v>0.76100000000000001</v>
      </c>
      <c r="Y61" s="56">
        <v>0.86099999999999999</v>
      </c>
      <c r="AB61" s="56">
        <v>0.96099999999999997</v>
      </c>
    </row>
    <row r="62" spans="1:28" ht="12" customHeight="1" x14ac:dyDescent="0.25">
      <c r="A62" s="56">
        <v>6.1999999999999902E-2</v>
      </c>
      <c r="D62" s="56">
        <v>0.16199999999999901</v>
      </c>
      <c r="G62" s="56">
        <v>0.26200000000000001</v>
      </c>
      <c r="J62" s="56">
        <v>0.36199999999999999</v>
      </c>
      <c r="M62" s="56">
        <v>0.46200000000000002</v>
      </c>
      <c r="P62" s="56">
        <v>0.56200000000000006</v>
      </c>
      <c r="S62" s="56">
        <v>0.66200000000000003</v>
      </c>
      <c r="V62" s="56">
        <v>0.76200000000000001</v>
      </c>
      <c r="Y62" s="56">
        <v>0.86199999999999999</v>
      </c>
      <c r="AB62" s="56">
        <v>0.96199999999999997</v>
      </c>
    </row>
    <row r="63" spans="1:28" ht="12" customHeight="1" x14ac:dyDescent="0.25">
      <c r="A63" s="56">
        <v>6.2999999999999903E-2</v>
      </c>
      <c r="D63" s="56">
        <v>0.16299999999999901</v>
      </c>
      <c r="G63" s="56">
        <v>0.26300000000000001</v>
      </c>
      <c r="J63" s="56">
        <v>0.36299999999999999</v>
      </c>
      <c r="M63" s="56">
        <v>0.46300000000000002</v>
      </c>
      <c r="P63" s="56">
        <v>0.56299999999999994</v>
      </c>
      <c r="S63" s="56">
        <v>0.66300000000000003</v>
      </c>
      <c r="V63" s="56">
        <v>0.76300000000000001</v>
      </c>
      <c r="Y63" s="56">
        <v>0.86299999999999999</v>
      </c>
      <c r="AB63" s="56">
        <v>0.96299999999999997</v>
      </c>
    </row>
    <row r="64" spans="1:28" ht="12" customHeight="1" x14ac:dyDescent="0.25">
      <c r="A64" s="56">
        <v>6.3999999999999904E-2</v>
      </c>
      <c r="D64" s="56">
        <v>0.16399999999999901</v>
      </c>
      <c r="G64" s="56">
        <v>0.26400000000000001</v>
      </c>
      <c r="J64" s="56">
        <v>0.36399999999999999</v>
      </c>
      <c r="M64" s="56">
        <v>0.46400000000000002</v>
      </c>
      <c r="P64" s="56">
        <v>0.56399999999999995</v>
      </c>
      <c r="S64" s="56">
        <v>0.66400000000000003</v>
      </c>
      <c r="V64" s="56">
        <v>0.76400000000000001</v>
      </c>
      <c r="Y64" s="56">
        <v>0.86399999999999999</v>
      </c>
      <c r="AB64" s="56">
        <v>0.96399999999999997</v>
      </c>
    </row>
    <row r="65" spans="1:28" ht="12" customHeight="1" x14ac:dyDescent="0.25">
      <c r="A65" s="56">
        <v>6.4999999999999905E-2</v>
      </c>
      <c r="D65" s="56">
        <v>0.16499999999999901</v>
      </c>
      <c r="G65" s="56">
        <v>0.26500000000000001</v>
      </c>
      <c r="J65" s="56">
        <v>0.36499999999999999</v>
      </c>
      <c r="M65" s="56">
        <v>0.46500000000000002</v>
      </c>
      <c r="P65" s="56">
        <v>0.56499999999999995</v>
      </c>
      <c r="S65" s="56">
        <v>0.66500000000000004</v>
      </c>
      <c r="V65" s="56">
        <v>0.76500000000000001</v>
      </c>
      <c r="Y65" s="56">
        <v>0.86499999999999999</v>
      </c>
      <c r="AB65" s="56">
        <v>0.96499999999999997</v>
      </c>
    </row>
    <row r="66" spans="1:28" ht="12" customHeight="1" x14ac:dyDescent="0.25">
      <c r="A66" s="56">
        <v>6.5999999999999906E-2</v>
      </c>
      <c r="D66" s="56">
        <v>0.16599999999999901</v>
      </c>
      <c r="G66" s="56">
        <v>0.26600000000000001</v>
      </c>
      <c r="J66" s="56">
        <v>0.36599999999999999</v>
      </c>
      <c r="M66" s="56">
        <v>0.46600000000000003</v>
      </c>
      <c r="P66" s="56">
        <v>0.56599999999999995</v>
      </c>
      <c r="S66" s="56">
        <v>0.66600000000000004</v>
      </c>
      <c r="V66" s="56">
        <v>0.76600000000000001</v>
      </c>
      <c r="Y66" s="56">
        <v>0.86599999999999999</v>
      </c>
      <c r="AB66" s="56">
        <v>0.96599999999999997</v>
      </c>
    </row>
    <row r="67" spans="1:28" ht="12" customHeight="1" x14ac:dyDescent="0.25">
      <c r="A67" s="56">
        <v>6.6999999999999907E-2</v>
      </c>
      <c r="D67" s="56">
        <v>0.16699999999999901</v>
      </c>
      <c r="G67" s="56">
        <v>0.26700000000000002</v>
      </c>
      <c r="J67" s="56">
        <v>0.36699999999999999</v>
      </c>
      <c r="M67" s="56">
        <v>0.46700000000000003</v>
      </c>
      <c r="P67" s="56">
        <v>0.56699999999999995</v>
      </c>
      <c r="S67" s="56">
        <v>0.66700000000000004</v>
      </c>
      <c r="V67" s="56">
        <v>0.76700000000000002</v>
      </c>
      <c r="Y67" s="56">
        <v>0.86699999999999999</v>
      </c>
      <c r="AB67" s="56">
        <v>0.96699999999999997</v>
      </c>
    </row>
    <row r="68" spans="1:28" ht="12" customHeight="1" x14ac:dyDescent="0.25">
      <c r="A68" s="56">
        <v>6.7999999999999894E-2</v>
      </c>
      <c r="D68" s="56">
        <v>0.16799999999999901</v>
      </c>
      <c r="G68" s="56">
        <v>0.26800000000000002</v>
      </c>
      <c r="J68" s="56">
        <v>0.36799999999999999</v>
      </c>
      <c r="M68" s="56">
        <v>0.46800000000000003</v>
      </c>
      <c r="P68" s="56">
        <v>0.56799999999999995</v>
      </c>
      <c r="S68" s="56">
        <v>0.66800000000000004</v>
      </c>
      <c r="V68" s="56">
        <v>0.76800000000000002</v>
      </c>
      <c r="Y68" s="56">
        <v>0.86799999999999999</v>
      </c>
      <c r="AB68" s="56">
        <v>0.96799999999999997</v>
      </c>
    </row>
    <row r="69" spans="1:28" ht="12" customHeight="1" x14ac:dyDescent="0.25">
      <c r="A69" s="56">
        <v>6.8999999999999895E-2</v>
      </c>
      <c r="D69" s="56">
        <v>0.16899999999999901</v>
      </c>
      <c r="G69" s="56">
        <v>0.26900000000000002</v>
      </c>
      <c r="J69" s="56">
        <v>0.36899999999999999</v>
      </c>
      <c r="M69" s="56">
        <v>0.46899999999999997</v>
      </c>
      <c r="P69" s="56">
        <v>0.56899999999999995</v>
      </c>
      <c r="S69" s="56">
        <v>0.66900000000000004</v>
      </c>
      <c r="V69" s="56">
        <v>0.76900000000000002</v>
      </c>
      <c r="Y69" s="56">
        <v>0.86899999999999999</v>
      </c>
      <c r="AB69" s="56">
        <v>0.96899999999999997</v>
      </c>
    </row>
    <row r="70" spans="1:28" ht="12" customHeight="1" x14ac:dyDescent="0.25">
      <c r="A70" s="56">
        <v>6.9999999999999896E-2</v>
      </c>
      <c r="D70" s="56">
        <v>0.16999999999999901</v>
      </c>
      <c r="G70" s="56">
        <v>0.27</v>
      </c>
      <c r="J70" s="56">
        <v>0.37</v>
      </c>
      <c r="M70" s="56">
        <v>0.47</v>
      </c>
      <c r="P70" s="56">
        <v>0.56999999999999995</v>
      </c>
      <c r="S70" s="56">
        <v>0.67</v>
      </c>
      <c r="V70" s="56">
        <v>0.77</v>
      </c>
      <c r="Y70" s="56">
        <v>0.87</v>
      </c>
      <c r="AB70" s="56">
        <v>0.97</v>
      </c>
    </row>
    <row r="71" spans="1:28" ht="12" customHeight="1" x14ac:dyDescent="0.25">
      <c r="A71" s="56">
        <v>7.0999999999999897E-2</v>
      </c>
      <c r="D71" s="56">
        <v>0.17099999999999899</v>
      </c>
      <c r="G71" s="56">
        <v>0.27100000000000002</v>
      </c>
      <c r="J71" s="56">
        <v>0.371</v>
      </c>
      <c r="M71" s="56">
        <v>0.47099999999999997</v>
      </c>
      <c r="P71" s="56">
        <v>0.57099999999999995</v>
      </c>
      <c r="S71" s="56">
        <v>0.67100000000000004</v>
      </c>
      <c r="V71" s="56">
        <v>0.77100000000000002</v>
      </c>
      <c r="Y71" s="56">
        <v>0.871</v>
      </c>
      <c r="AB71" s="56">
        <v>0.97099999999999997</v>
      </c>
    </row>
    <row r="72" spans="1:28" ht="12" customHeight="1" x14ac:dyDescent="0.25">
      <c r="A72" s="56">
        <v>7.1999999999999897E-2</v>
      </c>
      <c r="D72" s="56">
        <v>0.17199999999999899</v>
      </c>
      <c r="G72" s="56">
        <v>0.27200000000000002</v>
      </c>
      <c r="J72" s="56">
        <v>0.372</v>
      </c>
      <c r="M72" s="56">
        <v>0.47199999999999998</v>
      </c>
      <c r="P72" s="56">
        <v>0.57199999999999995</v>
      </c>
      <c r="S72" s="56">
        <v>0.67200000000000004</v>
      </c>
      <c r="V72" s="56">
        <v>0.77200000000000002</v>
      </c>
      <c r="Y72" s="56">
        <v>0.872</v>
      </c>
      <c r="AB72" s="56">
        <v>0.97199999999999998</v>
      </c>
    </row>
    <row r="73" spans="1:28" ht="12" customHeight="1" x14ac:dyDescent="0.25">
      <c r="A73" s="56">
        <v>7.2999999999999898E-2</v>
      </c>
      <c r="D73" s="56">
        <v>0.17299999999999899</v>
      </c>
      <c r="G73" s="56">
        <v>0.27300000000000002</v>
      </c>
      <c r="J73" s="56">
        <v>0.373</v>
      </c>
      <c r="M73" s="56">
        <v>0.47299999999999998</v>
      </c>
      <c r="P73" s="56">
        <v>0.57299999999999995</v>
      </c>
      <c r="S73" s="56">
        <v>0.67300000000000004</v>
      </c>
      <c r="V73" s="56">
        <v>0.77300000000000002</v>
      </c>
      <c r="Y73" s="56">
        <v>0.873</v>
      </c>
      <c r="AB73" s="56">
        <v>0.97299999999999998</v>
      </c>
    </row>
    <row r="74" spans="1:28" ht="12" customHeight="1" x14ac:dyDescent="0.25">
      <c r="A74" s="56">
        <v>7.3999999999999899E-2</v>
      </c>
      <c r="D74" s="56">
        <v>0.17399999999999899</v>
      </c>
      <c r="G74" s="56">
        <v>0.27400000000000002</v>
      </c>
      <c r="J74" s="56">
        <v>0.374</v>
      </c>
      <c r="M74" s="56">
        <v>0.47399999999999998</v>
      </c>
      <c r="P74" s="56">
        <v>0.57399999999999995</v>
      </c>
      <c r="S74" s="56">
        <v>0.67400000000000004</v>
      </c>
      <c r="V74" s="56">
        <v>0.77400000000000002</v>
      </c>
      <c r="Y74" s="56">
        <v>0.874</v>
      </c>
      <c r="AB74" s="56">
        <v>0.97399999999999998</v>
      </c>
    </row>
    <row r="75" spans="1:28" ht="12" customHeight="1" x14ac:dyDescent="0.25">
      <c r="A75" s="56">
        <v>7.4999999999999803E-2</v>
      </c>
      <c r="D75" s="56">
        <v>0.17499999999999899</v>
      </c>
      <c r="G75" s="56">
        <v>0.27500000000000002</v>
      </c>
      <c r="J75" s="56">
        <v>0.375</v>
      </c>
      <c r="M75" s="56">
        <v>0.47499999999999998</v>
      </c>
      <c r="P75" s="56">
        <v>0.57499999999999996</v>
      </c>
      <c r="S75" s="56">
        <v>0.67500000000000004</v>
      </c>
      <c r="V75" s="56">
        <v>0.77500000000000002</v>
      </c>
      <c r="Y75" s="56">
        <v>0.875</v>
      </c>
      <c r="AB75" s="56">
        <v>0.97499999999999998</v>
      </c>
    </row>
    <row r="76" spans="1:28" ht="12" customHeight="1" x14ac:dyDescent="0.25">
      <c r="A76" s="56">
        <v>7.5999999999999804E-2</v>
      </c>
      <c r="D76" s="56">
        <v>0.17599999999999899</v>
      </c>
      <c r="G76" s="56">
        <v>0.27600000000000002</v>
      </c>
      <c r="J76" s="56">
        <v>0.376</v>
      </c>
      <c r="M76" s="56">
        <v>0.47599999999999998</v>
      </c>
      <c r="P76" s="56">
        <v>0.57599999999999996</v>
      </c>
      <c r="S76" s="56">
        <v>0.67600000000000005</v>
      </c>
      <c r="V76" s="56">
        <v>0.77600000000000002</v>
      </c>
      <c r="Y76" s="56">
        <v>0.876</v>
      </c>
      <c r="AB76" s="56">
        <v>0.97599999999999998</v>
      </c>
    </row>
    <row r="77" spans="1:28" ht="12" customHeight="1" x14ac:dyDescent="0.25">
      <c r="A77" s="56">
        <v>7.6999999999999805E-2</v>
      </c>
      <c r="D77" s="56">
        <v>0.17699999999999899</v>
      </c>
      <c r="G77" s="56">
        <v>0.27700000000000002</v>
      </c>
      <c r="J77" s="56">
        <v>0.377</v>
      </c>
      <c r="M77" s="56">
        <v>0.47699999999999998</v>
      </c>
      <c r="P77" s="56">
        <v>0.57699999999999996</v>
      </c>
      <c r="S77" s="56">
        <v>0.67700000000000005</v>
      </c>
      <c r="V77" s="56">
        <v>0.77700000000000002</v>
      </c>
      <c r="Y77" s="56">
        <v>0.877</v>
      </c>
      <c r="AB77" s="56">
        <v>0.97699999999999998</v>
      </c>
    </row>
    <row r="78" spans="1:28" ht="12" customHeight="1" x14ac:dyDescent="0.25">
      <c r="A78" s="56">
        <v>7.7999999999999806E-2</v>
      </c>
      <c r="D78" s="56">
        <v>0.17799999999999899</v>
      </c>
      <c r="G78" s="56">
        <v>0.27800000000000002</v>
      </c>
      <c r="J78" s="56">
        <v>0.378</v>
      </c>
      <c r="M78" s="56">
        <v>0.47799999999999998</v>
      </c>
      <c r="P78" s="56">
        <v>0.57799999999999996</v>
      </c>
      <c r="S78" s="56">
        <v>0.67800000000000005</v>
      </c>
      <c r="V78" s="56">
        <v>0.77800000000000002</v>
      </c>
      <c r="Y78" s="56">
        <v>0.878</v>
      </c>
      <c r="AB78" s="56">
        <v>0.97799999999999998</v>
      </c>
    </row>
    <row r="79" spans="1:28" ht="12" customHeight="1" x14ac:dyDescent="0.25">
      <c r="A79" s="56">
        <v>7.8999999999999806E-2</v>
      </c>
      <c r="D79" s="56">
        <v>0.17899999999999899</v>
      </c>
      <c r="G79" s="56">
        <v>0.27900000000000003</v>
      </c>
      <c r="J79" s="56">
        <v>0.379</v>
      </c>
      <c r="M79" s="56">
        <v>0.47899999999999998</v>
      </c>
      <c r="P79" s="56">
        <v>0.57899999999999996</v>
      </c>
      <c r="S79" s="56">
        <v>0.67900000000000005</v>
      </c>
      <c r="V79" s="56">
        <v>0.77900000000000003</v>
      </c>
      <c r="Y79" s="56">
        <v>0.879</v>
      </c>
      <c r="AB79" s="56">
        <v>0.97899999999999998</v>
      </c>
    </row>
    <row r="80" spans="1:28" ht="12" customHeight="1" x14ac:dyDescent="0.25">
      <c r="A80" s="56">
        <v>7.9999999999999793E-2</v>
      </c>
      <c r="D80" s="56">
        <v>0.17999999999999899</v>
      </c>
      <c r="G80" s="56">
        <v>0.28000000000000003</v>
      </c>
      <c r="J80" s="56">
        <v>0.38</v>
      </c>
      <c r="M80" s="56">
        <v>0.48</v>
      </c>
      <c r="P80" s="56">
        <v>0.57999999999999996</v>
      </c>
      <c r="S80" s="56">
        <v>0.68</v>
      </c>
      <c r="V80" s="56">
        <v>0.78</v>
      </c>
      <c r="Y80" s="56">
        <v>0.88</v>
      </c>
      <c r="AB80" s="56">
        <v>0.98</v>
      </c>
    </row>
    <row r="81" spans="1:28" ht="12" customHeight="1" x14ac:dyDescent="0.25">
      <c r="A81" s="56">
        <v>8.0999999999999794E-2</v>
      </c>
      <c r="D81" s="56">
        <v>0.180999999999999</v>
      </c>
      <c r="G81" s="56">
        <v>0.28100000000000003</v>
      </c>
      <c r="J81" s="56">
        <v>0.38100000000000001</v>
      </c>
      <c r="M81" s="56">
        <v>0.48099999999999998</v>
      </c>
      <c r="P81" s="56">
        <v>0.58099999999999996</v>
      </c>
      <c r="S81" s="56">
        <v>0.68100000000000005</v>
      </c>
      <c r="V81" s="56">
        <v>0.78100000000000003</v>
      </c>
      <c r="Y81" s="56">
        <v>0.88100000000000001</v>
      </c>
      <c r="AB81" s="56">
        <v>0.98099999999999998</v>
      </c>
    </row>
    <row r="82" spans="1:28" ht="12" customHeight="1" x14ac:dyDescent="0.25">
      <c r="A82" s="56">
        <v>8.1999999999999795E-2</v>
      </c>
      <c r="D82" s="56">
        <v>0.181999999999999</v>
      </c>
      <c r="G82" s="56">
        <v>0.28199999999999997</v>
      </c>
      <c r="J82" s="56">
        <v>0.38200000000000001</v>
      </c>
      <c r="M82" s="56">
        <v>0.48199999999999998</v>
      </c>
      <c r="P82" s="56">
        <v>0.58199999999999996</v>
      </c>
      <c r="S82" s="56">
        <v>0.68200000000000005</v>
      </c>
      <c r="V82" s="56">
        <v>0.78200000000000003</v>
      </c>
      <c r="Y82" s="56">
        <v>0.88200000000000001</v>
      </c>
      <c r="AB82" s="56">
        <v>0.98199999999999998</v>
      </c>
    </row>
    <row r="83" spans="1:28" ht="12" customHeight="1" x14ac:dyDescent="0.25">
      <c r="A83" s="56">
        <v>8.2999999999999796E-2</v>
      </c>
      <c r="D83" s="56">
        <v>0.182999999999999</v>
      </c>
      <c r="G83" s="56">
        <v>0.28299999999999997</v>
      </c>
      <c r="J83" s="56">
        <v>0.38300000000000001</v>
      </c>
      <c r="M83" s="56">
        <v>0.48299999999999998</v>
      </c>
      <c r="P83" s="56">
        <v>0.58299999999999996</v>
      </c>
      <c r="S83" s="56">
        <v>0.68300000000000005</v>
      </c>
      <c r="V83" s="56">
        <v>0.78300000000000003</v>
      </c>
      <c r="Y83" s="56">
        <v>0.88300000000000001</v>
      </c>
      <c r="AB83" s="56">
        <v>0.98299999999999998</v>
      </c>
    </row>
    <row r="84" spans="1:28" ht="12" customHeight="1" x14ac:dyDescent="0.25">
      <c r="A84" s="56">
        <v>8.3999999999999797E-2</v>
      </c>
      <c r="D84" s="56">
        <v>0.183999999999999</v>
      </c>
      <c r="G84" s="56">
        <v>0.28399999999999997</v>
      </c>
      <c r="J84" s="56">
        <v>0.38400000000000001</v>
      </c>
      <c r="M84" s="56">
        <v>0.48399999999999999</v>
      </c>
      <c r="P84" s="56">
        <v>0.58399999999999996</v>
      </c>
      <c r="S84" s="56">
        <v>0.68400000000000005</v>
      </c>
      <c r="V84" s="56">
        <v>0.78400000000000003</v>
      </c>
      <c r="Y84" s="56">
        <v>0.88400000000000001</v>
      </c>
      <c r="AB84" s="56">
        <v>0.98399999999999999</v>
      </c>
    </row>
    <row r="85" spans="1:28" ht="12" customHeight="1" x14ac:dyDescent="0.25">
      <c r="A85" s="56">
        <v>8.4999999999999798E-2</v>
      </c>
      <c r="D85" s="56">
        <v>0.184999999999999</v>
      </c>
      <c r="G85" s="56">
        <v>0.28499999999999998</v>
      </c>
      <c r="J85" s="56">
        <v>0.38500000000000001</v>
      </c>
      <c r="M85" s="56">
        <v>0.48499999999999999</v>
      </c>
      <c r="P85" s="56">
        <v>0.58499999999999996</v>
      </c>
      <c r="S85" s="56">
        <v>0.68500000000000005</v>
      </c>
      <c r="V85" s="56">
        <v>0.78500000000000003</v>
      </c>
      <c r="Y85" s="56">
        <v>0.88500000000000001</v>
      </c>
      <c r="AB85" s="56">
        <v>0.98499999999999999</v>
      </c>
    </row>
    <row r="86" spans="1:28" ht="12" customHeight="1" x14ac:dyDescent="0.25">
      <c r="A86" s="56">
        <v>8.5999999999999799E-2</v>
      </c>
      <c r="D86" s="56">
        <v>0.185999999999999</v>
      </c>
      <c r="G86" s="56">
        <v>0.28599999999999998</v>
      </c>
      <c r="J86" s="56">
        <v>0.38600000000000001</v>
      </c>
      <c r="M86" s="56">
        <v>0.48599999999999999</v>
      </c>
      <c r="P86" s="56">
        <v>0.58599999999999997</v>
      </c>
      <c r="S86" s="56">
        <v>0.68600000000000005</v>
      </c>
      <c r="V86" s="56">
        <v>0.78600000000000003</v>
      </c>
      <c r="Y86" s="56">
        <v>0.88600000000000001</v>
      </c>
      <c r="AB86" s="56">
        <v>0.98599999999999999</v>
      </c>
    </row>
    <row r="87" spans="1:28" ht="12" customHeight="1" x14ac:dyDescent="0.25">
      <c r="A87" s="56">
        <v>8.69999999999998E-2</v>
      </c>
      <c r="D87" s="56">
        <v>0.186999999999999</v>
      </c>
      <c r="G87" s="56">
        <v>0.28699999999999998</v>
      </c>
      <c r="J87" s="56">
        <v>0.38700000000000001</v>
      </c>
      <c r="M87" s="56">
        <v>0.48699999999999999</v>
      </c>
      <c r="P87" s="56">
        <v>0.58699999999999997</v>
      </c>
      <c r="S87" s="56">
        <v>0.68700000000000006</v>
      </c>
      <c r="V87" s="56">
        <v>0.78700000000000003</v>
      </c>
      <c r="Y87" s="56">
        <v>0.88700000000000001</v>
      </c>
      <c r="AB87" s="56">
        <v>0.98699999999999999</v>
      </c>
    </row>
    <row r="88" spans="1:28" ht="12" customHeight="1" x14ac:dyDescent="0.25">
      <c r="A88" s="56">
        <v>8.7999999999999801E-2</v>
      </c>
      <c r="D88" s="56">
        <v>0.187999999999999</v>
      </c>
      <c r="G88" s="56">
        <v>0.28799999999999998</v>
      </c>
      <c r="J88" s="56">
        <v>0.38800000000000001</v>
      </c>
      <c r="M88" s="56">
        <v>0.48799999999999999</v>
      </c>
      <c r="P88" s="56">
        <v>0.58799999999999997</v>
      </c>
      <c r="S88" s="56">
        <v>0.68799999999999994</v>
      </c>
      <c r="V88" s="56">
        <v>0.78800000000000003</v>
      </c>
      <c r="Y88" s="56">
        <v>0.88800000000000001</v>
      </c>
      <c r="AB88" s="56">
        <v>0.98799999999999999</v>
      </c>
    </row>
    <row r="89" spans="1:28" ht="12" customHeight="1" x14ac:dyDescent="0.25">
      <c r="A89" s="56">
        <v>8.8999999999999801E-2</v>
      </c>
      <c r="D89" s="56">
        <v>0.188999999999999</v>
      </c>
      <c r="G89" s="56">
        <v>0.28899999999999998</v>
      </c>
      <c r="J89" s="56">
        <v>0.38900000000000001</v>
      </c>
      <c r="M89" s="56">
        <v>0.48899999999999999</v>
      </c>
      <c r="P89" s="56">
        <v>0.58899999999999997</v>
      </c>
      <c r="S89" s="56">
        <v>0.68899999999999995</v>
      </c>
      <c r="V89" s="56">
        <v>0.78900000000000003</v>
      </c>
      <c r="Y89" s="56">
        <v>0.88900000000000001</v>
      </c>
      <c r="AB89" s="56">
        <v>0.98899999999999999</v>
      </c>
    </row>
    <row r="90" spans="1:28" ht="12" customHeight="1" x14ac:dyDescent="0.25">
      <c r="A90" s="56">
        <v>0.09</v>
      </c>
      <c r="D90" s="56">
        <v>0.189999999999999</v>
      </c>
      <c r="G90" s="56">
        <v>0.28999999999999998</v>
      </c>
      <c r="J90" s="56">
        <v>0.39</v>
      </c>
      <c r="M90" s="56">
        <v>0.49</v>
      </c>
      <c r="P90" s="56">
        <v>0.59</v>
      </c>
      <c r="S90" s="56">
        <v>0.69</v>
      </c>
      <c r="V90" s="56">
        <v>0.79</v>
      </c>
      <c r="Y90" s="56">
        <v>0.89</v>
      </c>
      <c r="AB90" s="56">
        <v>0.99</v>
      </c>
    </row>
    <row r="91" spans="1:28" ht="12" customHeight="1" x14ac:dyDescent="0.25">
      <c r="A91" s="56">
        <v>9.0999999999999998E-2</v>
      </c>
      <c r="D91" s="56">
        <v>0.190999999999999</v>
      </c>
      <c r="G91" s="56">
        <v>0.29099999999999998</v>
      </c>
      <c r="J91" s="56">
        <v>0.39100000000000001</v>
      </c>
      <c r="M91" s="56">
        <v>0.49099999999999999</v>
      </c>
      <c r="P91" s="56">
        <v>0.59099999999999997</v>
      </c>
      <c r="S91" s="56">
        <v>0.69099999999999995</v>
      </c>
      <c r="V91" s="56">
        <v>0.79100000000000004</v>
      </c>
      <c r="Y91" s="56">
        <v>0.89100000000000001</v>
      </c>
      <c r="AB91" s="56">
        <v>0.99099999999999999</v>
      </c>
    </row>
    <row r="92" spans="1:28" ht="12" customHeight="1" x14ac:dyDescent="0.25">
      <c r="A92" s="56">
        <v>9.1999999999999998E-2</v>
      </c>
      <c r="D92" s="56">
        <v>0.191999999999999</v>
      </c>
      <c r="G92" s="56">
        <v>0.29199999999999998</v>
      </c>
      <c r="J92" s="56">
        <v>0.39200000000000002</v>
      </c>
      <c r="M92" s="56">
        <v>0.49199999999999999</v>
      </c>
      <c r="P92" s="56">
        <v>0.59199999999999997</v>
      </c>
      <c r="S92" s="56">
        <v>0.69199999999999995</v>
      </c>
      <c r="V92" s="56">
        <v>0.79200000000000004</v>
      </c>
      <c r="Y92" s="56">
        <v>0.89200000000000002</v>
      </c>
      <c r="AB92" s="56">
        <v>0.99199999999999999</v>
      </c>
    </row>
    <row r="93" spans="1:28" ht="12" customHeight="1" x14ac:dyDescent="0.25">
      <c r="A93" s="56">
        <v>9.2999999999999999E-2</v>
      </c>
      <c r="D93" s="56">
        <v>0.19299999999999901</v>
      </c>
      <c r="G93" s="56">
        <v>0.29299999999999998</v>
      </c>
      <c r="J93" s="56">
        <v>0.39300000000000002</v>
      </c>
      <c r="M93" s="56">
        <v>0.49299999999999999</v>
      </c>
      <c r="P93" s="56">
        <v>0.59299999999999997</v>
      </c>
      <c r="S93" s="56">
        <v>0.69299999999999995</v>
      </c>
      <c r="V93" s="56">
        <v>0.79300000000000004</v>
      </c>
      <c r="Y93" s="56">
        <v>0.89300000000000002</v>
      </c>
      <c r="AB93" s="56">
        <v>0.99299999999999999</v>
      </c>
    </row>
    <row r="94" spans="1:28" ht="12" customHeight="1" x14ac:dyDescent="0.25">
      <c r="A94" s="56">
        <v>9.4E-2</v>
      </c>
      <c r="D94" s="56">
        <v>0.19399999999999901</v>
      </c>
      <c r="G94" s="56">
        <v>0.29399999999999998</v>
      </c>
      <c r="J94" s="56">
        <v>0.39400000000000002</v>
      </c>
      <c r="M94" s="56">
        <v>0.49399999999999999</v>
      </c>
      <c r="P94" s="56">
        <v>0.59399999999999997</v>
      </c>
      <c r="S94" s="56">
        <v>0.69399999999999995</v>
      </c>
      <c r="V94" s="56">
        <v>0.79400000000000004</v>
      </c>
      <c r="Y94" s="56">
        <v>0.89400000000000002</v>
      </c>
      <c r="AB94" s="56">
        <v>0.99399999999999999</v>
      </c>
    </row>
    <row r="95" spans="1:28" ht="12" customHeight="1" x14ac:dyDescent="0.25">
      <c r="A95" s="56">
        <v>9.5000000000000001E-2</v>
      </c>
      <c r="D95" s="56">
        <v>0.19499999999999901</v>
      </c>
      <c r="G95" s="56">
        <v>0.29499999999999998</v>
      </c>
      <c r="J95" s="56">
        <v>0.39500000000000002</v>
      </c>
      <c r="M95" s="56">
        <v>0.495</v>
      </c>
      <c r="P95" s="56">
        <v>0.59499999999999997</v>
      </c>
      <c r="S95" s="56">
        <v>0.69499999999999995</v>
      </c>
      <c r="V95" s="56">
        <v>0.79500000000000004</v>
      </c>
      <c r="Y95" s="56">
        <v>0.89500000000000002</v>
      </c>
      <c r="AB95" s="56">
        <v>0.995</v>
      </c>
    </row>
    <row r="96" spans="1:28" ht="12" customHeight="1" x14ac:dyDescent="0.25">
      <c r="A96" s="56">
        <v>9.6000000000000002E-2</v>
      </c>
      <c r="D96" s="56">
        <v>0.19599999999999901</v>
      </c>
      <c r="G96" s="56">
        <v>0.29599999999999999</v>
      </c>
      <c r="J96" s="56">
        <v>0.39600000000000002</v>
      </c>
      <c r="M96" s="56">
        <v>0.496</v>
      </c>
      <c r="P96" s="56">
        <v>0.59599999999999997</v>
      </c>
      <c r="S96" s="56">
        <v>0.69599999999999995</v>
      </c>
      <c r="V96" s="56">
        <v>0.79600000000000004</v>
      </c>
      <c r="Y96" s="56">
        <v>0.89600000000000002</v>
      </c>
      <c r="AB96" s="56">
        <v>0.996</v>
      </c>
    </row>
    <row r="97" spans="1:28" ht="12" customHeight="1" x14ac:dyDescent="0.25">
      <c r="A97" s="56">
        <v>9.7000000000000003E-2</v>
      </c>
      <c r="D97" s="56">
        <v>0.19699999999999901</v>
      </c>
      <c r="G97" s="56">
        <v>0.29699999999999999</v>
      </c>
      <c r="J97" s="56">
        <v>0.39700000000000002</v>
      </c>
      <c r="M97" s="56">
        <v>0.497</v>
      </c>
      <c r="P97" s="56">
        <v>0.59699999999999998</v>
      </c>
      <c r="S97" s="56">
        <v>0.69699999999999995</v>
      </c>
      <c r="V97" s="56">
        <v>0.79700000000000004</v>
      </c>
      <c r="Y97" s="56">
        <v>0.89700000000000002</v>
      </c>
      <c r="AB97" s="56">
        <v>0.997</v>
      </c>
    </row>
    <row r="98" spans="1:28" ht="12" customHeight="1" x14ac:dyDescent="0.25">
      <c r="A98" s="56">
        <v>9.8000000000000004E-2</v>
      </c>
      <c r="D98" s="56">
        <v>0.19799999999999901</v>
      </c>
      <c r="G98" s="56">
        <v>0.29799999999999999</v>
      </c>
      <c r="J98" s="56">
        <v>0.39800000000000002</v>
      </c>
      <c r="M98" s="56">
        <v>0.498</v>
      </c>
      <c r="P98" s="56">
        <v>0.59799999999999998</v>
      </c>
      <c r="S98" s="56">
        <v>0.69799999999999995</v>
      </c>
      <c r="V98" s="56">
        <v>0.79800000000000004</v>
      </c>
      <c r="Y98" s="56">
        <v>0.89800000000000002</v>
      </c>
      <c r="AB98" s="56">
        <v>0.998</v>
      </c>
    </row>
    <row r="99" spans="1:28" ht="12" customHeight="1" x14ac:dyDescent="0.25">
      <c r="A99" s="56">
        <v>9.9000000000000005E-2</v>
      </c>
      <c r="D99" s="56">
        <v>0.19899999999999901</v>
      </c>
      <c r="G99" s="56">
        <v>0.29899999999999999</v>
      </c>
      <c r="J99" s="56">
        <v>0.39900000000000002</v>
      </c>
      <c r="M99" s="56">
        <v>0.499</v>
      </c>
      <c r="P99" s="56">
        <v>0.59899999999999998</v>
      </c>
      <c r="S99" s="56">
        <v>0.69899999999999995</v>
      </c>
      <c r="V99" s="56">
        <v>0.79900000000000004</v>
      </c>
      <c r="Y99" s="56">
        <v>0.89900000000000002</v>
      </c>
      <c r="AB99" s="56">
        <v>0.999</v>
      </c>
    </row>
    <row r="100" spans="1:28" ht="12" customHeight="1" x14ac:dyDescent="0.25">
      <c r="A100" s="56">
        <v>0.1</v>
      </c>
      <c r="D100" s="56">
        <v>0.19999999999999901</v>
      </c>
      <c r="G100" s="56">
        <v>0.3</v>
      </c>
      <c r="J100" s="56">
        <v>0.4</v>
      </c>
      <c r="M100" s="56">
        <v>0.5</v>
      </c>
      <c r="P100" s="56">
        <v>0.6</v>
      </c>
      <c r="S100" s="56">
        <v>0.7</v>
      </c>
      <c r="V100" s="56">
        <v>0.8</v>
      </c>
      <c r="Y100" s="56">
        <v>0.9</v>
      </c>
      <c r="AB100" s="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F614-8F67-461D-B4C9-7B9798EA7994}">
  <dimension ref="A1:AD105"/>
  <sheetViews>
    <sheetView zoomScaleNormal="100" workbookViewId="0">
      <pane ySplit="1" topLeftCell="A14" activePane="bottomLeft" state="frozen"/>
      <selection pane="bottomLeft" activeCell="A58" sqref="A58:XFD58"/>
    </sheetView>
  </sheetViews>
  <sheetFormatPr defaultRowHeight="15" x14ac:dyDescent="0.25"/>
  <cols>
    <col min="1" max="1" width="7.140625" style="13" bestFit="1" customWidth="1"/>
    <col min="2" max="2" width="15.5703125" style="13" bestFit="1" customWidth="1"/>
    <col min="3" max="3" width="11.28515625" bestFit="1" customWidth="1"/>
    <col min="4" max="4" width="10.42578125" bestFit="1" customWidth="1"/>
    <col min="5" max="5" width="10.7109375" style="13" bestFit="1" customWidth="1"/>
    <col min="6" max="6" width="7.28515625" style="13" bestFit="1" customWidth="1"/>
    <col min="7" max="7" width="11.85546875" style="13" bestFit="1" customWidth="1"/>
    <col min="8" max="8" width="11.85546875" style="46" customWidth="1"/>
    <col min="9" max="9" width="11.85546875" style="50" customWidth="1"/>
    <col min="10" max="10" width="9" style="13" bestFit="1" customWidth="1"/>
    <col min="11" max="11" width="14.28515625" style="20" bestFit="1" customWidth="1"/>
    <col min="12" max="12" width="13.7109375" style="18" bestFit="1" customWidth="1"/>
    <col min="13" max="13" width="11.7109375" style="13" bestFit="1" customWidth="1"/>
    <col min="14" max="14" width="12" style="13" bestFit="1" customWidth="1"/>
    <col min="15" max="15" width="13.42578125" style="55" bestFit="1" customWidth="1"/>
    <col min="16" max="16" width="13.85546875" style="13" bestFit="1" customWidth="1"/>
    <col min="17" max="17" width="11" style="13" bestFit="1" customWidth="1"/>
    <col min="18" max="18" width="11.5703125" style="13" bestFit="1" customWidth="1"/>
    <col min="19" max="19" width="25" style="13" bestFit="1" customWidth="1"/>
    <col min="20" max="20" width="37.140625" bestFit="1" customWidth="1"/>
    <col min="21" max="21" width="7" bestFit="1" customWidth="1"/>
    <col min="22" max="22" width="7" style="15" bestFit="1" customWidth="1"/>
    <col min="23" max="23" width="7" style="13" bestFit="1" customWidth="1"/>
    <col min="24" max="24" width="10.85546875" style="13" bestFit="1" customWidth="1"/>
    <col min="25" max="25" width="9.140625" style="13"/>
    <col min="26" max="26" width="29.7109375" style="13" bestFit="1" customWidth="1"/>
    <col min="27" max="27" width="9.140625" style="13"/>
    <col min="28" max="28" width="26.85546875" style="13" bestFit="1" customWidth="1"/>
    <col min="29" max="29" width="9.140625" style="13"/>
    <col min="30" max="30" width="9.140625" style="19"/>
    <col min="31" max="16384" width="9.140625" style="13"/>
  </cols>
  <sheetData>
    <row r="1" spans="1:26" s="12" customFormat="1" ht="12.75" x14ac:dyDescent="0.25">
      <c r="A1" s="12" t="s">
        <v>10</v>
      </c>
      <c r="B1" s="14" t="s">
        <v>40</v>
      </c>
      <c r="C1" s="12" t="s">
        <v>233</v>
      </c>
      <c r="D1" s="12" t="s">
        <v>234</v>
      </c>
      <c r="E1" s="12" t="s">
        <v>21</v>
      </c>
      <c r="F1" s="12" t="s">
        <v>227</v>
      </c>
      <c r="G1" s="12" t="s">
        <v>316</v>
      </c>
      <c r="H1" s="43" t="s">
        <v>615</v>
      </c>
      <c r="I1" s="47" t="s">
        <v>620</v>
      </c>
      <c r="J1" s="14" t="s">
        <v>317</v>
      </c>
      <c r="K1" s="12" t="s">
        <v>318</v>
      </c>
      <c r="L1" s="12" t="s">
        <v>555</v>
      </c>
      <c r="M1" s="12" t="s">
        <v>320</v>
      </c>
      <c r="N1" s="14" t="s">
        <v>319</v>
      </c>
      <c r="O1" s="52" t="s">
        <v>322</v>
      </c>
      <c r="P1" s="12" t="s">
        <v>0</v>
      </c>
      <c r="Q1" s="12" t="s">
        <v>559</v>
      </c>
      <c r="R1" s="12" t="s">
        <v>572</v>
      </c>
      <c r="S1" s="12" t="s">
        <v>19</v>
      </c>
      <c r="T1" s="12" t="s">
        <v>332</v>
      </c>
      <c r="Z1" s="17"/>
    </row>
    <row r="2" spans="1:26" s="21" customFormat="1" ht="11.25" x14ac:dyDescent="0.25">
      <c r="A2" s="21">
        <v>1</v>
      </c>
      <c r="B2" s="22" t="s">
        <v>275</v>
      </c>
      <c r="C2" s="21">
        <v>14</v>
      </c>
      <c r="D2" s="21">
        <v>30</v>
      </c>
      <c r="E2" s="21">
        <v>120</v>
      </c>
      <c r="F2" s="21">
        <v>11</v>
      </c>
      <c r="G2" s="23">
        <f t="shared" ref="G2:G33" si="0">F2/10/C2</f>
        <v>7.8571428571428584E-2</v>
      </c>
      <c r="H2" s="44">
        <v>54</v>
      </c>
      <c r="I2" s="48">
        <f>ROUND((Table2[[#This Row],[Air Drag]]+0.3504)/293.4,2)</f>
        <v>0.19</v>
      </c>
      <c r="J2" s="24">
        <v>7031</v>
      </c>
      <c r="K2" s="21">
        <f t="shared" ref="K2:K33" si="1">ROUNDDOWN(J2/1171,0)</f>
        <v>6</v>
      </c>
      <c r="L2" s="22">
        <f>Table2[[#This Row],[RunCost]]/(23400/255)</f>
        <v>2.8551282051282052</v>
      </c>
      <c r="M2" s="24" cm="1">
        <f t="array" ref="M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49.17647058823529</v>
      </c>
      <c r="N2" s="24">
        <v>262</v>
      </c>
      <c r="O2" s="53">
        <v>1830</v>
      </c>
      <c r="P2" s="21" t="s">
        <v>8</v>
      </c>
      <c r="Q2" s="26" t="s">
        <v>560</v>
      </c>
      <c r="R2" s="21" t="s">
        <v>199</v>
      </c>
      <c r="S2" s="21" t="s">
        <v>390</v>
      </c>
      <c r="T2" s="21" t="str">
        <f>CONCATENATE(Table2[[#This Row],[Name]]," - (",Table2[[#This Row],[UKRS Name]],")")</f>
        <v>Stephenson 'Planet' - (2-2-0 'Planet')</v>
      </c>
      <c r="U2" s="21">
        <v>6.0090000000000003</v>
      </c>
      <c r="V2" s="21">
        <v>32.75</v>
      </c>
      <c r="Z2" s="25" t="s">
        <v>275</v>
      </c>
    </row>
    <row r="3" spans="1:26" s="21" customFormat="1" ht="11.25" x14ac:dyDescent="0.25">
      <c r="A3" s="21">
        <v>2</v>
      </c>
      <c r="B3" s="22" t="s">
        <v>276</v>
      </c>
      <c r="C3" s="21">
        <v>37</v>
      </c>
      <c r="D3" s="21">
        <v>40</v>
      </c>
      <c r="E3" s="21">
        <v>250</v>
      </c>
      <c r="F3" s="21">
        <v>43</v>
      </c>
      <c r="G3" s="23">
        <f t="shared" si="0"/>
        <v>0.11621621621621621</v>
      </c>
      <c r="H3" s="44">
        <v>41</v>
      </c>
      <c r="I3" s="48">
        <f>ROUND((Table2[[#This Row],[Air Drag]]+0.3504)/293.4,2)</f>
        <v>0.14000000000000001</v>
      </c>
      <c r="J3" s="24">
        <v>12890</v>
      </c>
      <c r="K3" s="21">
        <f t="shared" si="1"/>
        <v>11</v>
      </c>
      <c r="L3" s="22">
        <f>Table2[[#This Row],[RunCost]]/(23400/255)</f>
        <v>6.4294871794871797</v>
      </c>
      <c r="M3" s="24" cm="1">
        <f t="array" ref="M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3" s="24">
        <v>590</v>
      </c>
      <c r="O3" s="53">
        <v>1844</v>
      </c>
      <c r="P3" s="21" t="s">
        <v>8</v>
      </c>
      <c r="Q3" s="21" t="s">
        <v>561</v>
      </c>
      <c r="R3" s="21" t="s">
        <v>199</v>
      </c>
      <c r="S3" s="21" t="s">
        <v>391</v>
      </c>
      <c r="T3" s="21" t="str">
        <f>CONCATENATE(Table2[[#This Row],[Name]]," - (",Table2[[#This Row],[UKRS Name]],")")</f>
        <v>Bury 'Coppernob' - (0-4-0 'Coppernob')</v>
      </c>
      <c r="U3" s="21">
        <v>11.016999999999999</v>
      </c>
      <c r="V3" s="21">
        <v>73.75</v>
      </c>
      <c r="Z3" s="25" t="s">
        <v>276</v>
      </c>
    </row>
    <row r="4" spans="1:26" s="21" customFormat="1" ht="11.25" x14ac:dyDescent="0.25">
      <c r="A4" s="21">
        <v>3</v>
      </c>
      <c r="B4" s="22" t="s">
        <v>277</v>
      </c>
      <c r="C4" s="21">
        <v>47</v>
      </c>
      <c r="D4" s="21">
        <v>55</v>
      </c>
      <c r="E4" s="21">
        <v>350</v>
      </c>
      <c r="F4" s="21">
        <v>21</v>
      </c>
      <c r="G4" s="23">
        <f t="shared" si="0"/>
        <v>4.4680851063829789E-2</v>
      </c>
      <c r="H4" s="44">
        <v>29</v>
      </c>
      <c r="I4" s="48">
        <f>ROUND((Table2[[#This Row],[Air Drag]]+0.3504)/293.4,2)</f>
        <v>0.1</v>
      </c>
      <c r="J4" s="24">
        <v>16406</v>
      </c>
      <c r="K4" s="21">
        <f t="shared" si="1"/>
        <v>14</v>
      </c>
      <c r="L4" s="22">
        <f>Table2[[#This Row],[RunCost]]/(23400/255)</f>
        <v>9.2846153846153854</v>
      </c>
      <c r="M4" s="24" cm="1">
        <f t="array" ref="M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N4" s="24">
        <v>852</v>
      </c>
      <c r="O4" s="53">
        <v>1847</v>
      </c>
      <c r="P4" s="21" t="s">
        <v>8</v>
      </c>
      <c r="Q4" s="21" t="s">
        <v>561</v>
      </c>
      <c r="R4" s="21" t="s">
        <v>199</v>
      </c>
      <c r="S4" s="21" t="s">
        <v>192</v>
      </c>
      <c r="T4" s="21" t="str">
        <f>CONCATENATE(Table2[[#This Row],[Name]]," - (",Table2[[#This Row],[UKRS Name]],")")</f>
        <v>Crampton - (4-2-0 'Crampton')</v>
      </c>
      <c r="U4" s="21">
        <v>14.022</v>
      </c>
      <c r="V4" s="21">
        <v>106.5</v>
      </c>
      <c r="Z4" s="25" t="s">
        <v>277</v>
      </c>
    </row>
    <row r="5" spans="1:26" s="21" customFormat="1" ht="11.25" x14ac:dyDescent="0.25">
      <c r="A5" s="21">
        <v>4</v>
      </c>
      <c r="B5" s="22" t="s">
        <v>278</v>
      </c>
      <c r="C5" s="21">
        <v>42</v>
      </c>
      <c r="D5" s="21">
        <v>35</v>
      </c>
      <c r="E5" s="21">
        <v>375</v>
      </c>
      <c r="F5" s="21">
        <v>62</v>
      </c>
      <c r="G5" s="23">
        <f t="shared" si="0"/>
        <v>0.14761904761904762</v>
      </c>
      <c r="H5" s="44">
        <v>46</v>
      </c>
      <c r="I5" s="48">
        <f>ROUND((Table2[[#This Row],[Air Drag]]+0.3504)/293.4,2)</f>
        <v>0.16</v>
      </c>
      <c r="J5" s="24">
        <v>15234</v>
      </c>
      <c r="K5" s="21">
        <f t="shared" si="1"/>
        <v>13</v>
      </c>
      <c r="L5" s="22">
        <f>Table2[[#This Row],[RunCost]]/(23400/255)</f>
        <v>9.2846153846153854</v>
      </c>
      <c r="M5" s="24" cm="1">
        <f t="array" ref="M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106.54901960784312</v>
      </c>
      <c r="N5" s="24">
        <v>852</v>
      </c>
      <c r="O5" s="53">
        <v>1855</v>
      </c>
      <c r="P5" s="21" t="s">
        <v>8</v>
      </c>
      <c r="Q5" s="21" t="s">
        <v>562</v>
      </c>
      <c r="R5" s="21" t="s">
        <v>199</v>
      </c>
      <c r="S5" s="21" t="s">
        <v>392</v>
      </c>
      <c r="T5" s="21" t="str">
        <f>CONCATENATE(Table2[[#This Row],[Name]]," - (",Table2[[#This Row],[UKRS Name]],")")</f>
        <v>Bouch 1001 'Long Boiler' - (0-6-0 'Long Boiler')</v>
      </c>
      <c r="U5" s="21">
        <v>13.021000000000001</v>
      </c>
      <c r="V5" s="21">
        <v>106.5</v>
      </c>
      <c r="Z5" s="25" t="s">
        <v>278</v>
      </c>
    </row>
    <row r="6" spans="1:26" s="21" customFormat="1" ht="11.25" x14ac:dyDescent="0.25">
      <c r="A6" s="21">
        <v>5</v>
      </c>
      <c r="B6" s="22" t="s">
        <v>279</v>
      </c>
      <c r="C6" s="21">
        <v>35</v>
      </c>
      <c r="D6" s="21">
        <v>25</v>
      </c>
      <c r="E6" s="21">
        <v>250</v>
      </c>
      <c r="F6" s="21">
        <v>79</v>
      </c>
      <c r="G6" s="23">
        <f t="shared" si="0"/>
        <v>0.22571428571428573</v>
      </c>
      <c r="H6" s="44">
        <v>58</v>
      </c>
      <c r="I6" s="48">
        <f>ROUND((Table2[[#This Row],[Air Drag]]+0.3504)/293.4,2)</f>
        <v>0.2</v>
      </c>
      <c r="J6" s="24">
        <v>8203</v>
      </c>
      <c r="K6" s="21">
        <f t="shared" si="1"/>
        <v>7</v>
      </c>
      <c r="L6" s="22">
        <f>Table2[[#This Row],[RunCost]]/(23400/255)</f>
        <v>4.9910256410256411</v>
      </c>
      <c r="M6" s="24" cm="1">
        <f t="array" ref="M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57.372549019607838</v>
      </c>
      <c r="N6" s="24">
        <v>458</v>
      </c>
      <c r="O6" s="53">
        <v>1890</v>
      </c>
      <c r="P6" s="21" t="s">
        <v>8</v>
      </c>
      <c r="Q6" s="21">
        <v>4</v>
      </c>
      <c r="R6" s="21" t="s">
        <v>199</v>
      </c>
      <c r="S6" s="21" t="s">
        <v>393</v>
      </c>
      <c r="T6" s="21" t="str">
        <f>CONCATENATE(Table2[[#This Row],[Name]]," - (",Table2[[#This Row],[UKRS Name]],")")</f>
        <v>Avonside 'Industrial' - (0-4-0 'Industrial')</v>
      </c>
      <c r="U6" s="21">
        <v>7.01</v>
      </c>
      <c r="V6" s="21">
        <v>57.25</v>
      </c>
      <c r="Z6" s="25" t="s">
        <v>279</v>
      </c>
    </row>
    <row r="7" spans="1:26" s="21" customFormat="1" ht="11.25" x14ac:dyDescent="0.25">
      <c r="A7" s="21">
        <v>6</v>
      </c>
      <c r="B7" s="22" t="s">
        <v>280</v>
      </c>
      <c r="C7" s="21">
        <v>28</v>
      </c>
      <c r="D7" s="21">
        <v>30</v>
      </c>
      <c r="E7" s="21">
        <v>200</v>
      </c>
      <c r="F7" s="21">
        <v>39</v>
      </c>
      <c r="G7" s="23">
        <f t="shared" si="0"/>
        <v>0.13928571428571429</v>
      </c>
      <c r="H7" s="44">
        <v>48</v>
      </c>
      <c r="I7" s="48">
        <f>ROUND((Table2[[#This Row],[Air Drag]]+0.3504)/293.4,2)</f>
        <v>0.16</v>
      </c>
      <c r="J7" s="24">
        <v>9375</v>
      </c>
      <c r="K7" s="21">
        <f t="shared" si="1"/>
        <v>8</v>
      </c>
      <c r="L7" s="22">
        <f>Table2[[#This Row],[RunCost]]/(23400/255)</f>
        <v>4.2717948717948717</v>
      </c>
      <c r="M7" s="24" cm="1">
        <f t="array" ref="M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65.568627450980387</v>
      </c>
      <c r="N7" s="24">
        <v>392</v>
      </c>
      <c r="O7" s="53">
        <v>1903</v>
      </c>
      <c r="P7" s="21" t="s">
        <v>8</v>
      </c>
      <c r="Q7" s="21">
        <v>4</v>
      </c>
      <c r="R7" s="21" t="s">
        <v>199</v>
      </c>
      <c r="S7" s="21" t="s">
        <v>394</v>
      </c>
      <c r="T7" s="21" t="str">
        <f>CONCATENATE(Table2[[#This Row],[Name]]," - (",Table2[[#This Row],[UKRS Name]],")")</f>
        <v>Holden C53 'Tram Engine' - (0-6-0 'Tram Engine')</v>
      </c>
      <c r="U7" s="21">
        <v>8.0120000000000005</v>
      </c>
      <c r="V7" s="21">
        <v>49</v>
      </c>
      <c r="Z7" s="25" t="s">
        <v>280</v>
      </c>
    </row>
    <row r="8" spans="1:26" s="21" customFormat="1" ht="11.25" x14ac:dyDescent="0.25">
      <c r="A8" s="21">
        <v>7</v>
      </c>
      <c r="B8" s="22" t="s">
        <v>281</v>
      </c>
      <c r="C8" s="21">
        <v>48</v>
      </c>
      <c r="D8" s="21">
        <v>35</v>
      </c>
      <c r="E8" s="21">
        <v>500</v>
      </c>
      <c r="F8" s="21">
        <v>104</v>
      </c>
      <c r="G8" s="23">
        <f t="shared" si="0"/>
        <v>0.21666666666666667</v>
      </c>
      <c r="H8" s="44">
        <v>41</v>
      </c>
      <c r="I8" s="48">
        <f>ROUND((Table2[[#This Row],[Air Drag]]+0.3504)/293.4,2)</f>
        <v>0.14000000000000001</v>
      </c>
      <c r="J8" s="24">
        <v>12890</v>
      </c>
      <c r="K8" s="21">
        <f t="shared" si="1"/>
        <v>11</v>
      </c>
      <c r="L8" s="22">
        <f>Table2[[#This Row],[RunCost]]/(23400/255)</f>
        <v>10.003846153846153</v>
      </c>
      <c r="M8" s="24" cm="1">
        <f t="array" ref="M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8" s="24">
        <v>918</v>
      </c>
      <c r="O8" s="53">
        <v>1943</v>
      </c>
      <c r="P8" s="21" t="s">
        <v>8</v>
      </c>
      <c r="Q8" s="21">
        <v>5</v>
      </c>
      <c r="R8" s="21" t="s">
        <v>199</v>
      </c>
      <c r="S8" s="21" t="s">
        <v>395</v>
      </c>
      <c r="T8" s="21" t="str">
        <f>CONCATENATE(Table2[[#This Row],[Name]]," - (",Table2[[#This Row],[UKRS Name]],")")</f>
        <v>Hunslet 4F 'Austerity' - (0-6-0 'Hunslet')</v>
      </c>
      <c r="U8" s="21">
        <v>11.016999999999999</v>
      </c>
      <c r="V8" s="21">
        <v>114.75</v>
      </c>
      <c r="Z8" s="25" t="s">
        <v>281</v>
      </c>
    </row>
    <row r="9" spans="1:26" s="21" customFormat="1" ht="11.25" x14ac:dyDescent="0.25">
      <c r="A9" s="21">
        <v>8</v>
      </c>
      <c r="B9" s="22" t="s">
        <v>282</v>
      </c>
      <c r="C9" s="21">
        <v>36</v>
      </c>
      <c r="D9" s="21">
        <v>60</v>
      </c>
      <c r="E9" s="21">
        <v>300</v>
      </c>
      <c r="F9" s="21">
        <v>55</v>
      </c>
      <c r="G9" s="23">
        <f t="shared" si="0"/>
        <v>0.15277777777777779</v>
      </c>
      <c r="H9" s="44">
        <v>36</v>
      </c>
      <c r="I9" s="48">
        <f>ROUND((Table2[[#This Row],[Air Drag]]+0.3504)/293.4,2)</f>
        <v>0.12</v>
      </c>
      <c r="J9" s="24">
        <v>12890</v>
      </c>
      <c r="K9" s="21">
        <f t="shared" si="1"/>
        <v>11</v>
      </c>
      <c r="L9" s="22">
        <f>Table2[[#This Row],[RunCost]]/(23400/255)</f>
        <v>6.4294871794871797</v>
      </c>
      <c r="M9" s="24" cm="1">
        <f t="array" ref="M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9" s="24">
        <v>590</v>
      </c>
      <c r="O9" s="53">
        <v>1868</v>
      </c>
      <c r="P9" s="21" t="s">
        <v>8</v>
      </c>
      <c r="Q9" s="21">
        <v>5</v>
      </c>
      <c r="R9" s="21" t="s">
        <v>199</v>
      </c>
      <c r="S9" s="21" t="s">
        <v>396</v>
      </c>
      <c r="T9" s="21" t="str">
        <f>CONCATENATE(Table2[[#This Row],[Name]]," - (",Table2[[#This Row],[UKRS Name]],")")</f>
        <v>Armstrong 517 'Tank' - (0-4-2 'Tank')</v>
      </c>
      <c r="U9" s="21">
        <v>11.016999999999999</v>
      </c>
      <c r="V9" s="21">
        <v>73.75</v>
      </c>
      <c r="Z9" s="25" t="s">
        <v>282</v>
      </c>
    </row>
    <row r="10" spans="1:26" s="21" customFormat="1" ht="11.25" x14ac:dyDescent="0.25">
      <c r="A10" s="21">
        <v>9</v>
      </c>
      <c r="B10" s="22" t="s">
        <v>282</v>
      </c>
      <c r="C10" s="21">
        <v>36</v>
      </c>
      <c r="D10" s="21">
        <v>40</v>
      </c>
      <c r="E10" s="21">
        <v>300</v>
      </c>
      <c r="F10" s="21">
        <v>55</v>
      </c>
      <c r="G10" s="23">
        <f t="shared" si="0"/>
        <v>0.15277777777777779</v>
      </c>
      <c r="H10" s="44">
        <v>36</v>
      </c>
      <c r="I10" s="48">
        <f>ROUND((Table2[[#This Row],[Air Drag]]+0.3504)/293.4,2)</f>
        <v>0.12</v>
      </c>
      <c r="J10" s="24">
        <v>12890</v>
      </c>
      <c r="K10" s="21">
        <f t="shared" si="1"/>
        <v>11</v>
      </c>
      <c r="L10" s="22">
        <f>Table2[[#This Row],[RunCost]]/(23400/255)</f>
        <v>6.4294871794871797</v>
      </c>
      <c r="M10" s="24" cm="1">
        <f t="array" ref="M1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10" s="24">
        <v>590</v>
      </c>
      <c r="O10" s="53">
        <v>1868</v>
      </c>
      <c r="P10" s="21" t="s">
        <v>8</v>
      </c>
      <c r="Q10" s="21">
        <v>5</v>
      </c>
      <c r="R10" s="21" t="s">
        <v>199</v>
      </c>
      <c r="S10" s="21" t="s">
        <v>397</v>
      </c>
      <c r="T10" s="21" t="str">
        <f>CONCATENATE(Table2[[#This Row],[Name]]," - (",Table2[[#This Row],[UKRS Name]],")")</f>
        <v>Armstrong 3571 'Tank' - (0-4-2 'Tank')</v>
      </c>
      <c r="U10" s="21">
        <v>11.016999999999999</v>
      </c>
      <c r="V10" s="21">
        <v>73.75</v>
      </c>
      <c r="Z10" s="25" t="s">
        <v>282</v>
      </c>
    </row>
    <row r="11" spans="1:26" s="21" customFormat="1" ht="11.25" x14ac:dyDescent="0.25">
      <c r="A11" s="21">
        <v>10</v>
      </c>
      <c r="B11" s="22" t="s">
        <v>283</v>
      </c>
      <c r="C11" s="21">
        <v>50</v>
      </c>
      <c r="D11" s="21">
        <v>50</v>
      </c>
      <c r="E11" s="21">
        <v>450</v>
      </c>
      <c r="F11" s="21">
        <v>57</v>
      </c>
      <c r="G11" s="23">
        <f t="shared" si="0"/>
        <v>0.114</v>
      </c>
      <c r="H11" s="44">
        <v>28</v>
      </c>
      <c r="I11" s="48">
        <f>ROUND((Table2[[#This Row],[Air Drag]]+0.3504)/293.4,2)</f>
        <v>0.1</v>
      </c>
      <c r="J11" s="24">
        <v>17578</v>
      </c>
      <c r="K11" s="21">
        <f t="shared" si="1"/>
        <v>15</v>
      </c>
      <c r="L11" s="22">
        <f>Table2[[#This Row],[RunCost]]/(23400/255)</f>
        <v>10.723076923076922</v>
      </c>
      <c r="M11" s="24" cm="1">
        <f t="array" ref="M1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1" s="24">
        <v>984</v>
      </c>
      <c r="O11" s="53">
        <v>1874</v>
      </c>
      <c r="P11" s="21" t="s">
        <v>8</v>
      </c>
      <c r="Q11" s="21">
        <v>5</v>
      </c>
      <c r="R11" s="21" t="s">
        <v>199</v>
      </c>
      <c r="S11" s="21" t="s">
        <v>398</v>
      </c>
      <c r="T11" s="21" t="str">
        <f>CONCATENATE(Table2[[#This Row],[Name]]," - (",Table2[[#This Row],[UKRS Name]],")")</f>
        <v>MR 'Metropolitan' - (0-4-4 'Metropolitan')</v>
      </c>
      <c r="U11" s="21">
        <v>15.023999999999999</v>
      </c>
      <c r="V11" s="21">
        <v>123</v>
      </c>
      <c r="Z11" s="25" t="s">
        <v>283</v>
      </c>
    </row>
    <row r="12" spans="1:26" s="21" customFormat="1" ht="11.25" x14ac:dyDescent="0.25">
      <c r="A12" s="21">
        <v>11</v>
      </c>
      <c r="B12" s="22" t="s">
        <v>284</v>
      </c>
      <c r="C12" s="21">
        <v>50</v>
      </c>
      <c r="D12" s="21">
        <v>45</v>
      </c>
      <c r="E12" s="21">
        <v>500</v>
      </c>
      <c r="F12" s="21">
        <v>88</v>
      </c>
      <c r="G12" s="23">
        <f t="shared" si="0"/>
        <v>0.17600000000000002</v>
      </c>
      <c r="H12" s="44">
        <v>32</v>
      </c>
      <c r="I12" s="48">
        <f>ROUND((Table2[[#This Row],[Air Drag]]+0.3504)/293.4,2)</f>
        <v>0.11</v>
      </c>
      <c r="J12" s="24">
        <v>17578</v>
      </c>
      <c r="K12" s="21">
        <f t="shared" si="1"/>
        <v>15</v>
      </c>
      <c r="L12" s="22">
        <f>Table2[[#This Row],[RunCost]]/(23400/255)</f>
        <v>11.442307692307692</v>
      </c>
      <c r="M12" s="24" cm="1">
        <f t="array" ref="M1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2" s="24">
        <v>1050</v>
      </c>
      <c r="O12" s="53">
        <v>1890</v>
      </c>
      <c r="P12" s="21" t="s">
        <v>8</v>
      </c>
      <c r="Q12" s="21">
        <v>5</v>
      </c>
      <c r="R12" s="21" t="s">
        <v>199</v>
      </c>
      <c r="S12" s="21" t="s">
        <v>399</v>
      </c>
      <c r="T12" s="21" t="str">
        <f>CONCATENATE(Table2[[#This Row],[Name]]," - (",Table2[[#This Row],[UKRS Name]],")")</f>
        <v>Johnson 2441 - (0-6-0 'Jinty')</v>
      </c>
      <c r="U12" s="21">
        <v>15.023999999999999</v>
      </c>
      <c r="V12" s="21">
        <v>131.25</v>
      </c>
      <c r="Z12" s="25" t="s">
        <v>284</v>
      </c>
    </row>
    <row r="13" spans="1:26" s="21" customFormat="1" ht="11.25" x14ac:dyDescent="0.25">
      <c r="A13" s="21">
        <v>12</v>
      </c>
      <c r="B13" s="22" t="s">
        <v>284</v>
      </c>
      <c r="C13" s="21">
        <v>50</v>
      </c>
      <c r="D13" s="21">
        <v>45</v>
      </c>
      <c r="E13" s="21">
        <v>500</v>
      </c>
      <c r="F13" s="21">
        <v>88</v>
      </c>
      <c r="G13" s="23">
        <f t="shared" si="0"/>
        <v>0.17600000000000002</v>
      </c>
      <c r="H13" s="44">
        <v>32</v>
      </c>
      <c r="I13" s="48">
        <f>ROUND((Table2[[#This Row],[Air Drag]]+0.3504)/293.4,2)</f>
        <v>0.11</v>
      </c>
      <c r="J13" s="24">
        <v>17578</v>
      </c>
      <c r="K13" s="21">
        <f t="shared" si="1"/>
        <v>15</v>
      </c>
      <c r="L13" s="22">
        <f>Table2[[#This Row],[RunCost]]/(23400/255)</f>
        <v>11.442307692307692</v>
      </c>
      <c r="M13" s="24" cm="1">
        <f t="array" ref="M1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13" s="24">
        <v>1050</v>
      </c>
      <c r="O13" s="53">
        <v>1890</v>
      </c>
      <c r="P13" s="21" t="s">
        <v>8</v>
      </c>
      <c r="Q13" s="21">
        <v>5</v>
      </c>
      <c r="R13" s="21" t="s">
        <v>199</v>
      </c>
      <c r="S13" s="21" t="s">
        <v>400</v>
      </c>
      <c r="T13" s="21" t="str">
        <f>CONCATENATE(Table2[[#This Row],[Name]]," - (",Table2[[#This Row],[UKRS Name]],")")</f>
        <v>Fowler 3F 'Jinty' - (0-6-0 'Jinty')</v>
      </c>
      <c r="U13" s="21">
        <v>15.023999999999999</v>
      </c>
      <c r="V13" s="21">
        <v>131.25</v>
      </c>
      <c r="Z13" s="25" t="s">
        <v>284</v>
      </c>
    </row>
    <row r="14" spans="1:26" s="21" customFormat="1" ht="11.25" x14ac:dyDescent="0.25">
      <c r="A14" s="21">
        <v>13</v>
      </c>
      <c r="B14" s="22" t="s">
        <v>285</v>
      </c>
      <c r="C14" s="21">
        <v>62</v>
      </c>
      <c r="D14" s="21">
        <v>65</v>
      </c>
      <c r="E14" s="21">
        <v>650</v>
      </c>
      <c r="F14" s="21">
        <v>78</v>
      </c>
      <c r="G14" s="23">
        <f t="shared" si="0"/>
        <v>0.12580645161290321</v>
      </c>
      <c r="H14" s="44">
        <v>21</v>
      </c>
      <c r="I14" s="48">
        <f>ROUND((Table2[[#This Row],[Air Drag]]+0.3504)/293.4,2)</f>
        <v>7.0000000000000007E-2</v>
      </c>
      <c r="J14" s="24">
        <v>18750</v>
      </c>
      <c r="K14" s="21">
        <f t="shared" si="1"/>
        <v>16</v>
      </c>
      <c r="L14" s="22">
        <f>Table2[[#This Row],[RunCost]]/(23400/255)</f>
        <v>17.152564102564103</v>
      </c>
      <c r="M14" s="24" cm="1">
        <f t="array" ref="M1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131.13725490196077</v>
      </c>
      <c r="N14" s="24">
        <v>1574</v>
      </c>
      <c r="O14" s="53">
        <v>1898</v>
      </c>
      <c r="P14" s="21" t="s">
        <v>8</v>
      </c>
      <c r="Q14" s="21">
        <v>6</v>
      </c>
      <c r="R14" s="21" t="s">
        <v>199</v>
      </c>
      <c r="S14" s="21" t="s">
        <v>401</v>
      </c>
      <c r="T14" s="21" t="str">
        <f>CONCATENATE(Table2[[#This Row],[Name]]," - (",Table2[[#This Row],[UKRS Name]],")")</f>
        <v>Adams 415 'Radial Tank' - (4-4-2 'Suburban')</v>
      </c>
      <c r="U14" s="21">
        <v>16.026</v>
      </c>
      <c r="V14" s="21">
        <v>196.75</v>
      </c>
      <c r="Z14" s="25" t="s">
        <v>285</v>
      </c>
    </row>
    <row r="15" spans="1:26" s="21" customFormat="1" ht="11.25" x14ac:dyDescent="0.25">
      <c r="A15" s="21">
        <v>14</v>
      </c>
      <c r="B15" s="22" t="s">
        <v>286</v>
      </c>
      <c r="C15" s="21">
        <v>57</v>
      </c>
      <c r="D15" s="21">
        <v>50</v>
      </c>
      <c r="E15" s="21">
        <v>650</v>
      </c>
      <c r="F15" s="21">
        <v>93</v>
      </c>
      <c r="G15" s="23">
        <f t="shared" si="0"/>
        <v>0.16315789473684211</v>
      </c>
      <c r="H15" s="44">
        <v>28</v>
      </c>
      <c r="I15" s="48">
        <f>ROUND((Table2[[#This Row],[Air Drag]]+0.3504)/293.4,2)</f>
        <v>0.1</v>
      </c>
      <c r="J15" s="24">
        <v>19921</v>
      </c>
      <c r="K15" s="21">
        <f t="shared" si="1"/>
        <v>17</v>
      </c>
      <c r="L15" s="22">
        <f>Table2[[#This Row],[RunCost]]/(23400/255)</f>
        <v>15.714102564102564</v>
      </c>
      <c r="M15" s="24" cm="1">
        <f t="array" ref="M1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15" s="24">
        <v>1442</v>
      </c>
      <c r="O15" s="53">
        <v>1906</v>
      </c>
      <c r="P15" s="21" t="s">
        <v>8</v>
      </c>
      <c r="Q15" s="21">
        <v>6</v>
      </c>
      <c r="R15" s="21" t="s">
        <v>199</v>
      </c>
      <c r="S15" s="21" t="s">
        <v>402</v>
      </c>
      <c r="T15" s="21" t="str">
        <f>CONCATENATE(Table2[[#This Row],[Name]]," - (",Table2[[#This Row],[UKRS Name]],")")</f>
        <v>Churchward 5100 'Prairie' - (2-6-2 'Prairie')</v>
      </c>
      <c r="U15" s="21">
        <v>17.026</v>
      </c>
      <c r="V15" s="21">
        <v>180.25</v>
      </c>
      <c r="Z15" s="25" t="s">
        <v>286</v>
      </c>
    </row>
    <row r="16" spans="1:26" s="21" customFormat="1" ht="11.25" x14ac:dyDescent="0.25">
      <c r="A16" s="21">
        <v>15</v>
      </c>
      <c r="B16" s="22" t="s">
        <v>287</v>
      </c>
      <c r="C16" s="21">
        <v>46</v>
      </c>
      <c r="D16" s="21">
        <v>60</v>
      </c>
      <c r="E16" s="21">
        <v>400</v>
      </c>
      <c r="F16" s="21">
        <v>40</v>
      </c>
      <c r="G16" s="23">
        <f t="shared" si="0"/>
        <v>8.6956521739130432E-2</v>
      </c>
      <c r="H16" s="44">
        <v>27</v>
      </c>
      <c r="I16" s="48">
        <f>ROUND((Table2[[#This Row],[Air Drag]]+0.3504)/293.4,2)</f>
        <v>0.09</v>
      </c>
      <c r="J16" s="24">
        <v>16406</v>
      </c>
      <c r="K16" s="21">
        <f t="shared" si="1"/>
        <v>14</v>
      </c>
      <c r="L16" s="22">
        <f>Table2[[#This Row],[RunCost]]/(23400/255)</f>
        <v>10.003846153846153</v>
      </c>
      <c r="M16" s="24" cm="1">
        <f t="array" ref="M1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114.74509803921568</v>
      </c>
      <c r="N16" s="24">
        <v>918</v>
      </c>
      <c r="O16" s="53">
        <v>1859</v>
      </c>
      <c r="P16" s="21" t="s">
        <v>8</v>
      </c>
      <c r="Q16" s="21" t="s">
        <v>562</v>
      </c>
      <c r="R16" s="21" t="s">
        <v>199</v>
      </c>
      <c r="S16" s="21" t="s">
        <v>403</v>
      </c>
      <c r="T16" s="21" t="str">
        <f>CONCATENATE(Table2[[#This Row],[Name]]," - (",Table2[[#This Row],[UKRS Name]],")")</f>
        <v>Ramsbottom 'Lady of the Lake' - (2-2-2 'Lady')</v>
      </c>
      <c r="U16" s="21">
        <v>14.022</v>
      </c>
      <c r="V16" s="21">
        <v>114.75</v>
      </c>
      <c r="Z16" s="25" t="s">
        <v>287</v>
      </c>
    </row>
    <row r="17" spans="1:30" s="21" customFormat="1" ht="11.25" x14ac:dyDescent="0.25">
      <c r="A17" s="21">
        <v>16</v>
      </c>
      <c r="B17" s="22" t="s">
        <v>288</v>
      </c>
      <c r="C17" s="21">
        <v>56</v>
      </c>
      <c r="D17" s="21">
        <v>70</v>
      </c>
      <c r="E17" s="21">
        <v>500</v>
      </c>
      <c r="F17" s="21">
        <v>45</v>
      </c>
      <c r="G17" s="23">
        <f t="shared" si="0"/>
        <v>8.0357142857142863E-2</v>
      </c>
      <c r="H17" s="44">
        <v>23</v>
      </c>
      <c r="I17" s="48">
        <f>ROUND((Table2[[#This Row],[Air Drag]]+0.3504)/293.4,2)</f>
        <v>0.08</v>
      </c>
      <c r="J17" s="24">
        <v>19921</v>
      </c>
      <c r="K17" s="21">
        <f t="shared" si="1"/>
        <v>17</v>
      </c>
      <c r="L17" s="22">
        <f>Table2[[#This Row],[RunCost]]/(23400/255)</f>
        <v>13.578205128205129</v>
      </c>
      <c r="M17" s="24" cm="1">
        <f t="array" ref="M1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17" s="24">
        <v>1246</v>
      </c>
      <c r="O17" s="53">
        <v>1870</v>
      </c>
      <c r="P17" s="21" t="s">
        <v>8</v>
      </c>
      <c r="Q17" s="21" t="s">
        <v>563</v>
      </c>
      <c r="R17" s="21" t="s">
        <v>199</v>
      </c>
      <c r="S17" s="21" t="s">
        <v>404</v>
      </c>
      <c r="T17" s="21" t="str">
        <f>CONCATENATE(Table2[[#This Row],[Name]]," - (",Table2[[#This Row],[UKRS Name]],")")</f>
        <v>Johnson 115 'Spinner' - (4-2-2 'Spinner')</v>
      </c>
      <c r="U17" s="21">
        <v>17.026</v>
      </c>
      <c r="V17" s="21">
        <v>155.75</v>
      </c>
      <c r="Z17" s="25" t="s">
        <v>288</v>
      </c>
    </row>
    <row r="18" spans="1:30" ht="11.25" x14ac:dyDescent="0.25">
      <c r="A18" s="21">
        <v>17</v>
      </c>
      <c r="B18" s="22" t="s">
        <v>289</v>
      </c>
      <c r="C18" s="21">
        <v>71</v>
      </c>
      <c r="D18" s="21">
        <v>50</v>
      </c>
      <c r="E18" s="21">
        <v>600</v>
      </c>
      <c r="F18" s="21">
        <v>78</v>
      </c>
      <c r="G18" s="23">
        <f t="shared" si="0"/>
        <v>0.10985915492957746</v>
      </c>
      <c r="H18" s="44">
        <v>32</v>
      </c>
      <c r="I18" s="48">
        <f>ROUND((Table2[[#This Row],[Air Drag]]+0.3504)/293.4,2)</f>
        <v>0.11</v>
      </c>
      <c r="J18" s="24">
        <v>24609</v>
      </c>
      <c r="K18" s="21">
        <f t="shared" si="1"/>
        <v>21</v>
      </c>
      <c r="L18" s="22">
        <f>Table2[[#This Row],[RunCost]]/(23400/255)</f>
        <v>14.297435897435898</v>
      </c>
      <c r="M18" s="24" cm="1">
        <f t="array" ref="M1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172.11764705882351</v>
      </c>
      <c r="N18" s="24">
        <v>1312</v>
      </c>
      <c r="O18" s="53">
        <v>1873</v>
      </c>
      <c r="P18" s="21" t="s">
        <v>8</v>
      </c>
      <c r="Q18" s="21" t="s">
        <v>563</v>
      </c>
      <c r="R18" s="21" t="s">
        <v>199</v>
      </c>
      <c r="S18" s="21" t="s">
        <v>405</v>
      </c>
      <c r="T18" s="21" t="str">
        <f>CONCATENATE(Table2[[#This Row],[Name]]," - (",Table2[[#This Row],[UKRS Name]],")")</f>
        <v>Stirling J3 'Goods' - (0-6-0 'Goods')</v>
      </c>
      <c r="U18" s="13">
        <v>21.032</v>
      </c>
      <c r="V18" s="13">
        <v>164</v>
      </c>
      <c r="Z18" s="19" t="s">
        <v>289</v>
      </c>
      <c r="AD18" s="13"/>
    </row>
    <row r="19" spans="1:30" s="21" customFormat="1" ht="11.25" x14ac:dyDescent="0.25">
      <c r="A19" s="21">
        <v>18</v>
      </c>
      <c r="B19" s="22" t="s">
        <v>290</v>
      </c>
      <c r="C19" s="21">
        <v>108</v>
      </c>
      <c r="D19" s="21">
        <v>90</v>
      </c>
      <c r="E19" s="21">
        <v>1000</v>
      </c>
      <c r="F19" s="21">
        <v>70</v>
      </c>
      <c r="G19" s="23">
        <f t="shared" si="0"/>
        <v>6.4814814814814811E-2</v>
      </c>
      <c r="H19" s="44">
        <v>18</v>
      </c>
      <c r="I19" s="48">
        <f>ROUND((Table2[[#This Row],[Air Drag]]+0.3504)/293.4,2)</f>
        <v>0.06</v>
      </c>
      <c r="J19" s="24">
        <v>31640</v>
      </c>
      <c r="K19" s="21">
        <f t="shared" si="1"/>
        <v>27</v>
      </c>
      <c r="L19" s="22">
        <f>Table2[[#This Row],[RunCost]]/(23400/255)</f>
        <v>32.169230769230772</v>
      </c>
      <c r="M19" s="24" cm="1">
        <f t="array" ref="M1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N19" s="24">
        <v>2952</v>
      </c>
      <c r="O19" s="53">
        <v>1899</v>
      </c>
      <c r="P19" s="21" t="s">
        <v>8</v>
      </c>
      <c r="Q19" s="21" t="s">
        <v>564</v>
      </c>
      <c r="R19" s="21" t="s">
        <v>573</v>
      </c>
      <c r="S19" s="21" t="s">
        <v>406</v>
      </c>
      <c r="T19" s="21" t="str">
        <f>CONCATENATE(Table2[[#This Row],[Name]]," - (",Table2[[#This Row],[UKRS Name]],")")</f>
        <v>Ivatt C2 'Klondike' - (4-4-2 'Klondyke')</v>
      </c>
      <c r="U19" s="21">
        <v>27.042999999999999</v>
      </c>
      <c r="V19" s="21">
        <v>369</v>
      </c>
      <c r="Z19" s="25" t="s">
        <v>290</v>
      </c>
    </row>
    <row r="20" spans="1:30" s="21" customFormat="1" ht="11.25" x14ac:dyDescent="0.25">
      <c r="A20" s="21">
        <v>19</v>
      </c>
      <c r="B20" s="22" t="s">
        <v>291</v>
      </c>
      <c r="C20" s="21">
        <v>102</v>
      </c>
      <c r="D20" s="21">
        <v>80</v>
      </c>
      <c r="E20" s="21">
        <v>1000</v>
      </c>
      <c r="F20" s="21">
        <v>97</v>
      </c>
      <c r="G20" s="23">
        <f t="shared" si="0"/>
        <v>9.509803921568627E-2</v>
      </c>
      <c r="H20" s="44">
        <v>20</v>
      </c>
      <c r="I20" s="48">
        <f>ROUND((Table2[[#This Row],[Air Drag]]+0.3504)/293.4,2)</f>
        <v>7.0000000000000007E-2</v>
      </c>
      <c r="J20" s="24">
        <v>30468</v>
      </c>
      <c r="K20" s="21">
        <f t="shared" si="1"/>
        <v>26</v>
      </c>
      <c r="L20" s="22">
        <f>Table2[[#This Row],[RunCost]]/(23400/255)</f>
        <v>30.033333333333331</v>
      </c>
      <c r="M20" s="24" cm="1">
        <f t="array" ref="M2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0" s="24">
        <v>2756</v>
      </c>
      <c r="O20" s="53">
        <v>1904</v>
      </c>
      <c r="P20" s="21" t="s">
        <v>8</v>
      </c>
      <c r="Q20" s="21" t="s">
        <v>564</v>
      </c>
      <c r="R20" s="21" t="s">
        <v>199</v>
      </c>
      <c r="S20" s="21" t="s">
        <v>407</v>
      </c>
      <c r="T20" s="21" t="str">
        <f>CONCATENATE(Table2[[#This Row],[Name]]," - (",Table2[[#This Row],[UKRS Name]],")")</f>
        <v>Johnson 1000 'Compound' - (4-4-0 'Edwardian')</v>
      </c>
      <c r="U20" s="21">
        <v>26.041</v>
      </c>
      <c r="V20" s="21">
        <v>344.5</v>
      </c>
      <c r="Z20" s="25" t="s">
        <v>291</v>
      </c>
    </row>
    <row r="21" spans="1:30" s="21" customFormat="1" ht="11.25" x14ac:dyDescent="0.25">
      <c r="A21" s="21">
        <v>20</v>
      </c>
      <c r="B21" s="22" t="s">
        <v>292</v>
      </c>
      <c r="C21" s="21">
        <v>90</v>
      </c>
      <c r="D21" s="21">
        <v>50</v>
      </c>
      <c r="E21" s="21">
        <v>750</v>
      </c>
      <c r="F21" s="21">
        <v>110</v>
      </c>
      <c r="G21" s="23">
        <f t="shared" si="0"/>
        <v>0.12222222222222222</v>
      </c>
      <c r="H21" s="44">
        <v>32</v>
      </c>
      <c r="I21" s="48">
        <f>ROUND((Table2[[#This Row],[Air Drag]]+0.3504)/293.4,2)</f>
        <v>0.11</v>
      </c>
      <c r="J21" s="24">
        <v>26953</v>
      </c>
      <c r="K21" s="21">
        <f t="shared" si="1"/>
        <v>23</v>
      </c>
      <c r="L21" s="22">
        <f>Table2[[#This Row],[RunCost]]/(23400/255)</f>
        <v>17.871794871794872</v>
      </c>
      <c r="M21" s="24" cm="1">
        <f t="array" ref="M2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188.50980392156862</v>
      </c>
      <c r="N21" s="24">
        <v>1640</v>
      </c>
      <c r="O21" s="53">
        <v>1911</v>
      </c>
      <c r="P21" s="21" t="s">
        <v>8</v>
      </c>
      <c r="Q21" s="21" t="s">
        <v>563</v>
      </c>
      <c r="R21" s="21" t="s">
        <v>199</v>
      </c>
      <c r="S21" s="21" t="s">
        <v>408</v>
      </c>
      <c r="T21" s="21" t="str">
        <f>CONCATENATE(Table2[[#This Row],[Name]]," - (",Table2[[#This Row],[UKRS Name]],")")</f>
        <v>Gresley J6 'Freight' - (0-6-0 'Freight')</v>
      </c>
      <c r="U21" s="21">
        <v>23.036000000000001</v>
      </c>
      <c r="V21" s="21">
        <v>205</v>
      </c>
      <c r="Z21" s="25" t="s">
        <v>292</v>
      </c>
    </row>
    <row r="22" spans="1:30" s="21" customFormat="1" ht="11.25" x14ac:dyDescent="0.25">
      <c r="A22" s="21">
        <v>21</v>
      </c>
      <c r="B22" s="22" t="s">
        <v>293</v>
      </c>
      <c r="C22" s="21">
        <v>105</v>
      </c>
      <c r="D22" s="21">
        <v>60</v>
      </c>
      <c r="E22" s="21">
        <v>1100</v>
      </c>
      <c r="F22" s="21">
        <v>112</v>
      </c>
      <c r="G22" s="23">
        <f t="shared" si="0"/>
        <v>0.10666666666666666</v>
      </c>
      <c r="H22" s="44">
        <v>27</v>
      </c>
      <c r="I22" s="48">
        <f>ROUND((Table2[[#This Row],[Air Drag]]+0.3504)/293.4,2)</f>
        <v>0.09</v>
      </c>
      <c r="J22" s="24">
        <v>30468</v>
      </c>
      <c r="K22" s="21">
        <f t="shared" si="1"/>
        <v>26</v>
      </c>
      <c r="L22" s="22">
        <f>Table2[[#This Row],[RunCost]]/(23400/255)</f>
        <v>27.875641025641027</v>
      </c>
      <c r="M22" s="24" cm="1">
        <f t="array" ref="M2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2" s="24">
        <v>2558</v>
      </c>
      <c r="O22" s="53">
        <v>1912</v>
      </c>
      <c r="P22" s="21" t="s">
        <v>8</v>
      </c>
      <c r="Q22" s="21" t="s">
        <v>564</v>
      </c>
      <c r="R22" s="21" t="s">
        <v>199</v>
      </c>
      <c r="S22" s="21" t="s">
        <v>409</v>
      </c>
      <c r="T22" s="21" t="str">
        <f>CONCATENATE(Table2[[#This Row],[Name]]," - (",Table2[[#This Row],[UKRS Name]],")")</f>
        <v>Gresley K1 'Mogul' - (2-6-0 'Mogul')</v>
      </c>
      <c r="U22" s="21">
        <v>26.041</v>
      </c>
      <c r="V22" s="21">
        <v>319.75</v>
      </c>
      <c r="Z22" s="25" t="s">
        <v>293</v>
      </c>
    </row>
    <row r="23" spans="1:30" s="21" customFormat="1" ht="11.25" x14ac:dyDescent="0.25">
      <c r="A23" s="21">
        <v>22</v>
      </c>
      <c r="B23" s="22" t="s">
        <v>294</v>
      </c>
      <c r="C23" s="21">
        <v>94</v>
      </c>
      <c r="D23" s="21">
        <v>40</v>
      </c>
      <c r="E23" s="21">
        <v>1000</v>
      </c>
      <c r="F23" s="21">
        <v>122</v>
      </c>
      <c r="G23" s="23">
        <f t="shared" si="0"/>
        <v>0.12978723404255318</v>
      </c>
      <c r="H23" s="44">
        <v>41</v>
      </c>
      <c r="I23" s="48">
        <f>ROUND((Table2[[#This Row],[Air Drag]]+0.3504)/293.4,2)</f>
        <v>0.14000000000000001</v>
      </c>
      <c r="J23" s="24">
        <v>28125</v>
      </c>
      <c r="K23" s="21">
        <f t="shared" si="1"/>
        <v>24</v>
      </c>
      <c r="L23" s="22">
        <f>Table2[[#This Row],[RunCost]]/(23400/255)</f>
        <v>22.165384615384614</v>
      </c>
      <c r="M23" s="24" cm="1">
        <f t="array" ref="M2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196.70588235294116</v>
      </c>
      <c r="N23" s="24">
        <v>2034</v>
      </c>
      <c r="O23" s="53">
        <v>1912</v>
      </c>
      <c r="P23" s="21" t="s">
        <v>8</v>
      </c>
      <c r="Q23" s="21" t="s">
        <v>564</v>
      </c>
      <c r="R23" s="21" t="s">
        <v>199</v>
      </c>
      <c r="S23" s="21" t="s">
        <v>410</v>
      </c>
      <c r="T23" s="21" t="str">
        <f>CONCATENATE(Table2[[#This Row],[Name]]," - (",Table2[[#This Row],[UKRS Name]],")")</f>
        <v>Raven Q6 'Mineral' - (0-8-0 'Mineral')</v>
      </c>
      <c r="U23" s="21">
        <v>24.038</v>
      </c>
      <c r="V23" s="21">
        <v>254.25</v>
      </c>
      <c r="Z23" s="25" t="s">
        <v>294</v>
      </c>
    </row>
    <row r="24" spans="1:30" ht="11.25" x14ac:dyDescent="0.25">
      <c r="A24" s="21">
        <v>23</v>
      </c>
      <c r="B24" s="22" t="s">
        <v>295</v>
      </c>
      <c r="C24" s="21">
        <v>106</v>
      </c>
      <c r="D24" s="21">
        <v>30</v>
      </c>
      <c r="E24" s="21">
        <v>1200</v>
      </c>
      <c r="F24" s="21">
        <v>190</v>
      </c>
      <c r="G24" s="23">
        <f t="shared" si="0"/>
        <v>0.17924528301886791</v>
      </c>
      <c r="H24" s="44">
        <v>54</v>
      </c>
      <c r="I24" s="48">
        <f>ROUND((Table2[[#This Row],[Air Drag]]+0.3504)/293.4,2)</f>
        <v>0.19</v>
      </c>
      <c r="J24" s="24">
        <v>31640</v>
      </c>
      <c r="K24" s="21">
        <f t="shared" si="1"/>
        <v>27</v>
      </c>
      <c r="L24" s="22">
        <f>Table2[[#This Row],[RunCost]]/(23400/255)</f>
        <v>25.02051282051282</v>
      </c>
      <c r="M24" s="24" cm="1">
        <f t="array" ref="M2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221.29411764705881</v>
      </c>
      <c r="N24" s="24">
        <v>2296</v>
      </c>
      <c r="O24" s="53">
        <v>1919</v>
      </c>
      <c r="P24" s="21" t="s">
        <v>8</v>
      </c>
      <c r="Q24" s="21" t="s">
        <v>564</v>
      </c>
      <c r="R24" s="21" t="s">
        <v>199</v>
      </c>
      <c r="S24" s="21" t="s">
        <v>411</v>
      </c>
      <c r="T24" s="21" t="str">
        <f>CONCATENATE(Table2[[#This Row],[Name]]," - (",Table2[[#This Row],[UKRS Name]],")")</f>
        <v>Anderson Lickey Banker 'Big Bertha' - (0-10-0 'Banker')</v>
      </c>
      <c r="U24" s="13">
        <v>27.042999999999999</v>
      </c>
      <c r="V24" s="13">
        <v>287</v>
      </c>
      <c r="Z24" s="19" t="s">
        <v>295</v>
      </c>
      <c r="AD24" s="13"/>
    </row>
    <row r="25" spans="1:30" ht="11.25" x14ac:dyDescent="0.25">
      <c r="A25" s="21">
        <v>24</v>
      </c>
      <c r="B25" s="22" t="s">
        <v>296</v>
      </c>
      <c r="C25" s="21">
        <v>138</v>
      </c>
      <c r="D25" s="21">
        <v>90</v>
      </c>
      <c r="E25" s="21">
        <v>1150</v>
      </c>
      <c r="F25" s="21">
        <v>105</v>
      </c>
      <c r="G25" s="23">
        <f t="shared" si="0"/>
        <v>7.6086956521739135E-2</v>
      </c>
      <c r="H25" s="44">
        <v>18</v>
      </c>
      <c r="I25" s="48">
        <f>ROUND((Table2[[#This Row],[Air Drag]]+0.3504)/293.4,2)</f>
        <v>0.06</v>
      </c>
      <c r="J25" s="24">
        <v>41015</v>
      </c>
      <c r="K25" s="21">
        <f t="shared" si="1"/>
        <v>35</v>
      </c>
      <c r="L25" s="22">
        <f>Table2[[#This Row],[RunCost]]/(23400/255)</f>
        <v>37.182051282051283</v>
      </c>
      <c r="M25" s="24" cm="1">
        <f t="array" ref="M2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N25" s="24">
        <v>3412</v>
      </c>
      <c r="O25" s="53">
        <v>1919</v>
      </c>
      <c r="P25" s="21" t="s">
        <v>8</v>
      </c>
      <c r="Q25" s="21" t="s">
        <v>564</v>
      </c>
      <c r="R25" s="21" t="s">
        <v>573</v>
      </c>
      <c r="S25" s="21" t="s">
        <v>412</v>
      </c>
      <c r="T25" s="21" t="str">
        <f>CONCATENATE(Table2[[#This Row],[Name]]," - (",Table2[[#This Row],[UKRS Name]],")")</f>
        <v>Maunsell N15 'King Arthur' - (4-6-0 'King Arthur')</v>
      </c>
      <c r="U25" s="13">
        <v>35.055</v>
      </c>
      <c r="V25" s="13">
        <v>426.5</v>
      </c>
      <c r="Z25" s="19" t="s">
        <v>296</v>
      </c>
      <c r="AD25" s="13"/>
    </row>
    <row r="26" spans="1:30" s="21" customFormat="1" ht="11.25" x14ac:dyDescent="0.25">
      <c r="A26" s="21">
        <v>25</v>
      </c>
      <c r="B26" s="22" t="s">
        <v>297</v>
      </c>
      <c r="C26" s="21">
        <v>49</v>
      </c>
      <c r="D26" s="21">
        <v>50</v>
      </c>
      <c r="E26" s="21">
        <v>700</v>
      </c>
      <c r="F26" s="21">
        <v>99</v>
      </c>
      <c r="G26" s="23">
        <f t="shared" si="0"/>
        <v>0.20204081632653062</v>
      </c>
      <c r="H26" s="44">
        <v>28</v>
      </c>
      <c r="I26" s="48">
        <f>ROUND((Table2[[#This Row],[Air Drag]]+0.3504)/293.4,2)</f>
        <v>0.1</v>
      </c>
      <c r="J26" s="24">
        <v>17578</v>
      </c>
      <c r="K26" s="21">
        <f t="shared" si="1"/>
        <v>15</v>
      </c>
      <c r="L26" s="22">
        <f>Table2[[#This Row],[RunCost]]/(23400/255)</f>
        <v>15.714102564102564</v>
      </c>
      <c r="M26" s="24" cm="1">
        <f t="array" ref="M2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122.94117647058823</v>
      </c>
      <c r="N26" s="24">
        <v>1442</v>
      </c>
      <c r="O26" s="53">
        <v>1929</v>
      </c>
      <c r="P26" s="21" t="s">
        <v>8</v>
      </c>
      <c r="Q26" s="21">
        <v>5</v>
      </c>
      <c r="R26" s="21" t="s">
        <v>199</v>
      </c>
      <c r="S26" s="21" t="s">
        <v>413</v>
      </c>
      <c r="T26" s="21" t="str">
        <f>CONCATENATE(Table2[[#This Row],[Name]]," - (",Table2[[#This Row],[UKRS Name]],")")</f>
        <v>Collett 5700 'Pannier' - (0-6-0 'Pannier')</v>
      </c>
      <c r="U26" s="21">
        <v>15.023999999999999</v>
      </c>
      <c r="V26" s="21">
        <v>180.25</v>
      </c>
      <c r="Z26" s="25" t="s">
        <v>297</v>
      </c>
    </row>
    <row r="27" spans="1:30" s="21" customFormat="1" ht="11.25" x14ac:dyDescent="0.25">
      <c r="A27" s="21">
        <v>26</v>
      </c>
      <c r="B27" s="22" t="s">
        <v>298</v>
      </c>
      <c r="C27" s="21">
        <v>55</v>
      </c>
      <c r="D27" s="21">
        <v>55</v>
      </c>
      <c r="E27" s="21">
        <v>850</v>
      </c>
      <c r="F27" s="21">
        <v>98</v>
      </c>
      <c r="G27" s="23">
        <f t="shared" si="0"/>
        <v>0.17818181818181819</v>
      </c>
      <c r="H27" s="44">
        <v>26</v>
      </c>
      <c r="I27" s="48">
        <f>ROUND((Table2[[#This Row],[Air Drag]]+0.3504)/293.4,2)</f>
        <v>0.09</v>
      </c>
      <c r="J27" s="24">
        <v>19921</v>
      </c>
      <c r="K27" s="21">
        <f t="shared" si="1"/>
        <v>17</v>
      </c>
      <c r="L27" s="22">
        <f>Table2[[#This Row],[RunCost]]/(23400/255)</f>
        <v>18.591025641025642</v>
      </c>
      <c r="M27" s="24" cm="1">
        <f t="array" ref="M2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139.33333333333331</v>
      </c>
      <c r="N27" s="24">
        <v>1706</v>
      </c>
      <c r="O27" s="53">
        <v>1947</v>
      </c>
      <c r="P27" s="21" t="s">
        <v>8</v>
      </c>
      <c r="Q27" s="21">
        <v>5</v>
      </c>
      <c r="R27" s="21" t="s">
        <v>199</v>
      </c>
      <c r="S27" s="21" t="s">
        <v>414</v>
      </c>
      <c r="T27" s="21" t="str">
        <f>CONCATENATE(Table2[[#This Row],[Name]]," - (",Table2[[#This Row],[UKRS Name]],")")</f>
        <v>Collett 9400 'Pannier II' - (0-6-0 'Pannier II')</v>
      </c>
      <c r="U27" s="21">
        <v>17.026</v>
      </c>
      <c r="V27" s="21">
        <v>213.25</v>
      </c>
      <c r="Z27" s="25" t="s">
        <v>298</v>
      </c>
    </row>
    <row r="28" spans="1:30" ht="11.25" x14ac:dyDescent="0.25">
      <c r="A28" s="21">
        <v>27</v>
      </c>
      <c r="B28" s="22" t="s">
        <v>299</v>
      </c>
      <c r="C28" s="21">
        <v>64</v>
      </c>
      <c r="D28" s="21">
        <v>70</v>
      </c>
      <c r="E28" s="21">
        <v>800</v>
      </c>
      <c r="F28" s="21">
        <v>75</v>
      </c>
      <c r="G28" s="23">
        <f t="shared" si="0"/>
        <v>0.1171875</v>
      </c>
      <c r="H28" s="44">
        <v>20</v>
      </c>
      <c r="I28" s="48">
        <f>ROUND((Table2[[#This Row],[Air Drag]]+0.3504)/293.4,2)</f>
        <v>7.0000000000000007E-2</v>
      </c>
      <c r="J28" s="24">
        <v>22265</v>
      </c>
      <c r="K28" s="21">
        <f t="shared" si="1"/>
        <v>19</v>
      </c>
      <c r="L28" s="22">
        <f>Table2[[#This Row],[RunCost]]/(23400/255)</f>
        <v>20.007692307692306</v>
      </c>
      <c r="M28" s="24" cm="1">
        <f t="array" ref="M2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155.72549019607843</v>
      </c>
      <c r="N28" s="24">
        <v>1836</v>
      </c>
      <c r="O28" s="53">
        <v>1946</v>
      </c>
      <c r="P28" s="21" t="s">
        <v>8</v>
      </c>
      <c r="Q28" s="21">
        <v>6</v>
      </c>
      <c r="R28" s="21" t="s">
        <v>199</v>
      </c>
      <c r="S28" s="21" t="s">
        <v>415</v>
      </c>
      <c r="T28" s="21" t="str">
        <f>CONCATENATE(Table2[[#This Row],[Name]]," - (",Table2[[#This Row],[UKRS Name]],")")</f>
        <v>Ivatt 2MT 'Ivatt' - (2-6-2 'Ivatt')</v>
      </c>
      <c r="U28" s="13">
        <v>19.029</v>
      </c>
      <c r="V28" s="13">
        <v>229.5</v>
      </c>
      <c r="Z28" s="19" t="s">
        <v>299</v>
      </c>
      <c r="AD28" s="13"/>
    </row>
    <row r="29" spans="1:30" s="21" customFormat="1" ht="11.25" x14ac:dyDescent="0.25">
      <c r="A29" s="21">
        <v>28</v>
      </c>
      <c r="B29" s="22" t="s">
        <v>300</v>
      </c>
      <c r="C29" s="21">
        <v>88</v>
      </c>
      <c r="D29" s="21">
        <v>70</v>
      </c>
      <c r="E29" s="21">
        <v>1200</v>
      </c>
      <c r="F29" s="21">
        <v>107</v>
      </c>
      <c r="G29" s="23">
        <f t="shared" si="0"/>
        <v>0.12159090909090908</v>
      </c>
      <c r="H29" s="44">
        <v>20</v>
      </c>
      <c r="I29" s="48">
        <f>ROUND((Table2[[#This Row],[Air Drag]]+0.3504)/293.4,2)</f>
        <v>7.0000000000000007E-2</v>
      </c>
      <c r="J29" s="24">
        <v>30468</v>
      </c>
      <c r="K29" s="21">
        <f t="shared" si="1"/>
        <v>26</v>
      </c>
      <c r="L29" s="22">
        <f>Table2[[#This Row],[RunCost]]/(23400/255)</f>
        <v>31.45</v>
      </c>
      <c r="M29" s="24" cm="1">
        <f t="array" ref="M2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213.09803921568624</v>
      </c>
      <c r="N29" s="24">
        <v>2886</v>
      </c>
      <c r="O29" s="53">
        <v>1927</v>
      </c>
      <c r="P29" s="21" t="s">
        <v>8</v>
      </c>
      <c r="Q29" s="21">
        <v>7</v>
      </c>
      <c r="R29" s="21" t="s">
        <v>573</v>
      </c>
      <c r="S29" s="21" t="s">
        <v>416</v>
      </c>
      <c r="T29" s="21" t="str">
        <f>CONCATENATE(Table2[[#This Row],[Name]]," - (",Table2[[#This Row],[UKRS Name]],")")</f>
        <v>Fowler 4MT 'Suburban' - (2-6-4 'Suburban')</v>
      </c>
      <c r="U29" s="21">
        <v>26.041</v>
      </c>
      <c r="V29" s="21">
        <v>360.75</v>
      </c>
      <c r="Z29" s="25" t="s">
        <v>300</v>
      </c>
    </row>
    <row r="30" spans="1:30" s="21" customFormat="1" ht="11.25" x14ac:dyDescent="0.25">
      <c r="A30" s="21">
        <v>29</v>
      </c>
      <c r="B30" s="22" t="s">
        <v>301</v>
      </c>
      <c r="C30" s="21">
        <v>90</v>
      </c>
      <c r="D30" s="21">
        <v>65</v>
      </c>
      <c r="E30" s="21">
        <v>1000</v>
      </c>
      <c r="F30" s="21">
        <v>130</v>
      </c>
      <c r="G30" s="23">
        <f t="shared" si="0"/>
        <v>0.14444444444444443</v>
      </c>
      <c r="H30" s="44">
        <v>24</v>
      </c>
      <c r="I30" s="48">
        <f>ROUND((Table2[[#This Row],[Air Drag]]+0.3504)/293.4,2)</f>
        <v>0.08</v>
      </c>
      <c r="J30" s="24">
        <v>23437</v>
      </c>
      <c r="K30" s="21">
        <f t="shared" si="1"/>
        <v>20</v>
      </c>
      <c r="L30" s="22">
        <f>Table2[[#This Row],[RunCost]]/(23400/255)</f>
        <v>23.582051282051282</v>
      </c>
      <c r="M30" s="24" cm="1">
        <f t="array" ref="M3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163.92156862745097</v>
      </c>
      <c r="N30" s="24">
        <v>2164</v>
      </c>
      <c r="O30" s="53">
        <v>1942</v>
      </c>
      <c r="P30" s="21" t="s">
        <v>8</v>
      </c>
      <c r="Q30" s="21" t="s">
        <v>563</v>
      </c>
      <c r="R30" s="21" t="s">
        <v>573</v>
      </c>
      <c r="S30" s="21" t="s">
        <v>417</v>
      </c>
      <c r="T30" s="21" t="str">
        <f>CONCATENATE(Table2[[#This Row],[Name]]," - (",Table2[[#This Row],[UKRS Name]],")")</f>
        <v>Bulleid Q1 'Austerity' - (0-6-0 'Austerity')</v>
      </c>
      <c r="U30" s="21">
        <v>20.030999999999999</v>
      </c>
      <c r="V30" s="21">
        <v>270.5</v>
      </c>
      <c r="Z30" s="25" t="s">
        <v>301</v>
      </c>
    </row>
    <row r="31" spans="1:30" s="21" customFormat="1" ht="11.25" x14ac:dyDescent="0.25">
      <c r="A31" s="21">
        <v>30</v>
      </c>
      <c r="B31" s="22" t="s">
        <v>302</v>
      </c>
      <c r="C31" s="21">
        <v>119</v>
      </c>
      <c r="D31" s="21">
        <v>90</v>
      </c>
      <c r="E31" s="21">
        <v>1250</v>
      </c>
      <c r="F31" s="21">
        <v>95</v>
      </c>
      <c r="G31" s="23">
        <f t="shared" si="0"/>
        <v>7.9831932773109238E-2</v>
      </c>
      <c r="H31" s="44">
        <v>18</v>
      </c>
      <c r="I31" s="48">
        <f>ROUND((Table2[[#This Row],[Air Drag]]+0.3504)/293.4,2)</f>
        <v>0.06</v>
      </c>
      <c r="J31" s="24">
        <v>35156</v>
      </c>
      <c r="K31" s="21">
        <f t="shared" si="1"/>
        <v>30</v>
      </c>
      <c r="L31" s="22">
        <f>Table2[[#This Row],[RunCost]]/(23400/255)</f>
        <v>38.598717948717947</v>
      </c>
      <c r="M31" s="24" cm="1">
        <f t="array" ref="M3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245.88235294117646</v>
      </c>
      <c r="N31" s="24">
        <v>3542</v>
      </c>
      <c r="O31" s="53">
        <v>1927</v>
      </c>
      <c r="P31" s="21" t="s">
        <v>8</v>
      </c>
      <c r="Q31" s="21" t="s">
        <v>564</v>
      </c>
      <c r="R31" s="21" t="s">
        <v>575</v>
      </c>
      <c r="S31" s="21" t="s">
        <v>418</v>
      </c>
      <c r="T31" s="21" t="str">
        <f>CONCATENATE(Table2[[#This Row],[Name]]," - (",Table2[[#This Row],[UKRS Name]],")")</f>
        <v>Gresley D49 'Shire' - (4-4-0 'Shire')</v>
      </c>
      <c r="U31" s="21">
        <v>30.047999999999998</v>
      </c>
      <c r="V31" s="21">
        <v>442.75</v>
      </c>
      <c r="Z31" s="25" t="s">
        <v>302</v>
      </c>
    </row>
    <row r="32" spans="1:30" s="21" customFormat="1" ht="11.25" x14ac:dyDescent="0.25">
      <c r="A32" s="21">
        <v>31</v>
      </c>
      <c r="B32" s="22" t="s">
        <v>303</v>
      </c>
      <c r="C32" s="21">
        <v>137</v>
      </c>
      <c r="D32" s="21">
        <v>90</v>
      </c>
      <c r="E32" s="21">
        <v>1400</v>
      </c>
      <c r="F32" s="21">
        <v>110</v>
      </c>
      <c r="G32" s="23">
        <f t="shared" si="0"/>
        <v>8.0291970802919707E-2</v>
      </c>
      <c r="H32" s="44">
        <v>18</v>
      </c>
      <c r="I32" s="48">
        <f>ROUND((Table2[[#This Row],[Air Drag]]+0.3504)/293.4,2)</f>
        <v>0.06</v>
      </c>
      <c r="J32" s="24">
        <v>39843</v>
      </c>
      <c r="K32" s="21">
        <f t="shared" si="1"/>
        <v>34</v>
      </c>
      <c r="L32" s="22">
        <f>Table2[[#This Row],[RunCost]]/(23400/255)</f>
        <v>42.892307692307689</v>
      </c>
      <c r="M32" s="24" cm="1">
        <f t="array" ref="M3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278.66666666666663</v>
      </c>
      <c r="N32" s="24">
        <v>3936</v>
      </c>
      <c r="O32" s="53">
        <v>1927</v>
      </c>
      <c r="P32" s="21" t="s">
        <v>8</v>
      </c>
      <c r="Q32" s="21" t="s">
        <v>564</v>
      </c>
      <c r="R32" s="21" t="s">
        <v>573</v>
      </c>
      <c r="S32" s="21" t="s">
        <v>419</v>
      </c>
      <c r="T32" s="21" t="str">
        <f>CONCATENATE(Table2[[#This Row],[Name]]," - (",Table2[[#This Row],[UKRS Name]],")")</f>
        <v>Fowler 7P 'Royal Scot' - (4-6-0 'Royal Scot')</v>
      </c>
      <c r="U32" s="21">
        <v>34.052999999999997</v>
      </c>
      <c r="V32" s="21">
        <v>492</v>
      </c>
      <c r="Z32" s="25" t="s">
        <v>303</v>
      </c>
    </row>
    <row r="33" spans="1:30" s="21" customFormat="1" ht="11.25" x14ac:dyDescent="0.25">
      <c r="A33" s="21">
        <v>32</v>
      </c>
      <c r="B33" s="22" t="s">
        <v>304</v>
      </c>
      <c r="C33" s="21">
        <v>151</v>
      </c>
      <c r="D33" s="21">
        <v>45</v>
      </c>
      <c r="E33" s="21">
        <v>1250</v>
      </c>
      <c r="F33" s="21">
        <v>202</v>
      </c>
      <c r="G33" s="23">
        <f t="shared" si="0"/>
        <v>0.1337748344370861</v>
      </c>
      <c r="H33" s="44">
        <v>40</v>
      </c>
      <c r="I33" s="48">
        <f>ROUND((Table2[[#This Row],[Air Drag]]+0.3504)/293.4,2)</f>
        <v>0.14000000000000001</v>
      </c>
      <c r="J33" s="24">
        <v>44531</v>
      </c>
      <c r="K33" s="21">
        <f t="shared" si="1"/>
        <v>38</v>
      </c>
      <c r="L33" s="22">
        <f>Table2[[#This Row],[RunCost]]/(23400/255)</f>
        <v>28.594871794871796</v>
      </c>
      <c r="M33" s="24" cm="1">
        <f t="array" ref="M3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N33" s="24">
        <v>2624</v>
      </c>
      <c r="O33" s="53">
        <v>1927</v>
      </c>
      <c r="P33" s="21" t="s">
        <v>8</v>
      </c>
      <c r="Q33" s="21" t="s">
        <v>566</v>
      </c>
      <c r="R33" s="21" t="s">
        <v>573</v>
      </c>
      <c r="S33" s="21" t="s">
        <v>556</v>
      </c>
      <c r="T33" s="21" t="str">
        <f>CONCATENATE(Table2[[#This Row],[Name]]," - (",Table2[[#This Row],[UKRS Name]],")")</f>
        <v>Beyer, Peacock &amp; Co 'Garratt' - (2-6-0+0-6-2 'Garratt')</v>
      </c>
      <c r="U33" s="21">
        <v>38.06</v>
      </c>
      <c r="V33" s="21">
        <v>328</v>
      </c>
      <c r="Z33" s="25" t="s">
        <v>304</v>
      </c>
    </row>
    <row r="34" spans="1:30" s="21" customFormat="1" ht="11.25" x14ac:dyDescent="0.25">
      <c r="A34" s="21">
        <v>33</v>
      </c>
      <c r="B34" s="22" t="s">
        <v>305</v>
      </c>
      <c r="C34" s="21">
        <v>128</v>
      </c>
      <c r="D34" s="21">
        <v>50</v>
      </c>
      <c r="E34" s="21">
        <v>1550</v>
      </c>
      <c r="F34" s="21">
        <v>142</v>
      </c>
      <c r="G34" s="23">
        <f t="shared" ref="G34:G65" si="2">F34/10/C34</f>
        <v>0.11093749999999999</v>
      </c>
      <c r="H34" s="44">
        <v>32</v>
      </c>
      <c r="I34" s="48">
        <f>ROUND((Table2[[#This Row],[Air Drag]]+0.3504)/293.4,2)</f>
        <v>0.11</v>
      </c>
      <c r="J34" s="24">
        <v>37500</v>
      </c>
      <c r="K34" s="21">
        <f t="shared" ref="K34:K65" si="3">ROUNDDOWN(J34/1171,0)</f>
        <v>32</v>
      </c>
      <c r="L34" s="22">
        <f>Table2[[#This Row],[RunCost]]/(23400/255)</f>
        <v>35.024358974358975</v>
      </c>
      <c r="M34" s="24" cm="1">
        <f t="array" ref="M3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34" s="24">
        <v>3214</v>
      </c>
      <c r="O34" s="53">
        <v>1933</v>
      </c>
      <c r="P34" s="21" t="s">
        <v>8</v>
      </c>
      <c r="Q34" s="21" t="s">
        <v>567</v>
      </c>
      <c r="R34" s="21" t="s">
        <v>573</v>
      </c>
      <c r="S34" s="21" t="s">
        <v>420</v>
      </c>
      <c r="T34" s="21" t="str">
        <f>CONCATENATE(Table2[[#This Row],[Name]]," - (",Table2[[#This Row],[UKRS Name]],")")</f>
        <v>Stanier 8F - (2-8-0 '8F')</v>
      </c>
      <c r="U34" s="21">
        <v>32.051000000000002</v>
      </c>
      <c r="V34" s="21">
        <v>401.75</v>
      </c>
      <c r="Z34" s="25" t="s">
        <v>305</v>
      </c>
    </row>
    <row r="35" spans="1:30" s="21" customFormat="1" ht="11.25" x14ac:dyDescent="0.25">
      <c r="A35" s="21">
        <v>34</v>
      </c>
      <c r="B35" s="22" t="s">
        <v>306</v>
      </c>
      <c r="C35" s="21">
        <v>126</v>
      </c>
      <c r="D35" s="21">
        <v>90</v>
      </c>
      <c r="E35" s="21">
        <v>1550</v>
      </c>
      <c r="F35" s="21">
        <v>115</v>
      </c>
      <c r="G35" s="23">
        <f t="shared" si="2"/>
        <v>9.1269841269841265E-2</v>
      </c>
      <c r="H35" s="44">
        <v>18</v>
      </c>
      <c r="I35" s="48">
        <f>ROUND((Table2[[#This Row],[Air Drag]]+0.3504)/293.4,2)</f>
        <v>0.06</v>
      </c>
      <c r="J35" s="24">
        <v>37500</v>
      </c>
      <c r="K35" s="21">
        <f t="shared" si="3"/>
        <v>32</v>
      </c>
      <c r="L35" s="22">
        <f>Table2[[#This Row],[RunCost]]/(23400/255)</f>
        <v>47.905128205128207</v>
      </c>
      <c r="M35" s="24" cm="1">
        <f t="array" ref="M3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35" s="24">
        <v>4396</v>
      </c>
      <c r="O35" s="53">
        <v>1934</v>
      </c>
      <c r="P35" s="21" t="s">
        <v>8</v>
      </c>
      <c r="Q35" s="21" t="s">
        <v>567</v>
      </c>
      <c r="R35" s="21" t="s">
        <v>573</v>
      </c>
      <c r="S35" s="21" t="s">
        <v>421</v>
      </c>
      <c r="T35" s="21" t="str">
        <f>CONCATENATE(Table2[[#This Row],[Name]]," - (",Table2[[#This Row],[UKRS Name]],")")</f>
        <v>Stanier 6P 'Jubilee' - (4-6-0 'Jubilee')</v>
      </c>
      <c r="U35" s="21">
        <v>32.051000000000002</v>
      </c>
      <c r="V35" s="21">
        <v>549.5</v>
      </c>
      <c r="Z35" s="25" t="s">
        <v>306</v>
      </c>
    </row>
    <row r="36" spans="1:30" s="21" customFormat="1" ht="11.25" x14ac:dyDescent="0.25">
      <c r="A36" s="21">
        <v>35</v>
      </c>
      <c r="B36" s="22" t="s">
        <v>307</v>
      </c>
      <c r="C36" s="21">
        <v>144</v>
      </c>
      <c r="D36" s="21">
        <v>80</v>
      </c>
      <c r="E36" s="21">
        <v>1650</v>
      </c>
      <c r="F36" s="21">
        <v>148</v>
      </c>
      <c r="G36" s="23">
        <f t="shared" si="2"/>
        <v>0.10277777777777779</v>
      </c>
      <c r="H36" s="44">
        <v>20</v>
      </c>
      <c r="I36" s="48">
        <f>ROUND((Table2[[#This Row],[Air Drag]]+0.3504)/293.4,2)</f>
        <v>7.0000000000000007E-2</v>
      </c>
      <c r="J36" s="24">
        <v>42187</v>
      </c>
      <c r="K36" s="21">
        <f t="shared" si="3"/>
        <v>36</v>
      </c>
      <c r="L36" s="22">
        <f>Table2[[#This Row],[RunCost]]/(23400/255)</f>
        <v>46.466666666666669</v>
      </c>
      <c r="M36" s="24" cm="1">
        <f t="array" ref="M3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36" s="24">
        <v>4264</v>
      </c>
      <c r="O36" s="53">
        <v>1936</v>
      </c>
      <c r="P36" s="21" t="s">
        <v>8</v>
      </c>
      <c r="Q36" s="21" t="s">
        <v>567</v>
      </c>
      <c r="R36" s="21" t="s">
        <v>575</v>
      </c>
      <c r="S36" s="21" t="s">
        <v>422</v>
      </c>
      <c r="T36" s="21" t="str">
        <f>CONCATENATE(Table2[[#This Row],[Name]]," - (",Table2[[#This Row],[UKRS Name]],")")</f>
        <v>Gresley V2 'Arrow' - (2-6-2 'Arrow')</v>
      </c>
      <c r="U36" s="21">
        <v>36.055999999999997</v>
      </c>
      <c r="V36" s="21">
        <v>533</v>
      </c>
      <c r="Z36" s="25" t="s">
        <v>307</v>
      </c>
    </row>
    <row r="37" spans="1:30" ht="11.25" x14ac:dyDescent="0.25">
      <c r="A37" s="21">
        <v>36</v>
      </c>
      <c r="B37" s="22" t="s">
        <v>308</v>
      </c>
      <c r="C37" s="21">
        <v>151</v>
      </c>
      <c r="D37" s="21">
        <v>100</v>
      </c>
      <c r="E37" s="21">
        <v>1750</v>
      </c>
      <c r="F37" s="21">
        <v>132</v>
      </c>
      <c r="G37" s="23">
        <f t="shared" si="2"/>
        <v>8.7417218543046349E-2</v>
      </c>
      <c r="H37" s="44">
        <v>15</v>
      </c>
      <c r="I37" s="48">
        <f>ROUND((Table2[[#This Row],[Air Drag]]+0.3504)/293.4,2)</f>
        <v>0.05</v>
      </c>
      <c r="J37" s="24">
        <v>44531</v>
      </c>
      <c r="K37" s="21">
        <f t="shared" si="3"/>
        <v>38</v>
      </c>
      <c r="L37" s="22">
        <f>Table2[[#This Row],[RunCost]]/(23400/255)</f>
        <v>59.347435897435894</v>
      </c>
      <c r="M37" s="24" cm="1">
        <f t="array" ref="M3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311.45098039215685</v>
      </c>
      <c r="N37" s="24">
        <v>5446</v>
      </c>
      <c r="O37" s="53">
        <v>1922</v>
      </c>
      <c r="P37" s="21" t="s">
        <v>8</v>
      </c>
      <c r="Q37" s="21" t="s">
        <v>565</v>
      </c>
      <c r="R37" s="21" t="s">
        <v>575</v>
      </c>
      <c r="S37" s="21" t="s">
        <v>423</v>
      </c>
      <c r="T37" s="21" t="str">
        <f>CONCATENATE(Table2[[#This Row],[Name]]," - (",Table2[[#This Row],[UKRS Name]],")")</f>
        <v>Gresley A1 'Pacific' - (4-6-2 'Pacific')</v>
      </c>
      <c r="U37" s="13">
        <v>38.06</v>
      </c>
      <c r="V37" s="13">
        <v>680.75</v>
      </c>
      <c r="Z37" s="19" t="s">
        <v>308</v>
      </c>
      <c r="AD37" s="13"/>
    </row>
    <row r="38" spans="1:30" ht="11.25" x14ac:dyDescent="0.25">
      <c r="A38" s="21">
        <v>37</v>
      </c>
      <c r="B38" s="22" t="s">
        <v>309</v>
      </c>
      <c r="C38" s="21">
        <v>166</v>
      </c>
      <c r="D38" s="21">
        <v>115</v>
      </c>
      <c r="E38" s="21">
        <v>2000</v>
      </c>
      <c r="F38" s="21">
        <v>158</v>
      </c>
      <c r="G38" s="23">
        <f t="shared" si="2"/>
        <v>9.5180722891566275E-2</v>
      </c>
      <c r="H38" s="44">
        <v>13</v>
      </c>
      <c r="I38" s="48">
        <f>ROUND((Table2[[#This Row],[Air Drag]]+0.3504)/293.4,2)</f>
        <v>0.05</v>
      </c>
      <c r="J38" s="24">
        <v>49218</v>
      </c>
      <c r="K38" s="21">
        <f t="shared" si="3"/>
        <v>42</v>
      </c>
      <c r="L38" s="22">
        <f>Table2[[#This Row],[RunCost]]/(23400/255)</f>
        <v>80.09615384615384</v>
      </c>
      <c r="M38" s="24" cm="1">
        <f t="array" ref="M3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344.23529411764702</v>
      </c>
      <c r="N38" s="24">
        <v>7350</v>
      </c>
      <c r="O38" s="53">
        <v>1936</v>
      </c>
      <c r="P38" s="21" t="s">
        <v>8</v>
      </c>
      <c r="Q38" s="21" t="s">
        <v>565</v>
      </c>
      <c r="R38" s="21" t="s">
        <v>574</v>
      </c>
      <c r="S38" s="21" t="s">
        <v>424</v>
      </c>
      <c r="T38" s="21" t="str">
        <f>CONCATENATE(Table2[[#This Row],[Name]]," - (",Table2[[#This Row],[UKRS Name]],")")</f>
        <v>Gresley A4 'Streak' - (4-6-2 'Streak')</v>
      </c>
      <c r="U38" s="13">
        <v>42.067</v>
      </c>
      <c r="V38" s="13">
        <v>918.75</v>
      </c>
      <c r="Z38" s="19" t="s">
        <v>309</v>
      </c>
      <c r="AD38" s="13"/>
    </row>
    <row r="39" spans="1:30" s="21" customFormat="1" ht="11.25" x14ac:dyDescent="0.25">
      <c r="A39" s="21">
        <v>38</v>
      </c>
      <c r="B39" s="22" t="s">
        <v>310</v>
      </c>
      <c r="C39" s="21">
        <v>164</v>
      </c>
      <c r="D39" s="21">
        <v>110</v>
      </c>
      <c r="E39" s="21">
        <v>2750</v>
      </c>
      <c r="F39" s="21">
        <v>182</v>
      </c>
      <c r="G39" s="23">
        <f t="shared" si="2"/>
        <v>0.11097560975609756</v>
      </c>
      <c r="H39" s="44">
        <v>14</v>
      </c>
      <c r="I39" s="48">
        <f>ROUND((Table2[[#This Row],[Air Drag]]+0.3504)/293.4,2)</f>
        <v>0.05</v>
      </c>
      <c r="J39" s="24">
        <v>48046</v>
      </c>
      <c r="K39" s="21">
        <f t="shared" si="3"/>
        <v>41</v>
      </c>
      <c r="L39" s="22">
        <f>Table2[[#This Row],[RunCost]]/(23400/255)</f>
        <v>103.67820512820512</v>
      </c>
      <c r="M39" s="24" cm="1">
        <f t="array" ref="M3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336.03921568627447</v>
      </c>
      <c r="N39" s="24">
        <v>9514</v>
      </c>
      <c r="O39" s="53">
        <v>1937</v>
      </c>
      <c r="P39" s="21" t="s">
        <v>8</v>
      </c>
      <c r="Q39" s="21" t="s">
        <v>565</v>
      </c>
      <c r="R39" s="21" t="s">
        <v>575</v>
      </c>
      <c r="S39" s="21" t="s">
        <v>425</v>
      </c>
      <c r="T39" s="21" t="str">
        <f>CONCATENATE(Table2[[#This Row],[Name]]," - (",Table2[[#This Row],[UKRS Name]],")")</f>
        <v>Stanier 8P 'Coronation' - (4-6-2 'Coronation')</v>
      </c>
      <c r="U39" s="21">
        <v>41.064999999999998</v>
      </c>
      <c r="V39" s="21">
        <v>1189.25</v>
      </c>
      <c r="Z39" s="25" t="s">
        <v>310</v>
      </c>
    </row>
    <row r="40" spans="1:30" s="21" customFormat="1" ht="11.25" x14ac:dyDescent="0.25">
      <c r="A40" s="21">
        <v>39</v>
      </c>
      <c r="B40" s="22" t="s">
        <v>311</v>
      </c>
      <c r="C40" s="21">
        <v>144</v>
      </c>
      <c r="D40" s="21">
        <v>110</v>
      </c>
      <c r="E40" s="21">
        <v>2100</v>
      </c>
      <c r="F40" s="21">
        <v>165</v>
      </c>
      <c r="G40" s="23">
        <f t="shared" si="2"/>
        <v>0.11458333333333333</v>
      </c>
      <c r="H40" s="44">
        <v>14</v>
      </c>
      <c r="I40" s="48">
        <f>ROUND((Table2[[#This Row],[Air Drag]]+0.3504)/293.4,2)</f>
        <v>0.05</v>
      </c>
      <c r="J40" s="24">
        <v>42187</v>
      </c>
      <c r="K40" s="21">
        <f t="shared" si="3"/>
        <v>36</v>
      </c>
      <c r="L40" s="22">
        <f>Table2[[#This Row],[RunCost]]/(23400/255)</f>
        <v>75.083333333333329</v>
      </c>
      <c r="M40" s="24" cm="1">
        <f t="array" ref="M4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40" s="24">
        <v>6890</v>
      </c>
      <c r="O40" s="53">
        <v>1941</v>
      </c>
      <c r="P40" s="21" t="s">
        <v>8</v>
      </c>
      <c r="Q40" s="21" t="s">
        <v>565</v>
      </c>
      <c r="R40" s="21" t="s">
        <v>575</v>
      </c>
      <c r="S40" s="21" t="s">
        <v>426</v>
      </c>
      <c r="T40" s="21" t="str">
        <f>CONCATENATE(Table2[[#This Row],[Name]]," - (",Table2[[#This Row],[UKRS Name]],")")</f>
        <v>Bulleid 'Merchant Navy' - (4-6-2 'Merchant Navy')</v>
      </c>
      <c r="U40" s="21">
        <v>36.055999999999997</v>
      </c>
      <c r="V40" s="21">
        <v>861.25</v>
      </c>
      <c r="Z40" s="25" t="s">
        <v>311</v>
      </c>
    </row>
    <row r="41" spans="1:30" s="21" customFormat="1" ht="11.25" x14ac:dyDescent="0.25">
      <c r="A41" s="21">
        <v>40</v>
      </c>
      <c r="B41" s="22" t="s">
        <v>312</v>
      </c>
      <c r="C41" s="21">
        <v>132</v>
      </c>
      <c r="D41" s="21">
        <v>100</v>
      </c>
      <c r="E41" s="21">
        <v>1850</v>
      </c>
      <c r="F41" s="21">
        <v>136</v>
      </c>
      <c r="G41" s="23">
        <f t="shared" si="2"/>
        <v>0.10303030303030303</v>
      </c>
      <c r="H41" s="44">
        <v>15</v>
      </c>
      <c r="I41" s="48">
        <f>ROUND((Table2[[#This Row],[Air Drag]]+0.3504)/293.4,2)</f>
        <v>0.05</v>
      </c>
      <c r="J41" s="24">
        <v>38671</v>
      </c>
      <c r="K41" s="21">
        <f t="shared" si="3"/>
        <v>33</v>
      </c>
      <c r="L41" s="22">
        <f>Table2[[#This Row],[RunCost]]/(23400/255)</f>
        <v>75.083333333333329</v>
      </c>
      <c r="M41" s="24" cm="1">
        <f t="array" ref="M4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270.47058823529409</v>
      </c>
      <c r="N41" s="24">
        <v>6890</v>
      </c>
      <c r="O41" s="53">
        <v>1945</v>
      </c>
      <c r="P41" s="21" t="s">
        <v>8</v>
      </c>
      <c r="Q41" s="21" t="s">
        <v>565</v>
      </c>
      <c r="R41" s="21" t="s">
        <v>575</v>
      </c>
      <c r="S41" s="21" t="s">
        <v>427</v>
      </c>
      <c r="T41" s="21" t="str">
        <f>CONCATENATE(Table2[[#This Row],[Name]]," - (",Table2[[#This Row],[UKRS Name]],")")</f>
        <v>Bulleid 'Light Pacific' - (4-6-2 'Light Pacific')</v>
      </c>
      <c r="U41" s="21">
        <v>33.051000000000002</v>
      </c>
      <c r="V41" s="21">
        <v>861.25</v>
      </c>
      <c r="Z41" s="25" t="s">
        <v>312</v>
      </c>
    </row>
    <row r="42" spans="1:30" ht="11.25" x14ac:dyDescent="0.25">
      <c r="A42" s="21">
        <v>41</v>
      </c>
      <c r="B42" s="22" t="s">
        <v>313</v>
      </c>
      <c r="C42" s="21">
        <v>130</v>
      </c>
      <c r="D42" s="21">
        <v>70</v>
      </c>
      <c r="E42" s="21">
        <v>2000</v>
      </c>
      <c r="F42" s="21">
        <v>204</v>
      </c>
      <c r="G42" s="23">
        <f t="shared" si="2"/>
        <v>0.15692307692307692</v>
      </c>
      <c r="H42" s="44">
        <v>20</v>
      </c>
      <c r="I42" s="48">
        <f>ROUND((Table2[[#This Row],[Air Drag]]+0.3504)/293.4,2)</f>
        <v>7.0000000000000007E-2</v>
      </c>
      <c r="J42" s="24">
        <v>45703</v>
      </c>
      <c r="K42" s="21">
        <f t="shared" si="3"/>
        <v>39</v>
      </c>
      <c r="L42" s="22">
        <f>Table2[[#This Row],[RunCost]]/(23400/255)</f>
        <v>49.343589743589746</v>
      </c>
      <c r="M42" s="24" cm="1">
        <f t="array" ref="M4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319.64705882352939</v>
      </c>
      <c r="N42" s="24">
        <v>4528</v>
      </c>
      <c r="O42" s="53">
        <v>1949</v>
      </c>
      <c r="P42" s="21" t="s">
        <v>8</v>
      </c>
      <c r="Q42" s="21">
        <v>8</v>
      </c>
      <c r="R42" s="21" t="s">
        <v>573</v>
      </c>
      <c r="S42" s="21" t="s">
        <v>428</v>
      </c>
      <c r="T42" s="21" t="str">
        <f>CONCATENATE(Table2[[#This Row],[Name]]," - (",Table2[[#This Row],[UKRS Name]],")")</f>
        <v>Bulleid 'Leader' - (0-6-6-0 'Leader')</v>
      </c>
      <c r="U42" s="13">
        <v>39.061999999999998</v>
      </c>
      <c r="V42" s="13">
        <v>566</v>
      </c>
      <c r="Z42" s="19" t="s">
        <v>313</v>
      </c>
      <c r="AD42" s="13"/>
    </row>
    <row r="43" spans="1:30" ht="11.25" x14ac:dyDescent="0.25">
      <c r="A43" s="21">
        <v>42</v>
      </c>
      <c r="B43" s="22" t="s">
        <v>314</v>
      </c>
      <c r="C43" s="21">
        <v>144</v>
      </c>
      <c r="D43" s="21">
        <v>100</v>
      </c>
      <c r="E43" s="21">
        <v>1950</v>
      </c>
      <c r="F43" s="21">
        <v>143</v>
      </c>
      <c r="G43" s="23">
        <f t="shared" si="2"/>
        <v>9.9305555555555564E-2</v>
      </c>
      <c r="H43" s="44">
        <v>23</v>
      </c>
      <c r="I43" s="48">
        <f>ROUND((Table2[[#This Row],[Air Drag]]+0.3504)/293.4,2)</f>
        <v>0.08</v>
      </c>
      <c r="J43" s="24">
        <v>42187</v>
      </c>
      <c r="K43" s="21">
        <f t="shared" si="3"/>
        <v>36</v>
      </c>
      <c r="L43" s="22">
        <f>Table2[[#This Row],[RunCost]]/(23400/255)</f>
        <v>59.347435897435894</v>
      </c>
      <c r="M43" s="24" cm="1">
        <f t="array" ref="M4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43" s="24">
        <v>5446</v>
      </c>
      <c r="O43" s="53">
        <v>1951</v>
      </c>
      <c r="P43" s="21" t="s">
        <v>8</v>
      </c>
      <c r="Q43" s="21" t="s">
        <v>565</v>
      </c>
      <c r="R43" s="21" t="s">
        <v>575</v>
      </c>
      <c r="S43" s="21" t="s">
        <v>429</v>
      </c>
      <c r="T43" s="21" t="str">
        <f>CONCATENATE(Table2[[#This Row],[Name]]," - (",Table2[[#This Row],[UKRS Name]],")")</f>
        <v>BR Class 7 'Britannia' - (4-6-2 'Britannia')</v>
      </c>
      <c r="U43" s="13">
        <v>36.055999999999997</v>
      </c>
      <c r="V43" s="13">
        <v>680.75</v>
      </c>
      <c r="Z43" s="19" t="s">
        <v>314</v>
      </c>
      <c r="AD43" s="13"/>
    </row>
    <row r="44" spans="1:30" ht="11.25" x14ac:dyDescent="0.25">
      <c r="A44" s="21">
        <v>43</v>
      </c>
      <c r="B44" s="22" t="s">
        <v>315</v>
      </c>
      <c r="C44" s="21">
        <v>141</v>
      </c>
      <c r="D44" s="21">
        <v>70</v>
      </c>
      <c r="E44" s="21">
        <v>1950</v>
      </c>
      <c r="F44" s="21">
        <v>178</v>
      </c>
      <c r="G44" s="23">
        <f t="shared" si="2"/>
        <v>0.12624113475177307</v>
      </c>
      <c r="H44" s="44">
        <v>23</v>
      </c>
      <c r="I44" s="48">
        <f>ROUND((Table2[[#This Row],[Air Drag]]+0.3504)/293.4,2)</f>
        <v>0.08</v>
      </c>
      <c r="J44" s="24">
        <v>41015</v>
      </c>
      <c r="K44" s="21">
        <f t="shared" si="3"/>
        <v>35</v>
      </c>
      <c r="L44" s="22">
        <f>Table2[[#This Row],[RunCost]]/(23400/255)</f>
        <v>59.347435897435894</v>
      </c>
      <c r="M44" s="24" cm="1">
        <f t="array" ref="M4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286.86274509803917</v>
      </c>
      <c r="N44" s="24">
        <v>5446</v>
      </c>
      <c r="O44" s="53">
        <v>1954</v>
      </c>
      <c r="P44" s="21" t="s">
        <v>8</v>
      </c>
      <c r="Q44" s="21" t="s">
        <v>565</v>
      </c>
      <c r="R44" s="21" t="s">
        <v>575</v>
      </c>
      <c r="S44" s="21" t="s">
        <v>430</v>
      </c>
      <c r="T44" s="21" t="str">
        <f>CONCATENATE(Table2[[#This Row],[Name]]," - (",Table2[[#This Row],[UKRS Name]],")")</f>
        <v>BR 9F 'Star' - (2-10-0 'Star')</v>
      </c>
      <c r="U44" s="13">
        <v>35.055</v>
      </c>
      <c r="V44" s="13">
        <v>680.75</v>
      </c>
      <c r="Z44" s="19" t="s">
        <v>315</v>
      </c>
      <c r="AD44" s="13"/>
    </row>
    <row r="45" spans="1:30" s="21" customFormat="1" ht="11.25" x14ac:dyDescent="0.25">
      <c r="A45" s="21">
        <v>44</v>
      </c>
      <c r="B45" s="22" t="str">
        <f>Table2[[#This Row],[Name]]</f>
        <v>EE 'GT3'</v>
      </c>
      <c r="C45" s="21">
        <v>123</v>
      </c>
      <c r="D45" s="21">
        <v>90</v>
      </c>
      <c r="E45" s="21">
        <v>2750</v>
      </c>
      <c r="F45" s="21">
        <v>169</v>
      </c>
      <c r="G45" s="23">
        <f t="shared" si="2"/>
        <v>0.13739837398373983</v>
      </c>
      <c r="H45" s="44">
        <v>18</v>
      </c>
      <c r="I45" s="48">
        <f>ROUND((Table2[[#This Row],[Air Drag]]+0.3504)/293.4,2)</f>
        <v>0.06</v>
      </c>
      <c r="J45" s="24">
        <v>72656</v>
      </c>
      <c r="K45" s="21">
        <f t="shared" si="3"/>
        <v>62</v>
      </c>
      <c r="L45" s="22">
        <f>Table2[[#This Row],[RunCost]]/(23400/255)</f>
        <v>80.793589743589749</v>
      </c>
      <c r="M45" s="24" cm="1">
        <f t="array" ref="M4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472.1725490196078</v>
      </c>
      <c r="N45" s="24">
        <v>7414</v>
      </c>
      <c r="O45" s="53">
        <v>1958</v>
      </c>
      <c r="P45" s="21" t="s">
        <v>6</v>
      </c>
      <c r="Q45" s="21" t="s">
        <v>567</v>
      </c>
      <c r="S45" s="21" t="s">
        <v>274</v>
      </c>
      <c r="T45" s="21" t="str">
        <f>CONCATENATE(Table2[[#This Row],[Name]]," - (",Table2[[#This Row],[UKRS Name]],")")</f>
        <v>EE 'GT3' - (EE 'GT3')</v>
      </c>
      <c r="U45" s="21">
        <v>62.098999999999997</v>
      </c>
      <c r="V45" s="21">
        <v>926.75</v>
      </c>
      <c r="Z45" s="25" t="s">
        <v>274</v>
      </c>
    </row>
    <row r="46" spans="1:30" s="21" customFormat="1" ht="11.25" x14ac:dyDescent="0.25">
      <c r="A46" s="21">
        <v>45</v>
      </c>
      <c r="B46" s="22" t="s">
        <v>41</v>
      </c>
      <c r="C46" s="21">
        <v>50</v>
      </c>
      <c r="D46" s="21">
        <v>25</v>
      </c>
      <c r="E46" s="21">
        <v>350</v>
      </c>
      <c r="F46" s="21">
        <v>155</v>
      </c>
      <c r="G46" s="23">
        <f t="shared" si="2"/>
        <v>0.31</v>
      </c>
      <c r="H46" s="44">
        <v>58</v>
      </c>
      <c r="I46" s="48">
        <f>ROUND((Table2[[#This Row],[Air Drag]]+0.3504)/293.4,2)</f>
        <v>0.2</v>
      </c>
      <c r="J46" s="24">
        <v>8203</v>
      </c>
      <c r="K46" s="21">
        <f t="shared" si="3"/>
        <v>7</v>
      </c>
      <c r="L46" s="22">
        <f>Table2[[#This Row],[RunCost]]/(23400/255)</f>
        <v>4.9910256410256411</v>
      </c>
      <c r="M46" s="24" cm="1">
        <f t="array" ref="M4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53.309803921568623</v>
      </c>
      <c r="N46" s="24">
        <v>458</v>
      </c>
      <c r="O46" s="53">
        <v>1939</v>
      </c>
      <c r="P46" s="21" t="s">
        <v>6</v>
      </c>
      <c r="Q46" s="21">
        <v>4</v>
      </c>
      <c r="S46" s="21" t="s">
        <v>323</v>
      </c>
      <c r="T46" s="21" t="str">
        <f>CONCATENATE(Table2[[#This Row],[Name]]," - (",Table2[[#This Row],[UKRS Name]],")")</f>
        <v>Class 08 'Gronk' - (EE Shunter)</v>
      </c>
      <c r="U46" s="21">
        <v>7.01</v>
      </c>
      <c r="V46" s="21">
        <v>57.25</v>
      </c>
      <c r="X46" s="21" t="s">
        <v>41</v>
      </c>
      <c r="Z46" s="25" t="str">
        <f>CONCATENATE(Table2[[#This Row],[Name]]," (",X46,")")</f>
        <v>Class 08 'Gronk' (EE Shunter)</v>
      </c>
    </row>
    <row r="47" spans="1:30" s="27" customFormat="1" ht="11.25" x14ac:dyDescent="0.25">
      <c r="A47" s="27">
        <v>46</v>
      </c>
      <c r="B47" s="28" t="s">
        <v>42</v>
      </c>
      <c r="C47" s="27">
        <v>48</v>
      </c>
      <c r="D47" s="27">
        <v>40</v>
      </c>
      <c r="E47" s="27">
        <v>650</v>
      </c>
      <c r="F47" s="27">
        <v>135</v>
      </c>
      <c r="G47" s="29">
        <f t="shared" si="2"/>
        <v>0.28125</v>
      </c>
      <c r="H47" s="45">
        <v>36</v>
      </c>
      <c r="I47" s="49">
        <f>ROUND((Table2[[#This Row],[Air Drag]]+0.3504)/293.4,2)</f>
        <v>0.12</v>
      </c>
      <c r="J47" s="30">
        <v>9375</v>
      </c>
      <c r="K47" s="27">
        <f t="shared" si="3"/>
        <v>8</v>
      </c>
      <c r="L47" s="28">
        <f>Table2[[#This Row],[RunCost]]/(23400/255)</f>
        <v>9.2846153846153854</v>
      </c>
      <c r="M47" s="30" cm="1">
        <f t="array" ref="M4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60.925490196078428</v>
      </c>
      <c r="N47" s="30">
        <v>852</v>
      </c>
      <c r="O47" s="54">
        <v>1964</v>
      </c>
      <c r="P47" s="27" t="s">
        <v>6</v>
      </c>
      <c r="Q47" s="27">
        <v>4</v>
      </c>
      <c r="S47" s="27" t="s">
        <v>235</v>
      </c>
      <c r="T47" s="27" t="str">
        <f>CONCATENATE(Table2[[#This Row],[Name]]," - (",Table2[[#This Row],[UKRS Name]],")")</f>
        <v>Class 14 'Teddy Bear' - (BR Class 14)</v>
      </c>
      <c r="U47" s="27">
        <v>8.0120000000000005</v>
      </c>
      <c r="V47" s="27">
        <v>106.5</v>
      </c>
      <c r="X47" s="27" t="s">
        <v>42</v>
      </c>
      <c r="Z47" s="31" t="str">
        <f>CONCATENATE(Table2[[#This Row],[Name]]," (",X47,")")</f>
        <v>Class 14 'Teddy Bear' (BR Class 14)</v>
      </c>
    </row>
    <row r="48" spans="1:30" s="21" customFormat="1" ht="11.25" x14ac:dyDescent="0.25">
      <c r="A48" s="21">
        <v>47</v>
      </c>
      <c r="B48" s="22" t="s">
        <v>43</v>
      </c>
      <c r="C48" s="21">
        <v>73</v>
      </c>
      <c r="D48" s="21">
        <v>75</v>
      </c>
      <c r="E48" s="21">
        <v>1000</v>
      </c>
      <c r="F48" s="21">
        <v>187</v>
      </c>
      <c r="G48" s="23">
        <f t="shared" si="2"/>
        <v>0.25616438356164384</v>
      </c>
      <c r="H48" s="44">
        <v>19</v>
      </c>
      <c r="I48" s="48">
        <f>ROUND((Table2[[#This Row],[Air Drag]]+0.3504)/293.4,2)</f>
        <v>7.0000000000000007E-2</v>
      </c>
      <c r="J48" s="24">
        <v>17578</v>
      </c>
      <c r="K48" s="21">
        <f t="shared" si="3"/>
        <v>15</v>
      </c>
      <c r="L48" s="22">
        <f>Table2[[#This Row],[RunCost]]/(23400/255)</f>
        <v>19.288461538461537</v>
      </c>
      <c r="M48" s="24" cm="1">
        <f t="array" ref="M4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114.23529411764706</v>
      </c>
      <c r="N48" s="24">
        <v>1770</v>
      </c>
      <c r="O48" s="53">
        <v>1957</v>
      </c>
      <c r="P48" s="21" t="s">
        <v>6</v>
      </c>
      <c r="Q48" s="21">
        <v>6</v>
      </c>
      <c r="S48" s="21" t="s">
        <v>236</v>
      </c>
      <c r="T48" s="21" t="str">
        <f>CONCATENATE(Table2[[#This Row],[Name]]," - (",Table2[[#This Row],[UKRS Name]],")")</f>
        <v>Class 20 'Chopper' - (EE Type 1)</v>
      </c>
      <c r="U48" s="21">
        <v>15.023999999999999</v>
      </c>
      <c r="V48" s="21">
        <v>221.25</v>
      </c>
      <c r="X48" s="21" t="s">
        <v>43</v>
      </c>
      <c r="Z48" s="25" t="str">
        <f>CONCATENATE(Table2[[#This Row],[Name]]," (",X48,")")</f>
        <v>Class 20 'Chopper' (EE Type 1)</v>
      </c>
    </row>
    <row r="49" spans="1:26" s="21" customFormat="1" ht="11.25" x14ac:dyDescent="0.25">
      <c r="A49" s="21">
        <v>48</v>
      </c>
      <c r="B49" s="22" t="s">
        <v>44</v>
      </c>
      <c r="C49" s="21">
        <v>69</v>
      </c>
      <c r="D49" s="21">
        <v>60</v>
      </c>
      <c r="E49" s="21">
        <v>900</v>
      </c>
      <c r="F49" s="21">
        <v>176</v>
      </c>
      <c r="G49" s="23">
        <f t="shared" si="2"/>
        <v>0.25507246376811599</v>
      </c>
      <c r="H49" s="44">
        <v>24</v>
      </c>
      <c r="I49" s="48">
        <f>ROUND((Table2[[#This Row],[Air Drag]]+0.3504)/293.4,2)</f>
        <v>0.08</v>
      </c>
      <c r="J49" s="24">
        <v>12890</v>
      </c>
      <c r="K49" s="21">
        <f t="shared" si="3"/>
        <v>11</v>
      </c>
      <c r="L49" s="22">
        <f>Table2[[#This Row],[RunCost]]/(23400/255)</f>
        <v>15.714102564102564</v>
      </c>
      <c r="M49" s="24" cm="1">
        <f t="array" ref="M4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83.772549019607837</v>
      </c>
      <c r="N49" s="24">
        <v>1442</v>
      </c>
      <c r="O49" s="53">
        <v>1962</v>
      </c>
      <c r="P49" s="21" t="s">
        <v>6</v>
      </c>
      <c r="Q49" s="21">
        <v>6</v>
      </c>
      <c r="S49" s="21" t="s">
        <v>237</v>
      </c>
      <c r="T49" s="21" t="str">
        <f>CONCATENATE(Table2[[#This Row],[Name]]," - (",Table2[[#This Row],[UKRS Name]],")")</f>
        <v>Class 17 - (Clayton Type 1)</v>
      </c>
      <c r="U49" s="21">
        <v>11.016999999999999</v>
      </c>
      <c r="V49" s="21">
        <v>180.25</v>
      </c>
      <c r="X49" s="21" t="s">
        <v>44</v>
      </c>
      <c r="Z49" s="25" t="str">
        <f>CONCATENATE(Table2[[#This Row],[Name]]," (",X49,")")</f>
        <v>Class 17 (Clayton Type 1)</v>
      </c>
    </row>
    <row r="50" spans="1:26" s="21" customFormat="1" ht="11.25" x14ac:dyDescent="0.25">
      <c r="A50" s="21">
        <v>49</v>
      </c>
      <c r="B50" s="22" t="s">
        <v>45</v>
      </c>
      <c r="C50" s="21">
        <v>72</v>
      </c>
      <c r="D50" s="21">
        <v>90</v>
      </c>
      <c r="E50" s="21">
        <v>1250</v>
      </c>
      <c r="F50" s="21">
        <v>187</v>
      </c>
      <c r="G50" s="23">
        <f t="shared" si="2"/>
        <v>0.25972222222222219</v>
      </c>
      <c r="H50" s="44">
        <v>16</v>
      </c>
      <c r="I50" s="48">
        <f>ROUND((Table2[[#This Row],[Air Drag]]+0.3504)/293.4,2)</f>
        <v>0.06</v>
      </c>
      <c r="J50" s="24">
        <v>21093</v>
      </c>
      <c r="K50" s="21">
        <f t="shared" si="3"/>
        <v>18</v>
      </c>
      <c r="L50" s="22">
        <f>Table2[[#This Row],[RunCost]]/(23400/255)</f>
        <v>25.02051282051282</v>
      </c>
      <c r="M50" s="24" cm="1">
        <f t="array" ref="M5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137.08235294117645</v>
      </c>
      <c r="N50" s="24">
        <v>2296</v>
      </c>
      <c r="O50" s="53">
        <v>1958</v>
      </c>
      <c r="P50" s="21" t="s">
        <v>6</v>
      </c>
      <c r="Q50" s="21">
        <v>7</v>
      </c>
      <c r="S50" s="21" t="s">
        <v>238</v>
      </c>
      <c r="T50" s="21" t="str">
        <f>CONCATENATE(Table2[[#This Row],[Name]]," - (",Table2[[#This Row],[UKRS Name]],")")</f>
        <v>Class 24 'Rat' - (Sulzer Type 2)</v>
      </c>
      <c r="U50" s="21">
        <v>18.027000000000001</v>
      </c>
      <c r="V50" s="21">
        <v>287</v>
      </c>
      <c r="X50" s="21" t="s">
        <v>45</v>
      </c>
      <c r="Z50" s="25" t="str">
        <f>CONCATENATE(Table2[[#This Row],[Name]]," (",X50,")")</f>
        <v>Class 24 'Rat' (Sulzer Type 2)</v>
      </c>
    </row>
    <row r="51" spans="1:26" s="21" customFormat="1" ht="11.25" x14ac:dyDescent="0.25">
      <c r="A51" s="21">
        <v>50</v>
      </c>
      <c r="B51" s="22" t="s">
        <v>46</v>
      </c>
      <c r="C51" s="21">
        <v>74</v>
      </c>
      <c r="D51" s="21">
        <v>75</v>
      </c>
      <c r="E51" s="21">
        <v>1100</v>
      </c>
      <c r="F51" s="21">
        <v>192</v>
      </c>
      <c r="G51" s="23">
        <f t="shared" si="2"/>
        <v>0.25945945945945947</v>
      </c>
      <c r="H51" s="44">
        <v>19</v>
      </c>
      <c r="I51" s="48">
        <f>ROUND((Table2[[#This Row],[Air Drag]]+0.3504)/293.4,2)</f>
        <v>7.0000000000000007E-2</v>
      </c>
      <c r="J51" s="24">
        <v>18750</v>
      </c>
      <c r="K51" s="21">
        <f t="shared" si="3"/>
        <v>16</v>
      </c>
      <c r="L51" s="22">
        <f>Table2[[#This Row],[RunCost]]/(23400/255)</f>
        <v>20.726923076923075</v>
      </c>
      <c r="M51" s="24" cm="1">
        <f t="array" ref="M5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121.85098039215686</v>
      </c>
      <c r="N51" s="24">
        <v>1902</v>
      </c>
      <c r="O51" s="53">
        <v>1959</v>
      </c>
      <c r="P51" s="21" t="s">
        <v>6</v>
      </c>
      <c r="Q51" s="21">
        <v>7</v>
      </c>
      <c r="S51" s="21" t="s">
        <v>239</v>
      </c>
      <c r="T51" s="21" t="str">
        <f>CONCATENATE(Table2[[#This Row],[Name]]," - (",Table2[[#This Row],[UKRS Name]],")")</f>
        <v>Class 23 'Baby Deltic' - (EE Baby Deltic)</v>
      </c>
      <c r="U51" s="21">
        <v>16.026</v>
      </c>
      <c r="V51" s="21">
        <v>237.75</v>
      </c>
      <c r="X51" s="21" t="s">
        <v>46</v>
      </c>
      <c r="Z51" s="25" t="str">
        <f>CONCATENATE(Table2[[#This Row],[Name]]," (",X51,")")</f>
        <v>Class 23 'Baby Deltic' (EE Baby Deltic)</v>
      </c>
    </row>
    <row r="52" spans="1:26" s="21" customFormat="1" ht="11.25" x14ac:dyDescent="0.25">
      <c r="A52" s="21">
        <v>51</v>
      </c>
      <c r="B52" s="22" t="s">
        <v>47</v>
      </c>
      <c r="C52" s="21">
        <v>130</v>
      </c>
      <c r="D52" s="21">
        <v>90</v>
      </c>
      <c r="E52" s="21">
        <v>1600</v>
      </c>
      <c r="F52" s="21">
        <v>184</v>
      </c>
      <c r="G52" s="23">
        <f t="shared" si="2"/>
        <v>0.14153846153846153</v>
      </c>
      <c r="H52" s="44">
        <v>16</v>
      </c>
      <c r="I52" s="48">
        <f>ROUND((Table2[[#This Row],[Air Drag]]+0.3504)/293.4,2)</f>
        <v>0.06</v>
      </c>
      <c r="J52" s="24">
        <v>42187</v>
      </c>
      <c r="K52" s="21">
        <f t="shared" si="3"/>
        <v>36</v>
      </c>
      <c r="L52" s="22">
        <f>Table2[[#This Row],[RunCost]]/(23400/255)</f>
        <v>41.475641025641025</v>
      </c>
      <c r="M52" s="24" cm="1">
        <f t="array" ref="M5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274.16470588235291</v>
      </c>
      <c r="N52" s="24">
        <v>3806</v>
      </c>
      <c r="O52" s="53">
        <v>1948</v>
      </c>
      <c r="P52" s="21" t="s">
        <v>6</v>
      </c>
      <c r="Q52" s="21">
        <v>8</v>
      </c>
      <c r="S52" s="21" t="s">
        <v>240</v>
      </c>
      <c r="T52" s="21" t="str">
        <f>CONCATENATE(Table2[[#This Row],[Name]]," - (",Table2[[#This Row],[UKRS Name]],")")</f>
        <v>Class D16 'LMS 10000' - (EE 10000)</v>
      </c>
      <c r="U52" s="21">
        <v>36.055999999999997</v>
      </c>
      <c r="V52" s="21">
        <v>475.75</v>
      </c>
      <c r="X52" s="21" t="s">
        <v>47</v>
      </c>
      <c r="Z52" s="25" t="str">
        <f>CONCATENATE(Table2[[#This Row],[Name]]," (",X52,")")</f>
        <v>Class D16 'LMS 10000' (EE 10000)</v>
      </c>
    </row>
    <row r="53" spans="1:26" s="21" customFormat="1" ht="11.25" x14ac:dyDescent="0.25">
      <c r="A53" s="21">
        <v>52</v>
      </c>
      <c r="B53" s="22" t="s">
        <v>48</v>
      </c>
      <c r="C53" s="21">
        <v>107</v>
      </c>
      <c r="D53" s="21">
        <v>80</v>
      </c>
      <c r="E53" s="21">
        <v>1750</v>
      </c>
      <c r="F53" s="21">
        <v>253</v>
      </c>
      <c r="G53" s="23">
        <f t="shared" si="2"/>
        <v>0.23644859813084113</v>
      </c>
      <c r="H53" s="44">
        <v>18</v>
      </c>
      <c r="I53" s="48">
        <f>ROUND((Table2[[#This Row],[Air Drag]]+0.3504)/293.4,2)</f>
        <v>0.06</v>
      </c>
      <c r="J53" s="24">
        <v>32812</v>
      </c>
      <c r="K53" s="21">
        <f t="shared" si="3"/>
        <v>28</v>
      </c>
      <c r="L53" s="22">
        <f>Table2[[#This Row],[RunCost]]/(23400/255)</f>
        <v>32.169230769230772</v>
      </c>
      <c r="M53" s="24" cm="1">
        <f t="array" ref="M5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213.23921568627449</v>
      </c>
      <c r="N53" s="24">
        <v>2952</v>
      </c>
      <c r="O53" s="53">
        <v>1960</v>
      </c>
      <c r="P53" s="21" t="s">
        <v>6</v>
      </c>
      <c r="Q53" s="21">
        <v>8</v>
      </c>
      <c r="S53" s="21" t="s">
        <v>241</v>
      </c>
      <c r="T53" s="21" t="str">
        <f>CONCATENATE(Table2[[#This Row],[Name]]," - (",Table2[[#This Row],[UKRS Name]],")")</f>
        <v>Class 37 'Tractor' - (EE Type 3)</v>
      </c>
      <c r="U53" s="21">
        <v>28.044</v>
      </c>
      <c r="V53" s="21">
        <v>369</v>
      </c>
      <c r="X53" s="21" t="s">
        <v>48</v>
      </c>
      <c r="Z53" s="25" t="str">
        <f>CONCATENATE(Table2[[#This Row],[Name]]," (",X53,")")</f>
        <v>Class 37 'Tractor' (EE Type 3)</v>
      </c>
    </row>
    <row r="54" spans="1:26" s="21" customFormat="1" ht="11.25" x14ac:dyDescent="0.25">
      <c r="A54" s="21">
        <v>53</v>
      </c>
      <c r="B54" s="22" t="s">
        <v>49</v>
      </c>
      <c r="C54" s="21">
        <v>78</v>
      </c>
      <c r="D54" s="21">
        <v>90</v>
      </c>
      <c r="E54" s="21">
        <v>2200</v>
      </c>
      <c r="F54" s="21">
        <v>212</v>
      </c>
      <c r="G54" s="23">
        <f t="shared" si="2"/>
        <v>0.27179487179487177</v>
      </c>
      <c r="H54" s="44">
        <v>16</v>
      </c>
      <c r="I54" s="48">
        <f>ROUND((Table2[[#This Row],[Air Drag]]+0.3504)/293.4,2)</f>
        <v>0.06</v>
      </c>
      <c r="J54" s="24">
        <v>35156</v>
      </c>
      <c r="K54" s="21">
        <f t="shared" si="3"/>
        <v>30</v>
      </c>
      <c r="L54" s="22">
        <f>Table2[[#This Row],[RunCost]]/(23400/255)</f>
        <v>43.611538461538458</v>
      </c>
      <c r="M54" s="24" cm="1">
        <f t="array" ref="M5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228.47058823529412</v>
      </c>
      <c r="N54" s="24">
        <v>4002</v>
      </c>
      <c r="O54" s="53">
        <v>1958</v>
      </c>
      <c r="P54" s="21" t="s">
        <v>6</v>
      </c>
      <c r="Q54" s="21">
        <v>7</v>
      </c>
      <c r="S54" s="21" t="s">
        <v>242</v>
      </c>
      <c r="T54" s="21" t="str">
        <f>CONCATENATE(Table2[[#This Row],[Name]]," - (",Table2[[#This Row],[UKRS Name]],")")</f>
        <v>Class 41 'Warship' - (WR Warship)</v>
      </c>
      <c r="U54" s="21">
        <v>30.047999999999998</v>
      </c>
      <c r="V54" s="21">
        <v>500.25</v>
      </c>
      <c r="X54" s="21" t="s">
        <v>49</v>
      </c>
      <c r="Z54" s="25" t="str">
        <f>CONCATENATE(Table2[[#This Row],[Name]]," (",X54,")")</f>
        <v>Class 41 'Warship' (WR Warship)</v>
      </c>
    </row>
    <row r="55" spans="1:26" s="21" customFormat="1" ht="11.25" x14ac:dyDescent="0.25">
      <c r="A55" s="21">
        <v>54</v>
      </c>
      <c r="B55" s="22" t="s">
        <v>50</v>
      </c>
      <c r="C55" s="21">
        <v>108</v>
      </c>
      <c r="D55" s="21">
        <v>90</v>
      </c>
      <c r="E55" s="21">
        <v>2700</v>
      </c>
      <c r="F55" s="21">
        <v>297</v>
      </c>
      <c r="G55" s="23">
        <f t="shared" si="2"/>
        <v>0.27499999999999997</v>
      </c>
      <c r="H55" s="44">
        <v>16</v>
      </c>
      <c r="I55" s="48">
        <f>ROUND((Table2[[#This Row],[Air Drag]]+0.3504)/293.4,2)</f>
        <v>0.06</v>
      </c>
      <c r="J55" s="24">
        <v>59765</v>
      </c>
      <c r="K55" s="21">
        <f t="shared" si="3"/>
        <v>51</v>
      </c>
      <c r="L55" s="22">
        <f>Table2[[#This Row],[RunCost]]/(23400/255)</f>
        <v>53.615384615384613</v>
      </c>
      <c r="M55" s="24" cm="1">
        <f t="array" ref="M5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388.4</v>
      </c>
      <c r="N55" s="24">
        <v>4920</v>
      </c>
      <c r="O55" s="53">
        <v>1962</v>
      </c>
      <c r="P55" s="21" t="s">
        <v>6</v>
      </c>
      <c r="Q55" s="21">
        <v>8</v>
      </c>
      <c r="S55" s="21" t="s">
        <v>243</v>
      </c>
      <c r="T55" s="21" t="str">
        <f>CONCATENATE(Table2[[#This Row],[Name]]," - (",Table2[[#This Row],[UKRS Name]],")")</f>
        <v>Class 52 'Western' - (WR Western)</v>
      </c>
      <c r="U55" s="21">
        <v>51.08</v>
      </c>
      <c r="V55" s="21">
        <v>615</v>
      </c>
      <c r="X55" s="21" t="s">
        <v>50</v>
      </c>
      <c r="Z55" s="25" t="str">
        <f>CONCATENATE(Table2[[#This Row],[Name]]," (",X55,")")</f>
        <v>Class 52 'Western' (WR Western)</v>
      </c>
    </row>
    <row r="56" spans="1:26" s="21" customFormat="1" ht="11.25" x14ac:dyDescent="0.25">
      <c r="A56" s="21">
        <v>55</v>
      </c>
      <c r="B56" s="22" t="s">
        <v>51</v>
      </c>
      <c r="C56" s="21">
        <v>135</v>
      </c>
      <c r="D56" s="21">
        <v>90</v>
      </c>
      <c r="E56" s="21">
        <v>2500</v>
      </c>
      <c r="F56" s="21">
        <v>248</v>
      </c>
      <c r="G56" s="23">
        <f t="shared" si="2"/>
        <v>0.1837037037037037</v>
      </c>
      <c r="H56" s="44">
        <v>16</v>
      </c>
      <c r="I56" s="48">
        <f>ROUND((Table2[[#This Row],[Air Drag]]+0.3504)/293.4,2)</f>
        <v>0.06</v>
      </c>
      <c r="J56" s="24">
        <v>53906</v>
      </c>
      <c r="K56" s="21">
        <f t="shared" si="3"/>
        <v>46</v>
      </c>
      <c r="L56" s="22">
        <f>Table2[[#This Row],[RunCost]]/(23400/255)</f>
        <v>49.343589743589746</v>
      </c>
      <c r="M56" s="24" cm="1">
        <f t="array" ref="M5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350.32156862745097</v>
      </c>
      <c r="N56" s="24">
        <v>4528</v>
      </c>
      <c r="O56" s="53">
        <v>1959</v>
      </c>
      <c r="P56" s="21" t="s">
        <v>6</v>
      </c>
      <c r="Q56" s="21">
        <v>8</v>
      </c>
      <c r="S56" s="21" t="s">
        <v>244</v>
      </c>
      <c r="T56" s="21" t="str">
        <f>CONCATENATE(Table2[[#This Row],[Name]]," - (",Table2[[#This Row],[UKRS Name]],")")</f>
        <v>Class 44 'Peak' - (Sulzer Type 4)</v>
      </c>
      <c r="U56" s="21">
        <v>46.073999999999998</v>
      </c>
      <c r="V56" s="21">
        <v>566</v>
      </c>
      <c r="X56" s="21" t="s">
        <v>51</v>
      </c>
      <c r="Z56" s="25" t="str">
        <f>CONCATENATE(Table2[[#This Row],[Name]]," (",X56,")")</f>
        <v>Class 44 'Peak' (Sulzer Type 4)</v>
      </c>
    </row>
    <row r="57" spans="1:26" s="21" customFormat="1" ht="11.25" x14ac:dyDescent="0.25">
      <c r="A57" s="21">
        <v>56</v>
      </c>
      <c r="B57" s="22" t="s">
        <v>52</v>
      </c>
      <c r="C57" s="21">
        <v>120</v>
      </c>
      <c r="D57" s="21">
        <v>95</v>
      </c>
      <c r="E57" s="21">
        <v>2580</v>
      </c>
      <c r="F57" s="21">
        <v>266</v>
      </c>
      <c r="G57" s="23">
        <f t="shared" si="2"/>
        <v>0.22166666666666668</v>
      </c>
      <c r="H57" s="44">
        <v>14</v>
      </c>
      <c r="I57" s="48">
        <f>ROUND((Table2[[#This Row],[Air Drag]]+0.3504)/293.4,2)</f>
        <v>0.05</v>
      </c>
      <c r="J57" s="24">
        <v>45703</v>
      </c>
      <c r="K57" s="21">
        <f t="shared" si="3"/>
        <v>39</v>
      </c>
      <c r="L57" s="22">
        <f>Table2[[#This Row],[RunCost]]/(23400/255)</f>
        <v>50.76025641025641</v>
      </c>
      <c r="M57" s="24" cm="1">
        <f t="array" ref="M5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297.01176470588234</v>
      </c>
      <c r="N57" s="24">
        <v>4658</v>
      </c>
      <c r="O57" s="53">
        <v>1962</v>
      </c>
      <c r="P57" s="21" t="s">
        <v>6</v>
      </c>
      <c r="Q57" s="21">
        <v>8</v>
      </c>
      <c r="S57" s="21" t="s">
        <v>245</v>
      </c>
      <c r="T57" s="21" t="str">
        <f>CONCATENATE(Table2[[#This Row],[Name]]," - (",Table2[[#This Row],[UKRS Name]],")")</f>
        <v>Class 47 'Spoon' - (Brush Type 4)</v>
      </c>
      <c r="U57" s="21">
        <v>39.061999999999998</v>
      </c>
      <c r="V57" s="21">
        <v>582.25</v>
      </c>
      <c r="X57" s="21" t="s">
        <v>52</v>
      </c>
      <c r="Z57" s="25" t="str">
        <f>CONCATENATE(Table2[[#This Row],[Name]]," (",X57,")")</f>
        <v>Class 47 'Spoon' (Brush Type 4)</v>
      </c>
    </row>
    <row r="58" spans="1:26" s="21" customFormat="1" ht="11.25" x14ac:dyDescent="0.25">
      <c r="A58" s="21">
        <v>57</v>
      </c>
      <c r="B58" s="22" t="s">
        <v>53</v>
      </c>
      <c r="C58" s="21">
        <v>101</v>
      </c>
      <c r="D58" s="21">
        <v>100</v>
      </c>
      <c r="E58" s="21">
        <v>3300</v>
      </c>
      <c r="F58" s="21">
        <v>220</v>
      </c>
      <c r="G58" s="23">
        <f t="shared" si="2"/>
        <v>0.21782178217821782</v>
      </c>
      <c r="H58" s="44">
        <v>13</v>
      </c>
      <c r="I58" s="48">
        <f>ROUND((Table2[[#This Row],[Air Drag]]+0.3504)/293.4,2)</f>
        <v>0.05</v>
      </c>
      <c r="J58" s="24">
        <v>78515</v>
      </c>
      <c r="K58" s="21">
        <f t="shared" si="3"/>
        <v>67</v>
      </c>
      <c r="L58" s="22">
        <f>Table2[[#This Row],[RunCost]]/(23400/255)</f>
        <v>75.802564102564105</v>
      </c>
      <c r="M58" s="24" cm="1">
        <f t="array" ref="M5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510.25098039215686</v>
      </c>
      <c r="N58" s="24">
        <v>6956</v>
      </c>
      <c r="O58" s="53">
        <v>1956</v>
      </c>
      <c r="P58" s="21" t="s">
        <v>6</v>
      </c>
      <c r="Q58" s="21">
        <v>8</v>
      </c>
      <c r="S58" s="21" t="s">
        <v>246</v>
      </c>
      <c r="T58" s="21" t="str">
        <f>CONCATENATE(Table2[[#This Row],[Name]]," - (",Table2[[#This Row],[UKRS Name]],")")</f>
        <v>Class 55 'Deltic' - (EE Deltic)</v>
      </c>
      <c r="U58" s="21">
        <v>67.105999999999995</v>
      </c>
      <c r="V58" s="21">
        <v>869.5</v>
      </c>
      <c r="X58" s="21" t="s">
        <v>53</v>
      </c>
      <c r="Z58" s="25" t="str">
        <f>CONCATENATE(Table2[[#This Row],[Name]]," (",X58,")")</f>
        <v>Class 55 'Deltic' (EE Deltic)</v>
      </c>
    </row>
    <row r="59" spans="1:26" s="21" customFormat="1" ht="11.25" x14ac:dyDescent="0.25">
      <c r="A59" s="21">
        <v>58</v>
      </c>
      <c r="B59" s="22" t="s">
        <v>54</v>
      </c>
      <c r="C59" s="21">
        <v>129</v>
      </c>
      <c r="D59" s="21">
        <v>80</v>
      </c>
      <c r="E59" s="21">
        <v>3300</v>
      </c>
      <c r="F59" s="21">
        <v>271</v>
      </c>
      <c r="G59" s="23">
        <f t="shared" si="2"/>
        <v>0.21007751937984498</v>
      </c>
      <c r="H59" s="44">
        <v>18</v>
      </c>
      <c r="I59" s="48">
        <f>ROUND((Table2[[#This Row],[Air Drag]]+0.3504)/293.4,2)</f>
        <v>0.06</v>
      </c>
      <c r="J59" s="24">
        <v>50390</v>
      </c>
      <c r="K59" s="21">
        <f t="shared" si="3"/>
        <v>43</v>
      </c>
      <c r="L59" s="22">
        <f>Table2[[#This Row],[RunCost]]/(23400/255)</f>
        <v>50.041025641025641</v>
      </c>
      <c r="M59" s="24" cm="1">
        <f t="array" ref="M5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327.47450980392153</v>
      </c>
      <c r="N59" s="24">
        <v>4592</v>
      </c>
      <c r="O59" s="53">
        <v>1983</v>
      </c>
      <c r="P59" s="21" t="s">
        <v>6</v>
      </c>
      <c r="Q59" s="21">
        <v>8</v>
      </c>
      <c r="S59" s="21" t="s">
        <v>247</v>
      </c>
      <c r="T59" s="21" t="str">
        <f>CONCATENATE(Table2[[#This Row],[Name]]," - (",Table2[[#This Row],[UKRS Name]],")")</f>
        <v>Class 58 'Bone' - (BREL Class 58)</v>
      </c>
      <c r="U59" s="21">
        <v>43.067999999999998</v>
      </c>
      <c r="V59" s="21">
        <v>574</v>
      </c>
      <c r="X59" s="21" t="s">
        <v>54</v>
      </c>
      <c r="Z59" s="25" t="str">
        <f>CONCATENATE(Table2[[#This Row],[Name]]," (",X59,")")</f>
        <v>Class 58 'Bone' (BREL Class 58)</v>
      </c>
    </row>
    <row r="60" spans="1:26" s="21" customFormat="1" ht="11.25" x14ac:dyDescent="0.25">
      <c r="A60" s="21">
        <v>59</v>
      </c>
      <c r="B60" s="22" t="s">
        <v>55</v>
      </c>
      <c r="C60" s="21">
        <v>129</v>
      </c>
      <c r="D60" s="21">
        <v>60</v>
      </c>
      <c r="E60" s="21">
        <v>3100</v>
      </c>
      <c r="F60" s="21">
        <v>474</v>
      </c>
      <c r="G60" s="23">
        <f t="shared" si="2"/>
        <v>0.36744186046511629</v>
      </c>
      <c r="H60" s="44">
        <v>24</v>
      </c>
      <c r="I60" s="48">
        <f>ROUND((Table2[[#This Row],[Air Drag]]+0.3504)/293.4,2)</f>
        <v>0.08</v>
      </c>
      <c r="J60" s="24">
        <v>46875</v>
      </c>
      <c r="K60" s="21">
        <f t="shared" si="3"/>
        <v>40</v>
      </c>
      <c r="L60" s="22">
        <f>Table2[[#This Row],[RunCost]]/(23400/255)</f>
        <v>40.037179487179486</v>
      </c>
      <c r="M60" s="24" cm="1">
        <f t="array" ref="M6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304.62745098039215</v>
      </c>
      <c r="N60" s="24">
        <v>3674</v>
      </c>
      <c r="O60" s="53">
        <v>1990</v>
      </c>
      <c r="P60" s="21" t="s">
        <v>6</v>
      </c>
      <c r="Q60" s="21">
        <v>8</v>
      </c>
      <c r="S60" s="21" t="s">
        <v>248</v>
      </c>
      <c r="T60" s="21" t="str">
        <f>CONCATENATE(Table2[[#This Row],[Name]]," - (",Table2[[#This Row],[UKRS Name]],")")</f>
        <v>Class 60 'Tug' - (Brush Type 5)</v>
      </c>
      <c r="U60" s="21">
        <v>40.063000000000002</v>
      </c>
      <c r="V60" s="21">
        <v>459.25</v>
      </c>
      <c r="X60" s="21" t="s">
        <v>55</v>
      </c>
      <c r="Z60" s="25" t="str">
        <f>CONCATENATE(Table2[[#This Row],[Name]]," (",X60,")")</f>
        <v>Class 60 'Tug' (Brush Type 5)</v>
      </c>
    </row>
    <row r="61" spans="1:26" s="21" customFormat="1" ht="11.25" x14ac:dyDescent="0.25">
      <c r="A61" s="21">
        <v>60</v>
      </c>
      <c r="B61" s="22" t="s">
        <v>56</v>
      </c>
      <c r="C61" s="21">
        <v>128</v>
      </c>
      <c r="D61" s="21">
        <v>75</v>
      </c>
      <c r="E61" s="21">
        <v>3300</v>
      </c>
      <c r="F61" s="21">
        <v>411</v>
      </c>
      <c r="G61" s="23">
        <f t="shared" si="2"/>
        <v>0.32109375000000001</v>
      </c>
      <c r="H61" s="44">
        <v>19</v>
      </c>
      <c r="I61" s="48">
        <f>ROUND((Table2[[#This Row],[Air Drag]]+0.3504)/293.4,2)</f>
        <v>7.0000000000000007E-2</v>
      </c>
      <c r="J61" s="24">
        <v>49218</v>
      </c>
      <c r="K61" s="21">
        <f t="shared" si="3"/>
        <v>42</v>
      </c>
      <c r="L61" s="22">
        <f>Table2[[#This Row],[RunCost]]/(23400/255)</f>
        <v>44.330769230769228</v>
      </c>
      <c r="M61" s="24" cm="1">
        <f t="array" ref="M6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319.85882352941172</v>
      </c>
      <c r="N61" s="24">
        <v>4068</v>
      </c>
      <c r="O61" s="53">
        <v>1998</v>
      </c>
      <c r="P61" s="21" t="s">
        <v>6</v>
      </c>
      <c r="Q61" s="21">
        <v>8</v>
      </c>
      <c r="S61" s="21" t="s">
        <v>249</v>
      </c>
      <c r="T61" s="21" t="str">
        <f>CONCATENATE(Table2[[#This Row],[Name]]," - (",Table2[[#This Row],[UKRS Name]],")")</f>
        <v>Class 66 - (EMD Class 66)</v>
      </c>
      <c r="U61" s="21">
        <v>42.067</v>
      </c>
      <c r="V61" s="21">
        <v>508.5</v>
      </c>
      <c r="X61" s="21" t="s">
        <v>56</v>
      </c>
      <c r="Z61" s="25" t="str">
        <f>CONCATENATE(Table2[[#This Row],[Name]]," (",X61,")")</f>
        <v>Class 66 (EMD Class 66)</v>
      </c>
    </row>
    <row r="62" spans="1:26" s="21" customFormat="1" ht="11.25" x14ac:dyDescent="0.25">
      <c r="A62" s="21">
        <v>61</v>
      </c>
      <c r="B62" s="22" t="s">
        <v>57</v>
      </c>
      <c r="C62" s="21">
        <v>88</v>
      </c>
      <c r="D62" s="21">
        <v>125</v>
      </c>
      <c r="E62" s="21">
        <v>3200</v>
      </c>
      <c r="F62" s="21">
        <v>144</v>
      </c>
      <c r="G62" s="23">
        <f t="shared" si="2"/>
        <v>0.16363636363636364</v>
      </c>
      <c r="H62" s="44">
        <v>11</v>
      </c>
      <c r="I62" s="48">
        <f>ROUND((Table2[[#This Row],[Air Drag]]+0.3504)/293.4,2)</f>
        <v>0.04</v>
      </c>
      <c r="J62" s="24">
        <v>43359</v>
      </c>
      <c r="K62" s="21">
        <f t="shared" si="3"/>
        <v>37</v>
      </c>
      <c r="L62" s="22">
        <f>Table2[[#This Row],[RunCost]]/(23400/255)</f>
        <v>60.066666666666663</v>
      </c>
      <c r="M62" s="24" cm="1">
        <f t="array" ref="M6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281.78039215686272</v>
      </c>
      <c r="N62" s="24">
        <v>5512</v>
      </c>
      <c r="O62" s="53">
        <v>1999</v>
      </c>
      <c r="P62" s="21" t="s">
        <v>6</v>
      </c>
      <c r="Q62" s="21">
        <v>8</v>
      </c>
      <c r="S62" s="21" t="s">
        <v>250</v>
      </c>
      <c r="T62" s="21" t="str">
        <f>CONCATENATE(Table2[[#This Row],[Name]]," - (",Table2[[#This Row],[UKRS Name]],")")</f>
        <v>Class 67 'Skip' - (EMD Class 67)</v>
      </c>
      <c r="U62" s="21">
        <v>37.058</v>
      </c>
      <c r="V62" s="21">
        <v>689</v>
      </c>
      <c r="X62" s="21" t="s">
        <v>57</v>
      </c>
      <c r="Z62" s="25" t="str">
        <f>CONCATENATE(Table2[[#This Row],[Name]]," (",X62,")")</f>
        <v>Class 67 'Skip' (EMD Class 67)</v>
      </c>
    </row>
    <row r="63" spans="1:26" s="21" customFormat="1" ht="11.25" x14ac:dyDescent="0.25">
      <c r="A63" s="21">
        <v>62</v>
      </c>
      <c r="B63" s="22" t="s">
        <v>58</v>
      </c>
      <c r="C63" s="21">
        <v>129</v>
      </c>
      <c r="D63" s="21">
        <v>75</v>
      </c>
      <c r="E63" s="21">
        <v>3700</v>
      </c>
      <c r="F63" s="21">
        <v>533</v>
      </c>
      <c r="G63" s="23">
        <f t="shared" si="2"/>
        <v>0.41317829457364341</v>
      </c>
      <c r="H63" s="44">
        <v>19</v>
      </c>
      <c r="I63" s="48">
        <f>ROUND((Table2[[#This Row],[Air Drag]]+0.3504)/293.4,2)</f>
        <v>7.0000000000000007E-2</v>
      </c>
      <c r="J63" s="24">
        <v>56250</v>
      </c>
      <c r="K63" s="21">
        <f t="shared" si="3"/>
        <v>48</v>
      </c>
      <c r="L63" s="22">
        <f>Table2[[#This Row],[RunCost]]/(23400/255)</f>
        <v>50.041025641025641</v>
      </c>
      <c r="M63" s="24" cm="1">
        <f t="array" ref="M6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365.55294117647054</v>
      </c>
      <c r="N63" s="24">
        <v>4592</v>
      </c>
      <c r="O63" s="53">
        <v>2010</v>
      </c>
      <c r="P63" s="21" t="s">
        <v>6</v>
      </c>
      <c r="Q63" s="21">
        <v>8</v>
      </c>
      <c r="S63" s="21" t="s">
        <v>251</v>
      </c>
      <c r="T63" s="21" t="str">
        <f>CONCATENATE(Table2[[#This Row],[Name]]," - (",Table2[[#This Row],[UKRS Name]],")")</f>
        <v>Class 70 (II) - (GE PowerHaul)</v>
      </c>
      <c r="U63" s="21">
        <v>48.076999999999998</v>
      </c>
      <c r="V63" s="21">
        <v>574</v>
      </c>
      <c r="X63" s="21" t="s">
        <v>58</v>
      </c>
      <c r="Z63" s="25" t="str">
        <f>CONCATENATE(Table2[[#This Row],[Name]]," (",X63,")")</f>
        <v>Class 70 (II) (GE PowerHaul)</v>
      </c>
    </row>
    <row r="64" spans="1:26" s="21" customFormat="1" ht="11.25" x14ac:dyDescent="0.25">
      <c r="A64" s="21">
        <v>63</v>
      </c>
      <c r="B64" s="22" t="s">
        <v>59</v>
      </c>
      <c r="C64" s="21">
        <v>77</v>
      </c>
      <c r="D64" s="21">
        <v>90</v>
      </c>
      <c r="E64" s="21">
        <v>1420</v>
      </c>
      <c r="F64" s="21">
        <v>176</v>
      </c>
      <c r="G64" s="23">
        <f t="shared" si="2"/>
        <v>0.22857142857142859</v>
      </c>
      <c r="H64" s="44">
        <v>16</v>
      </c>
      <c r="I64" s="48">
        <f>ROUND((Table2[[#This Row],[Air Drag]]+0.3504)/293.4,2)</f>
        <v>0.06</v>
      </c>
      <c r="J64" s="24">
        <v>25781</v>
      </c>
      <c r="K64" s="21">
        <f t="shared" si="3"/>
        <v>22</v>
      </c>
      <c r="L64" s="22">
        <f>Table2[[#This Row],[RunCost]]/(23400/255)</f>
        <v>20.726923076923075</v>
      </c>
      <c r="M64" s="24" cm="1">
        <f t="array" ref="M6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154.60392156862744</v>
      </c>
      <c r="N64" s="24">
        <v>1902</v>
      </c>
      <c r="O64" s="53">
        <v>1965</v>
      </c>
      <c r="P64" s="21">
        <v>3</v>
      </c>
      <c r="Q64" s="21">
        <v>7</v>
      </c>
      <c r="S64" s="21" t="s">
        <v>252</v>
      </c>
      <c r="T64" s="21" t="str">
        <f>CONCATENATE(Table2[[#This Row],[Name]]," - (",Table2[[#This Row],[UKRS Name]],")")</f>
        <v>Class 73 (JB) - (BR Type JB)</v>
      </c>
      <c r="U64" s="21">
        <v>22.033999999999999</v>
      </c>
      <c r="V64" s="21">
        <v>237.75</v>
      </c>
      <c r="X64" s="21" t="s">
        <v>59</v>
      </c>
      <c r="Z64" s="25" t="str">
        <f>CONCATENATE(Table2[[#This Row],[Name]]," (",X64,")")</f>
        <v>Class 73 (JB) (BR Type JB)</v>
      </c>
    </row>
    <row r="65" spans="1:30" s="21" customFormat="1" ht="11.25" x14ac:dyDescent="0.25">
      <c r="A65" s="21">
        <v>64</v>
      </c>
      <c r="B65" s="22" t="s">
        <v>60</v>
      </c>
      <c r="C65" s="21">
        <v>101</v>
      </c>
      <c r="D65" s="21">
        <v>75</v>
      </c>
      <c r="E65" s="21">
        <v>1470</v>
      </c>
      <c r="F65" s="21">
        <v>177</v>
      </c>
      <c r="G65" s="23">
        <f t="shared" si="2"/>
        <v>0.17524752475247524</v>
      </c>
      <c r="H65" s="44">
        <v>19</v>
      </c>
      <c r="I65" s="48">
        <f>ROUND((Table2[[#This Row],[Air Drag]]+0.3504)/293.4,2)</f>
        <v>7.0000000000000007E-2</v>
      </c>
      <c r="J65" s="24">
        <v>43359</v>
      </c>
      <c r="K65" s="21">
        <f t="shared" si="3"/>
        <v>37</v>
      </c>
      <c r="L65" s="22">
        <f>Table2[[#This Row],[RunCost]]/(23400/255)</f>
        <v>23.582051282051282</v>
      </c>
      <c r="M65" s="24" cm="1">
        <f t="array" ref="M6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260.01568627450979</v>
      </c>
      <c r="N65" s="24">
        <v>2164</v>
      </c>
      <c r="O65" s="53">
        <v>1941</v>
      </c>
      <c r="P65" s="21">
        <v>3</v>
      </c>
      <c r="Q65" s="21">
        <v>7</v>
      </c>
      <c r="S65" s="21" t="s">
        <v>253</v>
      </c>
      <c r="T65" s="21" t="str">
        <f>CONCATENATE(Table2[[#This Row],[Name]]," - (",Table2[[#This Row],[UKRS Name]],")")</f>
        <v>Class 70 (I) - (SR CC)</v>
      </c>
      <c r="U65" s="21">
        <v>37.058</v>
      </c>
      <c r="V65" s="21">
        <v>270.5</v>
      </c>
      <c r="X65" s="21" t="s">
        <v>60</v>
      </c>
      <c r="Z65" s="25" t="str">
        <f>CONCATENATE(Table2[[#This Row],[Name]]," (",X65,")")</f>
        <v>Class 70 (I) (SR CC)</v>
      </c>
    </row>
    <row r="66" spans="1:30" s="21" customFormat="1" ht="11.25" x14ac:dyDescent="0.25">
      <c r="A66" s="21">
        <v>65</v>
      </c>
      <c r="B66" s="22" t="s">
        <v>61</v>
      </c>
      <c r="C66" s="21">
        <v>78</v>
      </c>
      <c r="D66" s="21">
        <v>90</v>
      </c>
      <c r="E66" s="21">
        <v>2300</v>
      </c>
      <c r="F66" s="21">
        <v>194</v>
      </c>
      <c r="G66" s="23">
        <f t="shared" ref="G66:G97" si="4">F66/10/C66</f>
        <v>0.24871794871794869</v>
      </c>
      <c r="H66" s="44">
        <v>16</v>
      </c>
      <c r="I66" s="48">
        <f>ROUND((Table2[[#This Row],[Air Drag]]+0.3504)/293.4,2)</f>
        <v>0.06</v>
      </c>
      <c r="J66" s="24">
        <v>35156</v>
      </c>
      <c r="K66" s="21">
        <f t="shared" ref="K66:K97" si="5">ROUNDDOWN(J66/1171,0)</f>
        <v>30</v>
      </c>
      <c r="L66" s="22">
        <f>Table2[[#This Row],[RunCost]]/(23400/255)</f>
        <v>37.901282051282053</v>
      </c>
      <c r="M66" s="24" cm="1">
        <f t="array" ref="M6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66" s="24">
        <v>3478</v>
      </c>
      <c r="O66" s="53">
        <v>1958</v>
      </c>
      <c r="P66" s="21">
        <v>3</v>
      </c>
      <c r="Q66" s="21">
        <v>7</v>
      </c>
      <c r="S66" s="21" t="s">
        <v>254</v>
      </c>
      <c r="T66" s="21" t="str">
        <f>CONCATENATE(Table2[[#This Row],[Name]]," - (",Table2[[#This Row],[UKRS Name]],")")</f>
        <v>Class 71 (HA) - (BR Type HA)</v>
      </c>
      <c r="U66" s="21">
        <v>30.047999999999998</v>
      </c>
      <c r="V66" s="21">
        <v>434.75</v>
      </c>
      <c r="X66" s="21" t="s">
        <v>61</v>
      </c>
      <c r="Z66" s="25" t="str">
        <f>CONCATENATE(Table2[[#This Row],[Name]]," (",X66,")")</f>
        <v>Class 71 (HA) (BR Type HA)</v>
      </c>
    </row>
    <row r="67" spans="1:30" s="21" customFormat="1" ht="11.25" x14ac:dyDescent="0.25">
      <c r="A67" s="21">
        <v>66</v>
      </c>
      <c r="B67" s="22" t="s">
        <v>62</v>
      </c>
      <c r="C67" s="21">
        <v>74</v>
      </c>
      <c r="D67" s="21">
        <v>45</v>
      </c>
      <c r="E67" s="21">
        <v>1100</v>
      </c>
      <c r="F67" s="21">
        <v>118</v>
      </c>
      <c r="G67" s="23">
        <f t="shared" si="4"/>
        <v>0.15945945945945947</v>
      </c>
      <c r="H67" s="44">
        <v>32</v>
      </c>
      <c r="I67" s="48">
        <f>ROUND((Table2[[#This Row],[Air Drag]]+0.3504)/293.4,2)</f>
        <v>0.11</v>
      </c>
      <c r="J67" s="24">
        <v>31640</v>
      </c>
      <c r="K67" s="21">
        <f t="shared" si="5"/>
        <v>27</v>
      </c>
      <c r="L67" s="22">
        <f>Table2[[#This Row],[RunCost]]/(23400/255)</f>
        <v>15.016666666666666</v>
      </c>
      <c r="M67" s="24" cm="1">
        <f t="array" ref="M6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N67" s="24">
        <v>1378</v>
      </c>
      <c r="O67" s="53">
        <v>1914</v>
      </c>
      <c r="P67" s="21" t="s">
        <v>7</v>
      </c>
      <c r="Q67" s="21">
        <v>5</v>
      </c>
      <c r="S67" s="21" t="s">
        <v>62</v>
      </c>
      <c r="T67" s="21" t="str">
        <f>CONCATENATE(Table2[[#This Row],[Name]]," - (",Table2[[#This Row],[UKRS Name]],")")</f>
        <v>NER EF1 - (NER EF1)</v>
      </c>
      <c r="U67" s="21">
        <v>27.042999999999999</v>
      </c>
      <c r="V67" s="21">
        <v>172.25</v>
      </c>
      <c r="X67" s="21" t="s">
        <v>62</v>
      </c>
      <c r="Z67" s="25" t="str">
        <f>CONCATENATE(Table2[[#This Row],[Name]]," (",X67,")")</f>
        <v>NER EF1 (NER EF1)</v>
      </c>
    </row>
    <row r="68" spans="1:30" s="21" customFormat="1" ht="11.25" x14ac:dyDescent="0.25">
      <c r="A68" s="21">
        <v>67</v>
      </c>
      <c r="B68" s="22" t="s">
        <v>63</v>
      </c>
      <c r="C68" s="21">
        <v>110</v>
      </c>
      <c r="D68" s="21">
        <v>80</v>
      </c>
      <c r="E68" s="21">
        <v>1800</v>
      </c>
      <c r="F68" s="21">
        <v>117</v>
      </c>
      <c r="G68" s="23">
        <f t="shared" si="4"/>
        <v>0.10636363636363635</v>
      </c>
      <c r="H68" s="44">
        <v>18</v>
      </c>
      <c r="I68" s="48">
        <f>ROUND((Table2[[#This Row],[Air Drag]]+0.3504)/293.4,2)</f>
        <v>0.06</v>
      </c>
      <c r="J68" s="24">
        <v>77343</v>
      </c>
      <c r="K68" s="21">
        <f t="shared" si="5"/>
        <v>66</v>
      </c>
      <c r="L68" s="22">
        <f>Table2[[#This Row],[RunCost]]/(23400/255)</f>
        <v>32.169230769230772</v>
      </c>
      <c r="M68" s="24" cm="1">
        <f t="array" ref="M6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463.81176470588235</v>
      </c>
      <c r="N68" s="24">
        <v>2952</v>
      </c>
      <c r="O68" s="53">
        <v>1920</v>
      </c>
      <c r="P68" s="21" t="s">
        <v>7</v>
      </c>
      <c r="Q68" s="21">
        <v>7</v>
      </c>
      <c r="S68" s="21" t="s">
        <v>63</v>
      </c>
      <c r="T68" s="21" t="str">
        <f>CONCATENATE(Table2[[#This Row],[Name]]," - (",Table2[[#This Row],[UKRS Name]],")")</f>
        <v>NER EE1 - (NER EE1)</v>
      </c>
      <c r="U68" s="21">
        <v>66.103999999999999</v>
      </c>
      <c r="V68" s="21">
        <v>369</v>
      </c>
      <c r="X68" s="21" t="s">
        <v>63</v>
      </c>
      <c r="Z68" s="25" t="str">
        <f>CONCATENATE(Table2[[#This Row],[Name]]," (",X68,")")</f>
        <v>NER EE1 (NER EE1)</v>
      </c>
    </row>
    <row r="69" spans="1:30" s="21" customFormat="1" ht="11.25" x14ac:dyDescent="0.25">
      <c r="A69" s="21">
        <v>68</v>
      </c>
      <c r="B69" s="22" t="s">
        <v>64</v>
      </c>
      <c r="C69" s="21">
        <v>87</v>
      </c>
      <c r="D69" s="21">
        <v>65</v>
      </c>
      <c r="E69" s="21">
        <v>1360</v>
      </c>
      <c r="F69" s="21">
        <v>199</v>
      </c>
      <c r="G69" s="23">
        <f t="shared" si="4"/>
        <v>0.22873563218390802</v>
      </c>
      <c r="H69" s="44">
        <v>21</v>
      </c>
      <c r="I69" s="48">
        <f>ROUND((Table2[[#This Row],[Air Drag]]+0.3504)/293.4,2)</f>
        <v>7.0000000000000007E-2</v>
      </c>
      <c r="J69" s="24">
        <v>35156</v>
      </c>
      <c r="K69" s="21">
        <f t="shared" si="5"/>
        <v>30</v>
      </c>
      <c r="L69" s="22">
        <f>Table2[[#This Row],[RunCost]]/(23400/255)</f>
        <v>21.446153846153845</v>
      </c>
      <c r="M69" s="24" cm="1">
        <f t="array" ref="M6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69" s="24">
        <v>1968</v>
      </c>
      <c r="O69" s="53">
        <v>1941</v>
      </c>
      <c r="P69" s="21" t="s">
        <v>7</v>
      </c>
      <c r="Q69" s="21">
        <v>6</v>
      </c>
      <c r="S69" s="21" t="s">
        <v>255</v>
      </c>
      <c r="T69" s="21" t="str">
        <f>CONCATENATE(Table2[[#This Row],[Name]]," - (",Table2[[#This Row],[UKRS Name]],")")</f>
        <v>Class 76 'EM1' - (Metrovick EM1)</v>
      </c>
      <c r="U69" s="21">
        <v>30.047999999999998</v>
      </c>
      <c r="V69" s="21">
        <v>246</v>
      </c>
      <c r="X69" s="21" t="s">
        <v>64</v>
      </c>
      <c r="Z69" s="25" t="str">
        <f>CONCATENATE(Table2[[#This Row],[Name]]," (",X69,")")</f>
        <v>Class 76 'EM1' (Metrovick EM1)</v>
      </c>
    </row>
    <row r="70" spans="1:30" s="21" customFormat="1" ht="11.25" x14ac:dyDescent="0.25">
      <c r="A70" s="21">
        <v>69</v>
      </c>
      <c r="B70" s="22" t="s">
        <v>65</v>
      </c>
      <c r="C70" s="21">
        <v>104</v>
      </c>
      <c r="D70" s="21">
        <v>90</v>
      </c>
      <c r="E70" s="21">
        <v>2490</v>
      </c>
      <c r="F70" s="21">
        <v>199</v>
      </c>
      <c r="G70" s="23">
        <f t="shared" si="4"/>
        <v>0.19134615384615383</v>
      </c>
      <c r="H70" s="44">
        <v>16</v>
      </c>
      <c r="I70" s="48">
        <f>ROUND((Table2[[#This Row],[Air Drag]]+0.3504)/293.4,2)</f>
        <v>0.06</v>
      </c>
      <c r="J70" s="24">
        <v>76171</v>
      </c>
      <c r="K70" s="21">
        <f t="shared" si="5"/>
        <v>65</v>
      </c>
      <c r="L70" s="22">
        <f>Table2[[#This Row],[RunCost]]/(23400/255)</f>
        <v>48.624358974358977</v>
      </c>
      <c r="M70" s="24" cm="1">
        <f t="array" ref="M7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456.78431372549016</v>
      </c>
      <c r="N70" s="24">
        <v>4462</v>
      </c>
      <c r="O70" s="53">
        <v>1953</v>
      </c>
      <c r="P70" s="21" t="s">
        <v>7</v>
      </c>
      <c r="Q70" s="21">
        <v>7</v>
      </c>
      <c r="S70" s="21" t="s">
        <v>256</v>
      </c>
      <c r="T70" s="21" t="str">
        <f>CONCATENATE(Table2[[#This Row],[Name]]," - (",Table2[[#This Row],[UKRS Name]],")")</f>
        <v>Class 77 'EM2' - (Metrovick EM2)</v>
      </c>
      <c r="U70" s="21">
        <v>65.102999999999994</v>
      </c>
      <c r="V70" s="21">
        <v>557.75</v>
      </c>
      <c r="X70" s="21" t="s">
        <v>65</v>
      </c>
      <c r="Z70" s="25" t="str">
        <f>CONCATENATE(Table2[[#This Row],[Name]]," (",X70,")")</f>
        <v>Class 77 'EM2' (Metrovick EM2)</v>
      </c>
    </row>
    <row r="71" spans="1:30" s="21" customFormat="1" ht="11.25" x14ac:dyDescent="0.25">
      <c r="A71" s="21">
        <v>70</v>
      </c>
      <c r="B71" s="22" t="s">
        <v>66</v>
      </c>
      <c r="C71" s="21">
        <v>79</v>
      </c>
      <c r="D71" s="21">
        <v>100</v>
      </c>
      <c r="E71" s="21">
        <v>3200</v>
      </c>
      <c r="F71" s="21">
        <v>220</v>
      </c>
      <c r="G71" s="23">
        <f t="shared" si="4"/>
        <v>0.27848101265822783</v>
      </c>
      <c r="H71" s="44">
        <v>13</v>
      </c>
      <c r="I71" s="48">
        <f>ROUND((Table2[[#This Row],[Air Drag]]+0.3504)/293.4,2)</f>
        <v>0.05</v>
      </c>
      <c r="J71" s="24">
        <v>37500</v>
      </c>
      <c r="K71" s="21">
        <f t="shared" si="5"/>
        <v>32</v>
      </c>
      <c r="L71" s="22">
        <f>Table2[[#This Row],[RunCost]]/(23400/255)</f>
        <v>52.917948717948718</v>
      </c>
      <c r="M71" s="24" cm="1">
        <f t="array" ref="M7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224.87843137254902</v>
      </c>
      <c r="N71" s="24">
        <v>4856</v>
      </c>
      <c r="O71" s="53">
        <v>1959</v>
      </c>
      <c r="P71" s="21" t="s">
        <v>7</v>
      </c>
      <c r="Q71" s="21">
        <v>7</v>
      </c>
      <c r="S71" s="21" t="s">
        <v>257</v>
      </c>
      <c r="T71" s="21" t="str">
        <f>CONCATENATE(Table2[[#This Row],[Name]]," - (",Table2[[#This Row],[UKRS Name]],")")</f>
        <v>Class 81 'AL1' - (AEI AL1)</v>
      </c>
      <c r="U71" s="21">
        <v>32.051000000000002</v>
      </c>
      <c r="V71" s="21">
        <v>607</v>
      </c>
      <c r="X71" s="21" t="s">
        <v>66</v>
      </c>
      <c r="Z71" s="25" t="str">
        <f>CONCATENATE(Table2[[#This Row],[Name]]," (",X71,")")</f>
        <v>Class 81 'AL1' (AEI AL1)</v>
      </c>
    </row>
    <row r="72" spans="1:30" s="21" customFormat="1" ht="11.25" x14ac:dyDescent="0.25">
      <c r="A72" s="21">
        <v>71</v>
      </c>
      <c r="B72" s="22" t="s">
        <v>67</v>
      </c>
      <c r="C72" s="21">
        <v>81</v>
      </c>
      <c r="D72" s="21">
        <v>100</v>
      </c>
      <c r="E72" s="21">
        <v>3600</v>
      </c>
      <c r="F72" s="21">
        <v>257</v>
      </c>
      <c r="G72" s="23">
        <f t="shared" si="4"/>
        <v>0.31728395061728393</v>
      </c>
      <c r="H72" s="44">
        <v>13</v>
      </c>
      <c r="I72" s="48">
        <f>ROUND((Table2[[#This Row],[Air Drag]]+0.3504)/293.4,2)</f>
        <v>0.05</v>
      </c>
      <c r="J72" s="24">
        <v>42187</v>
      </c>
      <c r="K72" s="21">
        <f t="shared" si="5"/>
        <v>36</v>
      </c>
      <c r="L72" s="22">
        <f>Table2[[#This Row],[RunCost]]/(23400/255)</f>
        <v>55.053846153846152</v>
      </c>
      <c r="M72" s="24" cm="1">
        <f t="array" ref="M7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252.98823529411766</v>
      </c>
      <c r="N72" s="24">
        <v>5052</v>
      </c>
      <c r="O72" s="53">
        <v>1965</v>
      </c>
      <c r="P72" s="21" t="s">
        <v>7</v>
      </c>
      <c r="Q72" s="21">
        <v>7</v>
      </c>
      <c r="S72" s="21" t="s">
        <v>258</v>
      </c>
      <c r="T72" s="21" t="str">
        <f>CONCATENATE(Table2[[#This Row],[Name]]," - (",Table2[[#This Row],[UKRS Name]],")")</f>
        <v>Class 86 'AL6' - (EE AL6)</v>
      </c>
      <c r="U72" s="21">
        <v>36.055999999999997</v>
      </c>
      <c r="V72" s="21">
        <v>631.5</v>
      </c>
      <c r="X72" s="21" t="s">
        <v>67</v>
      </c>
      <c r="Z72" s="25" t="str">
        <f>CONCATENATE(Table2[[#This Row],[Name]]," (",X72,")")</f>
        <v>Class 86 'AL6' (EE AL6)</v>
      </c>
    </row>
    <row r="73" spans="1:30" s="21" customFormat="1" ht="11.25" x14ac:dyDescent="0.25">
      <c r="A73" s="21">
        <v>72</v>
      </c>
      <c r="B73" s="22" t="s">
        <v>68</v>
      </c>
      <c r="C73" s="21">
        <v>105</v>
      </c>
      <c r="D73" s="21">
        <v>125</v>
      </c>
      <c r="E73" s="21">
        <v>5850</v>
      </c>
      <c r="F73" s="21">
        <v>204</v>
      </c>
      <c r="G73" s="23">
        <f t="shared" si="4"/>
        <v>0.19428571428571428</v>
      </c>
      <c r="H73" s="44">
        <v>11</v>
      </c>
      <c r="I73" s="48">
        <f>ROUND((Table2[[#This Row],[Air Drag]]+0.3504)/293.4,2)</f>
        <v>0.04</v>
      </c>
      <c r="J73" s="24">
        <v>107812</v>
      </c>
      <c r="K73" s="21">
        <f t="shared" si="5"/>
        <v>92</v>
      </c>
      <c r="L73" s="22">
        <f>Table2[[#This Row],[RunCost]]/(23400/255)</f>
        <v>100.10384615384615</v>
      </c>
      <c r="M73" s="24" cm="1">
        <f t="array" ref="M7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646.52549019607841</v>
      </c>
      <c r="N73" s="24">
        <v>9186</v>
      </c>
      <c r="O73" s="53">
        <v>1986</v>
      </c>
      <c r="P73" s="21" t="s">
        <v>7</v>
      </c>
      <c r="Q73" s="21">
        <v>8</v>
      </c>
      <c r="S73" s="21" t="s">
        <v>259</v>
      </c>
      <c r="T73" s="21" t="str">
        <f>CONCATENATE(Table2[[#This Row],[Name]]," - (",Table2[[#This Row],[UKRS Name]],")")</f>
        <v>Class 89 'Badger' - (Brush Avocet)</v>
      </c>
      <c r="U73" s="21">
        <v>92.147000000000006</v>
      </c>
      <c r="V73" s="21">
        <v>1148.25</v>
      </c>
      <c r="X73" s="21" t="s">
        <v>68</v>
      </c>
      <c r="Z73" s="25" t="str">
        <f>CONCATENATE(Table2[[#This Row],[Name]]," (",X73,")")</f>
        <v>Class 89 'Badger' (Brush Avocet)</v>
      </c>
    </row>
    <row r="74" spans="1:30" s="21" customFormat="1" ht="11.25" x14ac:dyDescent="0.25">
      <c r="A74" s="21">
        <v>73</v>
      </c>
      <c r="B74" s="22" t="s">
        <v>69</v>
      </c>
      <c r="C74" s="21">
        <v>84</v>
      </c>
      <c r="D74" s="21">
        <v>110</v>
      </c>
      <c r="E74" s="21">
        <v>5000</v>
      </c>
      <c r="F74" s="21">
        <v>257</v>
      </c>
      <c r="G74" s="23">
        <f t="shared" si="4"/>
        <v>0.30595238095238092</v>
      </c>
      <c r="H74" s="44">
        <v>12</v>
      </c>
      <c r="I74" s="48">
        <f>ROUND((Table2[[#This Row],[Air Drag]]+0.3504)/293.4,2)</f>
        <v>0.04</v>
      </c>
      <c r="J74" s="24">
        <v>73828</v>
      </c>
      <c r="K74" s="21">
        <f t="shared" si="5"/>
        <v>63</v>
      </c>
      <c r="L74" s="22">
        <f>Table2[[#This Row],[RunCost]]/(23400/255)</f>
        <v>76.5</v>
      </c>
      <c r="M74" s="24" cm="1">
        <f t="array" ref="M7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442.7294117647059</v>
      </c>
      <c r="N74" s="24">
        <v>7020</v>
      </c>
      <c r="O74" s="53">
        <v>1987</v>
      </c>
      <c r="P74" s="21" t="s">
        <v>7</v>
      </c>
      <c r="Q74" s="21">
        <v>7</v>
      </c>
      <c r="S74" s="21" t="s">
        <v>34</v>
      </c>
      <c r="T74" s="21" t="str">
        <f>CONCATENATE(Table2[[#This Row],[Name]]," - (",Table2[[#This Row],[UKRS Name]],")")</f>
        <v>Class 90 - (BREL Class 90)</v>
      </c>
      <c r="U74" s="21">
        <v>63.100999999999999</v>
      </c>
      <c r="V74" s="21">
        <v>877.5</v>
      </c>
      <c r="X74" s="21" t="s">
        <v>69</v>
      </c>
      <c r="Z74" s="25" t="str">
        <f>CONCATENATE(Table2[[#This Row],[Name]]," (",X74,")")</f>
        <v>Class 90 (BREL Class 90)</v>
      </c>
    </row>
    <row r="75" spans="1:30" s="21" customFormat="1" ht="11.25" x14ac:dyDescent="0.25">
      <c r="A75" s="21">
        <v>74</v>
      </c>
      <c r="B75" s="22" t="s">
        <v>70</v>
      </c>
      <c r="C75" s="21">
        <v>126</v>
      </c>
      <c r="D75" s="21">
        <v>90</v>
      </c>
      <c r="E75" s="21">
        <v>6700</v>
      </c>
      <c r="F75" s="21">
        <v>356</v>
      </c>
      <c r="G75" s="23">
        <f t="shared" si="4"/>
        <v>0.28253968253968254</v>
      </c>
      <c r="H75" s="44">
        <v>16</v>
      </c>
      <c r="I75" s="48">
        <f>ROUND((Table2[[#This Row],[Air Drag]]+0.3504)/293.4,2)</f>
        <v>0.06</v>
      </c>
      <c r="J75" s="24">
        <v>132421</v>
      </c>
      <c r="K75" s="21">
        <f t="shared" si="5"/>
        <v>113</v>
      </c>
      <c r="L75" s="22">
        <f>Table2[[#This Row],[RunCost]]/(23400/255)</f>
        <v>90.1</v>
      </c>
      <c r="M75" s="24" cm="1">
        <f t="array" ref="M7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794.10196078431375</v>
      </c>
      <c r="N75" s="24">
        <v>8268</v>
      </c>
      <c r="O75" s="53">
        <v>1993</v>
      </c>
      <c r="P75" s="21" t="s">
        <v>9</v>
      </c>
      <c r="Q75" s="21">
        <v>8</v>
      </c>
      <c r="S75" s="21" t="s">
        <v>260</v>
      </c>
      <c r="T75" s="21" t="str">
        <f>CONCATENATE(Table2[[#This Row],[Name]]," - (",Table2[[#This Row],[UKRS Name]],")")</f>
        <v>Class 92 'Caravan' - (Brush Class 92)</v>
      </c>
      <c r="U75" s="21">
        <v>113.179</v>
      </c>
      <c r="V75" s="21">
        <v>1033.5</v>
      </c>
      <c r="X75" s="21" t="s">
        <v>70</v>
      </c>
      <c r="Z75" s="25" t="str">
        <f>CONCATENATE(Table2[[#This Row],[Name]]," (",X75,")")</f>
        <v>Class 92 'Caravan' (Brush Class 92)</v>
      </c>
    </row>
    <row r="76" spans="1:30" s="21" customFormat="1" ht="11.25" x14ac:dyDescent="0.25">
      <c r="A76" s="21">
        <v>75</v>
      </c>
      <c r="B76" s="22" t="s">
        <v>71</v>
      </c>
      <c r="C76" s="21">
        <v>67</v>
      </c>
      <c r="D76" s="21">
        <v>60</v>
      </c>
      <c r="E76" s="21">
        <v>1200</v>
      </c>
      <c r="F76" s="21">
        <v>218</v>
      </c>
      <c r="G76" s="23">
        <f t="shared" si="4"/>
        <v>0.32537313432835824</v>
      </c>
      <c r="H76" s="44">
        <v>24</v>
      </c>
      <c r="I76" s="48">
        <f>ROUND((Table2[[#This Row],[Air Drag]]+0.3504)/293.4,2)</f>
        <v>0.08</v>
      </c>
      <c r="J76" s="24">
        <v>18750</v>
      </c>
      <c r="K76" s="21">
        <f t="shared" si="5"/>
        <v>16</v>
      </c>
      <c r="L76" s="22">
        <f>Table2[[#This Row],[RunCost]]/(23400/255)</f>
        <v>15.714102564102564</v>
      </c>
      <c r="M76" s="24" cm="1">
        <f t="array" ref="M7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112.43921568627451</v>
      </c>
      <c r="N76" s="24">
        <v>1442</v>
      </c>
      <c r="O76" s="53">
        <v>2020</v>
      </c>
      <c r="P76" s="21" t="s">
        <v>9</v>
      </c>
      <c r="Q76" s="21">
        <v>5</v>
      </c>
      <c r="S76" s="21" t="s">
        <v>154</v>
      </c>
      <c r="T76" s="21" t="str">
        <f>CONCATENATE(Table2[[#This Row],[Name]]," - (",Table2[[#This Row],[UKRS Name]],")")</f>
        <v>Bidwell Tripworker - (Bidwell)</v>
      </c>
      <c r="U76" s="21">
        <v>16.026</v>
      </c>
      <c r="V76" s="21">
        <v>180.25</v>
      </c>
      <c r="X76" s="21" t="s">
        <v>71</v>
      </c>
      <c r="Z76" s="25" t="str">
        <f>CONCATENATE(Table2[[#This Row],[Name]]," (",X76,")")</f>
        <v>Bidwell Tripworker (Bidwell)</v>
      </c>
    </row>
    <row r="77" spans="1:30" ht="11.25" x14ac:dyDescent="0.25">
      <c r="A77" s="13">
        <v>76</v>
      </c>
      <c r="B77" s="15" t="s">
        <v>72</v>
      </c>
      <c r="C77" s="13">
        <v>140</v>
      </c>
      <c r="D77" s="13">
        <v>140</v>
      </c>
      <c r="E77" s="13">
        <v>8000</v>
      </c>
      <c r="F77" s="13">
        <v>380</v>
      </c>
      <c r="G77" s="20">
        <f t="shared" si="4"/>
        <v>0.27142857142857141</v>
      </c>
      <c r="H77" s="46">
        <v>11</v>
      </c>
      <c r="I77" s="50">
        <f>ROUND((Table2[[#This Row],[Air Drag]]+0.3504)/293.4,2)</f>
        <v>0.04</v>
      </c>
      <c r="J77" s="18">
        <v>131250</v>
      </c>
      <c r="K77" s="13">
        <f t="shared" si="5"/>
        <v>112</v>
      </c>
      <c r="L77" s="15">
        <f>Table2[[#This Row],[RunCost]]/(23400/255)</f>
        <v>208.4025641025641</v>
      </c>
      <c r="M77" s="18" cm="1">
        <f t="array" ref="M7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787.0745098039215</v>
      </c>
      <c r="N77" s="18">
        <v>19124</v>
      </c>
      <c r="O77" s="55">
        <v>1980</v>
      </c>
      <c r="P77" s="13" t="s">
        <v>7</v>
      </c>
      <c r="Q77" s="13">
        <v>8</v>
      </c>
      <c r="S77" s="13" t="s">
        <v>261</v>
      </c>
      <c r="T77" s="13" t="str">
        <f>CONCATENATE(Table2[[#This Row],[Name]]," - (",Table2[[#This Row],[UKRS Name]],")")</f>
        <v>Class 370 'APT' - (BREL APT)</v>
      </c>
      <c r="U77" s="13">
        <v>112.179</v>
      </c>
      <c r="V77" s="13">
        <v>1195.25</v>
      </c>
      <c r="X77" s="13" t="s">
        <v>72</v>
      </c>
      <c r="Z77" s="19" t="str">
        <f>CONCATENATE(Table2[[#This Row],[Name]]," (",X77,")")</f>
        <v>Class 370 'APT' (BREL APT)</v>
      </c>
      <c r="AD77" s="13"/>
    </row>
    <row r="78" spans="1:30" ht="11.25" x14ac:dyDescent="0.25">
      <c r="A78" s="13">
        <v>77</v>
      </c>
      <c r="B78" s="15" t="s">
        <v>73</v>
      </c>
      <c r="C78" s="13">
        <v>114</v>
      </c>
      <c r="D78" s="13">
        <v>140</v>
      </c>
      <c r="E78" s="13">
        <v>6300</v>
      </c>
      <c r="F78" s="13">
        <v>222</v>
      </c>
      <c r="G78" s="20">
        <f t="shared" si="4"/>
        <v>0.19473684210526315</v>
      </c>
      <c r="H78" s="46">
        <v>11</v>
      </c>
      <c r="I78" s="50">
        <f>ROUND((Table2[[#This Row],[Air Drag]]+0.3504)/293.4,2)</f>
        <v>0.04</v>
      </c>
      <c r="J78" s="18">
        <v>92578</v>
      </c>
      <c r="K78" s="13">
        <f t="shared" si="5"/>
        <v>79</v>
      </c>
      <c r="L78" s="15">
        <f>Table2[[#This Row],[RunCost]]/(23400/255)</f>
        <v>122.98846153846154</v>
      </c>
      <c r="M78" s="18" cm="1">
        <f t="array" ref="M7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555.16862745098035</v>
      </c>
      <c r="N78" s="18">
        <v>11286</v>
      </c>
      <c r="O78" s="55">
        <v>1988</v>
      </c>
      <c r="P78" s="13" t="s">
        <v>7</v>
      </c>
      <c r="Q78" s="13">
        <v>8</v>
      </c>
      <c r="S78" s="13" t="s">
        <v>35</v>
      </c>
      <c r="T78" s="13" t="str">
        <f>CONCATENATE(Table2[[#This Row],[Name]]," - (",Table2[[#This Row],[UKRS Name]],")")</f>
        <v>Class 91 - (GEC Class 91)</v>
      </c>
      <c r="U78" s="13">
        <v>79.126000000000005</v>
      </c>
      <c r="V78" s="13">
        <v>1410.75</v>
      </c>
      <c r="X78" s="13" t="s">
        <v>73</v>
      </c>
      <c r="Z78" s="19" t="str">
        <f>CONCATENATE(Table2[[#This Row],[Name]]," (",X78,")")</f>
        <v>Class 91 (GEC Class 91)</v>
      </c>
      <c r="AD78" s="13"/>
    </row>
    <row r="79" spans="1:30" ht="11.25" x14ac:dyDescent="0.25">
      <c r="A79" s="13">
        <v>78</v>
      </c>
      <c r="B79" s="15" t="s">
        <v>74</v>
      </c>
      <c r="C79" s="13">
        <v>138</v>
      </c>
      <c r="D79" s="13">
        <v>186</v>
      </c>
      <c r="E79" s="13">
        <v>16400</v>
      </c>
      <c r="F79" s="13">
        <v>348</v>
      </c>
      <c r="G79" s="20">
        <f t="shared" si="4"/>
        <v>0.25217391304347825</v>
      </c>
      <c r="H79" s="46">
        <v>15</v>
      </c>
      <c r="I79" s="50">
        <f>ROUND((Table2[[#This Row],[Air Drag]]+0.3504)/293.4,2)</f>
        <v>0.05</v>
      </c>
      <c r="J79" s="18">
        <v>298828</v>
      </c>
      <c r="K79" s="13">
        <f t="shared" si="5"/>
        <v>255</v>
      </c>
      <c r="L79" s="15">
        <f>Table2[[#This Row],[RunCost]]/(23400/255)</f>
        <v>255</v>
      </c>
      <c r="M79" s="18" cm="1">
        <f t="array" ref="M7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1792</v>
      </c>
      <c r="N79" s="18">
        <v>23400</v>
      </c>
      <c r="O79" s="55">
        <v>1993</v>
      </c>
      <c r="P79" s="13" t="s">
        <v>9</v>
      </c>
      <c r="Q79" s="13" t="s">
        <v>568</v>
      </c>
      <c r="S79" s="13" t="s">
        <v>262</v>
      </c>
      <c r="T79" s="13" t="str">
        <f>CONCATENATE(Table2[[#This Row],[Name]]," - (",Table2[[#This Row],[UKRS Name]],")")</f>
        <v>Class 373 'Eurostar' - (Eurostar)</v>
      </c>
      <c r="U79" s="13">
        <v>255.40899999999999</v>
      </c>
      <c r="V79" s="13">
        <v>1462.5</v>
      </c>
      <c r="X79" s="13" t="s">
        <v>74</v>
      </c>
      <c r="Z79" s="19" t="str">
        <f>CONCATENATE(Table2[[#This Row],[Name]]," (",X79,")")</f>
        <v>Class 373 'Eurostar' (Eurostar)</v>
      </c>
      <c r="AD79" s="13"/>
    </row>
    <row r="80" spans="1:30" ht="11.25" x14ac:dyDescent="0.25">
      <c r="A80" s="13">
        <v>79</v>
      </c>
      <c r="B80" s="15" t="s">
        <v>75</v>
      </c>
      <c r="C80" s="13">
        <v>36</v>
      </c>
      <c r="D80" s="13">
        <v>45</v>
      </c>
      <c r="E80" s="13">
        <v>150</v>
      </c>
      <c r="F80" s="13">
        <v>19</v>
      </c>
      <c r="G80" s="20">
        <f t="shared" si="4"/>
        <v>5.2777777777777778E-2</v>
      </c>
      <c r="H80" s="46">
        <v>32</v>
      </c>
      <c r="I80" s="50">
        <f>ROUND((Table2[[#This Row],[Air Drag]]+0.3504)/293.4,2)</f>
        <v>0.11</v>
      </c>
      <c r="J80" s="18">
        <v>12890</v>
      </c>
      <c r="K80" s="13">
        <f t="shared" si="5"/>
        <v>11</v>
      </c>
      <c r="L80" s="15">
        <f>Table2[[#This Row],[RunCost]]/(23400/255)</f>
        <v>4.2717948717948717</v>
      </c>
      <c r="M80" s="18" cm="1">
        <f t="array" ref="M8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90.156862745098039</v>
      </c>
      <c r="N80" s="18">
        <v>392</v>
      </c>
      <c r="O80" s="55">
        <v>1903</v>
      </c>
      <c r="P80" s="13" t="s">
        <v>8</v>
      </c>
      <c r="Q80" s="13">
        <v>7</v>
      </c>
      <c r="S80" s="13" t="s">
        <v>150</v>
      </c>
      <c r="T80" s="13" t="str">
        <f>CONCATENATE(Table2[[#This Row],[Name]]," - (",Table2[[#This Row],[UKRS Name]],")")</f>
        <v>GWR Railmotor - (Railmotor)</v>
      </c>
      <c r="U80" s="13">
        <v>11.016999999999999</v>
      </c>
      <c r="V80" s="13">
        <v>49</v>
      </c>
      <c r="X80" s="13" t="s">
        <v>75</v>
      </c>
      <c r="Z80" s="19" t="str">
        <f>CONCATENATE(Table2[[#This Row],[Name]]," (",X80,")")</f>
        <v>GWR Railmotor (Railmotor)</v>
      </c>
      <c r="AD80" s="13"/>
    </row>
    <row r="81" spans="1:30" ht="11.25" x14ac:dyDescent="0.25">
      <c r="A81" s="13">
        <v>80</v>
      </c>
      <c r="B81" s="15" t="s">
        <v>76</v>
      </c>
      <c r="C81" s="13">
        <v>20</v>
      </c>
      <c r="D81" s="13">
        <v>50</v>
      </c>
      <c r="E81" s="13">
        <v>150</v>
      </c>
      <c r="F81" s="13">
        <v>19</v>
      </c>
      <c r="G81" s="20">
        <f t="shared" si="4"/>
        <v>9.5000000000000001E-2</v>
      </c>
      <c r="H81" s="46">
        <v>28</v>
      </c>
      <c r="I81" s="50">
        <f>ROUND((Table2[[#This Row],[Air Drag]]+0.3504)/293.4,2)</f>
        <v>0.1</v>
      </c>
      <c r="J81" s="18">
        <v>3515</v>
      </c>
      <c r="K81" s="13">
        <f t="shared" si="5"/>
        <v>3</v>
      </c>
      <c r="L81" s="15">
        <f>Table2[[#This Row],[RunCost]]/(23400/255)</f>
        <v>3.5743589743589745</v>
      </c>
      <c r="M81" s="18" cm="1">
        <f t="array" ref="M8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22.847058823529409</v>
      </c>
      <c r="N81" s="18">
        <v>328</v>
      </c>
      <c r="O81" s="55">
        <v>1950</v>
      </c>
      <c r="P81" s="13" t="s">
        <v>6</v>
      </c>
      <c r="Q81" s="13">
        <v>6</v>
      </c>
      <c r="S81" s="13" t="s">
        <v>76</v>
      </c>
      <c r="T81" s="13" t="str">
        <f>CONCATENATE(Table2[[#This Row],[Name]]," - (",Table2[[#This Row],[UKRS Name]],")")</f>
        <v>AEC Railbus - (AEC Railbus)</v>
      </c>
      <c r="U81" s="13">
        <v>3.0030000000000001</v>
      </c>
      <c r="V81" s="13">
        <v>41</v>
      </c>
      <c r="X81" s="13" t="s">
        <v>76</v>
      </c>
      <c r="Z81" s="19" t="str">
        <f>CONCATENATE(Table2[[#This Row],[Name]]," (",X81,")")</f>
        <v>AEC Railbus (AEC Railbus)</v>
      </c>
      <c r="AD81" s="13"/>
    </row>
    <row r="82" spans="1:30" ht="11.25" x14ac:dyDescent="0.25">
      <c r="A82" s="13">
        <v>81</v>
      </c>
      <c r="B82" s="15" t="s">
        <v>77</v>
      </c>
      <c r="C82" s="13">
        <v>29</v>
      </c>
      <c r="D82" s="13">
        <v>60</v>
      </c>
      <c r="E82" s="13">
        <v>260</v>
      </c>
      <c r="F82" s="13">
        <v>34</v>
      </c>
      <c r="G82" s="20">
        <f t="shared" si="4"/>
        <v>0.11724137931034483</v>
      </c>
      <c r="H82" s="46">
        <v>24</v>
      </c>
      <c r="I82" s="50">
        <f>ROUND((Table2[[#This Row],[Air Drag]]+0.3504)/293.4,2)</f>
        <v>0.08</v>
      </c>
      <c r="J82" s="18">
        <v>7031</v>
      </c>
      <c r="K82" s="13">
        <f t="shared" si="5"/>
        <v>6</v>
      </c>
      <c r="L82" s="15">
        <f>Table2[[#This Row],[RunCost]]/(23400/255)</f>
        <v>5.7102564102564104</v>
      </c>
      <c r="M82" s="18" cm="1">
        <f t="array" ref="M8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45.694117647058818</v>
      </c>
      <c r="N82" s="18">
        <v>524</v>
      </c>
      <c r="O82" s="55">
        <v>1935</v>
      </c>
      <c r="P82" s="13" t="s">
        <v>6</v>
      </c>
      <c r="Q82" s="13">
        <v>8</v>
      </c>
      <c r="S82" s="13" t="s">
        <v>148</v>
      </c>
      <c r="T82" s="13" t="str">
        <f>CONCATENATE(Table2[[#This Row],[Name]]," - (",Table2[[#This Row],[UKRS Name]],")")</f>
        <v>GWR Railcar - (AEC Railcar)</v>
      </c>
      <c r="U82" s="13">
        <v>6.0090000000000003</v>
      </c>
      <c r="V82" s="13">
        <v>65.5</v>
      </c>
      <c r="X82" s="13" t="s">
        <v>77</v>
      </c>
      <c r="Z82" s="19" t="str">
        <f>CONCATENATE(Table2[[#This Row],[Name]]," (",X82,")")</f>
        <v>GWR Railcar (AEC Railcar)</v>
      </c>
      <c r="AD82" s="13"/>
    </row>
    <row r="83" spans="1:30" ht="11.25" x14ac:dyDescent="0.25">
      <c r="A83" s="13">
        <v>82</v>
      </c>
      <c r="B83" s="15" t="s">
        <v>78</v>
      </c>
      <c r="C83" s="13">
        <v>64</v>
      </c>
      <c r="D83" s="13">
        <v>70</v>
      </c>
      <c r="E83" s="13">
        <v>600</v>
      </c>
      <c r="F83" s="13">
        <v>80</v>
      </c>
      <c r="G83" s="20">
        <f t="shared" si="4"/>
        <v>0.125</v>
      </c>
      <c r="H83" s="46">
        <v>23</v>
      </c>
      <c r="I83" s="50">
        <f>ROUND((Table2[[#This Row],[Air Drag]]+0.3504)/293.4,2)</f>
        <v>0.08</v>
      </c>
      <c r="J83" s="18">
        <v>22265</v>
      </c>
      <c r="K83" s="13">
        <f t="shared" si="5"/>
        <v>19</v>
      </c>
      <c r="L83" s="15">
        <f>Table2[[#This Row],[RunCost]]/(23400/255)</f>
        <v>13.578205128205129</v>
      </c>
      <c r="M83" s="18" cm="1">
        <f t="array" ref="M8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144.69803921568626</v>
      </c>
      <c r="N83" s="18">
        <v>1246</v>
      </c>
      <c r="O83" s="55">
        <v>1955</v>
      </c>
      <c r="P83" s="13" t="s">
        <v>6</v>
      </c>
      <c r="Q83" s="13">
        <v>7</v>
      </c>
      <c r="S83" s="13" t="s">
        <v>38</v>
      </c>
      <c r="T83" s="13" t="str">
        <f>CONCATENATE(Table2[[#This Row],[Name]]," - (",Table2[[#This Row],[UKRS Name]],")")</f>
        <v>Class 101 - (MetCam DMU)</v>
      </c>
      <c r="U83" s="13">
        <v>19.029</v>
      </c>
      <c r="V83" s="13">
        <v>155.75</v>
      </c>
      <c r="X83" s="13" t="s">
        <v>78</v>
      </c>
      <c r="Z83" s="19" t="str">
        <f>CONCATENATE(Table2[[#This Row],[Name]]," (",X83,")")</f>
        <v>Class 101 (MetCam DMU)</v>
      </c>
      <c r="AD83" s="13"/>
    </row>
    <row r="84" spans="1:30" ht="11.25" x14ac:dyDescent="0.25">
      <c r="A84" s="13">
        <v>83</v>
      </c>
      <c r="B84" s="15" t="s">
        <v>79</v>
      </c>
      <c r="C84" s="13">
        <v>72</v>
      </c>
      <c r="D84" s="13">
        <v>75</v>
      </c>
      <c r="E84" s="13">
        <v>775</v>
      </c>
      <c r="F84" s="13">
        <v>90</v>
      </c>
      <c r="G84" s="20">
        <f t="shared" si="4"/>
        <v>0.125</v>
      </c>
      <c r="H84" s="46">
        <v>22</v>
      </c>
      <c r="I84" s="50">
        <f>ROUND((Table2[[#This Row],[Air Drag]]+0.3504)/293.4,2)</f>
        <v>0.08</v>
      </c>
      <c r="J84" s="18">
        <v>24609</v>
      </c>
      <c r="K84" s="13">
        <f t="shared" si="5"/>
        <v>21</v>
      </c>
      <c r="L84" s="15">
        <f>Table2[[#This Row],[RunCost]]/(23400/255)</f>
        <v>15.016666666666666</v>
      </c>
      <c r="M84" s="18" cm="1">
        <f t="array" ref="M8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159.92941176470586</v>
      </c>
      <c r="N84" s="18">
        <v>1378</v>
      </c>
      <c r="O84" s="55">
        <v>1984</v>
      </c>
      <c r="P84" s="13" t="s">
        <v>6</v>
      </c>
      <c r="Q84" s="13">
        <v>8</v>
      </c>
      <c r="S84" s="13" t="s">
        <v>263</v>
      </c>
      <c r="T84" s="13" t="str">
        <f>CONCATENATE(Table2[[#This Row],[Name]]," - (",Table2[[#This Row],[UKRS Name]],")")</f>
        <v>Class 150 'Sprinter' - (Sprinter)</v>
      </c>
      <c r="U84" s="13">
        <v>21.032</v>
      </c>
      <c r="V84" s="13">
        <v>172.25</v>
      </c>
      <c r="X84" s="13" t="s">
        <v>79</v>
      </c>
      <c r="Z84" s="19" t="str">
        <f>CONCATENATE(Table2[[#This Row],[Name]]," (",X84,")")</f>
        <v>Class 150 'Sprinter' (Sprinter)</v>
      </c>
      <c r="AD84" s="13"/>
    </row>
    <row r="85" spans="1:30" ht="11.25" x14ac:dyDescent="0.25">
      <c r="A85" s="13">
        <v>84</v>
      </c>
      <c r="B85" s="15" t="s">
        <v>80</v>
      </c>
      <c r="C85" s="13">
        <v>76</v>
      </c>
      <c r="D85" s="13">
        <v>90</v>
      </c>
      <c r="E85" s="13">
        <v>800</v>
      </c>
      <c r="F85" s="13">
        <v>98</v>
      </c>
      <c r="G85" s="20">
        <f t="shared" si="4"/>
        <v>0.12894736842105264</v>
      </c>
      <c r="H85" s="46">
        <v>18</v>
      </c>
      <c r="I85" s="50">
        <f>ROUND((Table2[[#This Row],[Air Drag]]+0.3504)/293.4,2)</f>
        <v>0.06</v>
      </c>
      <c r="J85" s="18">
        <v>26953</v>
      </c>
      <c r="K85" s="13">
        <f t="shared" si="5"/>
        <v>23</v>
      </c>
      <c r="L85" s="15">
        <f>Table2[[#This Row],[RunCost]]/(23400/255)</f>
        <v>17.871794871794872</v>
      </c>
      <c r="M85" s="18" cm="1">
        <f t="array" ref="M8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175.16078431372549</v>
      </c>
      <c r="N85" s="18">
        <v>1640</v>
      </c>
      <c r="O85" s="55">
        <v>1990</v>
      </c>
      <c r="P85" s="13" t="s">
        <v>6</v>
      </c>
      <c r="Q85" s="13">
        <v>8</v>
      </c>
      <c r="S85" s="13" t="s">
        <v>264</v>
      </c>
      <c r="T85" s="13" t="str">
        <f>CONCATENATE(Table2[[#This Row],[Name]]," - (",Table2[[#This Row],[UKRS Name]],")")</f>
        <v>Class 158 'Express Sprinter' - (Expr. Sprinter)</v>
      </c>
      <c r="U85" s="13">
        <v>23.036000000000001</v>
      </c>
      <c r="V85" s="13">
        <v>205</v>
      </c>
      <c r="X85" s="13" t="s">
        <v>80</v>
      </c>
      <c r="Z85" s="19" t="str">
        <f>CONCATENATE(Table2[[#This Row],[Name]]," (",X85,")")</f>
        <v>Class 158 'Express Sprinter' (Expr. Sprinter)</v>
      </c>
      <c r="AD85" s="13"/>
    </row>
    <row r="86" spans="1:30" ht="11.25" x14ac:dyDescent="0.25">
      <c r="A86" s="13">
        <v>85</v>
      </c>
      <c r="B86" s="15" t="s">
        <v>81</v>
      </c>
      <c r="C86" s="13">
        <v>90</v>
      </c>
      <c r="D86" s="13">
        <v>100</v>
      </c>
      <c r="E86" s="13">
        <v>1250</v>
      </c>
      <c r="F86" s="13">
        <v>141</v>
      </c>
      <c r="G86" s="20">
        <f t="shared" si="4"/>
        <v>0.15666666666666668</v>
      </c>
      <c r="H86" s="46">
        <v>15</v>
      </c>
      <c r="I86" s="50">
        <f>ROUND((Table2[[#This Row],[Air Drag]]+0.3504)/293.4,2)</f>
        <v>0.05</v>
      </c>
      <c r="J86" s="18">
        <v>39843</v>
      </c>
      <c r="K86" s="13">
        <f t="shared" si="5"/>
        <v>34</v>
      </c>
      <c r="L86" s="15">
        <f>Table2[[#This Row],[RunCost]]/(23400/255)</f>
        <v>25.02051282051282</v>
      </c>
      <c r="M86" s="18" cm="1">
        <f t="array" ref="M8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258.93333333333334</v>
      </c>
      <c r="N86" s="18">
        <v>2296</v>
      </c>
      <c r="O86" s="55">
        <v>1998</v>
      </c>
      <c r="P86" s="13" t="s">
        <v>6</v>
      </c>
      <c r="Q86" s="13">
        <v>8</v>
      </c>
      <c r="S86" s="13" t="s">
        <v>265</v>
      </c>
      <c r="T86" s="13" t="str">
        <f>CONCATENATE(Table2[[#This Row],[Name]]," - (",Table2[[#This Row],[UKRS Name]],")")</f>
        <v>Class 170 'Turbostar' - (Turbostar)</v>
      </c>
      <c r="U86" s="13">
        <v>34.052999999999997</v>
      </c>
      <c r="V86" s="13">
        <v>287</v>
      </c>
      <c r="X86" s="13" t="s">
        <v>81</v>
      </c>
      <c r="Z86" s="19" t="str">
        <f>CONCATENATE(Table2[[#This Row],[Name]]," (",X86,")")</f>
        <v>Class 170 'Turbostar' (Turbostar)</v>
      </c>
      <c r="AD86" s="13"/>
    </row>
    <row r="87" spans="1:30" ht="11.25" x14ac:dyDescent="0.25">
      <c r="A87" s="13">
        <v>86</v>
      </c>
      <c r="B87" s="15" t="s">
        <v>82</v>
      </c>
      <c r="C87" s="13">
        <v>86</v>
      </c>
      <c r="D87" s="13">
        <v>125</v>
      </c>
      <c r="E87" s="13">
        <v>3000</v>
      </c>
      <c r="F87" s="13">
        <v>158</v>
      </c>
      <c r="G87" s="20">
        <f t="shared" si="4"/>
        <v>0.18372093023255814</v>
      </c>
      <c r="H87" s="46">
        <v>13</v>
      </c>
      <c r="I87" s="50">
        <f>ROUND((Table2[[#This Row],[Air Drag]]+0.3504)/293.4,2)</f>
        <v>0.05</v>
      </c>
      <c r="J87" s="18">
        <v>60937</v>
      </c>
      <c r="K87" s="13">
        <f t="shared" si="5"/>
        <v>52</v>
      </c>
      <c r="L87" s="15">
        <f>Table2[[#This Row],[RunCost]]/(23400/255)</f>
        <v>25.02051282051282</v>
      </c>
      <c r="M87" s="18" cm="1">
        <f t="array" ref="M8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396.01568627450979</v>
      </c>
      <c r="N87" s="18">
        <v>2296</v>
      </c>
      <c r="O87" s="55">
        <v>2001</v>
      </c>
      <c r="P87" s="13" t="s">
        <v>6</v>
      </c>
      <c r="Q87" s="13">
        <v>8</v>
      </c>
      <c r="S87" s="13" t="s">
        <v>266</v>
      </c>
      <c r="T87" s="13" t="str">
        <f>CONCATENATE(Table2[[#This Row],[Name]]," - (",Table2[[#This Row],[UKRS Name]],")")</f>
        <v>Class 220 'Voyager' - (Voyager)</v>
      </c>
      <c r="U87" s="13">
        <v>52.082000000000001</v>
      </c>
      <c r="V87" s="13">
        <v>287</v>
      </c>
      <c r="X87" s="13" t="s">
        <v>82</v>
      </c>
      <c r="Z87" s="19" t="str">
        <f>CONCATENATE(Table2[[#This Row],[Name]]," (",X87,")")</f>
        <v>Class 220 'Voyager' (Voyager)</v>
      </c>
      <c r="AD87" s="13"/>
    </row>
    <row r="88" spans="1:30" ht="11.25" x14ac:dyDescent="0.25">
      <c r="A88" s="13">
        <v>87</v>
      </c>
      <c r="B88" s="15" t="s">
        <v>83</v>
      </c>
      <c r="C88" s="13">
        <v>140</v>
      </c>
      <c r="D88" s="13">
        <v>125</v>
      </c>
      <c r="E88" s="13">
        <v>4500</v>
      </c>
      <c r="F88" s="13">
        <v>160</v>
      </c>
      <c r="G88" s="20">
        <f t="shared" si="4"/>
        <v>0.11428571428571428</v>
      </c>
      <c r="H88" s="46">
        <v>13</v>
      </c>
      <c r="I88" s="50">
        <f>ROUND((Table2[[#This Row],[Air Drag]]+0.3504)/293.4,2)</f>
        <v>0.05</v>
      </c>
      <c r="J88" s="18">
        <v>73828</v>
      </c>
      <c r="K88" s="13">
        <f t="shared" si="5"/>
        <v>63</v>
      </c>
      <c r="L88" s="15">
        <f>Table2[[#This Row],[RunCost]]/(23400/255)</f>
        <v>90.1</v>
      </c>
      <c r="M88" s="18" cm="1">
        <f t="array" ref="M8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479.78823529411761</v>
      </c>
      <c r="N88" s="18">
        <v>8268</v>
      </c>
      <c r="O88" s="55">
        <v>1976</v>
      </c>
      <c r="P88" s="13" t="s">
        <v>6</v>
      </c>
      <c r="Q88" s="13">
        <v>7</v>
      </c>
      <c r="S88" s="13" t="s">
        <v>321</v>
      </c>
      <c r="T88" s="13" t="str">
        <f>CONCATENATE(Table2[[#This Row],[Name]]," - (",Table2[[#This Row],[UKRS Name]],")")</f>
        <v>Class 43 'HST' - (BR HST)</v>
      </c>
      <c r="U88" s="13">
        <v>63.100999999999999</v>
      </c>
      <c r="V88" s="13">
        <v>1033.5</v>
      </c>
      <c r="X88" s="13" t="s">
        <v>83</v>
      </c>
      <c r="Z88" s="19" t="str">
        <f>CONCATENATE(Table2[[#This Row],[Name]]," (",X88,")")</f>
        <v>Class 43 'HST' (BR HST)</v>
      </c>
      <c r="AD88" s="13"/>
    </row>
    <row r="89" spans="1:30" ht="11.25" x14ac:dyDescent="0.25">
      <c r="A89" s="13">
        <v>88</v>
      </c>
      <c r="B89" s="15" t="s">
        <v>84</v>
      </c>
      <c r="C89" s="13">
        <v>68</v>
      </c>
      <c r="D89" s="13">
        <v>60</v>
      </c>
      <c r="E89" s="13">
        <v>1120</v>
      </c>
      <c r="F89" s="13">
        <v>83</v>
      </c>
      <c r="G89" s="20">
        <f t="shared" si="4"/>
        <v>0.12205882352941178</v>
      </c>
      <c r="H89" s="46">
        <v>27</v>
      </c>
      <c r="I89" s="50">
        <f>ROUND((Table2[[#This Row],[Air Drag]]+0.3504)/293.4,2)</f>
        <v>0.09</v>
      </c>
      <c r="J89" s="18">
        <v>29296</v>
      </c>
      <c r="K89" s="13">
        <f t="shared" si="5"/>
        <v>25</v>
      </c>
      <c r="L89" s="15">
        <f>Table2[[#This Row],[RunCost]]/(23400/255)</f>
        <v>20.007692307692306</v>
      </c>
      <c r="M89" s="18" cm="1">
        <f t="array" ref="M8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N89" s="18">
        <v>1836</v>
      </c>
      <c r="O89" s="55">
        <v>1914</v>
      </c>
      <c r="P89" s="13">
        <v>3</v>
      </c>
      <c r="Q89" s="13">
        <v>8</v>
      </c>
      <c r="S89" s="13" t="s">
        <v>153</v>
      </c>
      <c r="T89" s="13" t="str">
        <f>CONCATENATE(Table2[[#This Row],[Name]]," - (",Table2[[#This Row],[UKRS Name]],")")</f>
        <v>LNWR EMU - (MetCam EMU)</v>
      </c>
      <c r="U89" s="13">
        <v>25.039000000000001</v>
      </c>
      <c r="V89" s="13">
        <v>229.5</v>
      </c>
      <c r="X89" s="13" t="s">
        <v>84</v>
      </c>
      <c r="Z89" s="19" t="str">
        <f>CONCATENATE(Table2[[#This Row],[Name]]," (",X89,")")</f>
        <v>LNWR EMU (MetCam EMU)</v>
      </c>
      <c r="AD89" s="13"/>
    </row>
    <row r="90" spans="1:30" ht="11.25" x14ac:dyDescent="0.25">
      <c r="A90" s="13">
        <v>89</v>
      </c>
      <c r="B90" s="15" t="s">
        <v>85</v>
      </c>
      <c r="C90" s="13">
        <v>76</v>
      </c>
      <c r="D90" s="13">
        <v>75</v>
      </c>
      <c r="E90" s="13">
        <v>900</v>
      </c>
      <c r="F90" s="13">
        <v>68</v>
      </c>
      <c r="G90" s="20">
        <f t="shared" si="4"/>
        <v>8.9473684210526316E-2</v>
      </c>
      <c r="H90" s="46">
        <v>22</v>
      </c>
      <c r="I90" s="50">
        <f>ROUND((Table2[[#This Row],[Air Drag]]+0.3504)/293.4,2)</f>
        <v>0.08</v>
      </c>
      <c r="J90" s="18">
        <v>26953</v>
      </c>
      <c r="K90" s="13">
        <f t="shared" si="5"/>
        <v>23</v>
      </c>
      <c r="L90" s="15">
        <f>Table2[[#This Row],[RunCost]]/(23400/255)</f>
        <v>17.871794871794872</v>
      </c>
      <c r="M90" s="18" cm="1">
        <f t="array" ref="M9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N90" s="18">
        <v>1640</v>
      </c>
      <c r="O90" s="55">
        <v>1935</v>
      </c>
      <c r="P90" s="13">
        <v>3</v>
      </c>
      <c r="Q90" s="13">
        <v>8</v>
      </c>
      <c r="S90" s="13" t="s">
        <v>267</v>
      </c>
      <c r="T90" s="13" t="str">
        <f>CONCATENATE(Table2[[#This Row],[Name]]," - (",Table2[[#This Row],[UKRS Name]],")")</f>
        <v>Class 404 - (Southern EMU)</v>
      </c>
      <c r="U90" s="13">
        <v>23.036000000000001</v>
      </c>
      <c r="V90" s="13">
        <v>205</v>
      </c>
      <c r="X90" s="13" t="s">
        <v>85</v>
      </c>
      <c r="Z90" s="19" t="str">
        <f>CONCATENATE(Table2[[#This Row],[Name]]," (",X90,")")</f>
        <v>Class 404 (Southern EMU)</v>
      </c>
      <c r="AD90" s="13"/>
    </row>
    <row r="91" spans="1:30" ht="11.25" x14ac:dyDescent="0.25">
      <c r="A91" s="13">
        <v>90</v>
      </c>
      <c r="B91" s="15" t="s">
        <v>86</v>
      </c>
      <c r="C91" s="13">
        <v>72</v>
      </c>
      <c r="D91" s="13">
        <v>90</v>
      </c>
      <c r="E91" s="13">
        <v>1000</v>
      </c>
      <c r="F91" s="13">
        <v>135</v>
      </c>
      <c r="G91" s="20">
        <f t="shared" si="4"/>
        <v>0.1875</v>
      </c>
      <c r="H91" s="46">
        <v>18</v>
      </c>
      <c r="I91" s="50">
        <f>ROUND((Table2[[#This Row],[Air Drag]]+0.3504)/293.4,2)</f>
        <v>0.06</v>
      </c>
      <c r="J91" s="18">
        <v>24609</v>
      </c>
      <c r="K91" s="13">
        <f t="shared" si="5"/>
        <v>21</v>
      </c>
      <c r="L91" s="15">
        <f>Table2[[#This Row],[RunCost]]/(23400/255)</f>
        <v>19.288461538461537</v>
      </c>
      <c r="M91" s="18" cm="1">
        <f t="array" ref="M9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N91" s="18">
        <v>1770</v>
      </c>
      <c r="O91" s="55">
        <v>1964</v>
      </c>
      <c r="P91" s="13">
        <v>3</v>
      </c>
      <c r="Q91" s="13">
        <v>8</v>
      </c>
      <c r="S91" s="13" t="s">
        <v>268</v>
      </c>
      <c r="T91" s="13" t="str">
        <f>CONCATENATE(Table2[[#This Row],[Name]]," - (",Table2[[#This Row],[UKRS Name]],")")</f>
        <v>Class 421 - (Renewal EMU)</v>
      </c>
      <c r="U91" s="13">
        <v>21.032</v>
      </c>
      <c r="V91" s="13">
        <v>221.25</v>
      </c>
      <c r="X91" s="13" t="s">
        <v>86</v>
      </c>
      <c r="Z91" s="19" t="str">
        <f>CONCATENATE(Table2[[#This Row],[Name]]," (",X91,")")</f>
        <v>Class 421 (Renewal EMU)</v>
      </c>
      <c r="AD91" s="13"/>
    </row>
    <row r="92" spans="1:30" ht="11.25" customHeight="1" x14ac:dyDescent="0.25">
      <c r="A92" s="13">
        <v>91</v>
      </c>
      <c r="B92" s="15" t="s">
        <v>87</v>
      </c>
      <c r="C92" s="13">
        <v>78</v>
      </c>
      <c r="D92" s="13">
        <v>100</v>
      </c>
      <c r="E92" s="13">
        <v>1210</v>
      </c>
      <c r="F92" s="13">
        <v>140</v>
      </c>
      <c r="G92" s="20">
        <f t="shared" si="4"/>
        <v>0.17948717948717949</v>
      </c>
      <c r="H92" s="46">
        <v>15</v>
      </c>
      <c r="I92" s="50">
        <f>ROUND((Table2[[#This Row],[Air Drag]]+0.3504)/293.4,2)</f>
        <v>0.05</v>
      </c>
      <c r="J92" s="18">
        <v>31640</v>
      </c>
      <c r="K92" s="13">
        <f t="shared" si="5"/>
        <v>27</v>
      </c>
      <c r="L92" s="15">
        <f>Table2[[#This Row],[RunCost]]/(23400/255)</f>
        <v>24.301282051282051</v>
      </c>
      <c r="M92" s="18" cm="1">
        <f t="array" ref="M9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189.74117647058824</v>
      </c>
      <c r="N92" s="18">
        <v>2230</v>
      </c>
      <c r="O92" s="55">
        <v>1988</v>
      </c>
      <c r="P92" s="13">
        <v>3</v>
      </c>
      <c r="Q92" s="13">
        <v>8</v>
      </c>
      <c r="S92" s="13" t="s">
        <v>269</v>
      </c>
      <c r="T92" s="13" t="str">
        <f>CONCATENATE(Table2[[#This Row],[Name]]," - (",Table2[[#This Row],[UKRS Name]],")")</f>
        <v>Class 442 'Wessex Express' - (Wessex EMU)</v>
      </c>
      <c r="U92" s="13">
        <v>27.042999999999999</v>
      </c>
      <c r="V92" s="13">
        <v>278.75</v>
      </c>
      <c r="X92" s="13" t="s">
        <v>87</v>
      </c>
      <c r="Z92" s="19" t="str">
        <f>CONCATENATE(Table2[[#This Row],[Name]]," (",X92,")")</f>
        <v>Class 442 'Wessex Express' (Wessex EMU)</v>
      </c>
      <c r="AD92" s="13"/>
    </row>
    <row r="93" spans="1:30" ht="11.25" customHeight="1" x14ac:dyDescent="0.25">
      <c r="A93" s="13">
        <v>92</v>
      </c>
      <c r="B93" s="15" t="s">
        <v>88</v>
      </c>
      <c r="C93" s="13">
        <v>92</v>
      </c>
      <c r="D93" s="13">
        <v>75</v>
      </c>
      <c r="E93" s="13">
        <v>1080</v>
      </c>
      <c r="F93" s="13">
        <v>130</v>
      </c>
      <c r="G93" s="20">
        <f t="shared" si="4"/>
        <v>0.14130434782608695</v>
      </c>
      <c r="H93" s="46">
        <v>22</v>
      </c>
      <c r="I93" s="50">
        <f>ROUND((Table2[[#This Row],[Air Drag]]+0.3504)/293.4,2)</f>
        <v>0.08</v>
      </c>
      <c r="J93" s="18">
        <v>26953</v>
      </c>
      <c r="K93" s="13">
        <f t="shared" si="5"/>
        <v>23</v>
      </c>
      <c r="L93" s="15">
        <f>Table2[[#This Row],[RunCost]]/(23400/255)</f>
        <v>17.871794871794872</v>
      </c>
      <c r="M93" s="18" cm="1">
        <f t="array" ref="M9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161.6313725490196</v>
      </c>
      <c r="N93" s="18">
        <v>1640</v>
      </c>
      <c r="O93" s="55">
        <v>1965</v>
      </c>
      <c r="P93" s="13" t="s">
        <v>7</v>
      </c>
      <c r="Q93" s="13">
        <v>8</v>
      </c>
      <c r="S93" s="13" t="s">
        <v>270</v>
      </c>
      <c r="T93" s="13" t="str">
        <f>CONCATENATE(Table2[[#This Row],[Name]]," - (",Table2[[#This Row],[UKRS Name]],")")</f>
        <v>Class 310 'AM10' - (AM10)</v>
      </c>
      <c r="U93" s="13">
        <v>23.036000000000001</v>
      </c>
      <c r="V93" s="13">
        <v>205</v>
      </c>
      <c r="X93" s="13" t="s">
        <v>88</v>
      </c>
      <c r="Z93" s="19" t="str">
        <f>CONCATENATE(Table2[[#This Row],[Name]]," (",X93,")")</f>
        <v>Class 310 'AM10' (AM10)</v>
      </c>
      <c r="AD93" s="13"/>
    </row>
    <row r="94" spans="1:30" ht="11.25" customHeight="1" x14ac:dyDescent="0.25">
      <c r="A94" s="13">
        <v>93</v>
      </c>
      <c r="B94" s="15" t="s">
        <v>89</v>
      </c>
      <c r="C94" s="13">
        <v>72</v>
      </c>
      <c r="D94" s="13">
        <v>75</v>
      </c>
      <c r="E94" s="13">
        <v>880</v>
      </c>
      <c r="F94" s="13">
        <v>126</v>
      </c>
      <c r="G94" s="20">
        <f t="shared" si="4"/>
        <v>0.17499999999999999</v>
      </c>
      <c r="H94" s="46">
        <v>22</v>
      </c>
      <c r="I94" s="50">
        <f>ROUND((Table2[[#This Row],[Air Drag]]+0.3504)/293.4,2)</f>
        <v>0.08</v>
      </c>
      <c r="J94" s="18">
        <v>21093</v>
      </c>
      <c r="K94" s="13">
        <f t="shared" si="5"/>
        <v>18</v>
      </c>
      <c r="L94" s="15">
        <f>Table2[[#This Row],[RunCost]]/(23400/255)</f>
        <v>15.714102564102564</v>
      </c>
      <c r="M94" s="18" cm="1">
        <f t="array" ref="M9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126.49411764705883</v>
      </c>
      <c r="N94" s="18">
        <v>1442</v>
      </c>
      <c r="O94" s="55">
        <v>1976</v>
      </c>
      <c r="P94" s="13" t="s">
        <v>9</v>
      </c>
      <c r="Q94" s="13">
        <v>8</v>
      </c>
      <c r="S94" s="13" t="s">
        <v>89</v>
      </c>
      <c r="T94" s="13" t="str">
        <f>CONCATENATE(Table2[[#This Row],[Name]]," - (",Table2[[#This Row],[UKRS Name]],")")</f>
        <v>Class 313 - (Class 313)</v>
      </c>
      <c r="U94" s="13">
        <v>18.027000000000001</v>
      </c>
      <c r="V94" s="13">
        <v>180.25</v>
      </c>
      <c r="X94" s="13" t="s">
        <v>89</v>
      </c>
      <c r="Z94" s="19" t="str">
        <f>CONCATENATE(Table2[[#This Row],[Name]]," (",X94,")")</f>
        <v>Class 313 (Class 313)</v>
      </c>
      <c r="AD94" s="13"/>
    </row>
    <row r="95" spans="1:30" ht="11.25" customHeight="1" x14ac:dyDescent="0.25">
      <c r="A95" s="13">
        <v>94</v>
      </c>
      <c r="B95" s="15" t="s">
        <v>39</v>
      </c>
      <c r="C95" s="13">
        <v>82</v>
      </c>
      <c r="D95" s="13">
        <v>100</v>
      </c>
      <c r="E95" s="13">
        <v>1400</v>
      </c>
      <c r="F95" s="13">
        <v>147</v>
      </c>
      <c r="G95" s="20">
        <f t="shared" si="4"/>
        <v>0.17926829268292682</v>
      </c>
      <c r="H95" s="46">
        <v>15</v>
      </c>
      <c r="I95" s="50">
        <f>ROUND((Table2[[#This Row],[Air Drag]]+0.3504)/293.4,2)</f>
        <v>0.05</v>
      </c>
      <c r="J95" s="18">
        <v>29296</v>
      </c>
      <c r="K95" s="13">
        <f t="shared" si="5"/>
        <v>25</v>
      </c>
      <c r="L95" s="15">
        <f>Table2[[#This Row],[RunCost]]/(23400/255)</f>
        <v>25.02051282051282</v>
      </c>
      <c r="M95" s="18" cm="1">
        <f t="array" ref="M9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175.68627450980392</v>
      </c>
      <c r="N95" s="18">
        <v>2296</v>
      </c>
      <c r="O95" s="55">
        <v>1988</v>
      </c>
      <c r="P95" s="13" t="s">
        <v>7</v>
      </c>
      <c r="Q95" s="13">
        <v>8</v>
      </c>
      <c r="S95" s="13" t="s">
        <v>39</v>
      </c>
      <c r="T95" s="13" t="str">
        <f>CONCATENATE(Table2[[#This Row],[Name]]," - (",Table2[[#This Row],[UKRS Name]],")")</f>
        <v>Class 321 - (Class 321)</v>
      </c>
      <c r="U95" s="13">
        <v>25.039000000000001</v>
      </c>
      <c r="V95" s="13">
        <v>287</v>
      </c>
      <c r="X95" s="13" t="s">
        <v>39</v>
      </c>
      <c r="Z95" s="19" t="str">
        <f>CONCATENATE(Table2[[#This Row],[Name]]," (",X95,")")</f>
        <v>Class 321 (Class 321)</v>
      </c>
      <c r="AD95" s="13"/>
    </row>
    <row r="96" spans="1:30" ht="11.25" customHeight="1" x14ac:dyDescent="0.25">
      <c r="A96" s="13">
        <v>95</v>
      </c>
      <c r="B96" s="15" t="s">
        <v>90</v>
      </c>
      <c r="C96" s="13">
        <v>82</v>
      </c>
      <c r="D96" s="13">
        <v>100</v>
      </c>
      <c r="E96" s="13">
        <v>1300</v>
      </c>
      <c r="F96" s="13">
        <v>131</v>
      </c>
      <c r="G96" s="20">
        <f t="shared" si="4"/>
        <v>0.15975609756097561</v>
      </c>
      <c r="H96" s="46">
        <v>15</v>
      </c>
      <c r="I96" s="50">
        <f>ROUND((Table2[[#This Row],[Air Drag]]+0.3504)/293.4,2)</f>
        <v>0.05</v>
      </c>
      <c r="J96" s="18">
        <v>24609</v>
      </c>
      <c r="K96" s="13">
        <f t="shared" si="5"/>
        <v>21</v>
      </c>
      <c r="L96" s="15">
        <f>Table2[[#This Row],[RunCost]]/(23400/255)</f>
        <v>21.446153846153845</v>
      </c>
      <c r="M96" s="18" cm="1">
        <f t="array" ref="M96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147.57647058823528</v>
      </c>
      <c r="N96" s="18">
        <v>1968</v>
      </c>
      <c r="O96" s="55">
        <v>1995</v>
      </c>
      <c r="P96" s="13" t="s">
        <v>9</v>
      </c>
      <c r="Q96" s="13">
        <v>8</v>
      </c>
      <c r="S96" s="13" t="s">
        <v>90</v>
      </c>
      <c r="T96" s="13" t="str">
        <f>CONCATENATE(Table2[[#This Row],[Name]]," - (",Table2[[#This Row],[UKRS Name]],")")</f>
        <v>Class 325 - (Class 325)</v>
      </c>
      <c r="U96" s="13">
        <v>21.032</v>
      </c>
      <c r="V96" s="13">
        <v>246</v>
      </c>
      <c r="X96" s="13" t="s">
        <v>90</v>
      </c>
      <c r="Z96" s="19" t="str">
        <f>CONCATENATE(Table2[[#This Row],[Name]]," (",X96,")")</f>
        <v>Class 325 (Class 325)</v>
      </c>
      <c r="AD96" s="13"/>
    </row>
    <row r="97" spans="1:30" s="21" customFormat="1" ht="11.25" customHeight="1" x14ac:dyDescent="0.25">
      <c r="A97" s="13">
        <v>96</v>
      </c>
      <c r="B97" s="15" t="s">
        <v>91</v>
      </c>
      <c r="C97" s="13">
        <v>100</v>
      </c>
      <c r="D97" s="13">
        <v>100</v>
      </c>
      <c r="E97" s="13">
        <v>1500</v>
      </c>
      <c r="F97" s="13">
        <v>179</v>
      </c>
      <c r="G97" s="20">
        <f t="shared" si="4"/>
        <v>0.17899999999999999</v>
      </c>
      <c r="H97" s="46">
        <v>15</v>
      </c>
      <c r="I97" s="50">
        <f>ROUND((Table2[[#This Row],[Air Drag]]+0.3504)/293.4,2)</f>
        <v>0.05</v>
      </c>
      <c r="J97" s="18">
        <v>35156</v>
      </c>
      <c r="K97" s="13">
        <f t="shared" si="5"/>
        <v>30</v>
      </c>
      <c r="L97" s="15">
        <f>Table2[[#This Row],[RunCost]]/(23400/255)</f>
        <v>23.582051282051282</v>
      </c>
      <c r="M97" s="18" cm="1">
        <f t="array" ref="M97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210.8235294117647</v>
      </c>
      <c r="N97" s="18">
        <v>2164</v>
      </c>
      <c r="O97" s="55">
        <v>1999</v>
      </c>
      <c r="P97" s="13" t="s">
        <v>9</v>
      </c>
      <c r="Q97" s="13">
        <v>8</v>
      </c>
      <c r="R97" s="13"/>
      <c r="S97" s="13" t="s">
        <v>271</v>
      </c>
      <c r="T97" s="13" t="str">
        <f>CONCATENATE(Table2[[#This Row],[Name]]," - (",Table2[[#This Row],[UKRS Name]],")")</f>
        <v>Class 357 'Electrostar' - (Electrostar)</v>
      </c>
      <c r="U97" s="21">
        <v>30.047999999999998</v>
      </c>
      <c r="V97" s="21">
        <v>270.5</v>
      </c>
      <c r="X97" s="21" t="s">
        <v>91</v>
      </c>
      <c r="Z97" s="25" t="str">
        <f>CONCATENATE(Table2[[#This Row],[Name]]," (",X97,")")</f>
        <v>Class 357 'Electrostar' (Electrostar)</v>
      </c>
    </row>
    <row r="98" spans="1:30" ht="11.25" customHeight="1" x14ac:dyDescent="0.25">
      <c r="A98" s="13">
        <v>97</v>
      </c>
      <c r="B98" s="15" t="s">
        <v>92</v>
      </c>
      <c r="C98" s="13">
        <v>104</v>
      </c>
      <c r="D98" s="13">
        <v>140</v>
      </c>
      <c r="E98" s="13">
        <v>6840</v>
      </c>
      <c r="F98" s="13">
        <v>238</v>
      </c>
      <c r="G98" s="20">
        <f t="shared" ref="G98:G101" si="6">F98/10/C98</f>
        <v>0.22884615384615387</v>
      </c>
      <c r="H98" s="46">
        <v>11</v>
      </c>
      <c r="I98" s="50">
        <f>ROUND((Table2[[#This Row],[Air Drag]]+0.3504)/293.4,2)</f>
        <v>0.04</v>
      </c>
      <c r="J98" s="18">
        <v>166406</v>
      </c>
      <c r="K98" s="13">
        <f t="shared" ref="K98:K101" si="7">ROUNDDOWN(J98/1171,0)</f>
        <v>142</v>
      </c>
      <c r="L98" s="15">
        <f>Table2[[#This Row],[RunCost]]/(23400/255)</f>
        <v>125.86538461538461</v>
      </c>
      <c r="M98" s="18" cm="1">
        <f t="array" ref="M98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997.89803921568625</v>
      </c>
      <c r="N98" s="18">
        <v>11550</v>
      </c>
      <c r="O98" s="55">
        <v>2002</v>
      </c>
      <c r="P98" s="13" t="s">
        <v>7</v>
      </c>
      <c r="Q98" s="13">
        <v>8</v>
      </c>
      <c r="S98" s="13" t="s">
        <v>272</v>
      </c>
      <c r="T98" s="13" t="str">
        <f>CONCATENATE(Table2[[#This Row],[Name]]," - (",Table2[[#This Row],[UKRS Name]],")")</f>
        <v>Class 390 'Pendolino' - (Pendolino)</v>
      </c>
      <c r="U98" s="13">
        <v>142.227</v>
      </c>
      <c r="V98" s="13">
        <v>1443.75</v>
      </c>
      <c r="X98" s="13" t="s">
        <v>92</v>
      </c>
      <c r="Z98" s="19" t="str">
        <f>CONCATENATE(Table2[[#This Row],[Name]]," (",X98,")")</f>
        <v>Class 390 'Pendolino' (Pendolino)</v>
      </c>
      <c r="AD98" s="13"/>
    </row>
    <row r="99" spans="1:30" ht="11.25" customHeight="1" x14ac:dyDescent="0.25">
      <c r="A99" s="13">
        <v>98</v>
      </c>
      <c r="B99" s="15" t="s">
        <v>93</v>
      </c>
      <c r="C99" s="13">
        <v>98</v>
      </c>
      <c r="D99" s="13">
        <v>155</v>
      </c>
      <c r="E99" s="13">
        <v>6500</v>
      </c>
      <c r="F99" s="13">
        <v>228</v>
      </c>
      <c r="G99" s="20">
        <f t="shared" si="6"/>
        <v>0.23265306122448981</v>
      </c>
      <c r="H99" s="46">
        <v>15</v>
      </c>
      <c r="I99" s="50">
        <f>ROUND((Table2[[#This Row],[Air Drag]]+0.3504)/293.4,2)</f>
        <v>0.05</v>
      </c>
      <c r="J99" s="18">
        <v>203906</v>
      </c>
      <c r="K99" s="13">
        <f t="shared" si="7"/>
        <v>174</v>
      </c>
      <c r="L99" s="15">
        <f>Table2[[#This Row],[RunCost]]/(23400/255)</f>
        <v>124.42692307692307</v>
      </c>
      <c r="M99" s="18" cm="1">
        <f t="array" ref="M99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1222.7764705882353</v>
      </c>
      <c r="N99" s="18">
        <v>11418</v>
      </c>
      <c r="O99" s="55">
        <v>2016</v>
      </c>
      <c r="P99" s="13" t="s">
        <v>9</v>
      </c>
      <c r="Q99" s="13">
        <v>8</v>
      </c>
      <c r="S99" s="13" t="s">
        <v>273</v>
      </c>
      <c r="T99" s="13" t="str">
        <f>CONCATENATE(Table2[[#This Row],[Name]]," - (",Table2[[#This Row],[UKRS Name]],")")</f>
        <v>Class 395 'A-Train' - (Hitachi A-Train)</v>
      </c>
      <c r="U99" s="13">
        <v>174.279</v>
      </c>
      <c r="V99" s="13">
        <v>1427.25</v>
      </c>
      <c r="X99" s="13" t="s">
        <v>93</v>
      </c>
      <c r="Z99" s="19" t="str">
        <f>CONCATENATE(Table2[[#This Row],[Name]]," (",X99,")")</f>
        <v>Class 395 'A-Train' (Hitachi A-Train)</v>
      </c>
      <c r="AD99" s="13"/>
    </row>
    <row r="100" spans="1:30" ht="11.25" customHeight="1" x14ac:dyDescent="0.25">
      <c r="A100" s="21">
        <v>99</v>
      </c>
      <c r="B100" s="22" t="s">
        <v>569</v>
      </c>
      <c r="C100" s="21">
        <v>142</v>
      </c>
      <c r="D100" s="21">
        <v>115</v>
      </c>
      <c r="E100" s="21">
        <v>3000</v>
      </c>
      <c r="F100" s="21">
        <v>119</v>
      </c>
      <c r="G100" s="23">
        <f t="shared" si="6"/>
        <v>8.380281690140845E-2</v>
      </c>
      <c r="H100" s="44">
        <v>15</v>
      </c>
      <c r="I100" s="48">
        <f>ROUND((Table2[[#This Row],[Air Drag]]+0.3504)/293.4,2)</f>
        <v>0.05</v>
      </c>
      <c r="J100" s="24">
        <v>37500</v>
      </c>
      <c r="K100" s="21">
        <f t="shared" si="7"/>
        <v>32</v>
      </c>
      <c r="L100" s="22">
        <f>Table2[[#This Row],[RunCost]]/(23400/255)</f>
        <v>54.705128205128204</v>
      </c>
      <c r="M100" s="24" cm="1">
        <f t="array" ref="M100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262.27450980392155</v>
      </c>
      <c r="N100" s="24">
        <v>5020</v>
      </c>
      <c r="O100" s="53">
        <v>2010</v>
      </c>
      <c r="P100" s="21" t="s">
        <v>8</v>
      </c>
      <c r="Q100" s="21" t="s">
        <v>565</v>
      </c>
      <c r="R100" s="21" t="s">
        <v>574</v>
      </c>
      <c r="S100" s="21" t="s">
        <v>571</v>
      </c>
      <c r="T100" s="21" t="str">
        <f>CONCATENATE(Table2[[#This Row],[Name]]," - (",Table2[[#This Row],[UKRS Name]],")")</f>
        <v>5AT - (Wardale '5AT')</v>
      </c>
      <c r="U100" s="13"/>
      <c r="V100" s="13"/>
      <c r="Z100" s="19"/>
      <c r="AD100" s="13"/>
    </row>
    <row r="101" spans="1:30" s="21" customFormat="1" ht="11.25" customHeight="1" x14ac:dyDescent="0.25">
      <c r="A101" s="21">
        <v>100</v>
      </c>
      <c r="B101" s="22" t="s">
        <v>570</v>
      </c>
      <c r="C101" s="21">
        <v>155</v>
      </c>
      <c r="D101" s="21">
        <v>150</v>
      </c>
      <c r="E101" s="21">
        <v>4000</v>
      </c>
      <c r="F101" s="21">
        <v>172</v>
      </c>
      <c r="G101" s="23">
        <f t="shared" si="6"/>
        <v>0.11096774193548387</v>
      </c>
      <c r="H101" s="44">
        <v>14</v>
      </c>
      <c r="I101" s="48">
        <f>ROUND((Table2[[#This Row],[Air Drag]]+0.3504)/293.4,2)</f>
        <v>0.05</v>
      </c>
      <c r="J101" s="24">
        <v>42187</v>
      </c>
      <c r="K101" s="21">
        <f t="shared" si="7"/>
        <v>36</v>
      </c>
      <c r="L101" s="22">
        <f>Table2[[#This Row],[RunCost]]/(23400/255)</f>
        <v>61.134615384615387</v>
      </c>
      <c r="M101" s="24" cm="1">
        <f t="array" ref="M101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295.05882352941171</v>
      </c>
      <c r="N101" s="24">
        <v>5610</v>
      </c>
      <c r="O101" s="53">
        <v>2032</v>
      </c>
      <c r="P101" s="21" t="s">
        <v>8</v>
      </c>
      <c r="Q101" s="21" t="s">
        <v>565</v>
      </c>
      <c r="R101" s="21" t="s">
        <v>574</v>
      </c>
      <c r="S101" s="21" t="s">
        <v>570</v>
      </c>
      <c r="T101" s="21" t="str">
        <f>CONCATENATE(Table2[[#This Row],[Name]]," - (",Table2[[#This Row],[UKRS Name]],")")</f>
        <v>Wardale '604' - (Wardale '604')</v>
      </c>
      <c r="Z101" s="25"/>
    </row>
    <row r="102" spans="1:30" ht="11.25" customHeight="1" x14ac:dyDescent="0.25">
      <c r="A102" s="13">
        <v>101</v>
      </c>
      <c r="B102" s="15" t="s">
        <v>616</v>
      </c>
      <c r="C102" s="13">
        <v>46</v>
      </c>
      <c r="D102" s="13">
        <v>40</v>
      </c>
      <c r="E102" s="13">
        <v>300</v>
      </c>
      <c r="F102" s="13">
        <v>54</v>
      </c>
      <c r="G102" s="20">
        <f>F102/10/C102</f>
        <v>0.11739130434782609</v>
      </c>
      <c r="H102" s="46">
        <v>41</v>
      </c>
      <c r="I102" s="50">
        <f>ROUND((Table2[[#This Row],[Air Drag]]+0.3504)/293.4,2)</f>
        <v>0.14000000000000001</v>
      </c>
      <c r="J102" s="18">
        <v>7031</v>
      </c>
      <c r="K102" s="51">
        <f>ROUNDDOWN(J102/1171,0)</f>
        <v>6</v>
      </c>
      <c r="L102" s="15">
        <f>Table2[[#This Row],[RunCost]]/(23400/255)</f>
        <v>6.4294871794871797</v>
      </c>
      <c r="M102" s="18" cm="1">
        <f t="array" ref="M102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42.164705882352941</v>
      </c>
      <c r="N102" s="18">
        <v>590</v>
      </c>
      <c r="O102" s="55">
        <v>1903</v>
      </c>
      <c r="P102" s="13">
        <v>3</v>
      </c>
      <c r="Q102" s="13">
        <v>7</v>
      </c>
      <c r="R102" s="15"/>
      <c r="S102" s="15"/>
      <c r="T102" s="15" t="str">
        <f>CONCATENATE(Table2[[#This Row],[Name]]," - (",Table2[[#This Row],[UKRS Name]],")")</f>
        <v xml:space="preserve"> - (Gate Tube)</v>
      </c>
    </row>
    <row r="103" spans="1:30" ht="11.25" customHeight="1" x14ac:dyDescent="0.25">
      <c r="A103" s="13">
        <v>102</v>
      </c>
      <c r="B103" s="15" t="s">
        <v>617</v>
      </c>
      <c r="C103" s="13">
        <v>48</v>
      </c>
      <c r="D103" s="13">
        <v>45</v>
      </c>
      <c r="E103" s="13">
        <v>400</v>
      </c>
      <c r="F103" s="13">
        <v>64</v>
      </c>
      <c r="G103" s="20">
        <f>F103/10/C103</f>
        <v>0.13333333333333333</v>
      </c>
      <c r="H103" s="46">
        <v>36</v>
      </c>
      <c r="I103" s="50">
        <f>ROUND((Table2[[#This Row],[Air Drag]]+0.3504)/293.4,2)</f>
        <v>0.12</v>
      </c>
      <c r="J103" s="18">
        <v>9375</v>
      </c>
      <c r="K103" s="51">
        <f>ROUNDDOWN(J103/1171,0)</f>
        <v>8</v>
      </c>
      <c r="L103" s="15">
        <f>Table2[[#This Row],[RunCost]]/(23400/255)</f>
        <v>7.8461538461538458</v>
      </c>
      <c r="M103" s="18" cm="1">
        <f t="array" ref="M103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56.219607843137254</v>
      </c>
      <c r="N103" s="18">
        <v>720</v>
      </c>
      <c r="O103" s="55">
        <v>1938</v>
      </c>
      <c r="P103" s="13">
        <v>3</v>
      </c>
      <c r="Q103" s="13">
        <v>7</v>
      </c>
      <c r="R103" s="15"/>
      <c r="S103" s="15"/>
      <c r="T103" s="15" t="str">
        <f>CONCATENATE(Table2[[#This Row],[Name]]," - (",Table2[[#This Row],[UKRS Name]],")")</f>
        <v xml:space="preserve"> - (New Works Tube)</v>
      </c>
    </row>
    <row r="104" spans="1:30" ht="11.25" customHeight="1" x14ac:dyDescent="0.25">
      <c r="A104" s="13">
        <v>103</v>
      </c>
      <c r="B104" s="15" t="s">
        <v>618</v>
      </c>
      <c r="C104" s="13">
        <v>44</v>
      </c>
      <c r="D104" s="13">
        <v>50</v>
      </c>
      <c r="E104" s="13">
        <v>500</v>
      </c>
      <c r="F104" s="13">
        <v>79</v>
      </c>
      <c r="G104" s="20">
        <f>F104/10/C104</f>
        <v>0.17954545454545456</v>
      </c>
      <c r="H104" s="46">
        <v>32</v>
      </c>
      <c r="I104" s="50">
        <f>ROUND((Table2[[#This Row],[Air Drag]]+0.3504)/293.4,2)</f>
        <v>0.11</v>
      </c>
      <c r="J104" s="18">
        <v>10546</v>
      </c>
      <c r="K104" s="51">
        <f>ROUNDDOWN(J104/1171,0)</f>
        <v>9</v>
      </c>
      <c r="L104" s="15">
        <f>Table2[[#This Row],[RunCost]]/(23400/255)</f>
        <v>9.2846153846153854</v>
      </c>
      <c r="M104" s="18" cm="1">
        <f t="array" ref="M104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63.247058823529414</v>
      </c>
      <c r="N104" s="18">
        <v>852</v>
      </c>
      <c r="O104" s="55">
        <v>1967</v>
      </c>
      <c r="P104" s="13">
        <v>3</v>
      </c>
      <c r="Q104" s="13">
        <v>7</v>
      </c>
      <c r="R104" s="15"/>
      <c r="S104" s="15"/>
      <c r="T104" s="15" t="str">
        <f>CONCATENATE(Table2[[#This Row],[Name]]," - (",Table2[[#This Row],[UKRS Name]],")")</f>
        <v xml:space="preserve"> - (Victoria Tube)</v>
      </c>
    </row>
    <row r="105" spans="1:30" ht="11.25" customHeight="1" x14ac:dyDescent="0.25">
      <c r="A105" s="13">
        <v>104</v>
      </c>
      <c r="B105" s="15" t="s">
        <v>619</v>
      </c>
      <c r="C105" s="13">
        <v>46</v>
      </c>
      <c r="D105" s="13">
        <v>60</v>
      </c>
      <c r="E105" s="13">
        <v>600</v>
      </c>
      <c r="F105" s="13">
        <v>79</v>
      </c>
      <c r="G105" s="20">
        <f>F105/10/C105</f>
        <v>0.17173913043478262</v>
      </c>
      <c r="H105" s="46">
        <v>27</v>
      </c>
      <c r="I105" s="50">
        <f>ROUND((Table2[[#This Row],[Air Drag]]+0.3504)/293.4,2)</f>
        <v>0.09</v>
      </c>
      <c r="J105" s="18">
        <v>12890</v>
      </c>
      <c r="K105" s="51">
        <f>ROUNDDOWN(J105/1171,0)</f>
        <v>11</v>
      </c>
      <c r="L105" s="15">
        <f>Table2[[#This Row],[RunCost]]/(23400/255)</f>
        <v>10.723076923076922</v>
      </c>
      <c r="M105" s="18" cm="1">
        <f t="array" ref="M105">_xlfn.SWITCH(Table2[[#This Row],[Propulsion]],"S",Table2[[#This Row],[Cost Factor]]*(2090/255),"D",Table2[[#This Row],[Cost Factor]]*(1942/255),"E",Table2[[#This Row],[Cost Factor]]*(1792/255),"M",Table2[[#This Row],[Cost Factor]]*(1792/255),3,Table2[[#This Row],[Cost Factor]]*(1792/255))</f>
        <v>77.301960784313721</v>
      </c>
      <c r="N105" s="18">
        <v>984</v>
      </c>
      <c r="O105" s="55">
        <v>1992</v>
      </c>
      <c r="P105" s="13">
        <v>3</v>
      </c>
      <c r="Q105" s="13">
        <v>7</v>
      </c>
      <c r="R105" s="15"/>
      <c r="S105" s="15"/>
      <c r="T105" s="15" t="str">
        <f>CONCATENATE(Table2[[#This Row],[Name]]," - (",Table2[[#This Row],[UKRS Name]],")")</f>
        <v xml:space="preserve"> - (Adtranz Tube)</v>
      </c>
    </row>
  </sheetData>
  <phoneticPr fontId="7" type="noConversion"/>
  <conditionalFormatting sqref="J2:J76">
    <cfRule type="colorScale" priority="32">
      <colorScale>
        <cfvo type="min"/>
        <cfvo type="max"/>
        <color rgb="FF92D050"/>
        <color rgb="FFC00000"/>
      </colorScale>
    </cfRule>
  </conditionalFormatting>
  <conditionalFormatting sqref="N2:N76">
    <cfRule type="colorScale" priority="31">
      <colorScale>
        <cfvo type="min"/>
        <cfvo type="max"/>
        <color rgb="FF92D050"/>
        <color rgb="FFC00000"/>
      </colorScale>
    </cfRule>
  </conditionalFormatting>
  <conditionalFormatting sqref="J77:J99">
    <cfRule type="colorScale" priority="30">
      <colorScale>
        <cfvo type="min"/>
        <cfvo type="max"/>
        <color rgb="FF92D050"/>
        <color rgb="FFFF0000"/>
      </colorScale>
    </cfRule>
  </conditionalFormatting>
  <conditionalFormatting sqref="N77:N99">
    <cfRule type="colorScale" priority="29">
      <colorScale>
        <cfvo type="min"/>
        <cfvo type="max"/>
        <color rgb="FF92D050"/>
        <color rgb="FFC00000"/>
      </colorScale>
    </cfRule>
  </conditionalFormatting>
  <conditionalFormatting sqref="M2:M76">
    <cfRule type="colorScale" priority="24">
      <colorScale>
        <cfvo type="min"/>
        <cfvo type="max"/>
        <color rgb="FF92D050"/>
        <color rgb="FFC00000"/>
      </colorScale>
    </cfRule>
  </conditionalFormatting>
  <conditionalFormatting sqref="M77:M99">
    <cfRule type="colorScale" priority="22">
      <colorScale>
        <cfvo type="min"/>
        <cfvo type="max"/>
        <color rgb="FF92D050"/>
        <color rgb="FFC00000"/>
      </colorScale>
    </cfRule>
  </conditionalFormatting>
  <conditionalFormatting sqref="P2:P99 R102:S1048576">
    <cfRule type="cellIs" dxfId="58" priority="17" operator="equal">
      <formula>"M"</formula>
    </cfRule>
    <cfRule type="cellIs" dxfId="57" priority="18" operator="equal">
      <formula>3</formula>
    </cfRule>
    <cfRule type="cellIs" dxfId="56" priority="19" operator="equal">
      <formula>"E"</formula>
    </cfRule>
    <cfRule type="cellIs" dxfId="55" priority="20" operator="equal">
      <formula>"D"</formula>
    </cfRule>
    <cfRule type="cellIs" dxfId="54" priority="21" operator="equal">
      <formula>"S"</formula>
    </cfRule>
  </conditionalFormatting>
  <conditionalFormatting sqref="J100">
    <cfRule type="colorScale" priority="16">
      <colorScale>
        <cfvo type="min"/>
        <cfvo type="max"/>
        <color rgb="FF92D050"/>
        <color rgb="FFC00000"/>
      </colorScale>
    </cfRule>
  </conditionalFormatting>
  <conditionalFormatting sqref="N100">
    <cfRule type="colorScale" priority="15">
      <colorScale>
        <cfvo type="min"/>
        <cfvo type="max"/>
        <color rgb="FF92D050"/>
        <color rgb="FFC00000"/>
      </colorScale>
    </cfRule>
  </conditionalFormatting>
  <conditionalFormatting sqref="M100">
    <cfRule type="colorScale" priority="14">
      <colorScale>
        <cfvo type="min"/>
        <cfvo type="max"/>
        <color rgb="FF92D050"/>
        <color rgb="FFC00000"/>
      </colorScale>
    </cfRule>
  </conditionalFormatting>
  <conditionalFormatting sqref="P100">
    <cfRule type="cellIs" dxfId="53" priority="9" operator="equal">
      <formula>"M"</formula>
    </cfRule>
    <cfRule type="cellIs" dxfId="52" priority="10" operator="equal">
      <formula>3</formula>
    </cfRule>
    <cfRule type="cellIs" dxfId="51" priority="11" operator="equal">
      <formula>"E"</formula>
    </cfRule>
    <cfRule type="cellIs" dxfId="50" priority="12" operator="equal">
      <formula>"D"</formula>
    </cfRule>
    <cfRule type="cellIs" dxfId="49" priority="13" operator="equal">
      <formula>"S"</formula>
    </cfRule>
  </conditionalFormatting>
  <conditionalFormatting sqref="J101">
    <cfRule type="colorScale" priority="8">
      <colorScale>
        <cfvo type="min"/>
        <cfvo type="max"/>
        <color rgb="FF92D050"/>
        <color rgb="FFC00000"/>
      </colorScale>
    </cfRule>
  </conditionalFormatting>
  <conditionalFormatting sqref="N101">
    <cfRule type="colorScale" priority="7">
      <colorScale>
        <cfvo type="min"/>
        <cfvo type="max"/>
        <color rgb="FF92D050"/>
        <color rgb="FFC00000"/>
      </colorScale>
    </cfRule>
  </conditionalFormatting>
  <conditionalFormatting sqref="M101">
    <cfRule type="colorScale" priority="6">
      <colorScale>
        <cfvo type="min"/>
        <cfvo type="max"/>
        <color rgb="FF92D050"/>
        <color rgb="FFC00000"/>
      </colorScale>
    </cfRule>
  </conditionalFormatting>
  <conditionalFormatting sqref="P101">
    <cfRule type="cellIs" dxfId="48" priority="1" operator="equal">
      <formula>"M"</formula>
    </cfRule>
    <cfRule type="cellIs" dxfId="47" priority="2" operator="equal">
      <formula>3</formula>
    </cfRule>
    <cfRule type="cellIs" dxfId="46" priority="3" operator="equal">
      <formula>"E"</formula>
    </cfRule>
    <cfRule type="cellIs" dxfId="45" priority="4" operator="equal">
      <formula>"D"</formula>
    </cfRule>
    <cfRule type="cellIs" dxfId="44" priority="5" operator="equal">
      <formula>"S"</formula>
    </cfRule>
  </conditionalFormatting>
  <pageMargins left="0.7" right="0.7" top="0.75" bottom="0.75" header="0.3" footer="0.3"/>
  <pageSetup paperSize="9" orientation="portrait" r:id="rId1"/>
  <ignoredErrors>
    <ignoredError sqref="Q33" twoDigitTextYear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F7ED-5695-4CE1-BF5A-80E789BE5EBA}">
  <dimension ref="A1:X1048576"/>
  <sheetViews>
    <sheetView tabSelected="1" zoomScaleNormal="100" workbookViewId="0">
      <pane ySplit="1" topLeftCell="A2" activePane="bottomLeft" state="frozen"/>
      <selection pane="bottomLeft" activeCell="M13" sqref="M13"/>
    </sheetView>
  </sheetViews>
  <sheetFormatPr defaultRowHeight="15" x14ac:dyDescent="0.25"/>
  <cols>
    <col min="1" max="1" width="7.140625" style="32" bestFit="1" customWidth="1"/>
    <col min="2" max="2" width="16.5703125" style="32" bestFit="1" customWidth="1"/>
    <col min="3" max="3" width="11.28515625" style="35" bestFit="1" customWidth="1"/>
    <col min="4" max="4" width="10.42578125" style="37" bestFit="1" customWidth="1"/>
    <col min="5" max="5" width="9" style="42" bestFit="1" customWidth="1"/>
    <col min="6" max="6" width="13.140625" style="42" bestFit="1" customWidth="1"/>
    <col min="7" max="7" width="14.28515625" bestFit="1" customWidth="1"/>
    <col min="8" max="8" width="13.7109375" style="35" bestFit="1" customWidth="1"/>
    <col min="9" max="9" width="11.7109375" style="36" bestFit="1" customWidth="1"/>
    <col min="10" max="10" width="12" style="42" bestFit="1" customWidth="1"/>
    <col min="11" max="11" width="13.42578125" style="42" bestFit="1" customWidth="1"/>
    <col min="12" max="12" width="11" style="32" bestFit="1" customWidth="1"/>
    <col min="13" max="15" width="14.7109375" style="32" customWidth="1"/>
    <col min="16" max="16" width="14" style="32" bestFit="1" customWidth="1"/>
    <col min="17" max="17" width="14.42578125" style="32" bestFit="1" customWidth="1"/>
    <col min="18" max="18" width="11" style="32" customWidth="1"/>
    <col min="19" max="20" width="16.5703125" style="32" bestFit="1" customWidth="1"/>
    <col min="21" max="16384" width="9.140625" style="32"/>
  </cols>
  <sheetData>
    <row r="1" spans="1:24" s="12" customFormat="1" ht="12.75" x14ac:dyDescent="0.25">
      <c r="A1" s="12" t="s">
        <v>10</v>
      </c>
      <c r="B1" s="14" t="s">
        <v>19</v>
      </c>
      <c r="C1" s="33" t="s">
        <v>233</v>
      </c>
      <c r="D1" s="12" t="s">
        <v>234</v>
      </c>
      <c r="E1" s="41" t="s">
        <v>317</v>
      </c>
      <c r="F1" s="41" t="s">
        <v>593</v>
      </c>
      <c r="G1" s="33" t="s">
        <v>318</v>
      </c>
      <c r="H1" s="12" t="s">
        <v>555</v>
      </c>
      <c r="I1" s="12" t="s">
        <v>320</v>
      </c>
      <c r="J1" s="41" t="s">
        <v>319</v>
      </c>
      <c r="K1" s="12" t="s">
        <v>322</v>
      </c>
      <c r="L1" s="12" t="s">
        <v>559</v>
      </c>
      <c r="M1" s="12" t="s">
        <v>595</v>
      </c>
      <c r="N1" s="12" t="s">
        <v>602</v>
      </c>
      <c r="O1" s="12" t="s">
        <v>603</v>
      </c>
      <c r="P1" s="12" t="s">
        <v>601</v>
      </c>
      <c r="Q1" s="12" t="s">
        <v>596</v>
      </c>
      <c r="R1" s="12" t="s">
        <v>576</v>
      </c>
      <c r="S1" s="12" t="s">
        <v>590</v>
      </c>
      <c r="X1" s="12" t="s">
        <v>594</v>
      </c>
    </row>
    <row r="2" spans="1:24" ht="11.25" x14ac:dyDescent="0.2">
      <c r="A2" s="37">
        <v>1</v>
      </c>
      <c r="B2" s="37" t="s">
        <v>479</v>
      </c>
      <c r="C2" s="35">
        <v>10</v>
      </c>
      <c r="D2" s="37">
        <v>45</v>
      </c>
      <c r="E2" s="24">
        <v>726</v>
      </c>
      <c r="F2" s="42">
        <f>ROUNDDOWN((1494/255)*Table1[[#This Row],[Cost Factor]],0)</f>
        <v>181</v>
      </c>
      <c r="G2" s="34">
        <f>VLOOKUP(Table1[[#This Row],[Cost]],'Wagon Costs'!D:E,2)</f>
        <v>31</v>
      </c>
      <c r="H2" s="22">
        <f>Table1[[#This Row],[RunCost]]/(124/255)</f>
        <v>37.016129032258064</v>
      </c>
      <c r="I2" s="24">
        <f>IF(X2=1,Table1[[#This Row],[RC Factor?]]*(1792/255),0)</f>
        <v>0</v>
      </c>
      <c r="J2" s="24">
        <v>18</v>
      </c>
      <c r="K2" s="37">
        <v>1800</v>
      </c>
      <c r="L2" s="37">
        <v>3</v>
      </c>
      <c r="M2" s="37">
        <v>9</v>
      </c>
      <c r="N2" s="37">
        <f>Table1[[#This Row],[Capacity (D)]]*2</f>
        <v>18</v>
      </c>
      <c r="O2" s="37">
        <f>Table1[[#This Row],[Capacity (D)]]*4</f>
        <v>36</v>
      </c>
      <c r="P2" s="37">
        <v>18</v>
      </c>
      <c r="Q2" s="37">
        <v>18</v>
      </c>
      <c r="R2" s="37" t="s">
        <v>597</v>
      </c>
      <c r="S2" s="37" t="s">
        <v>479</v>
      </c>
      <c r="X2" s="32">
        <v>0</v>
      </c>
    </row>
    <row r="3" spans="1:24" ht="11.25" x14ac:dyDescent="0.2">
      <c r="A3" s="37">
        <v>2</v>
      </c>
      <c r="B3" s="37" t="s">
        <v>480</v>
      </c>
      <c r="C3" s="35">
        <v>15</v>
      </c>
      <c r="D3" s="37">
        <v>60</v>
      </c>
      <c r="E3" s="42">
        <v>1382</v>
      </c>
      <c r="F3" s="42">
        <f>ROUNDDOWN((1494/255)*Table1[[#This Row],[Cost Factor]],0)</f>
        <v>345</v>
      </c>
      <c r="G3" s="34">
        <f>VLOOKUP(Table1[[#This Row],[Cost]],'Wagon Costs'!D:E,2)</f>
        <v>59</v>
      </c>
      <c r="H3" s="22">
        <f>Table1[[#This Row],[RunCost]]/(124/255)</f>
        <v>57.58064516129032</v>
      </c>
      <c r="I3" s="24">
        <f>IF(X3=1,Table1[[#This Row],[RC Factor?]]*(1792/255),0)</f>
        <v>0</v>
      </c>
      <c r="J3" s="42">
        <v>28</v>
      </c>
      <c r="K3" s="37">
        <v>1840</v>
      </c>
      <c r="L3" s="37">
        <v>4</v>
      </c>
      <c r="M3" s="37">
        <v>14</v>
      </c>
      <c r="N3" s="37">
        <f>Table1[[#This Row],[Capacity (D)]]*2</f>
        <v>28</v>
      </c>
      <c r="O3" s="37">
        <f>Table1[[#This Row],[Capacity (D)]]*4</f>
        <v>56</v>
      </c>
      <c r="P3" s="37">
        <v>24</v>
      </c>
      <c r="Q3" s="37">
        <v>24</v>
      </c>
      <c r="R3" s="37" t="s">
        <v>597</v>
      </c>
      <c r="S3" s="37" t="s">
        <v>480</v>
      </c>
    </row>
    <row r="4" spans="1:24" ht="11.25" x14ac:dyDescent="0.2">
      <c r="A4" s="37">
        <v>3</v>
      </c>
      <c r="B4" s="37" t="s">
        <v>481</v>
      </c>
      <c r="C4" s="35">
        <v>21</v>
      </c>
      <c r="D4" s="37">
        <v>70</v>
      </c>
      <c r="E4" s="42">
        <v>2179</v>
      </c>
      <c r="F4" s="42">
        <f>ROUNDDOWN((1494/255)*Table1[[#This Row],[Cost Factor]],0)</f>
        <v>544</v>
      </c>
      <c r="G4" s="34">
        <f>VLOOKUP(Table1[[#This Row],[Cost]],'Wagon Costs'!D:E,2)</f>
        <v>93</v>
      </c>
      <c r="H4" s="22">
        <f>Table1[[#This Row],[RunCost]]/(124/255)</f>
        <v>86.370967741935488</v>
      </c>
      <c r="I4" s="24">
        <f>IF(X4=1,Table1[[#This Row],[RC Factor?]]*(1792/255),0)</f>
        <v>0</v>
      </c>
      <c r="J4" s="42">
        <v>42</v>
      </c>
      <c r="K4" s="37">
        <v>1850</v>
      </c>
      <c r="L4" s="37">
        <v>5</v>
      </c>
      <c r="M4" s="37">
        <v>20</v>
      </c>
      <c r="N4" s="37">
        <f>Table1[[#This Row],[Capacity (D)]]*2</f>
        <v>40</v>
      </c>
      <c r="O4" s="37">
        <f>Table1[[#This Row],[Capacity (D)]]*4</f>
        <v>80</v>
      </c>
      <c r="P4" s="37">
        <v>30</v>
      </c>
      <c r="Q4" s="37">
        <v>30</v>
      </c>
      <c r="R4" s="37" t="s">
        <v>597</v>
      </c>
      <c r="S4" s="37" t="s">
        <v>481</v>
      </c>
    </row>
    <row r="5" spans="1:24" ht="11.25" x14ac:dyDescent="0.2">
      <c r="A5" s="37">
        <v>4</v>
      </c>
      <c r="B5" s="37" t="s">
        <v>578</v>
      </c>
      <c r="C5" s="35">
        <v>28</v>
      </c>
      <c r="D5" s="37">
        <v>80</v>
      </c>
      <c r="E5" s="42">
        <v>2437</v>
      </c>
      <c r="F5" s="42">
        <f>ROUNDDOWN((1494/255)*Table1[[#This Row],[Cost Factor]],0)</f>
        <v>609</v>
      </c>
      <c r="G5" s="34">
        <f>VLOOKUP(Table1[[#This Row],[Cost]],'Wagon Costs'!D:E,2)</f>
        <v>104</v>
      </c>
      <c r="H5" s="22">
        <f>Table1[[#This Row],[RunCost]]/(124/255)</f>
        <v>127.5</v>
      </c>
      <c r="I5" s="24">
        <f>IF(X5=1,Table1[[#This Row],[RC Factor?]]*(1792/255),0)</f>
        <v>0</v>
      </c>
      <c r="J5" s="42">
        <v>62</v>
      </c>
      <c r="K5" s="37">
        <v>1880</v>
      </c>
      <c r="L5" s="37">
        <v>7</v>
      </c>
      <c r="M5" s="37">
        <v>30</v>
      </c>
      <c r="N5" s="37">
        <f>Table1[[#This Row],[Capacity (D)]]*2</f>
        <v>60</v>
      </c>
      <c r="O5" s="37">
        <f>Table1[[#This Row],[Capacity (D)]]*4</f>
        <v>120</v>
      </c>
      <c r="P5" s="37">
        <v>50</v>
      </c>
      <c r="Q5" s="37">
        <v>42</v>
      </c>
      <c r="R5" s="37" t="s">
        <v>597</v>
      </c>
      <c r="S5" s="37" t="s">
        <v>578</v>
      </c>
    </row>
    <row r="6" spans="1:24" ht="11.25" x14ac:dyDescent="0.2">
      <c r="A6" s="37">
        <v>5</v>
      </c>
      <c r="B6" s="37" t="s">
        <v>577</v>
      </c>
      <c r="C6" s="35">
        <v>50</v>
      </c>
      <c r="D6" s="37">
        <v>120</v>
      </c>
      <c r="E6" s="42">
        <v>5929</v>
      </c>
      <c r="F6" s="42">
        <f>ROUNDDOWN((1494/255)*Table1[[#This Row],[Cost Factor]],0)</f>
        <v>1494</v>
      </c>
      <c r="G6" s="34">
        <f>VLOOKUP(Table1[[#This Row],[Cost]],'Wagon Costs'!D:E,2)</f>
        <v>255</v>
      </c>
      <c r="H6" s="22">
        <f>Table1[[#This Row],[RunCost]]/(124/255)</f>
        <v>255</v>
      </c>
      <c r="I6" s="24">
        <f>IF(X6=1,Table1[[#This Row],[RC Factor?]]*(1792/255),0)</f>
        <v>0</v>
      </c>
      <c r="J6" s="42">
        <v>124</v>
      </c>
      <c r="K6" s="37">
        <v>1925</v>
      </c>
      <c r="L6" s="37">
        <v>7</v>
      </c>
      <c r="M6" s="37">
        <v>30</v>
      </c>
      <c r="N6" s="37">
        <f>Table1[[#This Row],[Capacity (D)]]*2</f>
        <v>60</v>
      </c>
      <c r="O6" s="37">
        <f>Table1[[#This Row],[Capacity (D)]]*4</f>
        <v>120</v>
      </c>
      <c r="P6" s="37">
        <v>50</v>
      </c>
      <c r="Q6" s="37">
        <v>45</v>
      </c>
      <c r="R6" s="37" t="s">
        <v>597</v>
      </c>
      <c r="S6" s="37" t="s">
        <v>577</v>
      </c>
    </row>
    <row r="7" spans="1:24" ht="11.25" x14ac:dyDescent="0.2">
      <c r="A7" s="37">
        <v>6</v>
      </c>
      <c r="B7" s="37" t="s">
        <v>484</v>
      </c>
      <c r="C7" s="35">
        <v>33</v>
      </c>
      <c r="D7" s="37">
        <v>100</v>
      </c>
      <c r="E7" s="42">
        <v>3398</v>
      </c>
      <c r="F7" s="42">
        <f>ROUNDDOWN((1494/255)*Table1[[#This Row],[Cost Factor]],0)</f>
        <v>855</v>
      </c>
      <c r="G7" s="34">
        <f>VLOOKUP(Table1[[#This Row],[Cost]],'Wagon Costs'!D:E,2)</f>
        <v>146</v>
      </c>
      <c r="H7" s="22">
        <f>Table1[[#This Row],[RunCost]]/(124/255)</f>
        <v>152.17741935483872</v>
      </c>
      <c r="I7" s="24">
        <f>IF(X7=1,Table1[[#This Row],[RC Factor?]]*(1792/255),0)</f>
        <v>0</v>
      </c>
      <c r="J7" s="42">
        <v>74</v>
      </c>
      <c r="K7" s="37">
        <v>1912</v>
      </c>
      <c r="L7" s="37">
        <v>8</v>
      </c>
      <c r="M7" s="37">
        <v>35</v>
      </c>
      <c r="N7" s="37">
        <f>Table1[[#This Row],[Capacity (D)]]*2</f>
        <v>70</v>
      </c>
      <c r="O7" s="37">
        <f>Table1[[#This Row],[Capacity (D)]]*4</f>
        <v>140</v>
      </c>
      <c r="P7" s="37">
        <v>60</v>
      </c>
      <c r="Q7" s="37">
        <v>48</v>
      </c>
      <c r="R7" s="37" t="s">
        <v>597</v>
      </c>
      <c r="S7" s="37" t="s">
        <v>484</v>
      </c>
    </row>
    <row r="8" spans="1:24" ht="11.25" x14ac:dyDescent="0.2">
      <c r="A8" s="37">
        <v>7</v>
      </c>
      <c r="B8" s="37" t="s">
        <v>579</v>
      </c>
      <c r="C8" s="35">
        <v>33</v>
      </c>
      <c r="D8" s="37">
        <v>100</v>
      </c>
      <c r="E8" s="42">
        <v>3398</v>
      </c>
      <c r="F8" s="42">
        <f>ROUNDDOWN((1494/255)*Table1[[#This Row],[Cost Factor]],0)</f>
        <v>855</v>
      </c>
      <c r="G8" s="34">
        <f>VLOOKUP(Table1[[#This Row],[Cost]],'Wagon Costs'!D:E,2)</f>
        <v>146</v>
      </c>
      <c r="H8" s="22">
        <f>Table1[[#This Row],[RunCost]]/(124/255)</f>
        <v>152.17741935483872</v>
      </c>
      <c r="I8" s="24">
        <f>IF(X8=1,Table1[[#This Row],[RC Factor?]]*(1792/255),0)</f>
        <v>0</v>
      </c>
      <c r="J8" s="42">
        <v>74</v>
      </c>
      <c r="K8" s="37">
        <v>1948</v>
      </c>
      <c r="L8" s="37">
        <v>8</v>
      </c>
      <c r="M8" s="37">
        <v>35</v>
      </c>
      <c r="N8" s="37">
        <f>Table1[[#This Row],[Capacity (D)]]*2</f>
        <v>70</v>
      </c>
      <c r="O8" s="37">
        <f>Table1[[#This Row],[Capacity (D)]]*4</f>
        <v>140</v>
      </c>
      <c r="P8" s="37">
        <v>60</v>
      </c>
      <c r="Q8" s="37">
        <v>54</v>
      </c>
      <c r="R8" s="37" t="s">
        <v>597</v>
      </c>
      <c r="S8" s="37" t="s">
        <v>579</v>
      </c>
    </row>
    <row r="9" spans="1:24" ht="11.25" x14ac:dyDescent="0.2">
      <c r="A9" s="37">
        <v>8</v>
      </c>
      <c r="B9" s="37" t="s">
        <v>580</v>
      </c>
      <c r="C9" s="35">
        <v>33</v>
      </c>
      <c r="D9" s="37">
        <v>100</v>
      </c>
      <c r="E9" s="42">
        <v>3398</v>
      </c>
      <c r="F9" s="42">
        <f>ROUNDDOWN((1494/255)*Table1[[#This Row],[Cost Factor]],0)</f>
        <v>855</v>
      </c>
      <c r="G9" s="34">
        <f>VLOOKUP(Table1[[#This Row],[Cost]],'Wagon Costs'!D:E,2)</f>
        <v>146</v>
      </c>
      <c r="H9" s="22">
        <f>Table1[[#This Row],[RunCost]]/(124/255)</f>
        <v>152.17741935483872</v>
      </c>
      <c r="I9" s="24">
        <f>IF(X9=1,Table1[[#This Row],[RC Factor?]]*(1792/255),0)</f>
        <v>0</v>
      </c>
      <c r="J9" s="42">
        <v>74</v>
      </c>
      <c r="K9" s="37">
        <v>1969</v>
      </c>
      <c r="L9" s="37">
        <v>8</v>
      </c>
      <c r="M9" s="37">
        <v>35</v>
      </c>
      <c r="N9" s="37">
        <f>Table1[[#This Row],[Capacity (D)]]*2</f>
        <v>70</v>
      </c>
      <c r="O9" s="37">
        <f>Table1[[#This Row],[Capacity (D)]]*4</f>
        <v>140</v>
      </c>
      <c r="P9" s="37">
        <v>60</v>
      </c>
      <c r="Q9" s="37">
        <v>57</v>
      </c>
      <c r="R9" s="37" t="s">
        <v>597</v>
      </c>
      <c r="S9" s="37" t="s">
        <v>580</v>
      </c>
    </row>
    <row r="10" spans="1:24" ht="11.25" x14ac:dyDescent="0.2">
      <c r="A10" s="37">
        <v>9</v>
      </c>
      <c r="B10" s="37" t="s">
        <v>581</v>
      </c>
      <c r="C10" s="35">
        <v>33</v>
      </c>
      <c r="D10" s="37">
        <v>100</v>
      </c>
      <c r="E10" s="42">
        <v>3398</v>
      </c>
      <c r="F10" s="42">
        <f>ROUNDDOWN((1494/255)*Table1[[#This Row],[Cost Factor]],0)</f>
        <v>855</v>
      </c>
      <c r="G10" s="34">
        <f>VLOOKUP(Table1[[#This Row],[Cost]],'Wagon Costs'!D:E,2)</f>
        <v>146</v>
      </c>
      <c r="H10" s="22">
        <f>Table1[[#This Row],[RunCost]]/(124/255)</f>
        <v>152.17741935483872</v>
      </c>
      <c r="I10" s="24">
        <f>IF(X10=1,Table1[[#This Row],[RC Factor?]]*(1792/255),0)</f>
        <v>0</v>
      </c>
      <c r="J10" s="42">
        <v>74</v>
      </c>
      <c r="K10" s="37">
        <v>1985</v>
      </c>
      <c r="L10" s="37">
        <v>8</v>
      </c>
      <c r="M10" s="37">
        <v>35</v>
      </c>
      <c r="N10" s="37">
        <f>Table1[[#This Row],[Capacity (D)]]*2</f>
        <v>70</v>
      </c>
      <c r="O10" s="37">
        <f>Table1[[#This Row],[Capacity (D)]]*4</f>
        <v>140</v>
      </c>
      <c r="P10" s="37">
        <v>60</v>
      </c>
      <c r="Q10" s="37">
        <v>72</v>
      </c>
      <c r="R10" s="37" t="s">
        <v>597</v>
      </c>
      <c r="S10" s="37" t="s">
        <v>581</v>
      </c>
    </row>
    <row r="11" spans="1:24" ht="11.25" x14ac:dyDescent="0.2">
      <c r="A11" s="37">
        <v>10</v>
      </c>
      <c r="B11" s="37" t="s">
        <v>485</v>
      </c>
      <c r="C11" s="35">
        <v>38</v>
      </c>
      <c r="D11" s="37">
        <v>140</v>
      </c>
      <c r="E11" s="42">
        <v>3937</v>
      </c>
      <c r="F11" s="42">
        <f>ROUNDDOWN((1494/255)*Table1[[#This Row],[Cost Factor]],0)</f>
        <v>990</v>
      </c>
      <c r="G11" s="34">
        <f>VLOOKUP(Table1[[#This Row],[Cost]],'Wagon Costs'!D:E,2)</f>
        <v>169</v>
      </c>
      <c r="H11" s="22">
        <f>Table1[[#This Row],[RunCost]]/(124/255)</f>
        <v>152.17741935483872</v>
      </c>
      <c r="I11" s="24">
        <f>IF(X11=1,Table1[[#This Row],[RC Factor?]]*(1792/255),0)</f>
        <v>0</v>
      </c>
      <c r="J11" s="42">
        <v>74</v>
      </c>
      <c r="K11" s="37">
        <v>1974</v>
      </c>
      <c r="L11" s="37">
        <v>8</v>
      </c>
      <c r="M11" s="37">
        <v>35</v>
      </c>
      <c r="N11" s="37">
        <f>Table1[[#This Row],[Capacity (D)]]*2</f>
        <v>70</v>
      </c>
      <c r="O11" s="37">
        <f>Table1[[#This Row],[Capacity (D)]]*4</f>
        <v>140</v>
      </c>
      <c r="P11" s="37">
        <v>80</v>
      </c>
      <c r="Q11" s="37">
        <v>48</v>
      </c>
      <c r="R11" s="37" t="s">
        <v>597</v>
      </c>
      <c r="S11" s="37" t="s">
        <v>485</v>
      </c>
    </row>
    <row r="12" spans="1:24" ht="11.25" x14ac:dyDescent="0.2">
      <c r="A12" s="37">
        <v>11</v>
      </c>
      <c r="B12" s="37" t="s">
        <v>582</v>
      </c>
      <c r="C12" s="35">
        <v>38</v>
      </c>
      <c r="D12" s="37">
        <v>140</v>
      </c>
      <c r="E12" s="42">
        <v>3937</v>
      </c>
      <c r="F12" s="42">
        <f>ROUNDDOWN((1494/255)*Table1[[#This Row],[Cost Factor]],0)</f>
        <v>990</v>
      </c>
      <c r="G12" s="34">
        <f>VLOOKUP(Table1[[#This Row],[Cost]],'Wagon Costs'!D:E,2)</f>
        <v>169</v>
      </c>
      <c r="H12" s="22">
        <f>Table1[[#This Row],[RunCost]]/(124/255)</f>
        <v>152.17741935483872</v>
      </c>
      <c r="I12" s="24">
        <f>IF(X12=1,Table1[[#This Row],[RC Factor?]]*(1792/255),0)</f>
        <v>0</v>
      </c>
      <c r="J12" s="42">
        <v>74</v>
      </c>
      <c r="K12" s="37">
        <v>1985</v>
      </c>
      <c r="L12" s="37">
        <v>8</v>
      </c>
      <c r="M12" s="37">
        <v>35</v>
      </c>
      <c r="N12" s="37">
        <f>Table1[[#This Row],[Capacity (D)]]*2</f>
        <v>70</v>
      </c>
      <c r="O12" s="37">
        <f>Table1[[#This Row],[Capacity (D)]]*4</f>
        <v>140</v>
      </c>
      <c r="P12" s="37">
        <v>80</v>
      </c>
      <c r="Q12" s="37">
        <v>60</v>
      </c>
      <c r="R12" s="37" t="s">
        <v>597</v>
      </c>
      <c r="S12" s="37" t="s">
        <v>582</v>
      </c>
    </row>
    <row r="13" spans="1:24" ht="11.25" x14ac:dyDescent="0.2">
      <c r="A13" s="37">
        <v>12</v>
      </c>
      <c r="B13" s="37" t="s">
        <v>583</v>
      </c>
      <c r="C13" s="35">
        <v>38</v>
      </c>
      <c r="D13" s="37">
        <v>140</v>
      </c>
      <c r="E13" s="42">
        <v>3937</v>
      </c>
      <c r="F13" s="42">
        <f>ROUNDDOWN((1494/255)*Table1[[#This Row],[Cost Factor]],0)</f>
        <v>990</v>
      </c>
      <c r="G13" s="34">
        <f>VLOOKUP(Table1[[#This Row],[Cost]],'Wagon Costs'!D:E,2)</f>
        <v>169</v>
      </c>
      <c r="H13" s="22">
        <f>Table1[[#This Row],[RunCost]]/(124/255)</f>
        <v>152.17741935483872</v>
      </c>
      <c r="I13" s="24">
        <f>IF(X13=1,Table1[[#This Row],[RC Factor?]]*(1792/255),0)</f>
        <v>0</v>
      </c>
      <c r="J13" s="42">
        <v>74</v>
      </c>
      <c r="K13" s="37">
        <v>2000</v>
      </c>
      <c r="L13" s="37">
        <v>8</v>
      </c>
      <c r="M13" s="37">
        <v>35</v>
      </c>
      <c r="N13" s="37">
        <f>Table1[[#This Row],[Capacity (D)]]*2</f>
        <v>70</v>
      </c>
      <c r="O13" s="37">
        <f>Table1[[#This Row],[Capacity (D)]]*4</f>
        <v>140</v>
      </c>
      <c r="P13" s="37">
        <v>80</v>
      </c>
      <c r="Q13" s="37">
        <v>72</v>
      </c>
      <c r="R13" s="37" t="s">
        <v>597</v>
      </c>
      <c r="S13" s="37" t="s">
        <v>583</v>
      </c>
    </row>
    <row r="14" spans="1:24" ht="11.25" x14ac:dyDescent="0.2">
      <c r="A14" s="37">
        <v>13</v>
      </c>
      <c r="B14" s="37" t="s">
        <v>486</v>
      </c>
      <c r="C14" s="35">
        <v>19</v>
      </c>
      <c r="D14" s="37">
        <v>70</v>
      </c>
      <c r="E14" s="42">
        <v>1781</v>
      </c>
      <c r="F14" s="42">
        <f>ROUNDDOWN((1494/255)*Table1[[#This Row],[Cost Factor]],0)</f>
        <v>445</v>
      </c>
      <c r="G14" s="34">
        <f>VLOOKUP(Table1[[#This Row],[Cost]],'Wagon Costs'!D:E,2)</f>
        <v>76</v>
      </c>
      <c r="H14" s="22">
        <f>Table1[[#This Row],[RunCost]]/(124/255)</f>
        <v>45.241935483870968</v>
      </c>
      <c r="I14" s="24">
        <f>IF(X14=1,Table1[[#This Row],[RC Factor?]]*(1792/255),0)</f>
        <v>0</v>
      </c>
      <c r="J14" s="42">
        <v>22</v>
      </c>
      <c r="K14" s="37">
        <v>1850</v>
      </c>
      <c r="L14" s="37">
        <v>5</v>
      </c>
      <c r="M14" s="37">
        <v>20</v>
      </c>
      <c r="N14" s="37">
        <f>Table1[[#This Row],[Capacity (D)]]*2</f>
        <v>40</v>
      </c>
      <c r="O14" s="37">
        <f>Table1[[#This Row],[Capacity (D)]]*4</f>
        <v>80</v>
      </c>
      <c r="P14" s="37">
        <v>30</v>
      </c>
      <c r="Q14" s="37">
        <v>30</v>
      </c>
      <c r="R14" s="37" t="s">
        <v>599</v>
      </c>
      <c r="S14" s="37" t="s">
        <v>486</v>
      </c>
    </row>
    <row r="15" spans="1:24" ht="11.25" x14ac:dyDescent="0.2">
      <c r="A15" s="37">
        <v>14</v>
      </c>
      <c r="B15" s="37" t="s">
        <v>487</v>
      </c>
      <c r="C15" s="35">
        <v>19</v>
      </c>
      <c r="D15" s="37">
        <v>75</v>
      </c>
      <c r="E15" s="42">
        <v>1570</v>
      </c>
      <c r="F15" s="42">
        <f>ROUNDDOWN((1494/255)*Table1[[#This Row],[Cost Factor]],0)</f>
        <v>392</v>
      </c>
      <c r="G15" s="34">
        <f>VLOOKUP(Table1[[#This Row],[Cost]],'Wagon Costs'!D:E,2)</f>
        <v>67</v>
      </c>
      <c r="H15" s="22">
        <f>Table1[[#This Row],[RunCost]]/(124/255)</f>
        <v>45.241935483870968</v>
      </c>
      <c r="I15" s="24">
        <f>IF(X15=1,Table1[[#This Row],[RC Factor?]]*(1792/255),0)</f>
        <v>0</v>
      </c>
      <c r="J15" s="42">
        <v>22</v>
      </c>
      <c r="K15" s="37">
        <v>1890</v>
      </c>
      <c r="L15" s="37">
        <v>5</v>
      </c>
      <c r="M15" s="37">
        <v>20</v>
      </c>
      <c r="N15" s="37">
        <f>Table1[[#This Row],[Capacity (D)]]*2</f>
        <v>40</v>
      </c>
      <c r="O15" s="37">
        <f>Table1[[#This Row],[Capacity (D)]]*4</f>
        <v>80</v>
      </c>
      <c r="P15" s="37">
        <v>30</v>
      </c>
      <c r="Q15" s="37">
        <v>30</v>
      </c>
      <c r="R15" s="37" t="s">
        <v>599</v>
      </c>
      <c r="S15" s="37" t="s">
        <v>487</v>
      </c>
    </row>
    <row r="16" spans="1:24" ht="11.25" x14ac:dyDescent="0.2">
      <c r="A16" s="37">
        <v>15</v>
      </c>
      <c r="B16" s="37" t="s">
        <v>488</v>
      </c>
      <c r="C16" s="35">
        <v>30</v>
      </c>
      <c r="D16" s="37">
        <v>75</v>
      </c>
      <c r="E16" s="42">
        <v>1898</v>
      </c>
      <c r="F16" s="42">
        <f>ROUNDDOWN((1494/255)*Table1[[#This Row],[Cost Factor]],0)</f>
        <v>474</v>
      </c>
      <c r="G16" s="34">
        <f>VLOOKUP(Table1[[#This Row],[Cost]],'Wagon Costs'!D:E,2)</f>
        <v>81</v>
      </c>
      <c r="H16" s="22">
        <f>Table1[[#This Row],[RunCost]]/(124/255)</f>
        <v>65.806451612903231</v>
      </c>
      <c r="I16" s="24">
        <f>IF(X16=1,Table1[[#This Row],[RC Factor?]]*(1792/255),0)</f>
        <v>0</v>
      </c>
      <c r="J16" s="42">
        <v>32</v>
      </c>
      <c r="K16" s="37">
        <v>1890</v>
      </c>
      <c r="L16" s="37">
        <v>7</v>
      </c>
      <c r="M16" s="37">
        <v>30</v>
      </c>
      <c r="N16" s="37">
        <f>Table1[[#This Row],[Capacity (D)]]*2</f>
        <v>60</v>
      </c>
      <c r="O16" s="37">
        <f>Table1[[#This Row],[Capacity (D)]]*4</f>
        <v>120</v>
      </c>
      <c r="P16" s="37">
        <v>40</v>
      </c>
      <c r="Q16" s="37">
        <v>60</v>
      </c>
      <c r="R16" s="37" t="s">
        <v>599</v>
      </c>
      <c r="S16" s="37" t="s">
        <v>488</v>
      </c>
    </row>
    <row r="17" spans="1:19" ht="11.25" x14ac:dyDescent="0.2">
      <c r="A17" s="37">
        <v>16</v>
      </c>
      <c r="B17" s="37" t="s">
        <v>489</v>
      </c>
      <c r="C17" s="35">
        <v>31</v>
      </c>
      <c r="D17" s="37">
        <v>100</v>
      </c>
      <c r="E17" s="42">
        <v>2765</v>
      </c>
      <c r="F17" s="42">
        <f>ROUNDDOWN((1494/255)*Table1[[#This Row],[Cost Factor]],0)</f>
        <v>691</v>
      </c>
      <c r="G17" s="34">
        <f>VLOOKUP(Table1[[#This Row],[Cost]],'Wagon Costs'!D:E,2)</f>
        <v>118</v>
      </c>
      <c r="H17" s="22">
        <f>Table1[[#This Row],[RunCost]]/(124/255)</f>
        <v>69.91935483870968</v>
      </c>
      <c r="I17" s="24">
        <f>IF(X17=1,Table1[[#This Row],[RC Factor?]]*(1792/255),0)</f>
        <v>0</v>
      </c>
      <c r="J17" s="42">
        <v>34</v>
      </c>
      <c r="K17" s="37">
        <v>1910</v>
      </c>
      <c r="L17" s="37">
        <v>8</v>
      </c>
      <c r="M17" s="37">
        <v>30</v>
      </c>
      <c r="N17" s="37">
        <f>Table1[[#This Row],[Capacity (D)]]*2</f>
        <v>60</v>
      </c>
      <c r="O17" s="37">
        <f>Table1[[#This Row],[Capacity (D)]]*4</f>
        <v>120</v>
      </c>
      <c r="P17" s="37">
        <v>40</v>
      </c>
      <c r="Q17" s="37">
        <v>57</v>
      </c>
      <c r="R17" s="37" t="s">
        <v>599</v>
      </c>
      <c r="S17" s="37" t="s">
        <v>489</v>
      </c>
    </row>
    <row r="18" spans="1:19" ht="11.25" x14ac:dyDescent="0.2">
      <c r="A18" s="37">
        <v>17</v>
      </c>
      <c r="B18" s="37" t="s">
        <v>490</v>
      </c>
      <c r="C18" s="35">
        <v>28</v>
      </c>
      <c r="D18" s="37">
        <v>100</v>
      </c>
      <c r="E18" s="42">
        <v>2531</v>
      </c>
      <c r="F18" s="42">
        <f>ROUNDDOWN((1494/255)*Table1[[#This Row],[Cost Factor]],0)</f>
        <v>632</v>
      </c>
      <c r="G18" s="34">
        <f>VLOOKUP(Table1[[#This Row],[Cost]],'Wagon Costs'!D:E,2)</f>
        <v>108</v>
      </c>
      <c r="H18" s="22">
        <f>Table1[[#This Row],[RunCost]]/(124/255)</f>
        <v>69.91935483870968</v>
      </c>
      <c r="I18" s="24">
        <f>IF(X18=1,Table1[[#This Row],[RC Factor?]]*(1792/255),0)</f>
        <v>0</v>
      </c>
      <c r="J18" s="42">
        <v>34</v>
      </c>
      <c r="K18" s="37">
        <v>1935</v>
      </c>
      <c r="L18" s="37">
        <v>7</v>
      </c>
      <c r="M18" s="37">
        <v>30</v>
      </c>
      <c r="N18" s="37">
        <f>Table1[[#This Row],[Capacity (D)]]*2</f>
        <v>60</v>
      </c>
      <c r="O18" s="37">
        <f>Table1[[#This Row],[Capacity (D)]]*4</f>
        <v>120</v>
      </c>
      <c r="P18" s="37">
        <v>40</v>
      </c>
      <c r="Q18" s="37">
        <v>57</v>
      </c>
      <c r="R18" s="37" t="s">
        <v>599</v>
      </c>
      <c r="S18" s="37" t="s">
        <v>490</v>
      </c>
    </row>
    <row r="19" spans="1:19" ht="11.25" x14ac:dyDescent="0.2">
      <c r="A19" s="37">
        <v>18</v>
      </c>
      <c r="B19" s="37" t="s">
        <v>585</v>
      </c>
      <c r="C19" s="35">
        <v>28</v>
      </c>
      <c r="D19" s="37">
        <v>100</v>
      </c>
      <c r="E19" s="42">
        <v>2531</v>
      </c>
      <c r="F19" s="42">
        <f>ROUNDDOWN((1494/255)*Table1[[#This Row],[Cost Factor]],0)</f>
        <v>632</v>
      </c>
      <c r="G19" s="34">
        <f>VLOOKUP(Table1[[#This Row],[Cost]],'Wagon Costs'!D:E,2)</f>
        <v>108</v>
      </c>
      <c r="H19" s="22">
        <f>Table1[[#This Row],[RunCost]]/(124/255)</f>
        <v>69.91935483870968</v>
      </c>
      <c r="I19" s="24">
        <f>IF(X19=1,Table1[[#This Row],[RC Factor?]]*(1792/255),0)</f>
        <v>0</v>
      </c>
      <c r="J19" s="42">
        <v>34</v>
      </c>
      <c r="K19" s="37">
        <v>1969</v>
      </c>
      <c r="L19" s="37">
        <v>7</v>
      </c>
      <c r="M19" s="37">
        <v>30</v>
      </c>
      <c r="N19" s="37">
        <f>Table1[[#This Row],[Capacity (D)]]*2</f>
        <v>60</v>
      </c>
      <c r="O19" s="37">
        <f>Table1[[#This Row],[Capacity (D)]]*4</f>
        <v>120</v>
      </c>
      <c r="P19" s="37">
        <v>40</v>
      </c>
      <c r="Q19" s="37">
        <v>69</v>
      </c>
      <c r="R19" s="37" t="s">
        <v>599</v>
      </c>
      <c r="S19" s="37" t="s">
        <v>585</v>
      </c>
    </row>
    <row r="20" spans="1:19" ht="11.25" x14ac:dyDescent="0.2">
      <c r="A20" s="37">
        <v>19</v>
      </c>
      <c r="B20" s="37" t="s">
        <v>584</v>
      </c>
      <c r="C20" s="35">
        <v>28</v>
      </c>
      <c r="D20" s="37">
        <v>100</v>
      </c>
      <c r="E20" s="42">
        <v>2531</v>
      </c>
      <c r="F20" s="42">
        <f>ROUNDDOWN((1494/255)*Table1[[#This Row],[Cost Factor]],0)</f>
        <v>632</v>
      </c>
      <c r="G20" s="34">
        <f>VLOOKUP(Table1[[#This Row],[Cost]],'Wagon Costs'!D:E,2)</f>
        <v>108</v>
      </c>
      <c r="H20" s="22">
        <f>Table1[[#This Row],[RunCost]]/(124/255)</f>
        <v>69.91935483870968</v>
      </c>
      <c r="I20" s="24">
        <f>IF(X20=1,Table1[[#This Row],[RC Factor?]]*(1792/255),0)</f>
        <v>0</v>
      </c>
      <c r="J20" s="42">
        <v>34</v>
      </c>
      <c r="K20" s="37">
        <v>1985</v>
      </c>
      <c r="L20" s="37">
        <v>7</v>
      </c>
      <c r="M20" s="37">
        <v>30</v>
      </c>
      <c r="N20" s="37">
        <f>Table1[[#This Row],[Capacity (D)]]*2</f>
        <v>60</v>
      </c>
      <c r="O20" s="37">
        <f>Table1[[#This Row],[Capacity (D)]]*4</f>
        <v>120</v>
      </c>
      <c r="P20" s="37">
        <v>40</v>
      </c>
      <c r="Q20" s="37">
        <v>78</v>
      </c>
      <c r="R20" s="37" t="s">
        <v>599</v>
      </c>
      <c r="S20" s="37" t="s">
        <v>584</v>
      </c>
    </row>
    <row r="21" spans="1:19" ht="11.25" x14ac:dyDescent="0.2">
      <c r="A21" s="37">
        <v>20</v>
      </c>
      <c r="B21" s="37" t="s">
        <v>491</v>
      </c>
      <c r="C21" s="35">
        <v>5</v>
      </c>
      <c r="D21" s="37">
        <v>35</v>
      </c>
      <c r="E21" s="42">
        <v>257</v>
      </c>
      <c r="F21" s="42">
        <f>ROUNDDOWN((1494/255)*Table1[[#This Row],[Cost Factor]],0)</f>
        <v>64</v>
      </c>
      <c r="G21" s="34">
        <f>VLOOKUP(Table1[[#This Row],[Cost]],'Wagon Costs'!D:E,2)</f>
        <v>11</v>
      </c>
      <c r="H21" s="22">
        <f>Table1[[#This Row],[RunCost]]/(124/255)</f>
        <v>4.112903225806452</v>
      </c>
      <c r="I21" s="24">
        <f>IF(X21=1,Table1[[#This Row],[RC Factor?]]*(1792/255),0)</f>
        <v>0</v>
      </c>
      <c r="J21" s="42">
        <v>2</v>
      </c>
      <c r="K21" s="37">
        <v>1800</v>
      </c>
      <c r="L21" s="37">
        <v>3</v>
      </c>
      <c r="M21" s="37">
        <v>6</v>
      </c>
      <c r="N21" s="37">
        <f>Table1[[#This Row],[Capacity (D)]]*2</f>
        <v>12</v>
      </c>
      <c r="O21" s="37">
        <f>Table1[[#This Row],[Capacity (D)]]*4</f>
        <v>24</v>
      </c>
      <c r="P21" s="37">
        <v>10</v>
      </c>
      <c r="Q21" s="37">
        <v>12</v>
      </c>
      <c r="R21" s="37" t="s">
        <v>605</v>
      </c>
      <c r="S21" s="37" t="s">
        <v>491</v>
      </c>
    </row>
    <row r="22" spans="1:19" ht="11.25" x14ac:dyDescent="0.2">
      <c r="A22" s="37">
        <v>21</v>
      </c>
      <c r="B22" s="37" t="s">
        <v>492</v>
      </c>
      <c r="C22" s="35">
        <v>8</v>
      </c>
      <c r="D22" s="37">
        <v>40</v>
      </c>
      <c r="E22" s="42">
        <v>492</v>
      </c>
      <c r="F22" s="42">
        <f>ROUNDDOWN((1494/255)*Table1[[#This Row],[Cost Factor]],0)</f>
        <v>123</v>
      </c>
      <c r="G22" s="34">
        <f>VLOOKUP(Table1[[#This Row],[Cost]],'Wagon Costs'!D:E,2)</f>
        <v>21</v>
      </c>
      <c r="H22" s="22">
        <f>Table1[[#This Row],[RunCost]]/(124/255)</f>
        <v>12.338709677419356</v>
      </c>
      <c r="I22" s="24">
        <f>IF(X22=1,Table1[[#This Row],[RC Factor?]]*(1792/255),0)</f>
        <v>0</v>
      </c>
      <c r="J22" s="42">
        <v>6</v>
      </c>
      <c r="K22" s="37">
        <v>1865</v>
      </c>
      <c r="L22" s="37">
        <v>4</v>
      </c>
      <c r="M22" s="37">
        <v>10</v>
      </c>
      <c r="N22" s="37">
        <f>Table1[[#This Row],[Capacity (D)]]*2</f>
        <v>20</v>
      </c>
      <c r="O22" s="37">
        <f>Table1[[#This Row],[Capacity (D)]]*4</f>
        <v>40</v>
      </c>
      <c r="P22" s="37">
        <v>12</v>
      </c>
      <c r="Q22" s="37">
        <v>21</v>
      </c>
      <c r="R22" s="37" t="s">
        <v>605</v>
      </c>
      <c r="S22" s="37" t="s">
        <v>492</v>
      </c>
    </row>
    <row r="23" spans="1:19" ht="11.25" x14ac:dyDescent="0.2">
      <c r="A23" s="37">
        <v>22</v>
      </c>
      <c r="B23" s="37" t="s">
        <v>493</v>
      </c>
      <c r="C23" s="35">
        <v>10</v>
      </c>
      <c r="D23" s="37">
        <v>50</v>
      </c>
      <c r="E23" s="42">
        <v>750</v>
      </c>
      <c r="F23" s="42">
        <f>ROUNDDOWN((1494/255)*Table1[[#This Row],[Cost Factor]],0)</f>
        <v>187</v>
      </c>
      <c r="G23" s="34">
        <f>VLOOKUP(Table1[[#This Row],[Cost]],'Wagon Costs'!D:E,2)</f>
        <v>32</v>
      </c>
      <c r="H23" s="22">
        <f>Table1[[#This Row],[RunCost]]/(124/255)</f>
        <v>16.451612903225808</v>
      </c>
      <c r="I23" s="24">
        <f>IF(X23=1,Table1[[#This Row],[RC Factor?]]*(1792/255),0)</f>
        <v>0</v>
      </c>
      <c r="J23" s="42">
        <v>8</v>
      </c>
      <c r="K23" s="37">
        <v>1930</v>
      </c>
      <c r="L23" s="37">
        <v>5</v>
      </c>
      <c r="M23" s="37">
        <v>14</v>
      </c>
      <c r="N23" s="37">
        <f>Table1[[#This Row],[Capacity (D)]]*2</f>
        <v>28</v>
      </c>
      <c r="O23" s="37">
        <f>Table1[[#This Row],[Capacity (D)]]*4</f>
        <v>56</v>
      </c>
      <c r="P23" s="37">
        <v>16</v>
      </c>
      <c r="Q23" s="37">
        <v>27</v>
      </c>
      <c r="R23" s="37" t="s">
        <v>605</v>
      </c>
      <c r="S23" s="37" t="s">
        <v>493</v>
      </c>
    </row>
    <row r="24" spans="1:19" ht="11.25" x14ac:dyDescent="0.2">
      <c r="A24" s="37">
        <v>23</v>
      </c>
      <c r="B24" s="37" t="s">
        <v>494</v>
      </c>
      <c r="C24" s="35">
        <v>16</v>
      </c>
      <c r="D24" s="37">
        <v>50</v>
      </c>
      <c r="E24" s="42">
        <v>1171</v>
      </c>
      <c r="F24" s="42">
        <f>ROUNDDOWN((1494/255)*Table1[[#This Row],[Cost Factor]],0)</f>
        <v>292</v>
      </c>
      <c r="G24" s="34">
        <f>VLOOKUP(Table1[[#This Row],[Cost]],'Wagon Costs'!D:E,2)</f>
        <v>50</v>
      </c>
      <c r="H24" s="22">
        <f>Table1[[#This Row],[RunCost]]/(124/255)</f>
        <v>24.677419354838712</v>
      </c>
      <c r="I24" s="24">
        <f>IF(X24=1,Table1[[#This Row],[RC Factor?]]*(1792/255),0)</f>
        <v>0</v>
      </c>
      <c r="J24" s="42">
        <v>12</v>
      </c>
      <c r="K24" s="37">
        <v>1935</v>
      </c>
      <c r="L24" s="37">
        <v>7</v>
      </c>
      <c r="M24" s="37">
        <v>20</v>
      </c>
      <c r="N24" s="37">
        <f>Table1[[#This Row],[Capacity (D)]]*2</f>
        <v>40</v>
      </c>
      <c r="O24" s="37">
        <f>Table1[[#This Row],[Capacity (D)]]*4</f>
        <v>80</v>
      </c>
      <c r="P24" s="37">
        <v>32</v>
      </c>
      <c r="Q24" s="37">
        <v>33</v>
      </c>
      <c r="R24" s="37" t="s">
        <v>605</v>
      </c>
      <c r="S24" s="37" t="s">
        <v>494</v>
      </c>
    </row>
    <row r="25" spans="1:19" ht="11.25" x14ac:dyDescent="0.2">
      <c r="A25" s="37">
        <v>24</v>
      </c>
      <c r="B25" s="37" t="s">
        <v>495</v>
      </c>
      <c r="C25" s="35">
        <v>16</v>
      </c>
      <c r="D25" s="37">
        <v>65</v>
      </c>
      <c r="E25" s="42">
        <v>1031</v>
      </c>
      <c r="F25" s="42">
        <f>ROUNDDOWN((1494/255)*Table1[[#This Row],[Cost Factor]],0)</f>
        <v>257</v>
      </c>
      <c r="G25" s="34">
        <f>VLOOKUP(Table1[[#This Row],[Cost]],'Wagon Costs'!D:E,2)</f>
        <v>44</v>
      </c>
      <c r="H25" s="22">
        <f>Table1[[#This Row],[RunCost]]/(124/255)</f>
        <v>24.677419354838712</v>
      </c>
      <c r="I25" s="24">
        <f>IF(X25=1,Table1[[#This Row],[RC Factor?]]*(1792/255),0)</f>
        <v>0</v>
      </c>
      <c r="J25" s="42">
        <v>12</v>
      </c>
      <c r="K25" s="37">
        <v>1965</v>
      </c>
      <c r="L25" s="37">
        <v>6</v>
      </c>
      <c r="M25" s="37">
        <v>20</v>
      </c>
      <c r="N25" s="37">
        <f>Table1[[#This Row],[Capacity (D)]]*2</f>
        <v>40</v>
      </c>
      <c r="O25" s="37">
        <f>Table1[[#This Row],[Capacity (D)]]*4</f>
        <v>80</v>
      </c>
      <c r="P25" s="37">
        <v>32</v>
      </c>
      <c r="Q25" s="37">
        <v>45</v>
      </c>
      <c r="R25" s="37" t="s">
        <v>605</v>
      </c>
      <c r="S25" s="37" t="s">
        <v>495</v>
      </c>
    </row>
    <row r="26" spans="1:19" ht="11.25" x14ac:dyDescent="0.2">
      <c r="A26" s="37">
        <v>25</v>
      </c>
      <c r="B26" s="37" t="s">
        <v>496</v>
      </c>
      <c r="C26" s="35">
        <v>15</v>
      </c>
      <c r="D26" s="37">
        <v>65</v>
      </c>
      <c r="E26" s="42">
        <v>937</v>
      </c>
      <c r="F26" s="42">
        <f>ROUNDDOWN((1494/255)*Table1[[#This Row],[Cost Factor]],0)</f>
        <v>234</v>
      </c>
      <c r="G26" s="34">
        <f>VLOOKUP(Table1[[#This Row],[Cost]],'Wagon Costs'!D:E,2)</f>
        <v>40</v>
      </c>
      <c r="H26" s="22">
        <f>Table1[[#This Row],[RunCost]]/(124/255)</f>
        <v>20.56451612903226</v>
      </c>
      <c r="I26" s="24">
        <f>IF(X26=1,Table1[[#This Row],[RC Factor?]]*(1792/255),0)</f>
        <v>0</v>
      </c>
      <c r="J26" s="42">
        <v>10</v>
      </c>
      <c r="K26" s="37">
        <v>1972</v>
      </c>
      <c r="L26" s="37">
        <v>5</v>
      </c>
      <c r="M26" s="37">
        <v>16</v>
      </c>
      <c r="N26" s="37">
        <f>Table1[[#This Row],[Capacity (D)]]*2</f>
        <v>32</v>
      </c>
      <c r="O26" s="37">
        <f>Table1[[#This Row],[Capacity (D)]]*4</f>
        <v>64</v>
      </c>
      <c r="P26" s="37">
        <v>25</v>
      </c>
      <c r="Q26" s="37">
        <v>45</v>
      </c>
      <c r="R26" s="37" t="s">
        <v>605</v>
      </c>
      <c r="S26" s="37" t="s">
        <v>496</v>
      </c>
    </row>
    <row r="27" spans="1:19" ht="11.25" x14ac:dyDescent="0.2">
      <c r="A27" s="37">
        <v>26</v>
      </c>
      <c r="B27" s="37" t="s">
        <v>521</v>
      </c>
      <c r="C27" s="35">
        <v>15</v>
      </c>
      <c r="D27" s="37">
        <v>60</v>
      </c>
      <c r="E27" s="42">
        <v>937</v>
      </c>
      <c r="F27" s="42">
        <f>ROUNDDOWN((1494/255)*Table1[[#This Row],[Cost Factor]],0)</f>
        <v>234</v>
      </c>
      <c r="G27" s="34">
        <f>VLOOKUP(Table1[[#This Row],[Cost]],'Wagon Costs'!D:E,2)</f>
        <v>40</v>
      </c>
      <c r="H27" s="22">
        <f>Table1[[#This Row],[RunCost]]/(124/255)</f>
        <v>24.677419354838712</v>
      </c>
      <c r="I27" s="24">
        <f>IF(X27=1,Table1[[#This Row],[RC Factor?]]*(1792/255),0)</f>
        <v>0</v>
      </c>
      <c r="J27" s="42">
        <v>12</v>
      </c>
      <c r="K27" s="37">
        <v>1978</v>
      </c>
      <c r="L27" s="37">
        <v>5</v>
      </c>
      <c r="M27" s="37">
        <v>20</v>
      </c>
      <c r="N27" s="37">
        <f>Table1[[#This Row],[Capacity (D)]]*2</f>
        <v>40</v>
      </c>
      <c r="O27" s="37">
        <f>Table1[[#This Row],[Capacity (D)]]*4</f>
        <v>80</v>
      </c>
      <c r="P27" s="37">
        <v>32</v>
      </c>
      <c r="Q27" s="37">
        <v>78</v>
      </c>
      <c r="R27" s="37" t="s">
        <v>604</v>
      </c>
      <c r="S27" s="37" t="s">
        <v>521</v>
      </c>
    </row>
    <row r="28" spans="1:19" ht="11.25" x14ac:dyDescent="0.2">
      <c r="A28" s="37">
        <v>27</v>
      </c>
      <c r="B28" s="37" t="s">
        <v>497</v>
      </c>
      <c r="C28" s="35">
        <v>22</v>
      </c>
      <c r="D28" s="37">
        <v>70</v>
      </c>
      <c r="E28" s="42">
        <v>1312</v>
      </c>
      <c r="F28" s="42">
        <f>ROUNDDOWN((1494/255)*Table1[[#This Row],[Cost Factor]],0)</f>
        <v>328</v>
      </c>
      <c r="G28" s="34">
        <f>VLOOKUP(Table1[[#This Row],[Cost]],'Wagon Costs'!D:E,2)</f>
        <v>56</v>
      </c>
      <c r="H28" s="22">
        <f>Table1[[#This Row],[RunCost]]/(124/255)</f>
        <v>32.903225806451616</v>
      </c>
      <c r="I28" s="24">
        <f>IF(X28=1,Table1[[#This Row],[RC Factor?]]*(1792/255),0)</f>
        <v>0</v>
      </c>
      <c r="J28" s="42">
        <v>16</v>
      </c>
      <c r="K28" s="37">
        <v>1985</v>
      </c>
      <c r="L28" s="37">
        <v>7</v>
      </c>
      <c r="M28" s="37">
        <v>25</v>
      </c>
      <c r="N28" s="37">
        <f>Table1[[#This Row],[Capacity (D)]]*2</f>
        <v>50</v>
      </c>
      <c r="O28" s="37">
        <f>Table1[[#This Row],[Capacity (D)]]*4</f>
        <v>100</v>
      </c>
      <c r="P28" s="37">
        <v>50</v>
      </c>
      <c r="Q28" s="37">
        <v>78</v>
      </c>
      <c r="R28" s="37" t="s">
        <v>605</v>
      </c>
      <c r="S28" s="37" t="s">
        <v>497</v>
      </c>
    </row>
    <row r="29" spans="1:19" ht="11.25" x14ac:dyDescent="0.2">
      <c r="A29" s="37">
        <v>28</v>
      </c>
      <c r="B29" s="37" t="s">
        <v>533</v>
      </c>
      <c r="C29" s="35">
        <v>9</v>
      </c>
      <c r="D29" s="37">
        <v>50</v>
      </c>
      <c r="E29" s="42">
        <v>632</v>
      </c>
      <c r="F29" s="42">
        <f>ROUNDDOWN((1494/255)*Table1[[#This Row],[Cost Factor]],0)</f>
        <v>158</v>
      </c>
      <c r="G29" s="34">
        <f>VLOOKUP(Table1[[#This Row],[Cost]],'Wagon Costs'!D:E,2)</f>
        <v>27</v>
      </c>
      <c r="H29" s="22">
        <f>Table1[[#This Row],[RunCost]]/(124/255)</f>
        <v>12.338709677419356</v>
      </c>
      <c r="I29" s="24">
        <f>IF(X29=1,Table1[[#This Row],[RC Factor?]]*(1792/255),0)</f>
        <v>0</v>
      </c>
      <c r="J29" s="42">
        <v>6</v>
      </c>
      <c r="K29" s="37">
        <v>1885</v>
      </c>
      <c r="L29" s="37">
        <v>4</v>
      </c>
      <c r="M29" s="37">
        <v>10</v>
      </c>
      <c r="N29" s="37">
        <f>Table1[[#This Row],[Capacity (D)]]*2</f>
        <v>20</v>
      </c>
      <c r="O29" s="37">
        <f>Table1[[#This Row],[Capacity (D)]]*4</f>
        <v>40</v>
      </c>
      <c r="P29" s="37">
        <v>14</v>
      </c>
      <c r="Q29" s="37">
        <v>12</v>
      </c>
      <c r="R29" s="37" t="s">
        <v>600</v>
      </c>
      <c r="S29" s="37" t="s">
        <v>533</v>
      </c>
    </row>
    <row r="30" spans="1:19" ht="11.25" x14ac:dyDescent="0.2">
      <c r="A30" s="37">
        <v>29</v>
      </c>
      <c r="B30" s="37" t="s">
        <v>498</v>
      </c>
      <c r="C30" s="35">
        <v>12</v>
      </c>
      <c r="D30" s="37">
        <v>55</v>
      </c>
      <c r="E30" s="42">
        <v>937</v>
      </c>
      <c r="F30" s="42">
        <f>ROUNDDOWN((1494/255)*Table1[[#This Row],[Cost Factor]],0)</f>
        <v>234</v>
      </c>
      <c r="G30" s="34">
        <f>VLOOKUP(Table1[[#This Row],[Cost]],'Wagon Costs'!D:E,2)</f>
        <v>40</v>
      </c>
      <c r="H30" s="22">
        <f>Table1[[#This Row],[RunCost]]/(124/255)</f>
        <v>16.451612903225808</v>
      </c>
      <c r="I30" s="24">
        <f>IF(X30=1,Table1[[#This Row],[RC Factor?]]*(1792/255),0)</f>
        <v>0</v>
      </c>
      <c r="J30" s="42">
        <v>8</v>
      </c>
      <c r="K30" s="37">
        <v>1930</v>
      </c>
      <c r="L30" s="37">
        <v>5</v>
      </c>
      <c r="M30" s="37">
        <v>14</v>
      </c>
      <c r="N30" s="37">
        <f>Table1[[#This Row],[Capacity (D)]]*2</f>
        <v>28</v>
      </c>
      <c r="O30" s="37">
        <f>Table1[[#This Row],[Capacity (D)]]*4</f>
        <v>56</v>
      </c>
      <c r="P30" s="37">
        <v>20</v>
      </c>
      <c r="Q30" s="37">
        <v>15</v>
      </c>
      <c r="R30" s="37" t="s">
        <v>600</v>
      </c>
      <c r="S30" s="37" t="s">
        <v>498</v>
      </c>
    </row>
    <row r="31" spans="1:19" ht="11.25" x14ac:dyDescent="0.2">
      <c r="A31" s="37">
        <v>30</v>
      </c>
      <c r="B31" s="37" t="s">
        <v>499</v>
      </c>
      <c r="C31" s="35">
        <v>16</v>
      </c>
      <c r="D31" s="37">
        <v>60</v>
      </c>
      <c r="E31" s="42">
        <v>984</v>
      </c>
      <c r="F31" s="42">
        <f>ROUNDDOWN((1494/255)*Table1[[#This Row],[Cost Factor]],0)</f>
        <v>246</v>
      </c>
      <c r="G31" s="34">
        <f>VLOOKUP(Table1[[#This Row],[Cost]],'Wagon Costs'!D:E,2)</f>
        <v>42</v>
      </c>
      <c r="H31" s="22">
        <f>Table1[[#This Row],[RunCost]]/(124/255)</f>
        <v>20.56451612903226</v>
      </c>
      <c r="I31" s="24">
        <f>IF(X31=1,Table1[[#This Row],[RC Factor?]]*(1792/255),0)</f>
        <v>0</v>
      </c>
      <c r="J31" s="42">
        <v>10</v>
      </c>
      <c r="K31" s="37">
        <v>1960</v>
      </c>
      <c r="L31" s="37">
        <v>5</v>
      </c>
      <c r="M31" s="37">
        <v>15</v>
      </c>
      <c r="N31" s="37">
        <f>Table1[[#This Row],[Capacity (D)]]*2</f>
        <v>30</v>
      </c>
      <c r="O31" s="37">
        <f>Table1[[#This Row],[Capacity (D)]]*4</f>
        <v>60</v>
      </c>
      <c r="P31" s="37">
        <v>24</v>
      </c>
      <c r="Q31" s="37">
        <v>27</v>
      </c>
      <c r="R31" s="37" t="s">
        <v>600</v>
      </c>
      <c r="S31" s="37" t="s">
        <v>499</v>
      </c>
    </row>
    <row r="32" spans="1:19" ht="11.25" x14ac:dyDescent="0.2">
      <c r="A32" s="37">
        <v>31</v>
      </c>
      <c r="B32" s="37" t="s">
        <v>500</v>
      </c>
      <c r="C32" s="35">
        <v>18</v>
      </c>
      <c r="D32" s="37">
        <v>75</v>
      </c>
      <c r="E32" s="42">
        <v>1148</v>
      </c>
      <c r="F32" s="42">
        <f>ROUNDDOWN((1494/255)*Table1[[#This Row],[Cost Factor]],0)</f>
        <v>287</v>
      </c>
      <c r="G32" s="34">
        <f>VLOOKUP(Table1[[#This Row],[Cost]],'Wagon Costs'!D:E,2)</f>
        <v>49</v>
      </c>
      <c r="H32" s="22">
        <f>Table1[[#This Row],[RunCost]]/(124/255)</f>
        <v>37.016129032258064</v>
      </c>
      <c r="I32" s="24">
        <f>IF(X32=1,Table1[[#This Row],[RC Factor?]]*(1792/255),0)</f>
        <v>0</v>
      </c>
      <c r="J32" s="42">
        <v>18</v>
      </c>
      <c r="K32" s="37">
        <v>1966</v>
      </c>
      <c r="L32" s="37">
        <v>5</v>
      </c>
      <c r="M32" s="37">
        <v>16</v>
      </c>
      <c r="N32" s="37">
        <f>Table1[[#This Row],[Capacity (D)]]*2</f>
        <v>32</v>
      </c>
      <c r="O32" s="37">
        <f>Table1[[#This Row],[Capacity (D)]]*4</f>
        <v>64</v>
      </c>
      <c r="P32" s="37">
        <v>30</v>
      </c>
      <c r="Q32" s="37">
        <v>33</v>
      </c>
      <c r="R32" s="37" t="s">
        <v>605</v>
      </c>
      <c r="S32" s="37" t="s">
        <v>500</v>
      </c>
    </row>
    <row r="33" spans="1:19" ht="11.25" x14ac:dyDescent="0.2">
      <c r="A33" s="37">
        <v>32</v>
      </c>
      <c r="B33" s="37" t="s">
        <v>501</v>
      </c>
      <c r="C33" s="35">
        <v>25</v>
      </c>
      <c r="D33" s="37">
        <v>90</v>
      </c>
      <c r="E33" s="42">
        <v>1840</v>
      </c>
      <c r="F33" s="42">
        <f>ROUNDDOWN((1494/255)*Table1[[#This Row],[Cost Factor]],0)</f>
        <v>462</v>
      </c>
      <c r="G33" s="34">
        <f>VLOOKUP(Table1[[#This Row],[Cost]],'Wagon Costs'!D:E,2)</f>
        <v>79</v>
      </c>
      <c r="H33" s="22">
        <f>Table1[[#This Row],[RunCost]]/(124/255)</f>
        <v>37.016129032258064</v>
      </c>
      <c r="I33" s="24">
        <f>IF(X33=1,Table1[[#This Row],[RC Factor?]]*(1792/255),0)</f>
        <v>0</v>
      </c>
      <c r="J33" s="42">
        <v>18</v>
      </c>
      <c r="K33" s="37">
        <v>1985</v>
      </c>
      <c r="L33" s="37">
        <v>8</v>
      </c>
      <c r="M33" s="37">
        <v>26</v>
      </c>
      <c r="N33" s="37">
        <f>Table1[[#This Row],[Capacity (D)]]*2</f>
        <v>52</v>
      </c>
      <c r="O33" s="37">
        <f>Table1[[#This Row],[Capacity (D)]]*4</f>
        <v>104</v>
      </c>
      <c r="P33" s="37">
        <v>45</v>
      </c>
      <c r="Q33" s="37">
        <v>78</v>
      </c>
      <c r="R33" s="37" t="s">
        <v>600</v>
      </c>
      <c r="S33" s="37" t="s">
        <v>501</v>
      </c>
    </row>
    <row r="34" spans="1:19" ht="11.25" x14ac:dyDescent="0.2">
      <c r="A34" s="37">
        <v>33</v>
      </c>
      <c r="B34" s="37" t="s">
        <v>502</v>
      </c>
      <c r="C34" s="35">
        <v>5</v>
      </c>
      <c r="D34" s="37">
        <v>35</v>
      </c>
      <c r="E34" s="42">
        <v>257</v>
      </c>
      <c r="F34" s="42">
        <f>ROUNDDOWN((1494/255)*Table1[[#This Row],[Cost Factor]],0)</f>
        <v>64</v>
      </c>
      <c r="G34" s="34">
        <f>VLOOKUP(Table1[[#This Row],[Cost]],'Wagon Costs'!D:E,2)</f>
        <v>11</v>
      </c>
      <c r="H34" s="22">
        <f>Table1[[#This Row],[RunCost]]/(124/255)</f>
        <v>4.112903225806452</v>
      </c>
      <c r="I34" s="24">
        <f>IF(X34=1,Table1[[#This Row],[RC Factor?]]*(1792/255),0)</f>
        <v>0</v>
      </c>
      <c r="J34" s="42">
        <v>2</v>
      </c>
      <c r="K34" s="37">
        <v>1800</v>
      </c>
      <c r="L34" s="37">
        <v>3</v>
      </c>
      <c r="M34" s="37">
        <v>5</v>
      </c>
      <c r="N34" s="37">
        <f>Table1[[#This Row],[Capacity (D)]]*2</f>
        <v>10</v>
      </c>
      <c r="O34" s="37">
        <f>Table1[[#This Row],[Capacity (D)]]*4</f>
        <v>20</v>
      </c>
      <c r="P34" s="37">
        <v>10</v>
      </c>
      <c r="Q34" s="37">
        <v>18</v>
      </c>
      <c r="R34" s="37" t="s">
        <v>606</v>
      </c>
      <c r="S34" s="37" t="s">
        <v>502</v>
      </c>
    </row>
    <row r="35" spans="1:19" ht="11.25" x14ac:dyDescent="0.2">
      <c r="A35" s="37">
        <v>34</v>
      </c>
      <c r="B35" s="37" t="s">
        <v>503</v>
      </c>
      <c r="C35" s="35">
        <v>9</v>
      </c>
      <c r="D35" s="37">
        <v>45</v>
      </c>
      <c r="E35" s="42">
        <v>609</v>
      </c>
      <c r="F35" s="42">
        <f>ROUNDDOWN((1494/255)*Table1[[#This Row],[Cost Factor]],0)</f>
        <v>152</v>
      </c>
      <c r="G35" s="34">
        <f>VLOOKUP(Table1[[#This Row],[Cost]],'Wagon Costs'!D:E,2)</f>
        <v>26</v>
      </c>
      <c r="H35" s="22">
        <f>Table1[[#This Row],[RunCost]]/(124/255)</f>
        <v>12.338709677419356</v>
      </c>
      <c r="I35" s="24">
        <f>IF(X35=1,Table1[[#This Row],[RC Factor?]]*(1792/255),0)</f>
        <v>0</v>
      </c>
      <c r="J35" s="42">
        <v>6</v>
      </c>
      <c r="K35" s="37">
        <v>1865</v>
      </c>
      <c r="L35" s="37">
        <v>5</v>
      </c>
      <c r="M35" s="37">
        <v>12</v>
      </c>
      <c r="N35" s="37">
        <f>Table1[[#This Row],[Capacity (D)]]*2</f>
        <v>24</v>
      </c>
      <c r="O35" s="37">
        <f>Table1[[#This Row],[Capacity (D)]]*4</f>
        <v>48</v>
      </c>
      <c r="P35" s="37">
        <v>20</v>
      </c>
      <c r="Q35" s="37">
        <v>24</v>
      </c>
      <c r="R35" s="37" t="s">
        <v>606</v>
      </c>
      <c r="S35" s="37" t="s">
        <v>503</v>
      </c>
    </row>
    <row r="36" spans="1:19" ht="11.25" x14ac:dyDescent="0.2">
      <c r="A36" s="37">
        <v>35</v>
      </c>
      <c r="B36" s="37" t="s">
        <v>504</v>
      </c>
      <c r="C36" s="35">
        <v>17</v>
      </c>
      <c r="D36" s="37">
        <v>55</v>
      </c>
      <c r="E36" s="42">
        <v>1312</v>
      </c>
      <c r="F36" s="42">
        <f>ROUNDDOWN((1494/255)*Table1[[#This Row],[Cost Factor]],0)</f>
        <v>328</v>
      </c>
      <c r="G36" s="34">
        <f>VLOOKUP(Table1[[#This Row],[Cost]],'Wagon Costs'!D:E,2)</f>
        <v>56</v>
      </c>
      <c r="H36" s="22">
        <f>Table1[[#This Row],[RunCost]]/(124/255)</f>
        <v>24.677419354838712</v>
      </c>
      <c r="I36" s="24">
        <f>IF(X36=1,Table1[[#This Row],[RC Factor?]]*(1792/255),0)</f>
        <v>0</v>
      </c>
      <c r="J36" s="42">
        <v>12</v>
      </c>
      <c r="K36" s="37">
        <v>1910</v>
      </c>
      <c r="L36" s="37">
        <v>8</v>
      </c>
      <c r="M36" s="37">
        <v>20</v>
      </c>
      <c r="N36" s="37">
        <f>Table1[[#This Row],[Capacity (D)]]*2</f>
        <v>40</v>
      </c>
      <c r="O36" s="37">
        <f>Table1[[#This Row],[Capacity (D)]]*4</f>
        <v>80</v>
      </c>
      <c r="P36" s="37">
        <v>28</v>
      </c>
      <c r="Q36" s="37">
        <v>42</v>
      </c>
      <c r="R36" s="37" t="s">
        <v>606</v>
      </c>
      <c r="S36" s="37" t="s">
        <v>504</v>
      </c>
    </row>
    <row r="37" spans="1:19" ht="11.25" x14ac:dyDescent="0.2">
      <c r="A37" s="37">
        <v>36</v>
      </c>
      <c r="B37" s="37" t="s">
        <v>505</v>
      </c>
      <c r="C37" s="35">
        <v>17</v>
      </c>
      <c r="D37" s="37">
        <v>65</v>
      </c>
      <c r="E37" s="42">
        <v>1265</v>
      </c>
      <c r="F37" s="42">
        <f>ROUNDDOWN((1494/255)*Table1[[#This Row],[Cost Factor]],0)</f>
        <v>316</v>
      </c>
      <c r="G37" s="34">
        <f>VLOOKUP(Table1[[#This Row],[Cost]],'Wagon Costs'!D:E,2)</f>
        <v>54</v>
      </c>
      <c r="H37" s="22">
        <f>Table1[[#This Row],[RunCost]]/(124/255)</f>
        <v>24.677419354838712</v>
      </c>
      <c r="I37" s="24">
        <f>IF(X37=1,Table1[[#This Row],[RC Factor?]]*(1792/255),0)</f>
        <v>0</v>
      </c>
      <c r="J37" s="42">
        <v>12</v>
      </c>
      <c r="K37" s="37">
        <v>1950</v>
      </c>
      <c r="L37" s="37">
        <v>8</v>
      </c>
      <c r="M37" s="37">
        <v>20</v>
      </c>
      <c r="N37" s="37">
        <f>Table1[[#This Row],[Capacity (D)]]*2</f>
        <v>40</v>
      </c>
      <c r="O37" s="37">
        <f>Table1[[#This Row],[Capacity (D)]]*4</f>
        <v>80</v>
      </c>
      <c r="P37" s="37">
        <v>28</v>
      </c>
      <c r="Q37" s="37">
        <v>57</v>
      </c>
      <c r="R37" s="37" t="s">
        <v>606</v>
      </c>
      <c r="S37" s="37" t="s">
        <v>505</v>
      </c>
    </row>
    <row r="38" spans="1:19" ht="11.25" x14ac:dyDescent="0.2">
      <c r="A38" s="37">
        <v>37</v>
      </c>
      <c r="B38" s="37" t="s">
        <v>506</v>
      </c>
      <c r="C38" s="35">
        <v>64</v>
      </c>
      <c r="D38" s="37">
        <v>90</v>
      </c>
      <c r="E38" s="42">
        <v>4335</v>
      </c>
      <c r="F38" s="42">
        <f>ROUNDDOWN((1494/255)*Table1[[#This Row],[Cost Factor]],0)</f>
        <v>1089</v>
      </c>
      <c r="G38" s="34">
        <f>VLOOKUP(Table1[[#This Row],[Cost]],'Wagon Costs'!D:E,2)</f>
        <v>186</v>
      </c>
      <c r="H38" s="22">
        <f>Table1[[#This Row],[RunCost]]/(124/255)</f>
        <v>98.709677419354847</v>
      </c>
      <c r="I38" s="24">
        <f>IF(X38=1,Table1[[#This Row],[RC Factor?]]*(1792/255),0)</f>
        <v>0</v>
      </c>
      <c r="J38" s="42">
        <v>48</v>
      </c>
      <c r="K38" s="37">
        <v>1967</v>
      </c>
      <c r="L38" s="37">
        <v>7</v>
      </c>
      <c r="M38" s="37">
        <v>12</v>
      </c>
      <c r="N38" s="37">
        <f>Table1[[#This Row],[Capacity (D)]]*2</f>
        <v>24</v>
      </c>
      <c r="O38" s="37">
        <f>Table1[[#This Row],[Capacity (D)]]*4</f>
        <v>48</v>
      </c>
      <c r="P38" s="37">
        <v>20</v>
      </c>
      <c r="Q38" s="37">
        <v>20</v>
      </c>
      <c r="R38" s="37" t="s">
        <v>606</v>
      </c>
      <c r="S38" s="37" t="s">
        <v>506</v>
      </c>
    </row>
    <row r="39" spans="1:19" ht="11.25" x14ac:dyDescent="0.2">
      <c r="A39" s="37">
        <v>38</v>
      </c>
      <c r="B39" s="37" t="s">
        <v>507</v>
      </c>
      <c r="C39" s="35">
        <v>42</v>
      </c>
      <c r="D39" s="37">
        <v>90</v>
      </c>
      <c r="E39" s="42">
        <v>3890</v>
      </c>
      <c r="F39" s="42">
        <f>ROUNDDOWN((1494/255)*Table1[[#This Row],[Cost Factor]],0)</f>
        <v>978</v>
      </c>
      <c r="G39" s="34">
        <f>VLOOKUP(Table1[[#This Row],[Cost]],'Wagon Costs'!D:E,2)</f>
        <v>167</v>
      </c>
      <c r="H39" s="22">
        <f>Table1[[#This Row],[RunCost]]/(124/255)</f>
        <v>98.709677419354847</v>
      </c>
      <c r="I39" s="24">
        <f>IF(X39=1,Table1[[#This Row],[RC Factor?]]*(1792/255),0)</f>
        <v>0</v>
      </c>
      <c r="J39" s="42">
        <v>48</v>
      </c>
      <c r="K39" s="37">
        <v>1972</v>
      </c>
      <c r="L39" s="37">
        <v>8</v>
      </c>
      <c r="M39" s="37">
        <v>27</v>
      </c>
      <c r="N39" s="37">
        <f>Table1[[#This Row],[Capacity (D)]]*2</f>
        <v>54</v>
      </c>
      <c r="O39" s="37">
        <f>Table1[[#This Row],[Capacity (D)]]*4</f>
        <v>108</v>
      </c>
      <c r="P39" s="37">
        <v>55</v>
      </c>
      <c r="Q39" s="37">
        <v>60</v>
      </c>
      <c r="R39" s="37" t="s">
        <v>606</v>
      </c>
      <c r="S39" s="37" t="s">
        <v>507</v>
      </c>
    </row>
    <row r="40" spans="1:19" ht="11.25" x14ac:dyDescent="0.2">
      <c r="A40" s="37">
        <v>39</v>
      </c>
      <c r="B40" s="37" t="s">
        <v>508</v>
      </c>
      <c r="C40" s="35">
        <v>14</v>
      </c>
      <c r="D40" s="37">
        <v>70</v>
      </c>
      <c r="E40" s="42">
        <v>890</v>
      </c>
      <c r="F40" s="42">
        <f>ROUNDDOWN((1494/255)*Table1[[#This Row],[Cost Factor]],0)</f>
        <v>222</v>
      </c>
      <c r="G40" s="34">
        <f>VLOOKUP(Table1[[#This Row],[Cost]],'Wagon Costs'!D:E,2)</f>
        <v>38</v>
      </c>
      <c r="H40" s="22">
        <f>Table1[[#This Row],[RunCost]]/(124/255)</f>
        <v>24.677419354838712</v>
      </c>
      <c r="I40" s="24">
        <f>IF(X40=1,Table1[[#This Row],[RC Factor?]]*(1792/255),0)</f>
        <v>0</v>
      </c>
      <c r="J40" s="42">
        <v>12</v>
      </c>
      <c r="K40" s="37">
        <v>1985</v>
      </c>
      <c r="L40" s="37">
        <v>6</v>
      </c>
      <c r="M40" s="37">
        <v>20</v>
      </c>
      <c r="N40" s="37">
        <f>Table1[[#This Row],[Capacity (D)]]*2</f>
        <v>40</v>
      </c>
      <c r="O40" s="37">
        <f>Table1[[#This Row],[Capacity (D)]]*4</f>
        <v>80</v>
      </c>
      <c r="P40" s="37">
        <v>30</v>
      </c>
      <c r="Q40" s="37">
        <v>30</v>
      </c>
      <c r="R40" s="37" t="s">
        <v>607</v>
      </c>
      <c r="S40" s="37" t="s">
        <v>508</v>
      </c>
    </row>
    <row r="41" spans="1:19" ht="11.25" x14ac:dyDescent="0.2">
      <c r="A41" s="37">
        <v>40</v>
      </c>
      <c r="B41" s="37" t="s">
        <v>509</v>
      </c>
      <c r="C41" s="35">
        <v>20</v>
      </c>
      <c r="D41" s="37">
        <v>70</v>
      </c>
      <c r="E41" s="42">
        <v>1265</v>
      </c>
      <c r="F41" s="42">
        <f>ROUNDDOWN((1494/255)*Table1[[#This Row],[Cost Factor]],0)</f>
        <v>316</v>
      </c>
      <c r="G41" s="34">
        <f>VLOOKUP(Table1[[#This Row],[Cost]],'Wagon Costs'!D:E,2)</f>
        <v>54</v>
      </c>
      <c r="H41" s="22">
        <f>Table1[[#This Row],[RunCost]]/(124/255)</f>
        <v>32.903225806451616</v>
      </c>
      <c r="I41" s="24">
        <f>IF(X41=1,Table1[[#This Row],[RC Factor?]]*(1792/255),0)</f>
        <v>0</v>
      </c>
      <c r="J41" s="42">
        <v>16</v>
      </c>
      <c r="K41" s="37">
        <v>1980</v>
      </c>
      <c r="L41" s="37">
        <v>7</v>
      </c>
      <c r="M41" s="37">
        <v>24</v>
      </c>
      <c r="N41" s="37">
        <f>Table1[[#This Row],[Capacity (D)]]*2</f>
        <v>48</v>
      </c>
      <c r="O41" s="37">
        <f>Table1[[#This Row],[Capacity (D)]]*4</f>
        <v>96</v>
      </c>
      <c r="P41" s="37">
        <v>40</v>
      </c>
      <c r="Q41" s="37">
        <v>78</v>
      </c>
      <c r="R41" s="37" t="s">
        <v>608</v>
      </c>
      <c r="S41" s="37" t="s">
        <v>509</v>
      </c>
    </row>
    <row r="42" spans="1:19" ht="11.25" x14ac:dyDescent="0.2">
      <c r="A42" s="37">
        <v>41</v>
      </c>
      <c r="B42" s="37" t="s">
        <v>510</v>
      </c>
      <c r="C42" s="35">
        <v>12</v>
      </c>
      <c r="D42" s="37">
        <v>35</v>
      </c>
      <c r="E42" s="42">
        <v>445</v>
      </c>
      <c r="F42" s="42">
        <f>ROUNDDOWN((1494/255)*Table1[[#This Row],[Cost Factor]],0)</f>
        <v>111</v>
      </c>
      <c r="G42" s="34">
        <f>VLOOKUP(Table1[[#This Row],[Cost]],'Wagon Costs'!D:E,2)</f>
        <v>19</v>
      </c>
      <c r="H42" s="22">
        <f>Table1[[#This Row],[RunCost]]/(124/255)</f>
        <v>20.56451612903226</v>
      </c>
      <c r="I42" s="24">
        <f>IF(X42=1,Table1[[#This Row],[RC Factor?]]*(1792/255),0)</f>
        <v>0</v>
      </c>
      <c r="J42" s="42">
        <v>10</v>
      </c>
      <c r="K42" s="37">
        <v>1865</v>
      </c>
      <c r="L42" s="37">
        <v>4</v>
      </c>
      <c r="M42" s="37">
        <v>9</v>
      </c>
      <c r="N42" s="37">
        <f>Table1[[#This Row],[Capacity (D)]]*2</f>
        <v>18</v>
      </c>
      <c r="O42" s="37">
        <f>Table1[[#This Row],[Capacity (D)]]*4</f>
        <v>36</v>
      </c>
      <c r="P42" s="37">
        <v>12</v>
      </c>
      <c r="Q42" s="37">
        <v>15</v>
      </c>
      <c r="R42" s="37" t="s">
        <v>609</v>
      </c>
      <c r="S42" s="37" t="s">
        <v>510</v>
      </c>
    </row>
    <row r="43" spans="1:19" ht="11.25" x14ac:dyDescent="0.2">
      <c r="A43" s="37">
        <v>42</v>
      </c>
      <c r="B43" s="37" t="s">
        <v>511</v>
      </c>
      <c r="C43" s="35">
        <v>16</v>
      </c>
      <c r="D43" s="37">
        <v>55</v>
      </c>
      <c r="E43" s="42">
        <v>796</v>
      </c>
      <c r="F43" s="42">
        <f>ROUNDDOWN((1494/255)*Table1[[#This Row],[Cost Factor]],0)</f>
        <v>199</v>
      </c>
      <c r="G43" s="34">
        <f>VLOOKUP(Table1[[#This Row],[Cost]],'Wagon Costs'!D:E,2)</f>
        <v>34</v>
      </c>
      <c r="H43" s="22">
        <f>Table1[[#This Row],[RunCost]]/(124/255)</f>
        <v>28.79032258064516</v>
      </c>
      <c r="I43" s="24">
        <f>IF(X43=1,Table1[[#This Row],[RC Factor?]]*(1792/255),0)</f>
        <v>0</v>
      </c>
      <c r="J43" s="42">
        <v>14</v>
      </c>
      <c r="K43" s="37">
        <v>1900</v>
      </c>
      <c r="L43" s="37">
        <v>4</v>
      </c>
      <c r="M43" s="37">
        <v>12</v>
      </c>
      <c r="N43" s="37">
        <f>Table1[[#This Row],[Capacity (D)]]*2</f>
        <v>24</v>
      </c>
      <c r="O43" s="37">
        <f>Table1[[#This Row],[Capacity (D)]]*4</f>
        <v>48</v>
      </c>
      <c r="P43" s="37">
        <v>23</v>
      </c>
      <c r="Q43" s="37">
        <v>27</v>
      </c>
      <c r="R43" s="37" t="s">
        <v>609</v>
      </c>
      <c r="S43" s="37" t="s">
        <v>511</v>
      </c>
    </row>
    <row r="44" spans="1:19" ht="11.25" x14ac:dyDescent="0.2">
      <c r="A44" s="37">
        <v>43</v>
      </c>
      <c r="B44" s="37" t="s">
        <v>512</v>
      </c>
      <c r="C44" s="35">
        <v>18</v>
      </c>
      <c r="D44" s="37">
        <v>75</v>
      </c>
      <c r="E44" s="42">
        <v>1148</v>
      </c>
      <c r="F44" s="42">
        <f>ROUNDDOWN((1494/255)*Table1[[#This Row],[Cost Factor]],0)</f>
        <v>287</v>
      </c>
      <c r="G44" s="34">
        <f>VLOOKUP(Table1[[#This Row],[Cost]],'Wagon Costs'!D:E,2)</f>
        <v>49</v>
      </c>
      <c r="H44" s="22">
        <f>Table1[[#This Row],[RunCost]]/(124/255)</f>
        <v>37.016129032258064</v>
      </c>
      <c r="I44" s="24">
        <f>IF(X44=1,Table1[[#This Row],[RC Factor?]]*(1792/255),0)</f>
        <v>0</v>
      </c>
      <c r="J44" s="42">
        <v>18</v>
      </c>
      <c r="K44" s="37">
        <v>1957</v>
      </c>
      <c r="L44" s="37">
        <v>5</v>
      </c>
      <c r="M44" s="37">
        <v>16</v>
      </c>
      <c r="N44" s="37">
        <f>Table1[[#This Row],[Capacity (D)]]*2</f>
        <v>32</v>
      </c>
      <c r="O44" s="37">
        <f>Table1[[#This Row],[Capacity (D)]]*4</f>
        <v>64</v>
      </c>
      <c r="P44" s="37">
        <v>30</v>
      </c>
      <c r="Q44" s="37">
        <v>33</v>
      </c>
      <c r="R44" s="37" t="s">
        <v>609</v>
      </c>
      <c r="S44" s="37" t="s">
        <v>512</v>
      </c>
    </row>
    <row r="45" spans="1:19" ht="11.25" x14ac:dyDescent="0.2">
      <c r="A45" s="37">
        <v>44</v>
      </c>
      <c r="B45" s="37" t="s">
        <v>513</v>
      </c>
      <c r="C45" s="35">
        <v>26</v>
      </c>
      <c r="D45" s="37">
        <v>80</v>
      </c>
      <c r="E45" s="42">
        <v>1875</v>
      </c>
      <c r="F45" s="42">
        <f>ROUNDDOWN((1494/255)*Table1[[#This Row],[Cost Factor]],0)</f>
        <v>468</v>
      </c>
      <c r="G45" s="34">
        <f>VLOOKUP(Table1[[#This Row],[Cost]],'Wagon Costs'!D:E,2)</f>
        <v>80</v>
      </c>
      <c r="H45" s="22">
        <f>Table1[[#This Row],[RunCost]]/(124/255)</f>
        <v>65.806451612903231</v>
      </c>
      <c r="I45" s="24">
        <f>IF(X45=1,Table1[[#This Row],[RC Factor?]]*(1792/255),0)</f>
        <v>0</v>
      </c>
      <c r="J45" s="42">
        <v>32</v>
      </c>
      <c r="K45" s="37">
        <v>1977</v>
      </c>
      <c r="L45" s="37">
        <v>8</v>
      </c>
      <c r="M45" s="37">
        <v>28</v>
      </c>
      <c r="N45" s="37">
        <f>Table1[[#This Row],[Capacity (D)]]*2</f>
        <v>56</v>
      </c>
      <c r="O45" s="37">
        <f>Table1[[#This Row],[Capacity (D)]]*4</f>
        <v>112</v>
      </c>
      <c r="P45" s="37">
        <v>45</v>
      </c>
      <c r="Q45" s="37">
        <v>78</v>
      </c>
      <c r="R45" s="37" t="s">
        <v>609</v>
      </c>
      <c r="S45" s="37" t="s">
        <v>513</v>
      </c>
    </row>
    <row r="46" spans="1:19" ht="11.25" x14ac:dyDescent="0.2">
      <c r="A46" s="37">
        <v>45</v>
      </c>
      <c r="B46" s="37" t="s">
        <v>514</v>
      </c>
      <c r="C46" s="35">
        <v>10</v>
      </c>
      <c r="D46" s="37">
        <v>45</v>
      </c>
      <c r="E46" s="42">
        <v>632</v>
      </c>
      <c r="F46" s="42">
        <f>ROUNDDOWN((1494/255)*Table1[[#This Row],[Cost Factor]],0)</f>
        <v>158</v>
      </c>
      <c r="G46" s="34">
        <f>VLOOKUP(Table1[[#This Row],[Cost]],'Wagon Costs'!D:E,2)</f>
        <v>27</v>
      </c>
      <c r="H46" s="22">
        <f>Table1[[#This Row],[RunCost]]/(124/255)</f>
        <v>16.451612903225808</v>
      </c>
      <c r="I46" s="24">
        <f>IF(X46=1,Table1[[#This Row],[RC Factor?]]*(1792/255),0)</f>
        <v>0</v>
      </c>
      <c r="J46" s="42">
        <v>8</v>
      </c>
      <c r="K46" s="37">
        <v>1865</v>
      </c>
      <c r="L46" s="37">
        <v>4</v>
      </c>
      <c r="M46" s="37">
        <v>10</v>
      </c>
      <c r="N46" s="37">
        <f>Table1[[#This Row],[Capacity (D)]]*2</f>
        <v>20</v>
      </c>
      <c r="O46" s="37">
        <f>Table1[[#This Row],[Capacity (D)]]*4</f>
        <v>40</v>
      </c>
      <c r="P46" s="37">
        <v>15</v>
      </c>
      <c r="Q46" s="37">
        <v>27</v>
      </c>
      <c r="R46" s="37" t="s">
        <v>612</v>
      </c>
      <c r="S46" s="37" t="s">
        <v>514</v>
      </c>
    </row>
    <row r="47" spans="1:19" ht="11.25" x14ac:dyDescent="0.2">
      <c r="A47" s="37">
        <v>46</v>
      </c>
      <c r="B47" s="37" t="s">
        <v>515</v>
      </c>
      <c r="C47" s="35">
        <v>10</v>
      </c>
      <c r="D47" s="37">
        <v>55</v>
      </c>
      <c r="E47" s="42">
        <v>750</v>
      </c>
      <c r="F47" s="42">
        <f>ROUNDDOWN((1494/255)*Table1[[#This Row],[Cost Factor]],0)</f>
        <v>187</v>
      </c>
      <c r="G47" s="34">
        <f>VLOOKUP(Table1[[#This Row],[Cost]],'Wagon Costs'!D:E,2)</f>
        <v>32</v>
      </c>
      <c r="H47" s="22">
        <f>Table1[[#This Row],[RunCost]]/(124/255)</f>
        <v>16.451612903225808</v>
      </c>
      <c r="I47" s="24">
        <f>IF(X47=1,Table1[[#This Row],[RC Factor?]]*(1792/255),0)</f>
        <v>0</v>
      </c>
      <c r="J47" s="42">
        <v>8</v>
      </c>
      <c r="K47" s="37">
        <v>1890</v>
      </c>
      <c r="L47" s="37">
        <v>4</v>
      </c>
      <c r="M47" s="37">
        <v>10</v>
      </c>
      <c r="N47" s="37">
        <f>Table1[[#This Row],[Capacity (D)]]*2</f>
        <v>20</v>
      </c>
      <c r="O47" s="37">
        <f>Table1[[#This Row],[Capacity (D)]]*4</f>
        <v>40</v>
      </c>
      <c r="P47" s="37">
        <v>15</v>
      </c>
      <c r="Q47" s="37">
        <v>24</v>
      </c>
      <c r="R47" s="37" t="s">
        <v>612</v>
      </c>
      <c r="S47" s="37" t="s">
        <v>515</v>
      </c>
    </row>
    <row r="48" spans="1:19" ht="11.25" x14ac:dyDescent="0.2">
      <c r="A48" s="37">
        <v>47</v>
      </c>
      <c r="B48" s="37" t="s">
        <v>586</v>
      </c>
      <c r="C48" s="35">
        <v>15</v>
      </c>
      <c r="D48" s="37">
        <v>70</v>
      </c>
      <c r="E48" s="42">
        <v>1031</v>
      </c>
      <c r="F48" s="42">
        <f>ROUNDDOWN((1494/255)*Table1[[#This Row],[Cost Factor]],0)</f>
        <v>257</v>
      </c>
      <c r="G48" s="34">
        <f>VLOOKUP(Table1[[#This Row],[Cost]],'Wagon Costs'!D:E,2)</f>
        <v>44</v>
      </c>
      <c r="H48" s="22">
        <f>Table1[[#This Row],[RunCost]]/(124/255)</f>
        <v>32.903225806451616</v>
      </c>
      <c r="I48" s="24">
        <f>IF(X48=1,Table1[[#This Row],[RC Factor?]]*(1792/255),0)</f>
        <v>0</v>
      </c>
      <c r="J48" s="42">
        <v>16</v>
      </c>
      <c r="K48" s="37">
        <v>1968</v>
      </c>
      <c r="L48" s="37">
        <v>6</v>
      </c>
      <c r="M48" s="37">
        <v>18</v>
      </c>
      <c r="N48" s="37">
        <f>Table1[[#This Row],[Capacity (D)]]*2</f>
        <v>36</v>
      </c>
      <c r="O48" s="37">
        <f>Table1[[#This Row],[Capacity (D)]]*4</f>
        <v>72</v>
      </c>
      <c r="P48" s="37">
        <v>26</v>
      </c>
      <c r="Q48" s="37">
        <v>27</v>
      </c>
      <c r="R48" s="37" t="s">
        <v>610</v>
      </c>
      <c r="S48" s="37" t="s">
        <v>586</v>
      </c>
    </row>
    <row r="49" spans="1:19" ht="11.25" x14ac:dyDescent="0.2">
      <c r="A49" s="37">
        <v>48</v>
      </c>
      <c r="B49" s="37" t="s">
        <v>517</v>
      </c>
      <c r="C49" s="35">
        <v>15</v>
      </c>
      <c r="D49" s="37">
        <v>70</v>
      </c>
      <c r="E49" s="42">
        <v>1031</v>
      </c>
      <c r="F49" s="42">
        <f>ROUNDDOWN((1494/255)*Table1[[#This Row],[Cost Factor]],0)</f>
        <v>257</v>
      </c>
      <c r="G49" s="34">
        <f>VLOOKUP(Table1[[#This Row],[Cost]],'Wagon Costs'!D:E,2)</f>
        <v>44</v>
      </c>
      <c r="H49" s="22">
        <f>Table1[[#This Row],[RunCost]]/(124/255)</f>
        <v>32.903225806451616</v>
      </c>
      <c r="I49" s="24">
        <f>IF(X49=1,Table1[[#This Row],[RC Factor?]]*(1792/255),0)</f>
        <v>0</v>
      </c>
      <c r="J49" s="42">
        <v>16</v>
      </c>
      <c r="K49" s="37">
        <v>1968</v>
      </c>
      <c r="L49" s="37">
        <v>6</v>
      </c>
      <c r="M49" s="37">
        <v>18</v>
      </c>
      <c r="N49" s="37">
        <f>Table1[[#This Row],[Capacity (D)]]*2</f>
        <v>36</v>
      </c>
      <c r="O49" s="37">
        <f>Table1[[#This Row],[Capacity (D)]]*4</f>
        <v>72</v>
      </c>
      <c r="P49" s="37">
        <v>45</v>
      </c>
      <c r="Q49" s="37">
        <v>39</v>
      </c>
      <c r="R49" s="37" t="s">
        <v>611</v>
      </c>
      <c r="S49" s="37" t="s">
        <v>517</v>
      </c>
    </row>
    <row r="50" spans="1:19" ht="11.25" x14ac:dyDescent="0.2">
      <c r="A50" s="37">
        <v>49</v>
      </c>
      <c r="B50" s="37" t="s">
        <v>518</v>
      </c>
      <c r="C50" s="35">
        <v>18</v>
      </c>
      <c r="D50" s="37">
        <v>60</v>
      </c>
      <c r="E50" s="42">
        <v>1101</v>
      </c>
      <c r="F50" s="42">
        <f>ROUNDDOWN((1494/255)*Table1[[#This Row],[Cost Factor]],0)</f>
        <v>275</v>
      </c>
      <c r="G50" s="34">
        <f>VLOOKUP(Table1[[#This Row],[Cost]],'Wagon Costs'!D:E,2)</f>
        <v>47</v>
      </c>
      <c r="H50" s="22">
        <f>Table1[[#This Row],[RunCost]]/(124/255)</f>
        <v>37.016129032258064</v>
      </c>
      <c r="I50" s="24">
        <f>IF(X50=1,Table1[[#This Row],[RC Factor?]]*(1792/255),0)</f>
        <v>0</v>
      </c>
      <c r="J50" s="42">
        <v>18</v>
      </c>
      <c r="K50" s="37">
        <v>1968</v>
      </c>
      <c r="L50" s="37">
        <v>7</v>
      </c>
      <c r="M50" s="37">
        <v>22</v>
      </c>
      <c r="N50" s="37">
        <f>Table1[[#This Row],[Capacity (D)]]*2</f>
        <v>44</v>
      </c>
      <c r="O50" s="37">
        <f>Table1[[#This Row],[Capacity (D)]]*4</f>
        <v>88</v>
      </c>
      <c r="P50" s="37">
        <v>40</v>
      </c>
      <c r="Q50" s="37">
        <v>45</v>
      </c>
      <c r="R50" s="37" t="s">
        <v>614</v>
      </c>
      <c r="S50" s="37" t="s">
        <v>518</v>
      </c>
    </row>
    <row r="51" spans="1:19" ht="11.25" x14ac:dyDescent="0.2">
      <c r="A51" s="37">
        <v>50</v>
      </c>
      <c r="B51" s="37" t="s">
        <v>519</v>
      </c>
      <c r="C51" s="35">
        <v>20</v>
      </c>
      <c r="D51" s="37">
        <v>65</v>
      </c>
      <c r="E51" s="42">
        <v>1312</v>
      </c>
      <c r="F51" s="42">
        <f>ROUNDDOWN((1494/255)*Table1[[#This Row],[Cost Factor]],0)</f>
        <v>328</v>
      </c>
      <c r="G51" s="34">
        <f>VLOOKUP(Table1[[#This Row],[Cost]],'Wagon Costs'!D:E,2)</f>
        <v>56</v>
      </c>
      <c r="H51" s="22">
        <f>Table1[[#This Row],[RunCost]]/(124/255)</f>
        <v>45.241935483870968</v>
      </c>
      <c r="I51" s="24">
        <f>IF(X51=1,Table1[[#This Row],[RC Factor?]]*(1792/255),0)</f>
        <v>0</v>
      </c>
      <c r="J51" s="42">
        <v>22</v>
      </c>
      <c r="K51" s="37">
        <v>1979</v>
      </c>
      <c r="L51" s="37">
        <v>8</v>
      </c>
      <c r="M51" s="37">
        <v>27</v>
      </c>
      <c r="N51" s="37">
        <f>Table1[[#This Row],[Capacity (D)]]*2</f>
        <v>54</v>
      </c>
      <c r="O51" s="37">
        <f>Table1[[#This Row],[Capacity (D)]]*4</f>
        <v>108</v>
      </c>
      <c r="P51" s="37">
        <v>50</v>
      </c>
      <c r="Q51" s="37">
        <v>42</v>
      </c>
      <c r="R51" s="37" t="s">
        <v>606</v>
      </c>
      <c r="S51" s="37" t="s">
        <v>519</v>
      </c>
    </row>
    <row r="52" spans="1:19" ht="11.25" x14ac:dyDescent="0.2">
      <c r="A52" s="37">
        <v>51</v>
      </c>
      <c r="B52" s="37" t="s">
        <v>520</v>
      </c>
      <c r="C52" s="35">
        <v>10</v>
      </c>
      <c r="D52" s="37">
        <v>45</v>
      </c>
      <c r="E52" s="42">
        <v>609</v>
      </c>
      <c r="F52" s="42">
        <f>ROUNDDOWN((1494/255)*Table1[[#This Row],[Cost Factor]],0)</f>
        <v>152</v>
      </c>
      <c r="G52" s="34">
        <f>VLOOKUP(Table1[[#This Row],[Cost]],'Wagon Costs'!D:E,2)</f>
        <v>26</v>
      </c>
      <c r="H52" s="22">
        <f>Table1[[#This Row],[RunCost]]/(124/255)</f>
        <v>12.338709677419356</v>
      </c>
      <c r="I52" s="24">
        <f>IF(X52=1,Table1[[#This Row],[RC Factor?]]*(1792/255),0)</f>
        <v>0</v>
      </c>
      <c r="J52" s="42">
        <v>6</v>
      </c>
      <c r="K52" s="37">
        <v>1865</v>
      </c>
      <c r="L52" s="37">
        <v>4</v>
      </c>
      <c r="M52" s="37">
        <v>8</v>
      </c>
      <c r="N52" s="37">
        <f>Table1[[#This Row],[Capacity (D)]]*2</f>
        <v>16</v>
      </c>
      <c r="O52" s="37">
        <f>Table1[[#This Row],[Capacity (D)]]*4</f>
        <v>32</v>
      </c>
      <c r="P52" s="37">
        <v>16</v>
      </c>
      <c r="Q52" s="37">
        <v>24</v>
      </c>
      <c r="R52" s="37" t="s">
        <v>613</v>
      </c>
      <c r="S52" s="37" t="s">
        <v>520</v>
      </c>
    </row>
    <row r="53" spans="1:19" ht="11.25" x14ac:dyDescent="0.2">
      <c r="A53" s="37">
        <v>52</v>
      </c>
      <c r="B53" s="37" t="s">
        <v>587</v>
      </c>
      <c r="C53" s="35">
        <v>10</v>
      </c>
      <c r="D53" s="37">
        <v>40</v>
      </c>
      <c r="E53" s="42">
        <v>468</v>
      </c>
      <c r="F53" s="42">
        <f>ROUNDDOWN((1494/255)*Table1[[#This Row],[Cost Factor]],0)</f>
        <v>117</v>
      </c>
      <c r="G53" s="34">
        <f>VLOOKUP(Table1[[#This Row],[Cost]],'Wagon Costs'!D:E,2)</f>
        <v>20</v>
      </c>
      <c r="H53" s="22">
        <f>Table1[[#This Row],[RunCost]]/(124/255)</f>
        <v>28.79032258064516</v>
      </c>
      <c r="I53" s="24">
        <f>IF(X53=1,Table1[[#This Row],[RC Factor?]]*(1792/255),0)</f>
        <v>0</v>
      </c>
      <c r="J53" s="42">
        <v>14</v>
      </c>
      <c r="K53" s="37">
        <v>1800</v>
      </c>
      <c r="L53" s="37">
        <v>3</v>
      </c>
      <c r="M53" s="37">
        <v>0</v>
      </c>
      <c r="N53" s="37">
        <f>Table1[[#This Row],[Capacity (D)]]*2</f>
        <v>0</v>
      </c>
      <c r="O53" s="37">
        <f>Table1[[#This Row],[Capacity (D)]]*4</f>
        <v>0</v>
      </c>
      <c r="P53" s="37">
        <v>0</v>
      </c>
      <c r="Q53" s="37">
        <v>0</v>
      </c>
      <c r="R53" s="37" t="s">
        <v>598</v>
      </c>
      <c r="S53" s="37" t="s">
        <v>587</v>
      </c>
    </row>
    <row r="54" spans="1:19" ht="11.25" x14ac:dyDescent="0.2">
      <c r="A54" s="37">
        <v>53</v>
      </c>
      <c r="B54" s="37" t="s">
        <v>588</v>
      </c>
      <c r="C54" s="35">
        <v>20</v>
      </c>
      <c r="D54" s="37">
        <v>65</v>
      </c>
      <c r="E54" s="42">
        <v>750</v>
      </c>
      <c r="F54" s="42">
        <f>ROUNDDOWN((1494/255)*Table1[[#This Row],[Cost Factor]],0)</f>
        <v>187</v>
      </c>
      <c r="G54" s="34">
        <f>VLOOKUP(Table1[[#This Row],[Cost]],'Wagon Costs'!D:E,2)</f>
        <v>32</v>
      </c>
      <c r="H54" s="22">
        <f>Table1[[#This Row],[RunCost]]/(124/255)</f>
        <v>37.016129032258064</v>
      </c>
      <c r="I54" s="24">
        <f>IF(X54=1,Table1[[#This Row],[RC Factor?]]*(1792/255),0)</f>
        <v>0</v>
      </c>
      <c r="J54" s="42">
        <v>18</v>
      </c>
      <c r="K54" s="37">
        <v>1870</v>
      </c>
      <c r="L54" s="37">
        <v>5</v>
      </c>
      <c r="M54" s="37">
        <v>0</v>
      </c>
      <c r="N54" s="37">
        <f>Table1[[#This Row],[Capacity (D)]]*2</f>
        <v>0</v>
      </c>
      <c r="O54" s="37">
        <f>Table1[[#This Row],[Capacity (D)]]*4</f>
        <v>0</v>
      </c>
      <c r="P54" s="37">
        <v>0</v>
      </c>
      <c r="Q54" s="37">
        <v>0</v>
      </c>
      <c r="R54" s="37" t="s">
        <v>598</v>
      </c>
      <c r="S54" s="37" t="s">
        <v>588</v>
      </c>
    </row>
    <row r="55" spans="1:19" ht="11.25" x14ac:dyDescent="0.2">
      <c r="A55" s="37">
        <v>54</v>
      </c>
      <c r="B55" s="37" t="s">
        <v>589</v>
      </c>
      <c r="C55" s="35">
        <v>20</v>
      </c>
      <c r="D55" s="37">
        <v>70</v>
      </c>
      <c r="E55" s="42">
        <v>750</v>
      </c>
      <c r="F55" s="42">
        <f>ROUNDDOWN((1494/255)*Table1[[#This Row],[Cost Factor]],0)</f>
        <v>187</v>
      </c>
      <c r="G55" s="34">
        <f>VLOOKUP(Table1[[#This Row],[Cost]],'Wagon Costs'!D:E,2)</f>
        <v>32</v>
      </c>
      <c r="H55" s="22">
        <f>Table1[[#This Row],[RunCost]]/(124/255)</f>
        <v>37.016129032258064</v>
      </c>
      <c r="I55" s="24">
        <f>IF(X55=1,Table1[[#This Row],[RC Factor?]]*(1792/255),0)</f>
        <v>0</v>
      </c>
      <c r="J55" s="42">
        <v>18</v>
      </c>
      <c r="K55" s="37"/>
      <c r="L55" s="37">
        <v>5</v>
      </c>
      <c r="M55" s="37">
        <v>0</v>
      </c>
      <c r="N55" s="37">
        <f>Table1[[#This Row],[Capacity (D)]]*2</f>
        <v>0</v>
      </c>
      <c r="O55" s="37">
        <f>Table1[[#This Row],[Capacity (D)]]*4</f>
        <v>0</v>
      </c>
      <c r="P55" s="37">
        <v>0</v>
      </c>
      <c r="Q55" s="37">
        <v>0</v>
      </c>
      <c r="R55" s="37" t="s">
        <v>598</v>
      </c>
      <c r="S55" s="37" t="s">
        <v>589</v>
      </c>
    </row>
    <row r="56" spans="1:19" ht="11.25" x14ac:dyDescent="0.2">
      <c r="A56" s="37">
        <v>55</v>
      </c>
      <c r="B56" s="37" t="s">
        <v>591</v>
      </c>
      <c r="C56" s="35">
        <v>20</v>
      </c>
      <c r="D56" s="37">
        <v>60</v>
      </c>
      <c r="E56" s="42">
        <v>1171</v>
      </c>
      <c r="F56" s="42">
        <f>ROUNDDOWN((1494/255)*Table1[[#This Row],[Cost Factor]],0)</f>
        <v>292</v>
      </c>
      <c r="G56" s="34">
        <f>VLOOKUP(Table1[[#This Row],[Cost]],'Wagon Costs'!D:E,2)</f>
        <v>50</v>
      </c>
      <c r="H56" s="22">
        <f>Table1[[#This Row],[RunCost]]/(124/255)</f>
        <v>86.370967741935488</v>
      </c>
      <c r="I56" s="24">
        <f>IF(X56=1,Table1[[#This Row],[RC Factor?]]*(1792/255),0)</f>
        <v>0</v>
      </c>
      <c r="J56" s="42">
        <v>42</v>
      </c>
      <c r="K56" s="37">
        <v>1900</v>
      </c>
      <c r="L56" s="37">
        <v>7</v>
      </c>
      <c r="M56" s="37">
        <v>20</v>
      </c>
      <c r="N56" s="37">
        <f>Table1[[#This Row],[Capacity (D)]]*2</f>
        <v>40</v>
      </c>
      <c r="O56" s="37">
        <f>Table1[[#This Row],[Capacity (D)]]*4</f>
        <v>80</v>
      </c>
      <c r="P56" s="37">
        <v>100</v>
      </c>
      <c r="Q56" s="37">
        <v>120</v>
      </c>
      <c r="R56" s="37" t="s">
        <v>597</v>
      </c>
      <c r="S56" s="37" t="s">
        <v>591</v>
      </c>
    </row>
    <row r="57" spans="1:19" ht="11.25" x14ac:dyDescent="0.2">
      <c r="A57" s="37">
        <v>56</v>
      </c>
      <c r="B57" s="37" t="s">
        <v>592</v>
      </c>
      <c r="C57" s="35">
        <v>33</v>
      </c>
      <c r="D57" s="37">
        <v>100</v>
      </c>
      <c r="E57" s="42">
        <v>3398</v>
      </c>
      <c r="F57" s="42">
        <f>ROUNDDOWN((1494/255)*Table1[[#This Row],[Cost Factor]],0)</f>
        <v>855</v>
      </c>
      <c r="G57" s="34">
        <f>VLOOKUP(Table1[[#This Row],[Cost]],'Wagon Costs'!D:E,2)</f>
        <v>146</v>
      </c>
      <c r="H57" s="22">
        <f>Table1[[#This Row],[RunCost]]/(124/255)</f>
        <v>152.17741935483872</v>
      </c>
      <c r="I57" s="24">
        <f>IF(X57=1,Table1[[#This Row],[RC Factor?]]*(1792/255),0)</f>
        <v>0</v>
      </c>
      <c r="J57" s="42">
        <v>74</v>
      </c>
      <c r="K57" s="37"/>
      <c r="L57" s="37">
        <v>8</v>
      </c>
      <c r="M57" s="37">
        <v>30</v>
      </c>
      <c r="N57" s="37">
        <f>Table1[[#This Row],[Capacity (D)]]*2</f>
        <v>60</v>
      </c>
      <c r="O57" s="37">
        <f>Table1[[#This Row],[Capacity (D)]]*4</f>
        <v>120</v>
      </c>
      <c r="P57" s="37">
        <v>75</v>
      </c>
      <c r="Q57" s="37">
        <v>57</v>
      </c>
      <c r="R57" s="37" t="s">
        <v>597</v>
      </c>
      <c r="S57" s="37" t="s">
        <v>592</v>
      </c>
    </row>
    <row r="58" spans="1:19" ht="11.25" x14ac:dyDescent="0.2">
      <c r="A58" s="37">
        <v>57</v>
      </c>
      <c r="B58" s="37"/>
      <c r="F58" s="42" t="e">
        <f>ROUNDDOWN((1494/255)*Table1[[#This Row],[Cost Factor]],0)</f>
        <v>#N/A</v>
      </c>
      <c r="G58" s="34" t="e">
        <f>VLOOKUP(Table1[[#This Row],[Cost]],'Wagon Costs'!D:E,2)</f>
        <v>#N/A</v>
      </c>
      <c r="H58" s="22">
        <f>Table1[[#This Row],[RunCost]]/(124/255)</f>
        <v>0</v>
      </c>
      <c r="I58" s="24">
        <f>IF(X58=1,Table1[[#This Row],[RC Factor?]]*(1792/255),0)</f>
        <v>0</v>
      </c>
      <c r="K58" s="37"/>
      <c r="L58" s="37"/>
      <c r="M58" s="37"/>
      <c r="N58" s="37">
        <f>Table1[[#This Row],[Capacity (D)]]*2</f>
        <v>0</v>
      </c>
      <c r="O58" s="37">
        <f>Table1[[#This Row],[Capacity (D)]]*4</f>
        <v>0</v>
      </c>
      <c r="P58" s="37"/>
      <c r="Q58" s="37"/>
      <c r="R58" s="37"/>
      <c r="S58" s="37"/>
    </row>
    <row r="59" spans="1:19" ht="11.25" x14ac:dyDescent="0.2">
      <c r="A59" s="37">
        <v>58</v>
      </c>
      <c r="B59" s="37"/>
      <c r="F59" s="42" t="e">
        <f>ROUNDDOWN((1494/255)*Table1[[#This Row],[Cost Factor]],0)</f>
        <v>#N/A</v>
      </c>
      <c r="G59" s="34" t="e">
        <f>VLOOKUP(Table1[[#This Row],[Cost]],'Wagon Costs'!D:E,2)</f>
        <v>#N/A</v>
      </c>
      <c r="H59" s="22">
        <f>Table1[[#This Row],[RunCost]]/(124/255)</f>
        <v>0</v>
      </c>
      <c r="I59" s="24">
        <f>IF(X59=1,Table1[[#This Row],[RC Factor?]]*(1792/255),0)</f>
        <v>0</v>
      </c>
      <c r="K59" s="37"/>
      <c r="L59" s="37"/>
      <c r="M59" s="37"/>
      <c r="N59" s="37">
        <f>Table1[[#This Row],[Capacity (D)]]*2</f>
        <v>0</v>
      </c>
      <c r="O59" s="37">
        <f>Table1[[#This Row],[Capacity (D)]]*4</f>
        <v>0</v>
      </c>
      <c r="P59" s="37"/>
      <c r="Q59" s="37"/>
      <c r="R59" s="37"/>
      <c r="S59" s="37"/>
    </row>
    <row r="60" spans="1:19" ht="11.25" x14ac:dyDescent="0.2">
      <c r="A60" s="37">
        <v>59</v>
      </c>
      <c r="B60" s="37"/>
      <c r="F60" s="42" t="e">
        <f>ROUNDDOWN((1494/255)*Table1[[#This Row],[Cost Factor]],0)</f>
        <v>#N/A</v>
      </c>
      <c r="G60" s="34" t="e">
        <f>VLOOKUP(Table1[[#This Row],[Cost]],'Wagon Costs'!D:E,2)</f>
        <v>#N/A</v>
      </c>
      <c r="H60" s="22">
        <f>Table1[[#This Row],[RunCost]]/(124/255)</f>
        <v>0</v>
      </c>
      <c r="I60" s="24">
        <f>IF(X60=1,Table1[[#This Row],[RC Factor?]]*(1792/255),0)</f>
        <v>0</v>
      </c>
      <c r="K60" s="37"/>
      <c r="L60" s="37"/>
      <c r="M60" s="37"/>
      <c r="N60" s="37">
        <f>Table1[[#This Row],[Capacity (D)]]*2</f>
        <v>0</v>
      </c>
      <c r="O60" s="37">
        <f>Table1[[#This Row],[Capacity (D)]]*4</f>
        <v>0</v>
      </c>
      <c r="P60" s="37"/>
      <c r="Q60" s="37"/>
      <c r="R60" s="37"/>
      <c r="S60" s="37"/>
    </row>
    <row r="61" spans="1:19" ht="11.25" x14ac:dyDescent="0.2">
      <c r="A61" s="37">
        <v>60</v>
      </c>
      <c r="B61" s="37"/>
      <c r="F61" s="42" t="e">
        <f>ROUNDDOWN((1494/255)*Table1[[#This Row],[Cost Factor]],0)</f>
        <v>#N/A</v>
      </c>
      <c r="G61" s="34" t="e">
        <f>VLOOKUP(Table1[[#This Row],[Cost]],'Wagon Costs'!D:E,2)</f>
        <v>#N/A</v>
      </c>
      <c r="H61" s="22">
        <f>Table1[[#This Row],[RunCost]]/(124/255)</f>
        <v>0</v>
      </c>
      <c r="I61" s="24">
        <f>IF(X61=1,Table1[[#This Row],[RC Factor?]]*(1792/255),0)</f>
        <v>0</v>
      </c>
      <c r="K61" s="37"/>
      <c r="L61" s="37"/>
      <c r="M61" s="37"/>
      <c r="N61" s="37">
        <f>Table1[[#This Row],[Capacity (D)]]*2</f>
        <v>0</v>
      </c>
      <c r="O61" s="37">
        <f>Table1[[#This Row],[Capacity (D)]]*4</f>
        <v>0</v>
      </c>
      <c r="P61" s="37"/>
      <c r="Q61" s="37"/>
      <c r="R61" s="37"/>
      <c r="S61" s="37"/>
    </row>
    <row r="62" spans="1:19" ht="11.25" x14ac:dyDescent="0.2">
      <c r="A62" s="37">
        <v>61</v>
      </c>
      <c r="B62" s="37"/>
      <c r="F62" s="42" t="e">
        <f>ROUNDDOWN((1494/255)*Table1[[#This Row],[Cost Factor]],0)</f>
        <v>#N/A</v>
      </c>
      <c r="G62" s="34" t="e">
        <f>VLOOKUP(Table1[[#This Row],[Cost]],'Wagon Costs'!D:E,2)</f>
        <v>#N/A</v>
      </c>
      <c r="H62" s="22">
        <f>Table1[[#This Row],[RunCost]]/(124/255)</f>
        <v>0</v>
      </c>
      <c r="I62" s="24">
        <f>IF(X62=1,Table1[[#This Row],[RC Factor?]]*(1792/255),0)</f>
        <v>0</v>
      </c>
      <c r="K62" s="37"/>
      <c r="L62" s="37"/>
      <c r="M62" s="37"/>
      <c r="N62" s="37">
        <f>Table1[[#This Row],[Capacity (D)]]*2</f>
        <v>0</v>
      </c>
      <c r="O62" s="37">
        <f>Table1[[#This Row],[Capacity (D)]]*4</f>
        <v>0</v>
      </c>
      <c r="P62" s="37"/>
      <c r="Q62" s="37"/>
      <c r="R62" s="37"/>
      <c r="S62" s="37"/>
    </row>
    <row r="63" spans="1:19" ht="11.25" x14ac:dyDescent="0.2">
      <c r="A63" s="37">
        <v>62</v>
      </c>
      <c r="B63" s="37"/>
      <c r="F63" s="42" t="e">
        <f>ROUNDDOWN((1494/255)*Table1[[#This Row],[Cost Factor]],0)</f>
        <v>#N/A</v>
      </c>
      <c r="G63" s="34" t="e">
        <f>VLOOKUP(Table1[[#This Row],[Cost]],'Wagon Costs'!D:E,2)</f>
        <v>#N/A</v>
      </c>
      <c r="H63" s="22">
        <f>Table1[[#This Row],[RunCost]]/(124/255)</f>
        <v>0</v>
      </c>
      <c r="I63" s="24">
        <f>IF(X63=1,Table1[[#This Row],[RC Factor?]]*(1792/255),0)</f>
        <v>0</v>
      </c>
      <c r="K63" s="37"/>
      <c r="L63" s="37"/>
      <c r="M63" s="37"/>
      <c r="N63" s="37">
        <f>Table1[[#This Row],[Capacity (D)]]*2</f>
        <v>0</v>
      </c>
      <c r="O63" s="37">
        <f>Table1[[#This Row],[Capacity (D)]]*4</f>
        <v>0</v>
      </c>
      <c r="P63" s="37"/>
      <c r="Q63" s="37"/>
      <c r="R63" s="37"/>
      <c r="S63" s="37"/>
    </row>
    <row r="64" spans="1:19" ht="11.25" x14ac:dyDescent="0.2">
      <c r="A64" s="37">
        <v>63</v>
      </c>
      <c r="B64" s="37"/>
      <c r="F64" s="42" t="e">
        <f>ROUNDDOWN((1494/255)*Table1[[#This Row],[Cost Factor]],0)</f>
        <v>#N/A</v>
      </c>
      <c r="G64" s="34" t="e">
        <f>VLOOKUP(Table1[[#This Row],[Cost]],'Wagon Costs'!D:E,2)</f>
        <v>#N/A</v>
      </c>
      <c r="H64" s="22">
        <f>Table1[[#This Row],[RunCost]]/(124/255)</f>
        <v>0</v>
      </c>
      <c r="I64" s="24">
        <f>IF(X64=1,Table1[[#This Row],[RC Factor?]]*(1792/255),0)</f>
        <v>0</v>
      </c>
      <c r="K64" s="37"/>
      <c r="L64" s="37"/>
      <c r="M64" s="37"/>
      <c r="N64" s="37">
        <f>Table1[[#This Row],[Capacity (D)]]*2</f>
        <v>0</v>
      </c>
      <c r="O64" s="37">
        <f>Table1[[#This Row],[Capacity (D)]]*4</f>
        <v>0</v>
      </c>
      <c r="P64" s="37"/>
      <c r="Q64" s="37"/>
      <c r="R64" s="37"/>
      <c r="S64" s="37"/>
    </row>
    <row r="65" spans="1:19" ht="11.25" x14ac:dyDescent="0.2">
      <c r="A65" s="37">
        <v>64</v>
      </c>
      <c r="B65" s="37"/>
      <c r="F65" s="42" t="e">
        <f>ROUNDDOWN((1494/255)*Table1[[#This Row],[Cost Factor]],0)</f>
        <v>#N/A</v>
      </c>
      <c r="G65" s="34" t="e">
        <f>VLOOKUP(Table1[[#This Row],[Cost]],'Wagon Costs'!D:E,2)</f>
        <v>#N/A</v>
      </c>
      <c r="H65" s="22">
        <f>Table1[[#This Row],[RunCost]]/(124/255)</f>
        <v>0</v>
      </c>
      <c r="I65" s="24">
        <f>IF(X65=1,Table1[[#This Row],[RC Factor?]]*(1792/255),0)</f>
        <v>0</v>
      </c>
      <c r="K65" s="37"/>
      <c r="L65" s="37"/>
      <c r="M65" s="37"/>
      <c r="N65" s="37">
        <f>Table1[[#This Row],[Capacity (D)]]*2</f>
        <v>0</v>
      </c>
      <c r="O65" s="37">
        <f>Table1[[#This Row],[Capacity (D)]]*4</f>
        <v>0</v>
      </c>
      <c r="P65" s="37"/>
      <c r="Q65" s="37"/>
      <c r="R65" s="37"/>
      <c r="S65" s="37"/>
    </row>
    <row r="66" spans="1:19" ht="11.25" x14ac:dyDescent="0.2">
      <c r="A66" s="37">
        <v>65</v>
      </c>
      <c r="B66" s="37"/>
      <c r="F66" s="42" t="e">
        <f>ROUNDDOWN((1494/255)*Table1[[#This Row],[Cost Factor]],0)</f>
        <v>#N/A</v>
      </c>
      <c r="G66" s="34" t="e">
        <f>VLOOKUP(Table1[[#This Row],[Cost]],'Wagon Costs'!D:E,2)</f>
        <v>#N/A</v>
      </c>
      <c r="H66" s="22">
        <f>Table1[[#This Row],[RunCost]]/(124/255)</f>
        <v>0</v>
      </c>
      <c r="I66" s="24">
        <f>IF(X66=1,Table1[[#This Row],[RC Factor?]]*(1792/255),0)</f>
        <v>0</v>
      </c>
      <c r="K66" s="37"/>
      <c r="L66" s="37"/>
      <c r="M66" s="37"/>
      <c r="N66" s="37">
        <f>Table1[[#This Row],[Capacity (D)]]*2</f>
        <v>0</v>
      </c>
      <c r="O66" s="37">
        <f>Table1[[#This Row],[Capacity (D)]]*4</f>
        <v>0</v>
      </c>
      <c r="P66" s="37"/>
      <c r="Q66" s="37"/>
      <c r="R66" s="37"/>
      <c r="S66" s="37"/>
    </row>
    <row r="67" spans="1:19" ht="11.25" x14ac:dyDescent="0.2">
      <c r="A67" s="37">
        <v>66</v>
      </c>
      <c r="B67" s="37"/>
      <c r="F67" s="42" t="e">
        <f>ROUNDDOWN((1494/255)*Table1[[#This Row],[Cost Factor]],0)</f>
        <v>#N/A</v>
      </c>
      <c r="G67" s="34" t="e">
        <f>VLOOKUP(Table1[[#This Row],[Cost]],'Wagon Costs'!D:E,2)</f>
        <v>#N/A</v>
      </c>
      <c r="H67" s="22">
        <f>Table1[[#This Row],[RunCost]]/(124/255)</f>
        <v>0</v>
      </c>
      <c r="I67" s="24">
        <f>IF(X67=1,Table1[[#This Row],[RC Factor?]]*(1792/255),0)</f>
        <v>0</v>
      </c>
      <c r="K67" s="37"/>
      <c r="L67" s="37"/>
      <c r="M67" s="37"/>
      <c r="N67" s="37">
        <f>Table1[[#This Row],[Capacity (D)]]*2</f>
        <v>0</v>
      </c>
      <c r="O67" s="37">
        <f>Table1[[#This Row],[Capacity (D)]]*4</f>
        <v>0</v>
      </c>
      <c r="P67" s="37"/>
      <c r="Q67" s="37"/>
      <c r="R67" s="37"/>
      <c r="S67" s="37"/>
    </row>
    <row r="68" spans="1:19" ht="11.25" x14ac:dyDescent="0.2">
      <c r="A68" s="37">
        <v>67</v>
      </c>
      <c r="B68" s="37"/>
      <c r="F68" s="42" t="e">
        <f>ROUNDDOWN((1494/255)*Table1[[#This Row],[Cost Factor]],0)</f>
        <v>#N/A</v>
      </c>
      <c r="G68" s="34" t="e">
        <f>VLOOKUP(Table1[[#This Row],[Cost]],'Wagon Costs'!D:E,2)</f>
        <v>#N/A</v>
      </c>
      <c r="H68" s="22">
        <f>Table1[[#This Row],[RunCost]]/(124/255)</f>
        <v>0</v>
      </c>
      <c r="I68" s="24">
        <f>IF(X68=1,Table1[[#This Row],[RC Factor?]]*(1792/255),0)</f>
        <v>0</v>
      </c>
      <c r="K68" s="37"/>
      <c r="L68" s="37"/>
      <c r="M68" s="37"/>
      <c r="N68" s="37">
        <f>Table1[[#This Row],[Capacity (D)]]*2</f>
        <v>0</v>
      </c>
      <c r="O68" s="37">
        <f>Table1[[#This Row],[Capacity (D)]]*4</f>
        <v>0</v>
      </c>
      <c r="P68" s="37"/>
      <c r="Q68" s="37"/>
      <c r="R68" s="37"/>
      <c r="S68" s="37"/>
    </row>
    <row r="69" spans="1:19" ht="11.25" x14ac:dyDescent="0.2">
      <c r="A69" s="37">
        <v>68</v>
      </c>
      <c r="B69" s="37"/>
      <c r="F69" s="42" t="e">
        <f>ROUNDDOWN((1494/255)*Table1[[#This Row],[Cost Factor]],0)</f>
        <v>#N/A</v>
      </c>
      <c r="G69" s="34" t="e">
        <f>VLOOKUP(Table1[[#This Row],[Cost]],'Wagon Costs'!D:E,2)</f>
        <v>#N/A</v>
      </c>
      <c r="H69" s="22">
        <f>Table1[[#This Row],[RunCost]]/(124/255)</f>
        <v>0</v>
      </c>
      <c r="I69" s="24">
        <f>IF(X69=1,Table1[[#This Row],[RC Factor?]]*(1792/255),0)</f>
        <v>0</v>
      </c>
      <c r="K69" s="37"/>
      <c r="L69" s="37"/>
      <c r="M69" s="37"/>
      <c r="N69" s="37">
        <f>Table1[[#This Row],[Capacity (D)]]*2</f>
        <v>0</v>
      </c>
      <c r="O69" s="37">
        <f>Table1[[#This Row],[Capacity (D)]]*4</f>
        <v>0</v>
      </c>
      <c r="P69" s="37"/>
      <c r="Q69" s="37"/>
      <c r="R69" s="37"/>
      <c r="S69" s="37"/>
    </row>
    <row r="70" spans="1:19" ht="11.25" x14ac:dyDescent="0.2">
      <c r="A70" s="37">
        <v>69</v>
      </c>
      <c r="B70" s="37"/>
      <c r="F70" s="42" t="e">
        <f>ROUNDDOWN((1494/255)*Table1[[#This Row],[Cost Factor]],0)</f>
        <v>#N/A</v>
      </c>
      <c r="G70" s="34" t="e">
        <f>VLOOKUP(Table1[[#This Row],[Cost]],'Wagon Costs'!D:E,2)</f>
        <v>#N/A</v>
      </c>
      <c r="H70" s="22">
        <f>Table1[[#This Row],[RunCost]]/(124/255)</f>
        <v>0</v>
      </c>
      <c r="I70" s="24">
        <f>IF(X70=1,Table1[[#This Row],[RC Factor?]]*(1792/255),0)</f>
        <v>0</v>
      </c>
      <c r="K70" s="37"/>
      <c r="L70" s="37"/>
      <c r="M70" s="37"/>
      <c r="N70" s="37">
        <f>Table1[[#This Row],[Capacity (D)]]*2</f>
        <v>0</v>
      </c>
      <c r="O70" s="37">
        <f>Table1[[#This Row],[Capacity (D)]]*4</f>
        <v>0</v>
      </c>
      <c r="P70" s="37"/>
      <c r="Q70" s="37"/>
      <c r="R70" s="37"/>
      <c r="S70" s="37"/>
    </row>
    <row r="71" spans="1:19" ht="11.25" x14ac:dyDescent="0.2">
      <c r="A71" s="37">
        <v>70</v>
      </c>
      <c r="B71" s="37"/>
      <c r="F71" s="42" t="e">
        <f>ROUNDDOWN((1494/255)*Table1[[#This Row],[Cost Factor]],0)</f>
        <v>#N/A</v>
      </c>
      <c r="G71" s="34" t="e">
        <f>VLOOKUP(Table1[[#This Row],[Cost]],'Wagon Costs'!D:E,2)</f>
        <v>#N/A</v>
      </c>
      <c r="H71" s="22">
        <f>Table1[[#This Row],[RunCost]]/(124/255)</f>
        <v>0</v>
      </c>
      <c r="I71" s="24">
        <f>IF(X71=1,Table1[[#This Row],[RC Factor?]]*(1792/255),0)</f>
        <v>0</v>
      </c>
      <c r="K71" s="37"/>
      <c r="L71" s="37"/>
      <c r="M71" s="37"/>
      <c r="N71" s="37">
        <f>Table1[[#This Row],[Capacity (D)]]*2</f>
        <v>0</v>
      </c>
      <c r="O71" s="37">
        <f>Table1[[#This Row],[Capacity (D)]]*4</f>
        <v>0</v>
      </c>
      <c r="P71" s="37"/>
      <c r="Q71" s="37"/>
      <c r="R71" s="37"/>
      <c r="S71" s="37"/>
    </row>
    <row r="72" spans="1:19" ht="11.25" x14ac:dyDescent="0.2">
      <c r="A72" s="37">
        <v>71</v>
      </c>
      <c r="B72" s="37"/>
      <c r="F72" s="42" t="e">
        <f>ROUNDDOWN((1494/255)*Table1[[#This Row],[Cost Factor]],0)</f>
        <v>#N/A</v>
      </c>
      <c r="G72" s="34" t="e">
        <f>VLOOKUP(Table1[[#This Row],[Cost]],'Wagon Costs'!D:E,2)</f>
        <v>#N/A</v>
      </c>
      <c r="H72" s="22">
        <f>Table1[[#This Row],[RunCost]]/(124/255)</f>
        <v>0</v>
      </c>
      <c r="I72" s="24">
        <f>IF(X72=1,Table1[[#This Row],[RC Factor?]]*(1792/255),0)</f>
        <v>0</v>
      </c>
      <c r="K72" s="37"/>
      <c r="L72" s="37"/>
      <c r="M72" s="37"/>
      <c r="N72" s="37">
        <f>Table1[[#This Row],[Capacity (D)]]*2</f>
        <v>0</v>
      </c>
      <c r="O72" s="37">
        <f>Table1[[#This Row],[Capacity (D)]]*4</f>
        <v>0</v>
      </c>
      <c r="P72" s="37"/>
      <c r="Q72" s="37"/>
      <c r="R72" s="37"/>
      <c r="S72" s="37"/>
    </row>
    <row r="73" spans="1:19" ht="11.25" x14ac:dyDescent="0.2">
      <c r="A73" s="37">
        <v>72</v>
      </c>
      <c r="B73" s="37"/>
      <c r="F73" s="42" t="e">
        <f>ROUNDDOWN((1494/255)*Table1[[#This Row],[Cost Factor]],0)</f>
        <v>#N/A</v>
      </c>
      <c r="G73" s="34" t="e">
        <f>VLOOKUP(Table1[[#This Row],[Cost]],'Wagon Costs'!D:E,2)</f>
        <v>#N/A</v>
      </c>
      <c r="H73" s="22">
        <f>Table1[[#This Row],[RunCost]]/(124/255)</f>
        <v>0</v>
      </c>
      <c r="I73" s="24">
        <f>IF(X73=1,Table1[[#This Row],[RC Factor?]]*(1792/255),0)</f>
        <v>0</v>
      </c>
      <c r="K73" s="37"/>
      <c r="L73" s="37"/>
      <c r="M73" s="37"/>
      <c r="N73" s="37">
        <f>Table1[[#This Row],[Capacity (D)]]*2</f>
        <v>0</v>
      </c>
      <c r="O73" s="37">
        <f>Table1[[#This Row],[Capacity (D)]]*4</f>
        <v>0</v>
      </c>
      <c r="P73" s="37"/>
      <c r="Q73" s="37"/>
      <c r="R73" s="37"/>
      <c r="S73" s="37"/>
    </row>
    <row r="74" spans="1:19" ht="11.25" x14ac:dyDescent="0.2">
      <c r="A74" s="37">
        <v>73</v>
      </c>
      <c r="B74" s="37"/>
      <c r="F74" s="42" t="e">
        <f>ROUNDDOWN((1494/255)*Table1[[#This Row],[Cost Factor]],0)</f>
        <v>#N/A</v>
      </c>
      <c r="G74" s="34" t="e">
        <f>VLOOKUP(Table1[[#This Row],[Cost]],'Wagon Costs'!D:E,2)</f>
        <v>#N/A</v>
      </c>
      <c r="H74" s="22">
        <f>Table1[[#This Row],[RunCost]]/(124/255)</f>
        <v>0</v>
      </c>
      <c r="I74" s="24">
        <f>IF(X74=1,Table1[[#This Row],[RC Factor?]]*(1792/255),0)</f>
        <v>0</v>
      </c>
      <c r="K74" s="37"/>
      <c r="L74" s="37"/>
      <c r="M74" s="37"/>
      <c r="N74" s="37">
        <f>Table1[[#This Row],[Capacity (D)]]*2</f>
        <v>0</v>
      </c>
      <c r="O74" s="37">
        <f>Table1[[#This Row],[Capacity (D)]]*4</f>
        <v>0</v>
      </c>
      <c r="P74" s="37"/>
      <c r="Q74" s="37"/>
      <c r="R74" s="37"/>
      <c r="S74" s="37"/>
    </row>
    <row r="75" spans="1:19" ht="11.25" x14ac:dyDescent="0.2">
      <c r="A75" s="37">
        <v>74</v>
      </c>
      <c r="B75" s="37"/>
      <c r="F75" s="42" t="e">
        <f>ROUNDDOWN((1494/255)*Table1[[#This Row],[Cost Factor]],0)</f>
        <v>#N/A</v>
      </c>
      <c r="G75" s="34" t="e">
        <f>VLOOKUP(Table1[[#This Row],[Cost]],'Wagon Costs'!D:E,2)</f>
        <v>#N/A</v>
      </c>
      <c r="H75" s="22">
        <f>Table1[[#This Row],[RunCost]]/(124/255)</f>
        <v>0</v>
      </c>
      <c r="I75" s="24">
        <f>IF(X75=1,Table1[[#This Row],[RC Factor?]]*(1792/255),0)</f>
        <v>0</v>
      </c>
      <c r="K75" s="37"/>
      <c r="L75" s="37"/>
      <c r="M75" s="37"/>
      <c r="N75" s="37">
        <f>Table1[[#This Row],[Capacity (D)]]*2</f>
        <v>0</v>
      </c>
      <c r="O75" s="37">
        <f>Table1[[#This Row],[Capacity (D)]]*4</f>
        <v>0</v>
      </c>
      <c r="P75" s="37"/>
      <c r="Q75" s="37"/>
      <c r="R75" s="37"/>
      <c r="S75" s="37"/>
    </row>
    <row r="76" spans="1:19" ht="11.25" x14ac:dyDescent="0.2">
      <c r="A76" s="37">
        <v>75</v>
      </c>
      <c r="B76" s="37"/>
      <c r="F76" s="42" t="e">
        <f>ROUNDDOWN((1494/255)*Table1[[#This Row],[Cost Factor]],0)</f>
        <v>#N/A</v>
      </c>
      <c r="G76" s="34" t="e">
        <f>VLOOKUP(Table1[[#This Row],[Cost]],'Wagon Costs'!D:E,2)</f>
        <v>#N/A</v>
      </c>
      <c r="H76" s="22">
        <f>Table1[[#This Row],[RunCost]]/(124/255)</f>
        <v>0</v>
      </c>
      <c r="I76" s="24">
        <f>IF(X76=1,Table1[[#This Row],[RC Factor?]]*(1792/255),0)</f>
        <v>0</v>
      </c>
      <c r="K76" s="37"/>
      <c r="L76" s="37"/>
      <c r="M76" s="37"/>
      <c r="N76" s="37">
        <f>Table1[[#This Row],[Capacity (D)]]*2</f>
        <v>0</v>
      </c>
      <c r="O76" s="37">
        <f>Table1[[#This Row],[Capacity (D)]]*4</f>
        <v>0</v>
      </c>
      <c r="P76" s="37"/>
      <c r="Q76" s="37"/>
      <c r="R76" s="37"/>
      <c r="S76" s="37"/>
    </row>
    <row r="77" spans="1:19" ht="11.25" x14ac:dyDescent="0.2">
      <c r="A77" s="37">
        <v>76</v>
      </c>
      <c r="B77" s="37"/>
      <c r="F77" s="42" t="e">
        <f>ROUNDDOWN((1494/255)*Table1[[#This Row],[Cost Factor]],0)</f>
        <v>#N/A</v>
      </c>
      <c r="G77" s="34" t="e">
        <f>VLOOKUP(Table1[[#This Row],[Cost]],'Wagon Costs'!D:E,2)</f>
        <v>#N/A</v>
      </c>
      <c r="H77" s="22">
        <f>Table1[[#This Row],[RunCost]]/(124/255)</f>
        <v>0</v>
      </c>
      <c r="I77" s="24">
        <f>IF(X77=1,Table1[[#This Row],[RC Factor?]]*(1792/255),0)</f>
        <v>0</v>
      </c>
      <c r="K77" s="37"/>
      <c r="L77" s="37"/>
      <c r="M77" s="37"/>
      <c r="N77" s="37">
        <f>Table1[[#This Row],[Capacity (D)]]*2</f>
        <v>0</v>
      </c>
      <c r="O77" s="37">
        <f>Table1[[#This Row],[Capacity (D)]]*4</f>
        <v>0</v>
      </c>
      <c r="P77" s="37"/>
      <c r="Q77" s="37"/>
      <c r="R77" s="37"/>
      <c r="S77" s="37"/>
    </row>
    <row r="78" spans="1:19" ht="11.25" x14ac:dyDescent="0.2">
      <c r="A78" s="37">
        <v>77</v>
      </c>
      <c r="B78" s="37"/>
      <c r="F78" s="42" t="e">
        <f>ROUNDDOWN((1494/255)*Table1[[#This Row],[Cost Factor]],0)</f>
        <v>#N/A</v>
      </c>
      <c r="G78" s="34" t="e">
        <f>VLOOKUP(Table1[[#This Row],[Cost]],'Wagon Costs'!D:E,2)</f>
        <v>#N/A</v>
      </c>
      <c r="H78" s="22">
        <f>Table1[[#This Row],[RunCost]]/(124/255)</f>
        <v>0</v>
      </c>
      <c r="I78" s="24">
        <f>IF(X78=1,Table1[[#This Row],[RC Factor?]]*(1792/255),0)</f>
        <v>0</v>
      </c>
      <c r="K78" s="37"/>
      <c r="L78" s="37"/>
      <c r="M78" s="37"/>
      <c r="N78" s="37">
        <f>Table1[[#This Row],[Capacity (D)]]*2</f>
        <v>0</v>
      </c>
      <c r="O78" s="37">
        <f>Table1[[#This Row],[Capacity (D)]]*4</f>
        <v>0</v>
      </c>
      <c r="P78" s="37"/>
      <c r="Q78" s="37"/>
      <c r="R78" s="37"/>
      <c r="S78" s="37"/>
    </row>
    <row r="79" spans="1:19" ht="11.25" x14ac:dyDescent="0.2">
      <c r="A79" s="37">
        <v>78</v>
      </c>
      <c r="B79" s="37"/>
      <c r="F79" s="42" t="e">
        <f>ROUNDDOWN((1494/255)*Table1[[#This Row],[Cost Factor]],0)</f>
        <v>#N/A</v>
      </c>
      <c r="G79" s="34" t="e">
        <f>VLOOKUP(Table1[[#This Row],[Cost]],'Wagon Costs'!D:E,2)</f>
        <v>#N/A</v>
      </c>
      <c r="H79" s="22">
        <f>Table1[[#This Row],[RunCost]]/(124/255)</f>
        <v>0</v>
      </c>
      <c r="I79" s="24">
        <f>IF(X79=1,Table1[[#This Row],[RC Factor?]]*(1792/255),0)</f>
        <v>0</v>
      </c>
      <c r="K79" s="37"/>
      <c r="L79" s="37"/>
      <c r="M79" s="37"/>
      <c r="N79" s="37">
        <f>Table1[[#This Row],[Capacity (D)]]*2</f>
        <v>0</v>
      </c>
      <c r="O79" s="37">
        <f>Table1[[#This Row],[Capacity (D)]]*4</f>
        <v>0</v>
      </c>
      <c r="P79" s="37"/>
      <c r="Q79" s="37"/>
      <c r="R79" s="37"/>
      <c r="S79" s="37"/>
    </row>
    <row r="80" spans="1:19" ht="11.25" x14ac:dyDescent="0.2">
      <c r="A80" s="37">
        <v>79</v>
      </c>
      <c r="B80" s="37"/>
      <c r="F80" s="42" t="e">
        <f>ROUNDDOWN((1494/255)*Table1[[#This Row],[Cost Factor]],0)</f>
        <v>#N/A</v>
      </c>
      <c r="G80" s="34" t="e">
        <f>VLOOKUP(Table1[[#This Row],[Cost]],'Wagon Costs'!D:E,2)</f>
        <v>#N/A</v>
      </c>
      <c r="H80" s="22">
        <f>Table1[[#This Row],[RunCost]]/(124/255)</f>
        <v>0</v>
      </c>
      <c r="I80" s="24">
        <f>IF(X80=1,Table1[[#This Row],[RC Factor?]]*(1792/255),0)</f>
        <v>0</v>
      </c>
      <c r="K80" s="37"/>
      <c r="L80" s="37"/>
      <c r="M80" s="37"/>
      <c r="N80" s="37">
        <f>Table1[[#This Row],[Capacity (D)]]*2</f>
        <v>0</v>
      </c>
      <c r="O80" s="37">
        <f>Table1[[#This Row],[Capacity (D)]]*4</f>
        <v>0</v>
      </c>
      <c r="P80" s="37"/>
      <c r="Q80" s="37"/>
      <c r="R80" s="37"/>
      <c r="S80" s="37"/>
    </row>
    <row r="81" spans="1:19" ht="11.25" x14ac:dyDescent="0.2">
      <c r="A81" s="37">
        <v>80</v>
      </c>
      <c r="B81" s="37"/>
      <c r="F81" s="42" t="e">
        <f>ROUNDDOWN((1494/255)*Table1[[#This Row],[Cost Factor]],0)</f>
        <v>#N/A</v>
      </c>
      <c r="G81" s="34" t="e">
        <f>VLOOKUP(Table1[[#This Row],[Cost]],'Wagon Costs'!D:E,2)</f>
        <v>#N/A</v>
      </c>
      <c r="H81" s="22">
        <f>Table1[[#This Row],[RunCost]]/(124/255)</f>
        <v>0</v>
      </c>
      <c r="I81" s="24">
        <f>IF(X81=1,Table1[[#This Row],[RC Factor?]]*(1792/255),0)</f>
        <v>0</v>
      </c>
      <c r="K81" s="37"/>
      <c r="L81" s="37"/>
      <c r="M81" s="37"/>
      <c r="N81" s="37">
        <f>Table1[[#This Row],[Capacity (D)]]*2</f>
        <v>0</v>
      </c>
      <c r="O81" s="37">
        <f>Table1[[#This Row],[Capacity (D)]]*4</f>
        <v>0</v>
      </c>
      <c r="P81" s="37"/>
      <c r="Q81" s="37"/>
      <c r="R81" s="37"/>
      <c r="S81" s="37"/>
    </row>
    <row r="82" spans="1:19" ht="11.25" x14ac:dyDescent="0.2">
      <c r="A82" s="37">
        <v>81</v>
      </c>
      <c r="B82" s="37"/>
      <c r="F82" s="42" t="e">
        <f>ROUNDDOWN((1494/255)*Table1[[#This Row],[Cost Factor]],0)</f>
        <v>#N/A</v>
      </c>
      <c r="G82" s="34" t="e">
        <f>VLOOKUP(Table1[[#This Row],[Cost]],'Wagon Costs'!D:E,2)</f>
        <v>#N/A</v>
      </c>
      <c r="H82" s="22">
        <f>Table1[[#This Row],[RunCost]]/(124/255)</f>
        <v>0</v>
      </c>
      <c r="I82" s="24">
        <f>IF(X82=1,Table1[[#This Row],[RC Factor?]]*(1792/255),0)</f>
        <v>0</v>
      </c>
      <c r="K82" s="37"/>
      <c r="L82" s="37"/>
      <c r="M82" s="37"/>
      <c r="N82" s="37">
        <f>Table1[[#This Row],[Capacity (D)]]*2</f>
        <v>0</v>
      </c>
      <c r="O82" s="37">
        <f>Table1[[#This Row],[Capacity (D)]]*4</f>
        <v>0</v>
      </c>
      <c r="P82" s="37"/>
      <c r="Q82" s="37"/>
      <c r="R82" s="37"/>
      <c r="S82" s="37"/>
    </row>
    <row r="83" spans="1:19" ht="11.25" x14ac:dyDescent="0.2">
      <c r="A83" s="37">
        <v>82</v>
      </c>
      <c r="B83" s="37"/>
      <c r="F83" s="42" t="e">
        <f>ROUNDDOWN((1494/255)*Table1[[#This Row],[Cost Factor]],0)</f>
        <v>#N/A</v>
      </c>
      <c r="G83" s="34" t="e">
        <f>VLOOKUP(Table1[[#This Row],[Cost]],'Wagon Costs'!D:E,2)</f>
        <v>#N/A</v>
      </c>
      <c r="H83" s="22">
        <f>Table1[[#This Row],[RunCost]]/(124/255)</f>
        <v>0</v>
      </c>
      <c r="I83" s="24">
        <f>IF(X83=1,Table1[[#This Row],[RC Factor?]]*(1792/255),0)</f>
        <v>0</v>
      </c>
      <c r="K83" s="37"/>
      <c r="L83" s="37"/>
      <c r="M83" s="37"/>
      <c r="N83" s="37">
        <f>Table1[[#This Row],[Capacity (D)]]*2</f>
        <v>0</v>
      </c>
      <c r="O83" s="37">
        <f>Table1[[#This Row],[Capacity (D)]]*4</f>
        <v>0</v>
      </c>
      <c r="P83" s="37"/>
      <c r="Q83" s="37"/>
      <c r="R83" s="37"/>
      <c r="S83" s="37"/>
    </row>
    <row r="84" spans="1:19" ht="11.25" x14ac:dyDescent="0.2">
      <c r="A84" s="37">
        <v>83</v>
      </c>
      <c r="B84" s="37"/>
      <c r="F84" s="42" t="e">
        <f>ROUNDDOWN((1494/255)*Table1[[#This Row],[Cost Factor]],0)</f>
        <v>#N/A</v>
      </c>
      <c r="G84" s="34" t="e">
        <f>VLOOKUP(Table1[[#This Row],[Cost]],'Wagon Costs'!D:E,2)</f>
        <v>#N/A</v>
      </c>
      <c r="H84" s="22">
        <f>Table1[[#This Row],[RunCost]]/(124/255)</f>
        <v>0</v>
      </c>
      <c r="I84" s="24">
        <f>IF(X84=1,Table1[[#This Row],[RC Factor?]]*(1792/255),0)</f>
        <v>0</v>
      </c>
      <c r="K84" s="37"/>
      <c r="L84" s="37"/>
      <c r="M84" s="37"/>
      <c r="N84" s="37">
        <f>Table1[[#This Row],[Capacity (D)]]*2</f>
        <v>0</v>
      </c>
      <c r="O84" s="37">
        <f>Table1[[#This Row],[Capacity (D)]]*4</f>
        <v>0</v>
      </c>
      <c r="P84" s="37"/>
      <c r="Q84" s="37"/>
      <c r="R84" s="37"/>
      <c r="S84" s="37"/>
    </row>
    <row r="85" spans="1:19" ht="11.25" x14ac:dyDescent="0.2">
      <c r="A85" s="37">
        <v>84</v>
      </c>
      <c r="B85" s="37"/>
      <c r="F85" s="42" t="e">
        <f>ROUNDDOWN((1494/255)*Table1[[#This Row],[Cost Factor]],0)</f>
        <v>#N/A</v>
      </c>
      <c r="G85" s="34" t="e">
        <f>VLOOKUP(Table1[[#This Row],[Cost]],'Wagon Costs'!D:E,2)</f>
        <v>#N/A</v>
      </c>
      <c r="H85" s="22">
        <f>Table1[[#This Row],[RunCost]]/(124/255)</f>
        <v>0</v>
      </c>
      <c r="I85" s="24">
        <f>IF(X85=1,Table1[[#This Row],[RC Factor?]]*(1792/255),0)</f>
        <v>0</v>
      </c>
      <c r="K85" s="37"/>
      <c r="L85" s="37"/>
      <c r="M85" s="37"/>
      <c r="N85" s="37">
        <f>Table1[[#This Row],[Capacity (D)]]*2</f>
        <v>0</v>
      </c>
      <c r="O85" s="37">
        <f>Table1[[#This Row],[Capacity (D)]]*4</f>
        <v>0</v>
      </c>
      <c r="P85" s="37"/>
      <c r="Q85" s="37"/>
      <c r="R85" s="37"/>
      <c r="S85" s="37"/>
    </row>
    <row r="86" spans="1:19" ht="11.25" x14ac:dyDescent="0.2">
      <c r="A86" s="37">
        <v>85</v>
      </c>
      <c r="B86" s="37"/>
      <c r="F86" s="42" t="e">
        <f>ROUNDDOWN((1494/255)*Table1[[#This Row],[Cost Factor]],0)</f>
        <v>#N/A</v>
      </c>
      <c r="G86" s="34" t="e">
        <f>VLOOKUP(Table1[[#This Row],[Cost]],'Wagon Costs'!D:E,2)</f>
        <v>#N/A</v>
      </c>
      <c r="H86" s="22">
        <f>Table1[[#This Row],[RunCost]]/(124/255)</f>
        <v>0</v>
      </c>
      <c r="I86" s="24">
        <f>IF(X86=1,Table1[[#This Row],[RC Factor?]]*(1792/255),0)</f>
        <v>0</v>
      </c>
      <c r="K86" s="37"/>
      <c r="L86" s="37"/>
      <c r="M86" s="37"/>
      <c r="N86" s="37">
        <f>Table1[[#This Row],[Capacity (D)]]*2</f>
        <v>0</v>
      </c>
      <c r="O86" s="37">
        <f>Table1[[#This Row],[Capacity (D)]]*4</f>
        <v>0</v>
      </c>
      <c r="P86" s="37"/>
      <c r="Q86" s="37"/>
      <c r="R86" s="37"/>
      <c r="S86" s="37"/>
    </row>
    <row r="87" spans="1:19" ht="11.25" x14ac:dyDescent="0.2">
      <c r="A87" s="37">
        <v>86</v>
      </c>
      <c r="B87" s="37"/>
      <c r="F87" s="42" t="e">
        <f>ROUNDDOWN((1494/255)*Table1[[#This Row],[Cost Factor]],0)</f>
        <v>#N/A</v>
      </c>
      <c r="G87" s="34" t="e">
        <f>VLOOKUP(Table1[[#This Row],[Cost]],'Wagon Costs'!D:E,2)</f>
        <v>#N/A</v>
      </c>
      <c r="H87" s="22">
        <f>Table1[[#This Row],[RunCost]]/(124/255)</f>
        <v>0</v>
      </c>
      <c r="I87" s="24">
        <f>IF(X87=1,Table1[[#This Row],[RC Factor?]]*(1792/255),0)</f>
        <v>0</v>
      </c>
      <c r="K87" s="37"/>
      <c r="L87" s="37"/>
      <c r="M87" s="37"/>
      <c r="N87" s="37">
        <f>Table1[[#This Row],[Capacity (D)]]*2</f>
        <v>0</v>
      </c>
      <c r="O87" s="37">
        <f>Table1[[#This Row],[Capacity (D)]]*4</f>
        <v>0</v>
      </c>
      <c r="P87" s="37"/>
      <c r="Q87" s="37"/>
      <c r="R87" s="37"/>
      <c r="S87" s="37"/>
    </row>
    <row r="88" spans="1:19" ht="11.25" x14ac:dyDescent="0.2">
      <c r="A88" s="37">
        <v>87</v>
      </c>
      <c r="B88" s="37"/>
      <c r="F88" s="42" t="e">
        <f>ROUNDDOWN((1494/255)*Table1[[#This Row],[Cost Factor]],0)</f>
        <v>#N/A</v>
      </c>
      <c r="G88" s="34" t="e">
        <f>VLOOKUP(Table1[[#This Row],[Cost]],'Wagon Costs'!D:E,2)</f>
        <v>#N/A</v>
      </c>
      <c r="H88" s="22">
        <f>Table1[[#This Row],[RunCost]]/(124/255)</f>
        <v>0</v>
      </c>
      <c r="I88" s="24">
        <f>IF(X88=1,Table1[[#This Row],[RC Factor?]]*(1792/255),0)</f>
        <v>0</v>
      </c>
      <c r="K88" s="37"/>
      <c r="L88" s="37"/>
      <c r="M88" s="37"/>
      <c r="N88" s="37">
        <f>Table1[[#This Row],[Capacity (D)]]*2</f>
        <v>0</v>
      </c>
      <c r="O88" s="37">
        <f>Table1[[#This Row],[Capacity (D)]]*4</f>
        <v>0</v>
      </c>
      <c r="P88" s="37"/>
      <c r="Q88" s="37"/>
      <c r="R88" s="37"/>
      <c r="S88" s="37"/>
    </row>
    <row r="89" spans="1:19" ht="11.25" x14ac:dyDescent="0.2">
      <c r="A89" s="37">
        <v>88</v>
      </c>
      <c r="B89" s="37"/>
      <c r="F89" s="42" t="e">
        <f>ROUNDDOWN((1494/255)*Table1[[#This Row],[Cost Factor]],0)</f>
        <v>#N/A</v>
      </c>
      <c r="G89" s="34" t="e">
        <f>VLOOKUP(Table1[[#This Row],[Cost]],'Wagon Costs'!D:E,2)</f>
        <v>#N/A</v>
      </c>
      <c r="H89" s="22">
        <f>Table1[[#This Row],[RunCost]]/(124/255)</f>
        <v>0</v>
      </c>
      <c r="I89" s="24">
        <f>IF(X89=1,Table1[[#This Row],[RC Factor?]]*(1792/255),0)</f>
        <v>0</v>
      </c>
      <c r="K89" s="37"/>
      <c r="L89" s="37"/>
      <c r="M89" s="37"/>
      <c r="N89" s="37">
        <f>Table1[[#This Row],[Capacity (D)]]*2</f>
        <v>0</v>
      </c>
      <c r="O89" s="37">
        <f>Table1[[#This Row],[Capacity (D)]]*4</f>
        <v>0</v>
      </c>
      <c r="P89" s="37"/>
      <c r="Q89" s="37"/>
      <c r="R89" s="37"/>
      <c r="S89" s="37"/>
    </row>
    <row r="90" spans="1:19" ht="11.25" x14ac:dyDescent="0.2">
      <c r="A90" s="37">
        <v>89</v>
      </c>
      <c r="B90" s="37"/>
      <c r="F90" s="42" t="e">
        <f>ROUNDDOWN((1494/255)*Table1[[#This Row],[Cost Factor]],0)</f>
        <v>#N/A</v>
      </c>
      <c r="G90" s="34" t="e">
        <f>VLOOKUP(Table1[[#This Row],[Cost]],'Wagon Costs'!D:E,2)</f>
        <v>#N/A</v>
      </c>
      <c r="H90" s="22">
        <f>Table1[[#This Row],[RunCost]]/(124/255)</f>
        <v>0</v>
      </c>
      <c r="I90" s="24">
        <f>IF(X90=1,Table1[[#This Row],[RC Factor?]]*(1792/255),0)</f>
        <v>0</v>
      </c>
      <c r="K90" s="37"/>
      <c r="L90" s="37"/>
      <c r="M90" s="37"/>
      <c r="N90" s="37">
        <f>Table1[[#This Row],[Capacity (D)]]*2</f>
        <v>0</v>
      </c>
      <c r="O90" s="37">
        <f>Table1[[#This Row],[Capacity (D)]]*4</f>
        <v>0</v>
      </c>
      <c r="P90" s="37"/>
      <c r="Q90" s="37"/>
      <c r="R90" s="37"/>
      <c r="S90" s="37"/>
    </row>
    <row r="91" spans="1:19" ht="11.25" x14ac:dyDescent="0.2">
      <c r="A91" s="37">
        <v>90</v>
      </c>
      <c r="B91" s="37"/>
      <c r="F91" s="42" t="e">
        <f>ROUNDDOWN((1494/255)*Table1[[#This Row],[Cost Factor]],0)</f>
        <v>#N/A</v>
      </c>
      <c r="G91" s="34" t="e">
        <f>VLOOKUP(Table1[[#This Row],[Cost]],'Wagon Costs'!D:E,2)</f>
        <v>#N/A</v>
      </c>
      <c r="H91" s="22">
        <f>Table1[[#This Row],[RunCost]]/(124/255)</f>
        <v>0</v>
      </c>
      <c r="I91" s="24">
        <f>IF(X91=1,Table1[[#This Row],[RC Factor?]]*(1792/255),0)</f>
        <v>0</v>
      </c>
      <c r="K91" s="37"/>
      <c r="L91" s="37"/>
      <c r="M91" s="37"/>
      <c r="N91" s="37">
        <f>Table1[[#This Row],[Capacity (D)]]*2</f>
        <v>0</v>
      </c>
      <c r="O91" s="37">
        <f>Table1[[#This Row],[Capacity (D)]]*4</f>
        <v>0</v>
      </c>
      <c r="P91" s="37"/>
      <c r="Q91" s="37"/>
      <c r="R91" s="37"/>
      <c r="S91" s="37"/>
    </row>
    <row r="92" spans="1:19" ht="11.25" x14ac:dyDescent="0.2">
      <c r="A92" s="37">
        <v>91</v>
      </c>
      <c r="B92" s="37"/>
      <c r="F92" s="42" t="e">
        <f>ROUNDDOWN((1494/255)*Table1[[#This Row],[Cost Factor]],0)</f>
        <v>#N/A</v>
      </c>
      <c r="G92" s="34" t="e">
        <f>VLOOKUP(Table1[[#This Row],[Cost]],'Wagon Costs'!D:E,2)</f>
        <v>#N/A</v>
      </c>
      <c r="H92" s="22">
        <f>Table1[[#This Row],[RunCost]]/(124/255)</f>
        <v>0</v>
      </c>
      <c r="I92" s="24">
        <f>IF(X92=1,Table1[[#This Row],[RC Factor?]]*(1792/255),0)</f>
        <v>0</v>
      </c>
      <c r="K92" s="37"/>
      <c r="L92" s="37"/>
      <c r="M92" s="37"/>
      <c r="N92" s="37">
        <f>Table1[[#This Row],[Capacity (D)]]*2</f>
        <v>0</v>
      </c>
      <c r="O92" s="37">
        <f>Table1[[#This Row],[Capacity (D)]]*4</f>
        <v>0</v>
      </c>
      <c r="P92" s="37"/>
      <c r="Q92" s="37"/>
      <c r="R92" s="37"/>
      <c r="S92" s="37"/>
    </row>
    <row r="93" spans="1:19" ht="11.25" x14ac:dyDescent="0.2">
      <c r="A93" s="37">
        <v>92</v>
      </c>
      <c r="B93" s="37"/>
      <c r="F93" s="42" t="e">
        <f>ROUNDDOWN((1494/255)*Table1[[#This Row],[Cost Factor]],0)</f>
        <v>#N/A</v>
      </c>
      <c r="G93" s="34" t="e">
        <f>VLOOKUP(Table1[[#This Row],[Cost]],'Wagon Costs'!D:E,2)</f>
        <v>#N/A</v>
      </c>
      <c r="H93" s="22">
        <f>Table1[[#This Row],[RunCost]]/(124/255)</f>
        <v>0</v>
      </c>
      <c r="I93" s="24">
        <f>IF(X93=1,Table1[[#This Row],[RC Factor?]]*(1792/255),0)</f>
        <v>0</v>
      </c>
      <c r="K93" s="37"/>
      <c r="L93" s="37"/>
      <c r="M93" s="37"/>
      <c r="N93" s="37">
        <f>Table1[[#This Row],[Capacity (D)]]*2</f>
        <v>0</v>
      </c>
      <c r="O93" s="37">
        <f>Table1[[#This Row],[Capacity (D)]]*4</f>
        <v>0</v>
      </c>
      <c r="P93" s="37"/>
      <c r="Q93" s="37"/>
      <c r="R93" s="37"/>
      <c r="S93" s="37"/>
    </row>
    <row r="94" spans="1:19" ht="11.25" x14ac:dyDescent="0.2">
      <c r="A94" s="37">
        <v>93</v>
      </c>
      <c r="B94" s="37"/>
      <c r="F94" s="42" t="e">
        <f>ROUNDDOWN((1494/255)*Table1[[#This Row],[Cost Factor]],0)</f>
        <v>#N/A</v>
      </c>
      <c r="G94" s="34" t="e">
        <f>VLOOKUP(Table1[[#This Row],[Cost]],'Wagon Costs'!D:E,2)</f>
        <v>#N/A</v>
      </c>
      <c r="H94" s="22">
        <f>Table1[[#This Row],[RunCost]]/(124/255)</f>
        <v>0</v>
      </c>
      <c r="I94" s="24">
        <f>IF(X94=1,Table1[[#This Row],[RC Factor?]]*(1792/255),0)</f>
        <v>0</v>
      </c>
      <c r="K94" s="37"/>
      <c r="L94" s="37"/>
      <c r="M94" s="37"/>
      <c r="N94" s="37">
        <f>Table1[[#This Row],[Capacity (D)]]*2</f>
        <v>0</v>
      </c>
      <c r="O94" s="37">
        <f>Table1[[#This Row],[Capacity (D)]]*4</f>
        <v>0</v>
      </c>
      <c r="P94" s="37"/>
      <c r="Q94" s="37"/>
      <c r="R94" s="37"/>
      <c r="S94" s="37"/>
    </row>
    <row r="95" spans="1:19" ht="11.25" x14ac:dyDescent="0.2">
      <c r="A95" s="37">
        <v>94</v>
      </c>
      <c r="B95" s="37"/>
      <c r="F95" s="42" t="e">
        <f>ROUNDDOWN((1494/255)*Table1[[#This Row],[Cost Factor]],0)</f>
        <v>#N/A</v>
      </c>
      <c r="G95" s="34" t="e">
        <f>VLOOKUP(Table1[[#This Row],[Cost]],'Wagon Costs'!D:E,2)</f>
        <v>#N/A</v>
      </c>
      <c r="H95" s="22">
        <f>Table1[[#This Row],[RunCost]]/(124/255)</f>
        <v>0</v>
      </c>
      <c r="I95" s="24">
        <f>IF(X95=1,Table1[[#This Row],[RC Factor?]]*(1792/255),0)</f>
        <v>0</v>
      </c>
      <c r="K95" s="37"/>
      <c r="L95" s="37"/>
      <c r="M95" s="37"/>
      <c r="N95" s="37">
        <f>Table1[[#This Row],[Capacity (D)]]*2</f>
        <v>0</v>
      </c>
      <c r="O95" s="37">
        <f>Table1[[#This Row],[Capacity (D)]]*4</f>
        <v>0</v>
      </c>
      <c r="P95" s="37"/>
      <c r="Q95" s="37"/>
      <c r="R95" s="37"/>
      <c r="S95" s="37"/>
    </row>
    <row r="96" spans="1:19" ht="11.25" x14ac:dyDescent="0.2">
      <c r="A96" s="37">
        <v>95</v>
      </c>
      <c r="B96" s="37"/>
      <c r="F96" s="42" t="e">
        <f>ROUNDDOWN((1494/255)*Table1[[#This Row],[Cost Factor]],0)</f>
        <v>#N/A</v>
      </c>
      <c r="G96" s="34" t="e">
        <f>VLOOKUP(Table1[[#This Row],[Cost]],'Wagon Costs'!D:E,2)</f>
        <v>#N/A</v>
      </c>
      <c r="H96" s="22">
        <f>Table1[[#This Row],[RunCost]]/(124/255)</f>
        <v>0</v>
      </c>
      <c r="I96" s="24">
        <f>IF(X96=1,Table1[[#This Row],[RC Factor?]]*(1792/255),0)</f>
        <v>0</v>
      </c>
      <c r="K96" s="37"/>
      <c r="L96" s="37"/>
      <c r="M96" s="37"/>
      <c r="N96" s="37">
        <f>Table1[[#This Row],[Capacity (D)]]*2</f>
        <v>0</v>
      </c>
      <c r="O96" s="37">
        <f>Table1[[#This Row],[Capacity (D)]]*4</f>
        <v>0</v>
      </c>
      <c r="P96" s="37"/>
      <c r="Q96" s="37"/>
      <c r="R96" s="37"/>
      <c r="S96" s="37"/>
    </row>
    <row r="97" spans="1:19" ht="11.25" x14ac:dyDescent="0.2">
      <c r="A97" s="37">
        <v>96</v>
      </c>
      <c r="B97" s="37"/>
      <c r="F97" s="42" t="e">
        <f>ROUNDDOWN((1494/255)*Table1[[#This Row],[Cost Factor]],0)</f>
        <v>#N/A</v>
      </c>
      <c r="G97" s="34" t="e">
        <f>VLOOKUP(Table1[[#This Row],[Cost]],'Wagon Costs'!D:E,2)</f>
        <v>#N/A</v>
      </c>
      <c r="H97" s="22">
        <f>Table1[[#This Row],[RunCost]]/(124/255)</f>
        <v>0</v>
      </c>
      <c r="I97" s="24">
        <f>IF(X97=1,Table1[[#This Row],[RC Factor?]]*(1792/255),0)</f>
        <v>0</v>
      </c>
      <c r="K97" s="37"/>
      <c r="L97" s="37"/>
      <c r="M97" s="37"/>
      <c r="N97" s="37">
        <f>Table1[[#This Row],[Capacity (D)]]*2</f>
        <v>0</v>
      </c>
      <c r="O97" s="37">
        <f>Table1[[#This Row],[Capacity (D)]]*4</f>
        <v>0</v>
      </c>
      <c r="P97" s="37"/>
      <c r="Q97" s="37"/>
      <c r="R97" s="37"/>
      <c r="S97" s="37"/>
    </row>
    <row r="98" spans="1:19" ht="11.25" x14ac:dyDescent="0.2">
      <c r="A98" s="37">
        <v>97</v>
      </c>
      <c r="B98" s="37"/>
      <c r="F98" s="42" t="e">
        <f>ROUNDDOWN((1494/255)*Table1[[#This Row],[Cost Factor]],0)</f>
        <v>#N/A</v>
      </c>
      <c r="G98" s="34" t="e">
        <f>VLOOKUP(Table1[[#This Row],[Cost]],'Wagon Costs'!D:E,2)</f>
        <v>#N/A</v>
      </c>
      <c r="H98" s="22">
        <f>Table1[[#This Row],[RunCost]]/(124/255)</f>
        <v>0</v>
      </c>
      <c r="I98" s="24">
        <f>IF(X98=1,Table1[[#This Row],[RC Factor?]]*(1792/255),0)</f>
        <v>0</v>
      </c>
      <c r="K98" s="37"/>
      <c r="L98" s="37"/>
      <c r="M98" s="37"/>
      <c r="N98" s="37">
        <f>Table1[[#This Row],[Capacity (D)]]*2</f>
        <v>0</v>
      </c>
      <c r="O98" s="37">
        <f>Table1[[#This Row],[Capacity (D)]]*4</f>
        <v>0</v>
      </c>
      <c r="P98" s="37"/>
      <c r="Q98" s="37"/>
      <c r="R98" s="37"/>
      <c r="S98" s="37"/>
    </row>
    <row r="99" spans="1:19" ht="11.25" x14ac:dyDescent="0.2">
      <c r="A99" s="37">
        <v>98</v>
      </c>
      <c r="B99" s="37"/>
      <c r="F99" s="42" t="e">
        <f>ROUNDDOWN((1494/255)*Table1[[#This Row],[Cost Factor]],0)</f>
        <v>#N/A</v>
      </c>
      <c r="G99" s="34" t="e">
        <f>VLOOKUP(Table1[[#This Row],[Cost]],'Wagon Costs'!D:E,2)</f>
        <v>#N/A</v>
      </c>
      <c r="H99" s="22">
        <f>Table1[[#This Row],[RunCost]]/(124/255)</f>
        <v>0</v>
      </c>
      <c r="I99" s="24">
        <f>IF(X99=1,Table1[[#This Row],[RC Factor?]]*(1792/255),0)</f>
        <v>0</v>
      </c>
      <c r="K99" s="37"/>
      <c r="L99" s="37"/>
      <c r="M99" s="37"/>
      <c r="N99" s="37">
        <f>Table1[[#This Row],[Capacity (D)]]*2</f>
        <v>0</v>
      </c>
      <c r="O99" s="37">
        <f>Table1[[#This Row],[Capacity (D)]]*4</f>
        <v>0</v>
      </c>
      <c r="P99" s="37"/>
      <c r="Q99" s="37"/>
      <c r="R99" s="37"/>
      <c r="S99" s="37"/>
    </row>
    <row r="100" spans="1:19" ht="11.25" x14ac:dyDescent="0.2">
      <c r="A100" s="37"/>
      <c r="B100" s="37"/>
      <c r="F100" s="42" t="e">
        <f>ROUNDDOWN((1494/255)*Table1[[#This Row],[Cost Factor]],0)</f>
        <v>#N/A</v>
      </c>
      <c r="G100" s="34" t="e">
        <f>VLOOKUP(Table1[[#This Row],[Cost]],'Wagon Costs'!D:E,2)</f>
        <v>#N/A</v>
      </c>
      <c r="H100" s="22">
        <f>Table1[[#This Row],[RunCost]]/(124/255)</f>
        <v>0</v>
      </c>
      <c r="I100" s="24">
        <f>IF(X100=1,Table1[[#This Row],[RC Factor?]]*(1792/255),0)</f>
        <v>0</v>
      </c>
      <c r="K100" s="37"/>
      <c r="L100" s="37"/>
      <c r="M100" s="37"/>
      <c r="N100" s="37">
        <f>Table1[[#This Row],[Capacity (D)]]*2</f>
        <v>0</v>
      </c>
      <c r="O100" s="37">
        <f>Table1[[#This Row],[Capacity (D)]]*4</f>
        <v>0</v>
      </c>
      <c r="P100" s="37"/>
      <c r="Q100" s="37"/>
      <c r="R100" s="37"/>
      <c r="S100" s="37"/>
    </row>
    <row r="1048576" spans="7:7" ht="11.25" x14ac:dyDescent="0.2">
      <c r="G1048576" s="32"/>
    </row>
  </sheetData>
  <conditionalFormatting sqref="E2:E100">
    <cfRule type="colorScale" priority="3">
      <colorScale>
        <cfvo type="min"/>
        <cfvo type="max"/>
        <color rgb="FF92D050"/>
        <color rgb="FFC00000"/>
      </colorScale>
    </cfRule>
  </conditionalFormatting>
  <conditionalFormatting sqref="J2:J100">
    <cfRule type="colorScale" priority="2">
      <colorScale>
        <cfvo type="min"/>
        <cfvo type="max"/>
        <color rgb="FF92D050"/>
        <color rgb="FFC00000"/>
      </colorScale>
    </cfRule>
  </conditionalFormatting>
  <conditionalFormatting sqref="I2:I100">
    <cfRule type="cellIs" dxfId="21" priority="4" operator="equal">
      <formula>0</formula>
    </cfRule>
    <cfRule type="colorScale" priority="5">
      <colorScale>
        <cfvo type="min"/>
        <cfvo type="max"/>
        <color rgb="FF92D050"/>
        <color rgb="FFC00000"/>
      </colorScale>
    </cfRule>
  </conditionalFormatting>
  <conditionalFormatting sqref="F2:F100">
    <cfRule type="colorScale" priority="1">
      <colorScale>
        <cfvo type="min"/>
        <cfvo type="max"/>
        <color rgb="FF92D050"/>
        <color rgb="FFC00000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A816-79DD-4357-AD25-A7860CFF91DA}">
  <dimension ref="A1:Q33"/>
  <sheetViews>
    <sheetView topLeftCell="D1" workbookViewId="0">
      <selection activeCell="M11" activeCellId="1" sqref="M14 M11"/>
    </sheetView>
  </sheetViews>
  <sheetFormatPr defaultRowHeight="12.75" x14ac:dyDescent="0.25"/>
  <cols>
    <col min="1" max="14" width="9.140625" style="4"/>
    <col min="15" max="15" width="10.140625" style="4" bestFit="1" customWidth="1"/>
    <col min="16" max="16" width="10.85546875" style="4" bestFit="1" customWidth="1"/>
    <col min="17" max="17" width="10.140625" style="4" bestFit="1" customWidth="1"/>
    <col min="18" max="16384" width="9.140625" style="4"/>
  </cols>
  <sheetData>
    <row r="1" spans="1:17" s="5" customFormat="1" x14ac:dyDescent="0.25">
      <c r="A1" s="5" t="s">
        <v>169</v>
      </c>
      <c r="B1" s="5" t="s">
        <v>170</v>
      </c>
      <c r="C1" s="5" t="s">
        <v>171</v>
      </c>
      <c r="D1" s="5" t="s">
        <v>172</v>
      </c>
      <c r="E1" s="5" t="s">
        <v>173</v>
      </c>
      <c r="F1" s="5" t="s">
        <v>174</v>
      </c>
      <c r="I1" s="5" t="s">
        <v>1</v>
      </c>
      <c r="J1" s="5" t="s">
        <v>175</v>
      </c>
      <c r="L1" s="5" t="s">
        <v>1</v>
      </c>
      <c r="M1" s="5" t="s">
        <v>175</v>
      </c>
      <c r="O1" s="5" t="s">
        <v>559</v>
      </c>
      <c r="P1" s="5" t="s">
        <v>558</v>
      </c>
      <c r="Q1" s="5" t="s">
        <v>557</v>
      </c>
    </row>
    <row r="2" spans="1:17" x14ac:dyDescent="0.25">
      <c r="A2" s="4">
        <f>ROUNDDOWN(C2*3.6,0)</f>
        <v>0</v>
      </c>
      <c r="B2" s="4">
        <v>1</v>
      </c>
      <c r="C2" s="4">
        <f>ROUNDDOWN(B2/2.237,0)</f>
        <v>0</v>
      </c>
      <c r="I2" s="4">
        <v>1</v>
      </c>
      <c r="J2" s="4">
        <f>I2*4</f>
        <v>4</v>
      </c>
      <c r="L2" s="4">
        <f>M2/4</f>
        <v>-1</v>
      </c>
      <c r="M2" s="4">
        <v>-4</v>
      </c>
      <c r="O2" s="4">
        <f t="shared" ref="O2:O8" si="0">ROUND(P2*0.625/10,1)</f>
        <v>0.1</v>
      </c>
      <c r="P2" s="4">
        <v>1</v>
      </c>
      <c r="Q2" s="4">
        <f>P2*0.625/10</f>
        <v>6.25E-2</v>
      </c>
    </row>
    <row r="3" spans="1:17" x14ac:dyDescent="0.25">
      <c r="A3" s="4">
        <f t="shared" ref="A3:A9" si="1">ROUNDDOWN(C3*3.6,0)</f>
        <v>0</v>
      </c>
      <c r="B3" s="4">
        <v>2</v>
      </c>
      <c r="C3" s="4">
        <f t="shared" ref="C3:C9" si="2">ROUNDDOWN(B3/2.237,0)</f>
        <v>0</v>
      </c>
      <c r="I3" s="4">
        <v>2</v>
      </c>
      <c r="J3" s="4">
        <f t="shared" ref="J3:J33" si="3">I3*4</f>
        <v>8</v>
      </c>
      <c r="L3" s="4">
        <f t="shared" ref="L3:L33" si="4">M3/4</f>
        <v>-2</v>
      </c>
      <c r="M3" s="4">
        <v>-8</v>
      </c>
      <c r="O3" s="4">
        <f t="shared" si="0"/>
        <v>0.1</v>
      </c>
      <c r="P3" s="4">
        <v>2</v>
      </c>
      <c r="Q3" s="4">
        <f t="shared" ref="Q3:Q9" si="5">P3*0.625/10</f>
        <v>0.125</v>
      </c>
    </row>
    <row r="4" spans="1:17" x14ac:dyDescent="0.25">
      <c r="A4" s="4">
        <f t="shared" si="1"/>
        <v>3</v>
      </c>
      <c r="B4" s="4">
        <v>3</v>
      </c>
      <c r="C4" s="4">
        <f t="shared" si="2"/>
        <v>1</v>
      </c>
      <c r="I4" s="4">
        <v>3</v>
      </c>
      <c r="J4" s="4">
        <f t="shared" si="3"/>
        <v>12</v>
      </c>
      <c r="L4" s="4">
        <f t="shared" si="4"/>
        <v>-3</v>
      </c>
      <c r="M4" s="4">
        <v>-12</v>
      </c>
      <c r="O4" s="4">
        <f t="shared" si="0"/>
        <v>0.2</v>
      </c>
      <c r="P4" s="4">
        <v>3</v>
      </c>
      <c r="Q4" s="4">
        <f t="shared" si="5"/>
        <v>0.1875</v>
      </c>
    </row>
    <row r="5" spans="1:17" x14ac:dyDescent="0.25">
      <c r="A5" s="4">
        <f t="shared" si="1"/>
        <v>3</v>
      </c>
      <c r="B5" s="4">
        <v>4</v>
      </c>
      <c r="C5" s="4">
        <f t="shared" si="2"/>
        <v>1</v>
      </c>
      <c r="I5" s="4">
        <v>4</v>
      </c>
      <c r="J5" s="4">
        <f t="shared" si="3"/>
        <v>16</v>
      </c>
      <c r="L5" s="4">
        <f t="shared" si="4"/>
        <v>-4</v>
      </c>
      <c r="M5" s="4">
        <v>-16</v>
      </c>
      <c r="O5" s="4">
        <f t="shared" si="0"/>
        <v>0.3</v>
      </c>
      <c r="P5" s="4">
        <v>4</v>
      </c>
      <c r="Q5" s="4">
        <f t="shared" si="5"/>
        <v>0.25</v>
      </c>
    </row>
    <row r="6" spans="1:17" x14ac:dyDescent="0.25">
      <c r="A6" s="4">
        <f t="shared" si="1"/>
        <v>7</v>
      </c>
      <c r="B6" s="4">
        <v>5</v>
      </c>
      <c r="C6" s="4">
        <f t="shared" si="2"/>
        <v>2</v>
      </c>
      <c r="I6" s="4">
        <v>5</v>
      </c>
      <c r="J6" s="4">
        <f t="shared" si="3"/>
        <v>20</v>
      </c>
      <c r="L6" s="4">
        <f t="shared" si="4"/>
        <v>-5</v>
      </c>
      <c r="M6" s="4">
        <v>-20</v>
      </c>
      <c r="O6" s="4">
        <f t="shared" si="0"/>
        <v>0.3</v>
      </c>
      <c r="P6" s="4">
        <v>5</v>
      </c>
      <c r="Q6" s="4">
        <f t="shared" si="5"/>
        <v>0.3125</v>
      </c>
    </row>
    <row r="7" spans="1:17" x14ac:dyDescent="0.25">
      <c r="A7" s="4">
        <f t="shared" si="1"/>
        <v>14</v>
      </c>
      <c r="B7" s="4">
        <v>10</v>
      </c>
      <c r="C7" s="4">
        <f t="shared" si="2"/>
        <v>4</v>
      </c>
      <c r="I7" s="4">
        <v>6</v>
      </c>
      <c r="J7" s="4">
        <f t="shared" si="3"/>
        <v>24</v>
      </c>
      <c r="L7" s="4">
        <f t="shared" si="4"/>
        <v>-6</v>
      </c>
      <c r="M7" s="4">
        <v>-24</v>
      </c>
      <c r="O7" s="4">
        <f t="shared" si="0"/>
        <v>0.4</v>
      </c>
      <c r="P7" s="4">
        <v>6</v>
      </c>
      <c r="Q7" s="4">
        <f t="shared" si="5"/>
        <v>0.375</v>
      </c>
    </row>
    <row r="8" spans="1:17" x14ac:dyDescent="0.25">
      <c r="A8" s="4">
        <f t="shared" si="1"/>
        <v>21</v>
      </c>
      <c r="B8" s="4">
        <v>15</v>
      </c>
      <c r="C8" s="4">
        <f t="shared" si="2"/>
        <v>6</v>
      </c>
      <c r="I8" s="4">
        <v>7</v>
      </c>
      <c r="J8" s="4">
        <f t="shared" si="3"/>
        <v>28</v>
      </c>
      <c r="L8" s="4">
        <f t="shared" si="4"/>
        <v>-7</v>
      </c>
      <c r="M8" s="4">
        <v>-28</v>
      </c>
      <c r="O8" s="4">
        <f t="shared" si="0"/>
        <v>0.4</v>
      </c>
      <c r="P8" s="4">
        <v>7</v>
      </c>
      <c r="Q8" s="4">
        <f t="shared" si="5"/>
        <v>0.4375</v>
      </c>
    </row>
    <row r="9" spans="1:17" x14ac:dyDescent="0.25">
      <c r="A9" s="4">
        <f t="shared" si="1"/>
        <v>28</v>
      </c>
      <c r="B9" s="4">
        <v>20</v>
      </c>
      <c r="C9" s="4">
        <f t="shared" si="2"/>
        <v>8</v>
      </c>
      <c r="I9" s="4">
        <v>8</v>
      </c>
      <c r="J9" s="4">
        <f t="shared" si="3"/>
        <v>32</v>
      </c>
      <c r="L9" s="4">
        <f t="shared" si="4"/>
        <v>-8</v>
      </c>
      <c r="M9" s="4">
        <v>-32</v>
      </c>
      <c r="O9" s="4">
        <f t="shared" ref="O9" si="6">ROUND(P9*0.625/10,1)</f>
        <v>0.5</v>
      </c>
      <c r="P9" s="4">
        <v>8</v>
      </c>
      <c r="Q9" s="4">
        <f t="shared" si="5"/>
        <v>0.5</v>
      </c>
    </row>
    <row r="10" spans="1:17" x14ac:dyDescent="0.25">
      <c r="A10" s="4">
        <f>ROUNDDOWN(C10*3.6,0)</f>
        <v>39</v>
      </c>
      <c r="B10" s="4">
        <v>25</v>
      </c>
      <c r="C10" s="4">
        <f>ROUNDDOWN(B10/2.237,0)</f>
        <v>11</v>
      </c>
      <c r="D10" s="4">
        <v>1</v>
      </c>
      <c r="E10" s="4">
        <v>1</v>
      </c>
      <c r="I10" s="4">
        <v>9</v>
      </c>
      <c r="J10" s="4">
        <f t="shared" si="3"/>
        <v>36</v>
      </c>
      <c r="L10" s="4">
        <f t="shared" si="4"/>
        <v>-9</v>
      </c>
      <c r="M10" s="4">
        <v>-36</v>
      </c>
    </row>
    <row r="11" spans="1:17" x14ac:dyDescent="0.25">
      <c r="A11" s="4">
        <f t="shared" ref="A11:A30" si="7">ROUNDDOWN(C11*3.6,0)</f>
        <v>46</v>
      </c>
      <c r="B11" s="4">
        <v>30</v>
      </c>
      <c r="C11" s="4">
        <f t="shared" ref="C11:C30" si="8">ROUNDDOWN(B11/2.237,0)</f>
        <v>13</v>
      </c>
      <c r="D11" s="4">
        <v>3</v>
      </c>
      <c r="I11" s="4">
        <v>10</v>
      </c>
      <c r="J11" s="4">
        <f t="shared" si="3"/>
        <v>40</v>
      </c>
      <c r="L11" s="4">
        <f t="shared" si="4"/>
        <v>-10</v>
      </c>
      <c r="M11" s="4">
        <v>-40</v>
      </c>
    </row>
    <row r="12" spans="1:17" x14ac:dyDescent="0.25">
      <c r="A12" s="4">
        <f t="shared" si="7"/>
        <v>54</v>
      </c>
      <c r="B12" s="4">
        <v>35</v>
      </c>
      <c r="C12" s="4">
        <f t="shared" si="8"/>
        <v>15</v>
      </c>
      <c r="D12" s="4">
        <v>2</v>
      </c>
      <c r="I12" s="4">
        <v>11</v>
      </c>
      <c r="J12" s="4">
        <f t="shared" si="3"/>
        <v>44</v>
      </c>
      <c r="L12" s="4">
        <f t="shared" si="4"/>
        <v>-11</v>
      </c>
      <c r="M12" s="4">
        <v>-44</v>
      </c>
    </row>
    <row r="13" spans="1:17" x14ac:dyDescent="0.25">
      <c r="A13" s="4">
        <f t="shared" si="7"/>
        <v>61</v>
      </c>
      <c r="B13" s="4">
        <v>40</v>
      </c>
      <c r="C13" s="4">
        <f t="shared" si="8"/>
        <v>17</v>
      </c>
      <c r="D13" s="4">
        <v>3</v>
      </c>
      <c r="E13" s="4">
        <v>1</v>
      </c>
      <c r="F13" s="4">
        <v>1</v>
      </c>
      <c r="I13" s="4">
        <v>12</v>
      </c>
      <c r="J13" s="4">
        <f t="shared" si="3"/>
        <v>48</v>
      </c>
      <c r="L13" s="4">
        <f t="shared" si="4"/>
        <v>-12</v>
      </c>
      <c r="M13" s="4">
        <v>-48</v>
      </c>
    </row>
    <row r="14" spans="1:17" x14ac:dyDescent="0.25">
      <c r="A14" s="4">
        <f t="shared" si="7"/>
        <v>72</v>
      </c>
      <c r="B14" s="4">
        <v>45</v>
      </c>
      <c r="C14" s="4">
        <f t="shared" si="8"/>
        <v>20</v>
      </c>
      <c r="D14" s="4">
        <v>3</v>
      </c>
      <c r="F14" s="4">
        <v>2</v>
      </c>
      <c r="I14" s="4">
        <v>13</v>
      </c>
      <c r="J14" s="4">
        <f t="shared" si="3"/>
        <v>52</v>
      </c>
      <c r="L14" s="4">
        <f t="shared" si="4"/>
        <v>-13</v>
      </c>
      <c r="M14" s="4">
        <v>-52</v>
      </c>
    </row>
    <row r="15" spans="1:17" x14ac:dyDescent="0.25">
      <c r="A15" s="4">
        <f t="shared" si="7"/>
        <v>79</v>
      </c>
      <c r="B15" s="4">
        <v>50</v>
      </c>
      <c r="C15" s="4">
        <f t="shared" si="8"/>
        <v>22</v>
      </c>
      <c r="D15" s="4">
        <v>6</v>
      </c>
      <c r="E15" s="4">
        <v>1</v>
      </c>
      <c r="F15" s="4">
        <v>1</v>
      </c>
      <c r="I15" s="4">
        <v>14</v>
      </c>
      <c r="J15" s="4">
        <f t="shared" si="3"/>
        <v>56</v>
      </c>
      <c r="L15" s="4">
        <f t="shared" si="4"/>
        <v>-14</v>
      </c>
      <c r="M15" s="4">
        <v>-56</v>
      </c>
    </row>
    <row r="16" spans="1:17" x14ac:dyDescent="0.25">
      <c r="A16" s="4">
        <f t="shared" si="7"/>
        <v>86</v>
      </c>
      <c r="B16" s="4">
        <v>55</v>
      </c>
      <c r="C16" s="4">
        <f t="shared" si="8"/>
        <v>24</v>
      </c>
      <c r="D16" s="4">
        <v>2</v>
      </c>
      <c r="I16" s="4">
        <v>15</v>
      </c>
      <c r="J16" s="4">
        <f t="shared" si="3"/>
        <v>60</v>
      </c>
      <c r="L16" s="4">
        <f t="shared" si="4"/>
        <v>-15</v>
      </c>
      <c r="M16" s="4">
        <v>-60</v>
      </c>
    </row>
    <row r="17" spans="1:13" x14ac:dyDescent="0.25">
      <c r="A17" s="4">
        <f t="shared" si="7"/>
        <v>93</v>
      </c>
      <c r="B17" s="4">
        <v>60</v>
      </c>
      <c r="C17" s="4">
        <f t="shared" si="8"/>
        <v>26</v>
      </c>
      <c r="D17" s="4">
        <v>2</v>
      </c>
      <c r="E17" s="4">
        <v>3</v>
      </c>
      <c r="F17" s="4">
        <v>3</v>
      </c>
      <c r="I17" s="4">
        <v>16</v>
      </c>
      <c r="J17" s="4">
        <f t="shared" si="3"/>
        <v>64</v>
      </c>
      <c r="L17" s="4">
        <f t="shared" si="4"/>
        <v>-16</v>
      </c>
      <c r="M17" s="4">
        <v>-64</v>
      </c>
    </row>
    <row r="18" spans="1:13" x14ac:dyDescent="0.25">
      <c r="A18" s="4">
        <f t="shared" si="7"/>
        <v>104</v>
      </c>
      <c r="B18" s="4">
        <v>65</v>
      </c>
      <c r="C18" s="4">
        <f t="shared" si="8"/>
        <v>29</v>
      </c>
      <c r="D18" s="4">
        <v>2</v>
      </c>
      <c r="F18" s="4">
        <v>1</v>
      </c>
      <c r="I18" s="4">
        <v>17</v>
      </c>
      <c r="J18" s="4">
        <f t="shared" si="3"/>
        <v>68</v>
      </c>
      <c r="L18" s="4">
        <f t="shared" si="4"/>
        <v>-17</v>
      </c>
      <c r="M18" s="4">
        <v>-68</v>
      </c>
    </row>
    <row r="19" spans="1:13" x14ac:dyDescent="0.25">
      <c r="A19" s="4">
        <f t="shared" si="7"/>
        <v>111</v>
      </c>
      <c r="B19" s="4">
        <v>70</v>
      </c>
      <c r="C19" s="4">
        <f t="shared" si="8"/>
        <v>31</v>
      </c>
      <c r="D19" s="4">
        <v>5</v>
      </c>
      <c r="E19" s="4">
        <v>1</v>
      </c>
      <c r="I19" s="4">
        <v>18</v>
      </c>
      <c r="J19" s="4">
        <f t="shared" si="3"/>
        <v>72</v>
      </c>
      <c r="L19" s="4">
        <f t="shared" si="4"/>
        <v>-18</v>
      </c>
      <c r="M19" s="4">
        <v>-72</v>
      </c>
    </row>
    <row r="20" spans="1:13" x14ac:dyDescent="0.25">
      <c r="A20" s="4">
        <f t="shared" si="7"/>
        <v>118</v>
      </c>
      <c r="B20" s="4">
        <v>75</v>
      </c>
      <c r="C20" s="4">
        <f t="shared" si="8"/>
        <v>33</v>
      </c>
      <c r="E20" s="4">
        <v>5</v>
      </c>
      <c r="F20" s="4">
        <v>4</v>
      </c>
      <c r="I20" s="4">
        <v>19</v>
      </c>
      <c r="J20" s="4">
        <f t="shared" si="3"/>
        <v>76</v>
      </c>
      <c r="L20" s="4">
        <f t="shared" si="4"/>
        <v>-19</v>
      </c>
      <c r="M20" s="4">
        <v>-76</v>
      </c>
    </row>
    <row r="21" spans="1:13" x14ac:dyDescent="0.25">
      <c r="A21" s="4">
        <f t="shared" si="7"/>
        <v>126</v>
      </c>
      <c r="B21" s="4">
        <v>80</v>
      </c>
      <c r="C21" s="4">
        <f t="shared" si="8"/>
        <v>35</v>
      </c>
      <c r="D21" s="4">
        <v>2</v>
      </c>
      <c r="E21" s="4">
        <v>2</v>
      </c>
      <c r="F21" s="4">
        <v>1</v>
      </c>
      <c r="I21" s="4">
        <v>20</v>
      </c>
      <c r="J21" s="4">
        <f t="shared" si="3"/>
        <v>80</v>
      </c>
      <c r="L21" s="4">
        <f t="shared" si="4"/>
        <v>-20</v>
      </c>
      <c r="M21" s="4">
        <v>-80</v>
      </c>
    </row>
    <row r="22" spans="1:13" x14ac:dyDescent="0.25">
      <c r="A22" s="4">
        <f t="shared" si="7"/>
        <v>144</v>
      </c>
      <c r="B22" s="4">
        <v>90</v>
      </c>
      <c r="C22" s="4">
        <f t="shared" si="8"/>
        <v>40</v>
      </c>
      <c r="D22" s="4">
        <v>5</v>
      </c>
      <c r="E22" s="4">
        <v>7</v>
      </c>
      <c r="F22" s="4">
        <v>5</v>
      </c>
      <c r="I22" s="4">
        <v>21</v>
      </c>
      <c r="J22" s="4">
        <f t="shared" si="3"/>
        <v>84</v>
      </c>
      <c r="L22" s="4">
        <f t="shared" si="4"/>
        <v>-21</v>
      </c>
      <c r="M22" s="4">
        <v>-84</v>
      </c>
    </row>
    <row r="23" spans="1:13" x14ac:dyDescent="0.25">
      <c r="A23" s="4">
        <f t="shared" si="7"/>
        <v>151</v>
      </c>
      <c r="B23" s="4">
        <v>95</v>
      </c>
      <c r="C23" s="4">
        <f t="shared" si="8"/>
        <v>42</v>
      </c>
      <c r="E23" s="4">
        <v>1</v>
      </c>
      <c r="I23" s="4">
        <v>22</v>
      </c>
      <c r="J23" s="4">
        <f t="shared" si="3"/>
        <v>88</v>
      </c>
      <c r="L23" s="4">
        <f t="shared" si="4"/>
        <v>-22</v>
      </c>
      <c r="M23" s="4">
        <v>-88</v>
      </c>
    </row>
    <row r="24" spans="1:13" x14ac:dyDescent="0.25">
      <c r="A24" s="4">
        <f t="shared" si="7"/>
        <v>158</v>
      </c>
      <c r="B24" s="4">
        <v>100</v>
      </c>
      <c r="C24" s="4">
        <f t="shared" si="8"/>
        <v>44</v>
      </c>
      <c r="D24" s="4">
        <v>3</v>
      </c>
      <c r="E24" s="4">
        <v>2</v>
      </c>
      <c r="F24" s="4">
        <v>6</v>
      </c>
      <c r="I24" s="4">
        <v>23</v>
      </c>
      <c r="J24" s="4">
        <f t="shared" si="3"/>
        <v>92</v>
      </c>
      <c r="L24" s="4">
        <f t="shared" si="4"/>
        <v>-23</v>
      </c>
      <c r="M24" s="4">
        <v>-92</v>
      </c>
    </row>
    <row r="25" spans="1:13" x14ac:dyDescent="0.25">
      <c r="A25" s="4">
        <f t="shared" si="7"/>
        <v>176</v>
      </c>
      <c r="B25" s="4">
        <v>110</v>
      </c>
      <c r="C25" s="4">
        <f t="shared" si="8"/>
        <v>49</v>
      </c>
      <c r="D25" s="4">
        <v>2</v>
      </c>
      <c r="F25" s="4">
        <v>1</v>
      </c>
      <c r="I25" s="4">
        <v>24</v>
      </c>
      <c r="J25" s="4">
        <f t="shared" si="3"/>
        <v>96</v>
      </c>
      <c r="L25" s="4">
        <f t="shared" si="4"/>
        <v>-24</v>
      </c>
      <c r="M25" s="4">
        <v>-96</v>
      </c>
    </row>
    <row r="26" spans="1:13" x14ac:dyDescent="0.25">
      <c r="A26" s="4">
        <f t="shared" si="7"/>
        <v>183</v>
      </c>
      <c r="B26" s="4">
        <v>115</v>
      </c>
      <c r="C26" s="4">
        <f t="shared" si="8"/>
        <v>51</v>
      </c>
      <c r="D26" s="4">
        <v>1</v>
      </c>
      <c r="I26" s="4">
        <v>25</v>
      </c>
      <c r="J26" s="4">
        <f t="shared" si="3"/>
        <v>100</v>
      </c>
      <c r="L26" s="4">
        <f t="shared" si="4"/>
        <v>-25</v>
      </c>
      <c r="M26" s="4">
        <v>-100</v>
      </c>
    </row>
    <row r="27" spans="1:13" x14ac:dyDescent="0.25">
      <c r="A27" s="4">
        <f t="shared" si="7"/>
        <v>198</v>
      </c>
      <c r="B27" s="4">
        <v>125</v>
      </c>
      <c r="C27" s="4">
        <f t="shared" si="8"/>
        <v>55</v>
      </c>
      <c r="E27" s="4">
        <v>3</v>
      </c>
      <c r="F27" s="4">
        <v>1</v>
      </c>
      <c r="I27" s="4">
        <v>26</v>
      </c>
      <c r="J27" s="4">
        <f t="shared" si="3"/>
        <v>104</v>
      </c>
      <c r="L27" s="4">
        <f t="shared" si="4"/>
        <v>-26</v>
      </c>
      <c r="M27" s="4">
        <v>-104</v>
      </c>
    </row>
    <row r="28" spans="1:13" x14ac:dyDescent="0.25">
      <c r="A28" s="4">
        <f t="shared" si="7"/>
        <v>223</v>
      </c>
      <c r="B28" s="4">
        <v>140</v>
      </c>
      <c r="C28" s="4">
        <f t="shared" si="8"/>
        <v>62</v>
      </c>
      <c r="F28" s="4">
        <v>3</v>
      </c>
      <c r="I28" s="4">
        <v>27</v>
      </c>
      <c r="J28" s="4">
        <f t="shared" si="3"/>
        <v>108</v>
      </c>
      <c r="L28" s="4">
        <f t="shared" si="4"/>
        <v>-27</v>
      </c>
      <c r="M28" s="4">
        <v>-108</v>
      </c>
    </row>
    <row r="29" spans="1:13" x14ac:dyDescent="0.25">
      <c r="A29" s="4">
        <f t="shared" si="7"/>
        <v>248</v>
      </c>
      <c r="B29" s="4">
        <v>155</v>
      </c>
      <c r="C29" s="4">
        <f t="shared" si="8"/>
        <v>69</v>
      </c>
      <c r="F29" s="4">
        <v>1</v>
      </c>
      <c r="I29" s="4">
        <v>28</v>
      </c>
      <c r="J29" s="4">
        <f t="shared" si="3"/>
        <v>112</v>
      </c>
      <c r="L29" s="4">
        <f t="shared" si="4"/>
        <v>-28</v>
      </c>
      <c r="M29" s="4">
        <v>-112</v>
      </c>
    </row>
    <row r="30" spans="1:13" x14ac:dyDescent="0.25">
      <c r="A30" s="4">
        <f t="shared" si="7"/>
        <v>295</v>
      </c>
      <c r="B30" s="4">
        <v>185</v>
      </c>
      <c r="C30" s="4">
        <f t="shared" si="8"/>
        <v>82</v>
      </c>
      <c r="F30" s="4">
        <v>1</v>
      </c>
      <c r="I30" s="4">
        <v>29</v>
      </c>
      <c r="J30" s="4">
        <f t="shared" si="3"/>
        <v>116</v>
      </c>
      <c r="L30" s="4">
        <f t="shared" si="4"/>
        <v>-29</v>
      </c>
      <c r="M30" s="4">
        <v>-116</v>
      </c>
    </row>
    <row r="31" spans="1:13" x14ac:dyDescent="0.25">
      <c r="I31" s="4">
        <v>30</v>
      </c>
      <c r="J31" s="4">
        <f t="shared" si="3"/>
        <v>120</v>
      </c>
      <c r="L31" s="4">
        <f t="shared" si="4"/>
        <v>-30</v>
      </c>
      <c r="M31" s="4">
        <v>-120</v>
      </c>
    </row>
    <row r="32" spans="1:13" x14ac:dyDescent="0.25">
      <c r="I32" s="4">
        <v>31</v>
      </c>
      <c r="J32" s="4">
        <f t="shared" si="3"/>
        <v>124</v>
      </c>
      <c r="L32" s="4">
        <f t="shared" si="4"/>
        <v>-31</v>
      </c>
      <c r="M32" s="4">
        <v>-124</v>
      </c>
    </row>
    <row r="33" spans="9:13" x14ac:dyDescent="0.25">
      <c r="I33" s="4">
        <v>32</v>
      </c>
      <c r="J33" s="4">
        <f t="shared" si="3"/>
        <v>128</v>
      </c>
      <c r="L33" s="4">
        <f t="shared" si="4"/>
        <v>-32</v>
      </c>
      <c r="M33" s="4">
        <v>-128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5CBB-68FD-4033-BADD-C719563DAB9F}">
  <dimension ref="A1:K40"/>
  <sheetViews>
    <sheetView workbookViewId="0">
      <selection activeCell="M10" sqref="M10"/>
    </sheetView>
  </sheetViews>
  <sheetFormatPr defaultRowHeight="12.75" x14ac:dyDescent="0.25"/>
  <cols>
    <col min="1" max="16384" width="9.140625" style="4"/>
  </cols>
  <sheetData>
    <row r="1" spans="1:11" s="5" customFormat="1" x14ac:dyDescent="0.25">
      <c r="A1" s="5" t="s">
        <v>229</v>
      </c>
      <c r="B1" s="5" t="s">
        <v>230</v>
      </c>
      <c r="C1" s="5" t="s">
        <v>228</v>
      </c>
      <c r="D1" s="5" t="s">
        <v>231</v>
      </c>
      <c r="E1" s="5" t="s">
        <v>227</v>
      </c>
      <c r="G1" s="5" t="s">
        <v>227</v>
      </c>
      <c r="H1" s="5" t="s">
        <v>232</v>
      </c>
      <c r="I1" s="5" t="s">
        <v>228</v>
      </c>
      <c r="J1" s="5" t="s">
        <v>231</v>
      </c>
      <c r="K1" s="5" t="s">
        <v>229</v>
      </c>
    </row>
    <row r="2" spans="1:11" x14ac:dyDescent="0.25">
      <c r="A2" s="4">
        <v>0.3</v>
      </c>
      <c r="B2" s="4">
        <v>10</v>
      </c>
      <c r="C2" s="4">
        <v>166</v>
      </c>
      <c r="E2" s="4">
        <f>A2*B2*C2</f>
        <v>498</v>
      </c>
      <c r="G2" s="4">
        <v>17</v>
      </c>
      <c r="H2" s="4">
        <v>10</v>
      </c>
      <c r="I2" s="4">
        <v>30</v>
      </c>
      <c r="K2" s="4">
        <f>ROUNDDOWN(G2/H2/I2,3)</f>
        <v>5.6000000000000001E-2</v>
      </c>
    </row>
    <row r="3" spans="1:11" x14ac:dyDescent="0.25">
      <c r="A3" s="4">
        <v>9.5000000000000001E-2</v>
      </c>
      <c r="B3" s="4">
        <v>10</v>
      </c>
      <c r="C3" s="4">
        <v>166</v>
      </c>
      <c r="E3" s="4">
        <f t="shared" ref="E3:E40" si="0">A3*B3*C3</f>
        <v>157.69999999999999</v>
      </c>
      <c r="G3" s="4">
        <v>71</v>
      </c>
      <c r="H3" s="4">
        <v>10</v>
      </c>
      <c r="I3" s="4">
        <v>74</v>
      </c>
      <c r="K3" s="4">
        <f t="shared" ref="K3:K40" si="1">ROUNDDOWN(G3/H3/I3,3)</f>
        <v>9.5000000000000001E-2</v>
      </c>
    </row>
    <row r="4" spans="1:11" x14ac:dyDescent="0.25">
      <c r="B4" s="4">
        <v>10</v>
      </c>
      <c r="E4" s="4">
        <f t="shared" si="0"/>
        <v>0</v>
      </c>
      <c r="H4" s="4">
        <v>10</v>
      </c>
      <c r="I4" s="4">
        <v>90</v>
      </c>
      <c r="K4" s="4">
        <f t="shared" si="1"/>
        <v>0</v>
      </c>
    </row>
    <row r="5" spans="1:11" x14ac:dyDescent="0.25">
      <c r="B5" s="4">
        <v>10</v>
      </c>
      <c r="E5" s="4">
        <f t="shared" si="0"/>
        <v>0</v>
      </c>
      <c r="H5" s="4">
        <v>10</v>
      </c>
      <c r="I5" s="4">
        <v>114</v>
      </c>
      <c r="K5" s="4">
        <f t="shared" si="1"/>
        <v>0</v>
      </c>
    </row>
    <row r="6" spans="1:11" x14ac:dyDescent="0.25">
      <c r="B6" s="4">
        <v>10</v>
      </c>
      <c r="E6" s="4">
        <f t="shared" si="0"/>
        <v>0</v>
      </c>
      <c r="H6" s="4">
        <v>10</v>
      </c>
      <c r="I6" s="4">
        <v>112</v>
      </c>
      <c r="K6" s="4">
        <f t="shared" si="1"/>
        <v>0</v>
      </c>
    </row>
    <row r="7" spans="1:11" x14ac:dyDescent="0.25">
      <c r="B7" s="4">
        <v>10</v>
      </c>
      <c r="E7" s="4">
        <f t="shared" si="0"/>
        <v>0</v>
      </c>
      <c r="H7" s="4">
        <v>10</v>
      </c>
      <c r="I7" s="4">
        <v>130</v>
      </c>
      <c r="K7" s="4">
        <f t="shared" si="1"/>
        <v>0</v>
      </c>
    </row>
    <row r="8" spans="1:11" x14ac:dyDescent="0.25">
      <c r="B8" s="4">
        <v>10</v>
      </c>
      <c r="E8" s="4">
        <f t="shared" si="0"/>
        <v>0</v>
      </c>
      <c r="H8" s="4">
        <v>10</v>
      </c>
      <c r="K8" s="4" t="e">
        <f t="shared" si="1"/>
        <v>#DIV/0!</v>
      </c>
    </row>
    <row r="9" spans="1:11" x14ac:dyDescent="0.25">
      <c r="B9" s="4">
        <v>10</v>
      </c>
      <c r="E9" s="4">
        <f t="shared" si="0"/>
        <v>0</v>
      </c>
      <c r="H9" s="4">
        <v>10</v>
      </c>
      <c r="K9" s="4" t="e">
        <f t="shared" si="1"/>
        <v>#DIV/0!</v>
      </c>
    </row>
    <row r="10" spans="1:11" x14ac:dyDescent="0.25">
      <c r="B10" s="4">
        <v>10</v>
      </c>
      <c r="E10" s="4">
        <f t="shared" si="0"/>
        <v>0</v>
      </c>
      <c r="H10" s="4">
        <v>10</v>
      </c>
      <c r="K10" s="4" t="e">
        <f t="shared" si="1"/>
        <v>#DIV/0!</v>
      </c>
    </row>
    <row r="11" spans="1:11" x14ac:dyDescent="0.25">
      <c r="B11" s="4">
        <v>10</v>
      </c>
      <c r="E11" s="4">
        <f t="shared" si="0"/>
        <v>0</v>
      </c>
      <c r="H11" s="4">
        <v>10</v>
      </c>
      <c r="K11" s="4" t="e">
        <f t="shared" si="1"/>
        <v>#DIV/0!</v>
      </c>
    </row>
    <row r="12" spans="1:11" x14ac:dyDescent="0.25">
      <c r="B12" s="4">
        <v>10</v>
      </c>
      <c r="E12" s="4">
        <f t="shared" si="0"/>
        <v>0</v>
      </c>
      <c r="H12" s="4">
        <v>10</v>
      </c>
      <c r="K12" s="4" t="e">
        <f t="shared" si="1"/>
        <v>#DIV/0!</v>
      </c>
    </row>
    <row r="13" spans="1:11" x14ac:dyDescent="0.25">
      <c r="B13" s="4">
        <v>10</v>
      </c>
      <c r="E13" s="4">
        <f t="shared" si="0"/>
        <v>0</v>
      </c>
      <c r="H13" s="4">
        <v>10</v>
      </c>
      <c r="K13" s="4" t="e">
        <f t="shared" si="1"/>
        <v>#DIV/0!</v>
      </c>
    </row>
    <row r="14" spans="1:11" x14ac:dyDescent="0.25">
      <c r="B14" s="4">
        <v>10</v>
      </c>
      <c r="E14" s="4">
        <f t="shared" si="0"/>
        <v>0</v>
      </c>
      <c r="H14" s="4">
        <v>10</v>
      </c>
      <c r="K14" s="4" t="e">
        <f t="shared" si="1"/>
        <v>#DIV/0!</v>
      </c>
    </row>
    <row r="15" spans="1:11" x14ac:dyDescent="0.25">
      <c r="B15" s="4">
        <v>10</v>
      </c>
      <c r="E15" s="4">
        <f t="shared" si="0"/>
        <v>0</v>
      </c>
      <c r="H15" s="4">
        <v>10</v>
      </c>
      <c r="K15" s="4" t="e">
        <f t="shared" si="1"/>
        <v>#DIV/0!</v>
      </c>
    </row>
    <row r="16" spans="1:11" x14ac:dyDescent="0.25">
      <c r="B16" s="4">
        <v>10</v>
      </c>
      <c r="E16" s="4">
        <f t="shared" si="0"/>
        <v>0</v>
      </c>
      <c r="H16" s="4">
        <v>10</v>
      </c>
      <c r="K16" s="4" t="e">
        <f t="shared" si="1"/>
        <v>#DIV/0!</v>
      </c>
    </row>
    <row r="17" spans="2:11" x14ac:dyDescent="0.25">
      <c r="B17" s="4">
        <v>10</v>
      </c>
      <c r="E17" s="4">
        <f t="shared" si="0"/>
        <v>0</v>
      </c>
      <c r="H17" s="4">
        <v>10</v>
      </c>
      <c r="K17" s="4" t="e">
        <f t="shared" si="1"/>
        <v>#DIV/0!</v>
      </c>
    </row>
    <row r="18" spans="2:11" x14ac:dyDescent="0.25">
      <c r="B18" s="4">
        <v>10</v>
      </c>
      <c r="E18" s="4">
        <f t="shared" si="0"/>
        <v>0</v>
      </c>
      <c r="H18" s="4">
        <v>10</v>
      </c>
      <c r="K18" s="4" t="e">
        <f t="shared" si="1"/>
        <v>#DIV/0!</v>
      </c>
    </row>
    <row r="19" spans="2:11" x14ac:dyDescent="0.25">
      <c r="B19" s="4">
        <v>10</v>
      </c>
      <c r="E19" s="4">
        <f t="shared" si="0"/>
        <v>0</v>
      </c>
      <c r="H19" s="4">
        <v>10</v>
      </c>
      <c r="K19" s="4" t="e">
        <f t="shared" si="1"/>
        <v>#DIV/0!</v>
      </c>
    </row>
    <row r="20" spans="2:11" x14ac:dyDescent="0.25">
      <c r="B20" s="4">
        <v>10</v>
      </c>
      <c r="E20" s="4">
        <f t="shared" si="0"/>
        <v>0</v>
      </c>
      <c r="H20" s="4">
        <v>10</v>
      </c>
      <c r="K20" s="4" t="e">
        <f t="shared" si="1"/>
        <v>#DIV/0!</v>
      </c>
    </row>
    <row r="21" spans="2:11" x14ac:dyDescent="0.25">
      <c r="B21" s="4">
        <v>10</v>
      </c>
      <c r="E21" s="4">
        <f t="shared" si="0"/>
        <v>0</v>
      </c>
      <c r="H21" s="4">
        <v>10</v>
      </c>
      <c r="K21" s="4" t="e">
        <f t="shared" si="1"/>
        <v>#DIV/0!</v>
      </c>
    </row>
    <row r="22" spans="2:11" x14ac:dyDescent="0.25">
      <c r="B22" s="4">
        <v>10</v>
      </c>
      <c r="E22" s="4">
        <f t="shared" si="0"/>
        <v>0</v>
      </c>
      <c r="H22" s="4">
        <v>10</v>
      </c>
      <c r="K22" s="4" t="e">
        <f t="shared" si="1"/>
        <v>#DIV/0!</v>
      </c>
    </row>
    <row r="23" spans="2:11" x14ac:dyDescent="0.25">
      <c r="B23" s="4">
        <v>10</v>
      </c>
      <c r="E23" s="4">
        <f t="shared" si="0"/>
        <v>0</v>
      </c>
      <c r="H23" s="4">
        <v>10</v>
      </c>
      <c r="K23" s="4" t="e">
        <f t="shared" si="1"/>
        <v>#DIV/0!</v>
      </c>
    </row>
    <row r="24" spans="2:11" x14ac:dyDescent="0.25">
      <c r="B24" s="4">
        <v>10</v>
      </c>
      <c r="E24" s="4">
        <f t="shared" si="0"/>
        <v>0</v>
      </c>
      <c r="H24" s="4">
        <v>10</v>
      </c>
      <c r="K24" s="4" t="e">
        <f t="shared" si="1"/>
        <v>#DIV/0!</v>
      </c>
    </row>
    <row r="25" spans="2:11" x14ac:dyDescent="0.25">
      <c r="B25" s="4">
        <v>10</v>
      </c>
      <c r="E25" s="4">
        <f t="shared" si="0"/>
        <v>0</v>
      </c>
      <c r="H25" s="4">
        <v>10</v>
      </c>
      <c r="K25" s="4" t="e">
        <f t="shared" si="1"/>
        <v>#DIV/0!</v>
      </c>
    </row>
    <row r="26" spans="2:11" x14ac:dyDescent="0.25">
      <c r="B26" s="4">
        <v>10</v>
      </c>
      <c r="E26" s="4">
        <f t="shared" si="0"/>
        <v>0</v>
      </c>
      <c r="H26" s="4">
        <v>10</v>
      </c>
      <c r="K26" s="4" t="e">
        <f t="shared" si="1"/>
        <v>#DIV/0!</v>
      </c>
    </row>
    <row r="27" spans="2:11" x14ac:dyDescent="0.25">
      <c r="B27" s="4">
        <v>10</v>
      </c>
      <c r="E27" s="4">
        <f t="shared" si="0"/>
        <v>0</v>
      </c>
      <c r="H27" s="4">
        <v>10</v>
      </c>
      <c r="K27" s="4" t="e">
        <f t="shared" si="1"/>
        <v>#DIV/0!</v>
      </c>
    </row>
    <row r="28" spans="2:11" x14ac:dyDescent="0.25">
      <c r="B28" s="4">
        <v>10</v>
      </c>
      <c r="E28" s="4">
        <f t="shared" si="0"/>
        <v>0</v>
      </c>
      <c r="H28" s="4">
        <v>10</v>
      </c>
      <c r="K28" s="4" t="e">
        <f t="shared" si="1"/>
        <v>#DIV/0!</v>
      </c>
    </row>
    <row r="29" spans="2:11" x14ac:dyDescent="0.25">
      <c r="B29" s="4">
        <v>10</v>
      </c>
      <c r="E29" s="4">
        <f t="shared" si="0"/>
        <v>0</v>
      </c>
      <c r="H29" s="4">
        <v>10</v>
      </c>
      <c r="K29" s="4" t="e">
        <f t="shared" si="1"/>
        <v>#DIV/0!</v>
      </c>
    </row>
    <row r="30" spans="2:11" x14ac:dyDescent="0.25">
      <c r="B30" s="4">
        <v>10</v>
      </c>
      <c r="E30" s="4">
        <f t="shared" si="0"/>
        <v>0</v>
      </c>
      <c r="H30" s="4">
        <v>10</v>
      </c>
      <c r="K30" s="4" t="e">
        <f t="shared" si="1"/>
        <v>#DIV/0!</v>
      </c>
    </row>
    <row r="31" spans="2:11" x14ac:dyDescent="0.25">
      <c r="B31" s="4">
        <v>10</v>
      </c>
      <c r="E31" s="4">
        <f t="shared" si="0"/>
        <v>0</v>
      </c>
      <c r="H31" s="4">
        <v>10</v>
      </c>
      <c r="K31" s="4" t="e">
        <f t="shared" si="1"/>
        <v>#DIV/0!</v>
      </c>
    </row>
    <row r="32" spans="2:11" x14ac:dyDescent="0.25">
      <c r="B32" s="4">
        <v>10</v>
      </c>
      <c r="E32" s="4">
        <f t="shared" si="0"/>
        <v>0</v>
      </c>
      <c r="H32" s="4">
        <v>10</v>
      </c>
      <c r="K32" s="4" t="e">
        <f t="shared" si="1"/>
        <v>#DIV/0!</v>
      </c>
    </row>
    <row r="33" spans="2:11" x14ac:dyDescent="0.25">
      <c r="B33" s="4">
        <v>10</v>
      </c>
      <c r="E33" s="4">
        <f t="shared" si="0"/>
        <v>0</v>
      </c>
      <c r="H33" s="4">
        <v>10</v>
      </c>
      <c r="K33" s="4" t="e">
        <f t="shared" si="1"/>
        <v>#DIV/0!</v>
      </c>
    </row>
    <row r="34" spans="2:11" x14ac:dyDescent="0.25">
      <c r="B34" s="4">
        <v>10</v>
      </c>
      <c r="E34" s="4">
        <f t="shared" si="0"/>
        <v>0</v>
      </c>
      <c r="H34" s="4">
        <v>10</v>
      </c>
      <c r="K34" s="4" t="e">
        <f t="shared" si="1"/>
        <v>#DIV/0!</v>
      </c>
    </row>
    <row r="35" spans="2:11" x14ac:dyDescent="0.25">
      <c r="B35" s="4">
        <v>10</v>
      </c>
      <c r="E35" s="4">
        <f t="shared" si="0"/>
        <v>0</v>
      </c>
      <c r="H35" s="4">
        <v>10</v>
      </c>
      <c r="K35" s="4" t="e">
        <f t="shared" si="1"/>
        <v>#DIV/0!</v>
      </c>
    </row>
    <row r="36" spans="2:11" x14ac:dyDescent="0.25">
      <c r="B36" s="4">
        <v>10</v>
      </c>
      <c r="E36" s="4">
        <f t="shared" si="0"/>
        <v>0</v>
      </c>
      <c r="H36" s="4">
        <v>10</v>
      </c>
      <c r="K36" s="4" t="e">
        <f t="shared" si="1"/>
        <v>#DIV/0!</v>
      </c>
    </row>
    <row r="37" spans="2:11" x14ac:dyDescent="0.25">
      <c r="B37" s="4">
        <v>10</v>
      </c>
      <c r="E37" s="4">
        <f t="shared" si="0"/>
        <v>0</v>
      </c>
      <c r="H37" s="4">
        <v>10</v>
      </c>
      <c r="K37" s="4" t="e">
        <f t="shared" si="1"/>
        <v>#DIV/0!</v>
      </c>
    </row>
    <row r="38" spans="2:11" x14ac:dyDescent="0.25">
      <c r="B38" s="4">
        <v>10</v>
      </c>
      <c r="E38" s="4">
        <f t="shared" si="0"/>
        <v>0</v>
      </c>
      <c r="H38" s="4">
        <v>10</v>
      </c>
      <c r="K38" s="4" t="e">
        <f t="shared" si="1"/>
        <v>#DIV/0!</v>
      </c>
    </row>
    <row r="39" spans="2:11" x14ac:dyDescent="0.25">
      <c r="B39" s="4">
        <v>10</v>
      </c>
      <c r="E39" s="4">
        <f t="shared" si="0"/>
        <v>0</v>
      </c>
      <c r="H39" s="4">
        <v>10</v>
      </c>
      <c r="K39" s="4" t="e">
        <f t="shared" si="1"/>
        <v>#DIV/0!</v>
      </c>
    </row>
    <row r="40" spans="2:11" x14ac:dyDescent="0.25">
      <c r="B40" s="4">
        <v>10</v>
      </c>
      <c r="E40" s="4">
        <f t="shared" si="0"/>
        <v>0</v>
      </c>
      <c r="H40" s="4">
        <v>10</v>
      </c>
      <c r="K40" s="4" t="e">
        <f t="shared" si="1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586-B2C3-4DD7-A06B-B85242EB7350}">
  <dimension ref="A1:AZ200"/>
  <sheetViews>
    <sheetView workbookViewId="0">
      <pane ySplit="1" topLeftCell="A2" activePane="bottomLeft" state="frozen"/>
      <selection pane="bottomLeft" activeCell="E38" sqref="E38"/>
    </sheetView>
  </sheetViews>
  <sheetFormatPr defaultRowHeight="11.25" x14ac:dyDescent="0.25"/>
  <cols>
    <col min="1" max="1" width="42.85546875" style="9" bestFit="1" customWidth="1"/>
    <col min="2" max="2" width="18.7109375" style="9" customWidth="1"/>
    <col min="3" max="5" width="14.28515625" style="9" customWidth="1"/>
    <col min="6" max="16384" width="9.140625" style="9"/>
  </cols>
  <sheetData>
    <row r="1" spans="1:52" s="5" customFormat="1" ht="12.75" x14ac:dyDescent="0.25">
      <c r="A1" s="10" t="s">
        <v>19</v>
      </c>
      <c r="B1" s="10" t="s">
        <v>11</v>
      </c>
      <c r="C1" s="10" t="s">
        <v>324</v>
      </c>
      <c r="D1" s="10" t="s">
        <v>325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</row>
    <row r="2" spans="1:52" x14ac:dyDescent="0.25">
      <c r="A2" s="9" t="s">
        <v>431</v>
      </c>
      <c r="B2" s="9" t="s">
        <v>330</v>
      </c>
      <c r="C2" s="9">
        <v>1830</v>
      </c>
      <c r="D2" s="9">
        <f>IF(C2&gt;1985,"Never",C2+40)</f>
        <v>1870</v>
      </c>
    </row>
    <row r="3" spans="1:52" x14ac:dyDescent="0.25">
      <c r="A3" s="9" t="s">
        <v>432</v>
      </c>
      <c r="B3" s="9" t="s">
        <v>330</v>
      </c>
      <c r="C3" s="9">
        <v>1844</v>
      </c>
      <c r="D3" s="9">
        <f t="shared" ref="D3:D67" si="0">IF(C3&gt;1985,"Never",C3+40)</f>
        <v>1884</v>
      </c>
    </row>
    <row r="4" spans="1:52" x14ac:dyDescent="0.25">
      <c r="A4" s="9" t="s">
        <v>433</v>
      </c>
      <c r="B4" s="9" t="s">
        <v>12</v>
      </c>
      <c r="C4" s="9">
        <v>1847</v>
      </c>
      <c r="D4" s="9">
        <f t="shared" si="0"/>
        <v>1887</v>
      </c>
    </row>
    <row r="5" spans="1:52" x14ac:dyDescent="0.25">
      <c r="A5" s="9" t="s">
        <v>434</v>
      </c>
      <c r="B5" s="9" t="s">
        <v>15</v>
      </c>
      <c r="C5" s="9">
        <v>1855</v>
      </c>
      <c r="D5" s="9">
        <f t="shared" si="0"/>
        <v>1895</v>
      </c>
    </row>
    <row r="6" spans="1:52" x14ac:dyDescent="0.25">
      <c r="A6" s="9" t="s">
        <v>435</v>
      </c>
      <c r="B6" s="9" t="s">
        <v>12</v>
      </c>
      <c r="C6" s="9">
        <v>1859</v>
      </c>
      <c r="D6" s="9">
        <f t="shared" si="0"/>
        <v>1899</v>
      </c>
    </row>
    <row r="7" spans="1:52" x14ac:dyDescent="0.25">
      <c r="A7" s="9" t="s">
        <v>437</v>
      </c>
      <c r="B7" s="9" t="s">
        <v>329</v>
      </c>
      <c r="C7" s="9">
        <v>1868</v>
      </c>
      <c r="D7" s="9">
        <f t="shared" si="0"/>
        <v>1908</v>
      </c>
    </row>
    <row r="8" spans="1:52" x14ac:dyDescent="0.25">
      <c r="A8" s="9" t="s">
        <v>438</v>
      </c>
      <c r="B8" s="9" t="s">
        <v>328</v>
      </c>
      <c r="C8" s="9">
        <v>1870</v>
      </c>
      <c r="D8" s="9">
        <f t="shared" si="0"/>
        <v>1910</v>
      </c>
    </row>
    <row r="9" spans="1:52" x14ac:dyDescent="0.25">
      <c r="A9" s="9" t="s">
        <v>439</v>
      </c>
      <c r="B9" s="9" t="s">
        <v>15</v>
      </c>
      <c r="C9" s="9">
        <v>1873</v>
      </c>
      <c r="D9" s="9">
        <f t="shared" si="0"/>
        <v>1913</v>
      </c>
    </row>
    <row r="10" spans="1:52" x14ac:dyDescent="0.25">
      <c r="A10" s="9" t="s">
        <v>440</v>
      </c>
      <c r="B10" s="9" t="s">
        <v>326</v>
      </c>
      <c r="C10" s="9">
        <v>1874</v>
      </c>
      <c r="D10" s="9">
        <f t="shared" si="0"/>
        <v>1914</v>
      </c>
    </row>
    <row r="11" spans="1:52" x14ac:dyDescent="0.25">
      <c r="A11" s="9" t="s">
        <v>441</v>
      </c>
      <c r="B11" s="9" t="s">
        <v>327</v>
      </c>
      <c r="C11" s="9">
        <v>1890</v>
      </c>
      <c r="D11" s="9">
        <f t="shared" si="0"/>
        <v>1930</v>
      </c>
    </row>
    <row r="12" spans="1:52" x14ac:dyDescent="0.25">
      <c r="A12" s="9" t="s">
        <v>442</v>
      </c>
      <c r="B12" s="9" t="s">
        <v>329</v>
      </c>
      <c r="C12" s="9">
        <v>1890</v>
      </c>
      <c r="D12" s="9">
        <f t="shared" si="0"/>
        <v>1930</v>
      </c>
    </row>
    <row r="13" spans="1:52" x14ac:dyDescent="0.25">
      <c r="A13" s="9" t="s">
        <v>436</v>
      </c>
      <c r="B13" s="9" t="s">
        <v>329</v>
      </c>
      <c r="C13" s="9">
        <v>1895</v>
      </c>
      <c r="D13" s="9">
        <f t="shared" si="0"/>
        <v>1935</v>
      </c>
    </row>
    <row r="14" spans="1:52" x14ac:dyDescent="0.25">
      <c r="A14" s="9" t="s">
        <v>443</v>
      </c>
      <c r="B14" s="9" t="s">
        <v>329</v>
      </c>
      <c r="C14" s="9">
        <v>1895</v>
      </c>
      <c r="D14" s="9">
        <f t="shared" si="0"/>
        <v>1935</v>
      </c>
    </row>
    <row r="15" spans="1:52" x14ac:dyDescent="0.25">
      <c r="A15" s="9" t="s">
        <v>444</v>
      </c>
      <c r="B15" s="9" t="s">
        <v>326</v>
      </c>
      <c r="C15" s="9">
        <v>1898</v>
      </c>
      <c r="D15" s="9">
        <f t="shared" si="0"/>
        <v>1938</v>
      </c>
    </row>
    <row r="16" spans="1:52" x14ac:dyDescent="0.25">
      <c r="A16" s="9" t="s">
        <v>445</v>
      </c>
      <c r="B16" s="9" t="s">
        <v>328</v>
      </c>
      <c r="C16" s="9">
        <v>1899</v>
      </c>
      <c r="D16" s="9">
        <f t="shared" si="0"/>
        <v>1939</v>
      </c>
    </row>
    <row r="17" spans="1:4" x14ac:dyDescent="0.25">
      <c r="A17" s="9" t="s">
        <v>446</v>
      </c>
      <c r="B17" s="9" t="s">
        <v>329</v>
      </c>
      <c r="C17" s="9">
        <v>1903</v>
      </c>
      <c r="D17" s="9">
        <f t="shared" si="0"/>
        <v>1943</v>
      </c>
    </row>
    <row r="18" spans="1:4" x14ac:dyDescent="0.25">
      <c r="A18" s="9" t="s">
        <v>370</v>
      </c>
      <c r="B18" s="9" t="s">
        <v>326</v>
      </c>
      <c r="C18" s="9">
        <v>1903</v>
      </c>
      <c r="D18" s="9">
        <f t="shared" si="0"/>
        <v>1943</v>
      </c>
    </row>
    <row r="19" spans="1:4" x14ac:dyDescent="0.25">
      <c r="A19" s="9" t="s">
        <v>447</v>
      </c>
      <c r="B19" s="9" t="s">
        <v>328</v>
      </c>
      <c r="C19" s="9">
        <v>1904</v>
      </c>
      <c r="D19" s="9">
        <f t="shared" si="0"/>
        <v>1944</v>
      </c>
    </row>
    <row r="20" spans="1:4" x14ac:dyDescent="0.25">
      <c r="A20" s="9" t="s">
        <v>448</v>
      </c>
      <c r="B20" s="9" t="s">
        <v>326</v>
      </c>
      <c r="C20" s="9">
        <v>1906</v>
      </c>
      <c r="D20" s="9">
        <f t="shared" si="0"/>
        <v>1946</v>
      </c>
    </row>
    <row r="21" spans="1:4" x14ac:dyDescent="0.25">
      <c r="A21" s="9" t="s">
        <v>449</v>
      </c>
      <c r="B21" s="9" t="s">
        <v>15</v>
      </c>
      <c r="C21" s="9">
        <v>1911</v>
      </c>
      <c r="D21" s="9">
        <f t="shared" si="0"/>
        <v>1951</v>
      </c>
    </row>
    <row r="22" spans="1:4" x14ac:dyDescent="0.25">
      <c r="A22" s="9" t="s">
        <v>450</v>
      </c>
      <c r="B22" s="9" t="s">
        <v>330</v>
      </c>
      <c r="C22" s="9">
        <v>1912</v>
      </c>
      <c r="D22" s="9">
        <f t="shared" si="0"/>
        <v>1952</v>
      </c>
    </row>
    <row r="23" spans="1:4" x14ac:dyDescent="0.25">
      <c r="A23" s="9" t="s">
        <v>451</v>
      </c>
      <c r="B23" s="9" t="s">
        <v>18</v>
      </c>
      <c r="C23" s="9">
        <v>1912</v>
      </c>
      <c r="D23" s="9">
        <f t="shared" si="0"/>
        <v>1952</v>
      </c>
    </row>
    <row r="24" spans="1:4" x14ac:dyDescent="0.25">
      <c r="A24" s="9" t="s">
        <v>357</v>
      </c>
      <c r="B24" s="9" t="s">
        <v>15</v>
      </c>
      <c r="C24" s="9">
        <v>1914</v>
      </c>
      <c r="D24" s="9">
        <f t="shared" si="0"/>
        <v>1954</v>
      </c>
    </row>
    <row r="25" spans="1:4" x14ac:dyDescent="0.25">
      <c r="A25" s="9" t="s">
        <v>379</v>
      </c>
      <c r="B25" s="9" t="s">
        <v>326</v>
      </c>
      <c r="C25" s="9">
        <v>1914</v>
      </c>
      <c r="D25" s="9">
        <f t="shared" si="0"/>
        <v>1954</v>
      </c>
    </row>
    <row r="26" spans="1:4" x14ac:dyDescent="0.25">
      <c r="A26" s="9" t="s">
        <v>452</v>
      </c>
      <c r="B26" s="9" t="s">
        <v>331</v>
      </c>
      <c r="C26" s="9">
        <v>1919</v>
      </c>
      <c r="D26" s="9">
        <f t="shared" si="0"/>
        <v>1959</v>
      </c>
    </row>
    <row r="27" spans="1:4" x14ac:dyDescent="0.25">
      <c r="A27" s="9" t="s">
        <v>453</v>
      </c>
      <c r="B27" s="9" t="s">
        <v>328</v>
      </c>
      <c r="C27" s="9">
        <v>1919</v>
      </c>
      <c r="D27" s="9">
        <f t="shared" si="0"/>
        <v>1959</v>
      </c>
    </row>
    <row r="28" spans="1:4" x14ac:dyDescent="0.25">
      <c r="A28" s="9" t="s">
        <v>358</v>
      </c>
      <c r="B28" s="9" t="s">
        <v>328</v>
      </c>
      <c r="C28" s="9">
        <v>1920</v>
      </c>
      <c r="D28" s="9">
        <f t="shared" si="0"/>
        <v>1960</v>
      </c>
    </row>
    <row r="29" spans="1:4" x14ac:dyDescent="0.25">
      <c r="A29" s="9" t="s">
        <v>454</v>
      </c>
      <c r="B29" s="9" t="s">
        <v>328</v>
      </c>
      <c r="C29" s="9">
        <v>1922</v>
      </c>
      <c r="D29" s="9">
        <f t="shared" si="0"/>
        <v>1962</v>
      </c>
    </row>
    <row r="30" spans="1:4" x14ac:dyDescent="0.25">
      <c r="A30" s="9" t="s">
        <v>455</v>
      </c>
      <c r="B30" s="9" t="s">
        <v>326</v>
      </c>
      <c r="C30" s="9">
        <v>1927</v>
      </c>
      <c r="D30" s="9">
        <f t="shared" si="0"/>
        <v>1967</v>
      </c>
    </row>
    <row r="31" spans="1:4" x14ac:dyDescent="0.25">
      <c r="A31" s="9" t="s">
        <v>456</v>
      </c>
      <c r="B31" s="9" t="s">
        <v>12</v>
      </c>
      <c r="C31" s="9">
        <v>1927</v>
      </c>
      <c r="D31" s="9">
        <f t="shared" si="0"/>
        <v>1967</v>
      </c>
    </row>
    <row r="32" spans="1:4" x14ac:dyDescent="0.25">
      <c r="A32" s="9" t="s">
        <v>457</v>
      </c>
      <c r="B32" s="9" t="s">
        <v>328</v>
      </c>
      <c r="C32" s="9">
        <v>1927</v>
      </c>
      <c r="D32" s="9">
        <f t="shared" si="0"/>
        <v>1967</v>
      </c>
    </row>
    <row r="33" spans="1:4" x14ac:dyDescent="0.25">
      <c r="A33" s="9" t="s">
        <v>458</v>
      </c>
      <c r="B33" s="9" t="s">
        <v>331</v>
      </c>
      <c r="C33" s="9">
        <v>1927</v>
      </c>
      <c r="D33" s="9">
        <f t="shared" si="0"/>
        <v>1967</v>
      </c>
    </row>
    <row r="34" spans="1:4" x14ac:dyDescent="0.25">
      <c r="A34" s="9" t="s">
        <v>459</v>
      </c>
      <c r="B34" s="9" t="s">
        <v>326</v>
      </c>
      <c r="C34" s="9">
        <v>1929</v>
      </c>
      <c r="D34" s="9">
        <f t="shared" si="0"/>
        <v>1969</v>
      </c>
    </row>
    <row r="35" spans="1:4" x14ac:dyDescent="0.25">
      <c r="A35" s="9" t="s">
        <v>460</v>
      </c>
      <c r="B35" s="9" t="s">
        <v>18</v>
      </c>
      <c r="C35" s="9">
        <v>1933</v>
      </c>
      <c r="D35" s="9">
        <f t="shared" si="0"/>
        <v>1973</v>
      </c>
    </row>
    <row r="36" spans="1:4" x14ac:dyDescent="0.25">
      <c r="A36" s="9" t="s">
        <v>461</v>
      </c>
      <c r="B36" s="9" t="s">
        <v>333</v>
      </c>
      <c r="C36" s="9">
        <v>1934</v>
      </c>
      <c r="D36" s="9">
        <f t="shared" si="0"/>
        <v>1974</v>
      </c>
    </row>
    <row r="37" spans="1:4" x14ac:dyDescent="0.25">
      <c r="A37" s="9" t="s">
        <v>372</v>
      </c>
      <c r="B37" s="9" t="s">
        <v>326</v>
      </c>
      <c r="C37" s="9">
        <v>1935</v>
      </c>
      <c r="D37" s="9">
        <f t="shared" si="0"/>
        <v>1975</v>
      </c>
    </row>
    <row r="38" spans="1:4" x14ac:dyDescent="0.25">
      <c r="A38" s="9" t="s">
        <v>380</v>
      </c>
      <c r="B38" s="9" t="s">
        <v>326</v>
      </c>
      <c r="C38" s="9">
        <v>1935</v>
      </c>
      <c r="D38" s="9">
        <f t="shared" si="0"/>
        <v>1975</v>
      </c>
    </row>
    <row r="39" spans="1:4" x14ac:dyDescent="0.25">
      <c r="A39" s="9" t="s">
        <v>462</v>
      </c>
      <c r="B39" s="9" t="s">
        <v>12</v>
      </c>
      <c r="C39" s="9">
        <v>1936</v>
      </c>
      <c r="D39" s="9">
        <f t="shared" si="0"/>
        <v>1976</v>
      </c>
    </row>
    <row r="40" spans="1:4" x14ac:dyDescent="0.25">
      <c r="A40" s="9" t="s">
        <v>463</v>
      </c>
      <c r="B40" s="9" t="s">
        <v>328</v>
      </c>
      <c r="C40" s="9">
        <v>1936</v>
      </c>
      <c r="D40" s="9">
        <f t="shared" si="0"/>
        <v>1976</v>
      </c>
    </row>
    <row r="41" spans="1:4" x14ac:dyDescent="0.25">
      <c r="A41" s="9" t="s">
        <v>464</v>
      </c>
      <c r="B41" s="9" t="s">
        <v>328</v>
      </c>
      <c r="C41" s="9">
        <v>1937</v>
      </c>
      <c r="D41" s="9">
        <f t="shared" si="0"/>
        <v>1977</v>
      </c>
    </row>
    <row r="42" spans="1:4" x14ac:dyDescent="0.25">
      <c r="A42" s="9" t="s">
        <v>336</v>
      </c>
      <c r="B42" s="9" t="s">
        <v>327</v>
      </c>
      <c r="C42" s="9">
        <v>1939</v>
      </c>
      <c r="D42" s="9">
        <f t="shared" si="0"/>
        <v>1979</v>
      </c>
    </row>
    <row r="43" spans="1:4" x14ac:dyDescent="0.25">
      <c r="A43" s="9" t="s">
        <v>465</v>
      </c>
      <c r="B43" s="9" t="s">
        <v>328</v>
      </c>
      <c r="C43" s="9">
        <v>1941</v>
      </c>
      <c r="D43" s="9">
        <f t="shared" si="0"/>
        <v>1981</v>
      </c>
    </row>
    <row r="44" spans="1:4" x14ac:dyDescent="0.25">
      <c r="A44" s="9" t="s">
        <v>355</v>
      </c>
      <c r="B44" s="9" t="s">
        <v>330</v>
      </c>
      <c r="C44" s="9">
        <v>1941</v>
      </c>
      <c r="D44" s="9">
        <f t="shared" si="0"/>
        <v>1981</v>
      </c>
    </row>
    <row r="45" spans="1:4" x14ac:dyDescent="0.25">
      <c r="A45" s="9" t="s">
        <v>359</v>
      </c>
      <c r="B45" s="9" t="s">
        <v>15</v>
      </c>
      <c r="C45" s="9">
        <v>1941</v>
      </c>
      <c r="D45" s="9">
        <f t="shared" si="0"/>
        <v>1981</v>
      </c>
    </row>
    <row r="46" spans="1:4" x14ac:dyDescent="0.25">
      <c r="A46" s="9" t="s">
        <v>466</v>
      </c>
      <c r="B46" s="9" t="s">
        <v>15</v>
      </c>
      <c r="C46" s="9">
        <v>1942</v>
      </c>
      <c r="D46" s="9">
        <f t="shared" si="0"/>
        <v>1982</v>
      </c>
    </row>
    <row r="47" spans="1:4" x14ac:dyDescent="0.25">
      <c r="A47" s="9" t="s">
        <v>474</v>
      </c>
      <c r="B47" s="9" t="s">
        <v>15</v>
      </c>
      <c r="C47" s="9">
        <v>1943</v>
      </c>
      <c r="D47" s="9">
        <f t="shared" si="0"/>
        <v>1983</v>
      </c>
    </row>
    <row r="48" spans="1:4" x14ac:dyDescent="0.25">
      <c r="A48" s="9" t="s">
        <v>467</v>
      </c>
      <c r="B48" s="9" t="s">
        <v>17</v>
      </c>
      <c r="C48" s="9">
        <v>1943</v>
      </c>
      <c r="D48" s="9">
        <f t="shared" si="0"/>
        <v>1983</v>
      </c>
    </row>
    <row r="49" spans="1:4" x14ac:dyDescent="0.25">
      <c r="A49" s="9" t="s">
        <v>468</v>
      </c>
      <c r="B49" s="9" t="s">
        <v>12</v>
      </c>
      <c r="C49" s="9">
        <v>1945</v>
      </c>
      <c r="D49" s="9">
        <f t="shared" si="0"/>
        <v>1985</v>
      </c>
    </row>
    <row r="50" spans="1:4" x14ac:dyDescent="0.25">
      <c r="A50" s="9" t="s">
        <v>469</v>
      </c>
      <c r="B50" s="9" t="s">
        <v>326</v>
      </c>
      <c r="C50" s="9">
        <v>1946</v>
      </c>
      <c r="D50" s="9">
        <f t="shared" si="0"/>
        <v>1986</v>
      </c>
    </row>
    <row r="51" spans="1:4" x14ac:dyDescent="0.25">
      <c r="A51" s="9" t="s">
        <v>470</v>
      </c>
      <c r="B51" s="9" t="s">
        <v>326</v>
      </c>
      <c r="C51" s="9">
        <v>1947</v>
      </c>
      <c r="D51" s="9">
        <f t="shared" si="0"/>
        <v>1987</v>
      </c>
    </row>
    <row r="52" spans="1:4" x14ac:dyDescent="0.25">
      <c r="A52" s="9" t="s">
        <v>342</v>
      </c>
      <c r="B52" s="9" t="s">
        <v>328</v>
      </c>
      <c r="C52" s="9">
        <v>1948</v>
      </c>
      <c r="D52" s="9">
        <f t="shared" si="0"/>
        <v>1988</v>
      </c>
    </row>
    <row r="53" spans="1:4" x14ac:dyDescent="0.25">
      <c r="A53" s="9" t="s">
        <v>471</v>
      </c>
      <c r="B53" s="9" t="s">
        <v>15</v>
      </c>
      <c r="C53" s="9">
        <v>1949</v>
      </c>
      <c r="D53" s="9">
        <f t="shared" si="0"/>
        <v>1989</v>
      </c>
    </row>
    <row r="54" spans="1:4" x14ac:dyDescent="0.25">
      <c r="A54" s="9" t="s">
        <v>371</v>
      </c>
      <c r="B54" s="9" t="s">
        <v>326</v>
      </c>
      <c r="C54" s="9">
        <v>1950</v>
      </c>
      <c r="D54" s="9">
        <f t="shared" si="0"/>
        <v>1990</v>
      </c>
    </row>
    <row r="55" spans="1:4" x14ac:dyDescent="0.25">
      <c r="A55" s="9" t="s">
        <v>472</v>
      </c>
      <c r="B55" s="9" t="s">
        <v>328</v>
      </c>
      <c r="C55" s="9">
        <v>1951</v>
      </c>
      <c r="D55" s="9">
        <f t="shared" si="0"/>
        <v>1991</v>
      </c>
    </row>
    <row r="56" spans="1:4" x14ac:dyDescent="0.25">
      <c r="A56" s="9" t="s">
        <v>360</v>
      </c>
      <c r="B56" s="9" t="s">
        <v>328</v>
      </c>
      <c r="C56" s="9">
        <v>1953</v>
      </c>
      <c r="D56" s="9">
        <f t="shared" si="0"/>
        <v>1993</v>
      </c>
    </row>
    <row r="57" spans="1:4" x14ac:dyDescent="0.25">
      <c r="A57" s="9" t="s">
        <v>473</v>
      </c>
      <c r="B57" s="9" t="s">
        <v>333</v>
      </c>
      <c r="C57" s="9">
        <v>1954</v>
      </c>
      <c r="D57" s="9">
        <f t="shared" si="0"/>
        <v>1994</v>
      </c>
    </row>
    <row r="58" spans="1:4" x14ac:dyDescent="0.25">
      <c r="A58" s="9" t="s">
        <v>373</v>
      </c>
      <c r="B58" s="9" t="s">
        <v>326</v>
      </c>
      <c r="C58" s="9">
        <v>1955</v>
      </c>
      <c r="D58" s="9">
        <f t="shared" si="0"/>
        <v>1995</v>
      </c>
    </row>
    <row r="59" spans="1:4" x14ac:dyDescent="0.25">
      <c r="A59" s="9" t="s">
        <v>348</v>
      </c>
      <c r="B59" s="9" t="s">
        <v>328</v>
      </c>
      <c r="C59" s="9">
        <v>1956</v>
      </c>
      <c r="D59" s="9">
        <f t="shared" si="0"/>
        <v>1996</v>
      </c>
    </row>
    <row r="60" spans="1:4" x14ac:dyDescent="0.25">
      <c r="A60" s="9" t="s">
        <v>338</v>
      </c>
      <c r="B60" s="9" t="s">
        <v>15</v>
      </c>
      <c r="C60" s="9">
        <v>1957</v>
      </c>
      <c r="D60" s="9">
        <f t="shared" si="0"/>
        <v>1997</v>
      </c>
    </row>
    <row r="61" spans="1:4" x14ac:dyDescent="0.25">
      <c r="A61" s="9" t="s">
        <v>335</v>
      </c>
      <c r="B61" s="9" t="s">
        <v>15</v>
      </c>
      <c r="C61" s="9">
        <v>1958</v>
      </c>
      <c r="D61" s="9">
        <f t="shared" si="0"/>
        <v>1998</v>
      </c>
    </row>
    <row r="62" spans="1:4" x14ac:dyDescent="0.25">
      <c r="A62" s="9" t="s">
        <v>340</v>
      </c>
      <c r="B62" s="9" t="s">
        <v>330</v>
      </c>
      <c r="C62" s="9">
        <v>1958</v>
      </c>
      <c r="D62" s="9">
        <f t="shared" si="0"/>
        <v>1998</v>
      </c>
    </row>
    <row r="63" spans="1:4" x14ac:dyDescent="0.25">
      <c r="A63" s="9" t="s">
        <v>344</v>
      </c>
      <c r="B63" s="9" t="s">
        <v>328</v>
      </c>
      <c r="C63" s="9">
        <v>1958</v>
      </c>
      <c r="D63" s="9">
        <f t="shared" si="0"/>
        <v>1998</v>
      </c>
    </row>
    <row r="64" spans="1:4" x14ac:dyDescent="0.25">
      <c r="A64" s="9" t="s">
        <v>356</v>
      </c>
      <c r="B64" s="9" t="s">
        <v>330</v>
      </c>
      <c r="C64" s="9">
        <v>1958</v>
      </c>
      <c r="D64" s="9">
        <f t="shared" si="0"/>
        <v>1998</v>
      </c>
    </row>
    <row r="65" spans="1:4" x14ac:dyDescent="0.25">
      <c r="A65" s="9" t="s">
        <v>341</v>
      </c>
      <c r="B65" s="9" t="s">
        <v>12</v>
      </c>
      <c r="C65" s="9">
        <v>1959</v>
      </c>
      <c r="D65" s="9">
        <f t="shared" si="0"/>
        <v>1999</v>
      </c>
    </row>
    <row r="66" spans="1:4" x14ac:dyDescent="0.25">
      <c r="A66" s="9" t="s">
        <v>346</v>
      </c>
      <c r="B66" s="9" t="s">
        <v>328</v>
      </c>
      <c r="C66" s="9">
        <v>1959</v>
      </c>
      <c r="D66" s="9">
        <f t="shared" si="0"/>
        <v>1999</v>
      </c>
    </row>
    <row r="67" spans="1:4" x14ac:dyDescent="0.25">
      <c r="A67" s="9" t="s">
        <v>361</v>
      </c>
      <c r="B67" s="9" t="s">
        <v>328</v>
      </c>
      <c r="C67" s="9">
        <v>1959</v>
      </c>
      <c r="D67" s="9">
        <f t="shared" si="0"/>
        <v>1999</v>
      </c>
    </row>
    <row r="68" spans="1:4" x14ac:dyDescent="0.25">
      <c r="A68" s="9" t="s">
        <v>343</v>
      </c>
      <c r="B68" s="9" t="s">
        <v>330</v>
      </c>
      <c r="C68" s="9">
        <v>1960</v>
      </c>
      <c r="D68" s="9">
        <f t="shared" ref="D68:D100" si="1">IF(C68&gt;1985,"Never",C68+40)</f>
        <v>2000</v>
      </c>
    </row>
    <row r="69" spans="1:4" x14ac:dyDescent="0.25">
      <c r="A69" s="9" t="s">
        <v>339</v>
      </c>
      <c r="B69" s="9" t="s">
        <v>15</v>
      </c>
      <c r="C69" s="9">
        <v>1962</v>
      </c>
      <c r="D69" s="9">
        <f t="shared" si="1"/>
        <v>2002</v>
      </c>
    </row>
    <row r="70" spans="1:4" x14ac:dyDescent="0.25">
      <c r="A70" s="9" t="s">
        <v>345</v>
      </c>
      <c r="B70" s="9" t="s">
        <v>12</v>
      </c>
      <c r="C70" s="9">
        <v>1962</v>
      </c>
      <c r="D70" s="9">
        <f t="shared" si="1"/>
        <v>2002</v>
      </c>
    </row>
    <row r="71" spans="1:4" x14ac:dyDescent="0.25">
      <c r="A71" s="9" t="s">
        <v>347</v>
      </c>
      <c r="B71" s="9" t="s">
        <v>330</v>
      </c>
      <c r="C71" s="9">
        <v>1962</v>
      </c>
      <c r="D71" s="9">
        <f t="shared" si="1"/>
        <v>2002</v>
      </c>
    </row>
    <row r="72" spans="1:4" x14ac:dyDescent="0.25">
      <c r="A72" s="9" t="s">
        <v>337</v>
      </c>
      <c r="B72" s="9" t="s">
        <v>15</v>
      </c>
      <c r="C72" s="9">
        <v>1964</v>
      </c>
      <c r="D72" s="9">
        <f t="shared" si="1"/>
        <v>2004</v>
      </c>
    </row>
    <row r="73" spans="1:4" x14ac:dyDescent="0.25">
      <c r="A73" s="9" t="s">
        <v>381</v>
      </c>
      <c r="B73" s="9" t="s">
        <v>326</v>
      </c>
      <c r="C73" s="9">
        <v>1964</v>
      </c>
      <c r="D73" s="9">
        <f t="shared" si="1"/>
        <v>2004</v>
      </c>
    </row>
    <row r="74" spans="1:4" x14ac:dyDescent="0.25">
      <c r="A74" s="9" t="s">
        <v>354</v>
      </c>
      <c r="B74" s="9" t="s">
        <v>330</v>
      </c>
      <c r="C74" s="9">
        <v>1965</v>
      </c>
      <c r="D74" s="9">
        <f t="shared" si="1"/>
        <v>2005</v>
      </c>
    </row>
    <row r="75" spans="1:4" x14ac:dyDescent="0.25">
      <c r="A75" s="9" t="s">
        <v>362</v>
      </c>
      <c r="B75" s="9" t="s">
        <v>328</v>
      </c>
      <c r="C75" s="9">
        <v>1965</v>
      </c>
      <c r="D75" s="9">
        <f t="shared" si="1"/>
        <v>2005</v>
      </c>
    </row>
    <row r="76" spans="1:4" x14ac:dyDescent="0.25">
      <c r="A76" s="9" t="s">
        <v>383</v>
      </c>
      <c r="B76" s="9" t="s">
        <v>326</v>
      </c>
      <c r="C76" s="9">
        <v>1965</v>
      </c>
      <c r="D76" s="9">
        <f t="shared" si="1"/>
        <v>2005</v>
      </c>
    </row>
    <row r="77" spans="1:4" x14ac:dyDescent="0.25">
      <c r="A77" s="9" t="s">
        <v>378</v>
      </c>
      <c r="B77" s="9" t="s">
        <v>328</v>
      </c>
      <c r="C77" s="9">
        <v>1976</v>
      </c>
      <c r="D77" s="9">
        <f t="shared" si="1"/>
        <v>2016</v>
      </c>
    </row>
    <row r="78" spans="1:4" x14ac:dyDescent="0.25">
      <c r="A78" s="9" t="s">
        <v>384</v>
      </c>
      <c r="B78" s="9" t="s">
        <v>326</v>
      </c>
      <c r="C78" s="9">
        <v>1976</v>
      </c>
      <c r="D78" s="9">
        <f t="shared" si="1"/>
        <v>2016</v>
      </c>
    </row>
    <row r="79" spans="1:4" x14ac:dyDescent="0.25">
      <c r="A79" s="9" t="s">
        <v>367</v>
      </c>
      <c r="B79" s="9" t="s">
        <v>328</v>
      </c>
      <c r="C79" s="9">
        <v>1980</v>
      </c>
      <c r="D79" s="9">
        <f t="shared" si="1"/>
        <v>2020</v>
      </c>
    </row>
    <row r="80" spans="1:4" x14ac:dyDescent="0.25">
      <c r="A80" s="9" t="s">
        <v>349</v>
      </c>
      <c r="B80" s="9" t="s">
        <v>15</v>
      </c>
      <c r="C80" s="9">
        <v>1983</v>
      </c>
      <c r="D80" s="9">
        <f t="shared" si="1"/>
        <v>2023</v>
      </c>
    </row>
    <row r="81" spans="1:4" x14ac:dyDescent="0.25">
      <c r="A81" s="9" t="s">
        <v>374</v>
      </c>
      <c r="B81" s="9" t="s">
        <v>12</v>
      </c>
      <c r="C81" s="9">
        <v>1984</v>
      </c>
      <c r="D81" s="9">
        <f t="shared" si="1"/>
        <v>2024</v>
      </c>
    </row>
    <row r="82" spans="1:4" x14ac:dyDescent="0.25">
      <c r="A82" s="9" t="s">
        <v>363</v>
      </c>
      <c r="B82" s="9" t="s">
        <v>328</v>
      </c>
      <c r="C82" s="9">
        <v>1986</v>
      </c>
      <c r="D82" s="9" t="str">
        <f t="shared" si="1"/>
        <v>Never</v>
      </c>
    </row>
    <row r="83" spans="1:4" x14ac:dyDescent="0.25">
      <c r="A83" s="9" t="s">
        <v>364</v>
      </c>
      <c r="B83" s="9" t="s">
        <v>328</v>
      </c>
      <c r="C83" s="9">
        <v>1987</v>
      </c>
      <c r="D83" s="9" t="str">
        <f t="shared" si="1"/>
        <v>Never</v>
      </c>
    </row>
    <row r="84" spans="1:4" x14ac:dyDescent="0.25">
      <c r="A84" s="9" t="s">
        <v>368</v>
      </c>
      <c r="B84" s="9" t="s">
        <v>328</v>
      </c>
      <c r="C84" s="9">
        <v>1988</v>
      </c>
      <c r="D84" s="9" t="str">
        <f t="shared" si="1"/>
        <v>Never</v>
      </c>
    </row>
    <row r="85" spans="1:4" x14ac:dyDescent="0.25">
      <c r="A85" s="9" t="s">
        <v>382</v>
      </c>
      <c r="B85" s="9" t="s">
        <v>326</v>
      </c>
      <c r="C85" s="9">
        <v>1988</v>
      </c>
      <c r="D85" s="9" t="str">
        <f t="shared" si="1"/>
        <v>Never</v>
      </c>
    </row>
    <row r="86" spans="1:4" x14ac:dyDescent="0.25">
      <c r="A86" s="9" t="s">
        <v>385</v>
      </c>
      <c r="B86" s="9" t="s">
        <v>326</v>
      </c>
      <c r="C86" s="9">
        <v>1988</v>
      </c>
      <c r="D86" s="9" t="str">
        <f t="shared" si="1"/>
        <v>Never</v>
      </c>
    </row>
    <row r="87" spans="1:4" x14ac:dyDescent="0.25">
      <c r="A87" s="9" t="s">
        <v>350</v>
      </c>
      <c r="B87" s="9" t="s">
        <v>15</v>
      </c>
      <c r="C87" s="9">
        <v>1990</v>
      </c>
      <c r="D87" s="9" t="str">
        <f t="shared" si="1"/>
        <v>Never</v>
      </c>
    </row>
    <row r="88" spans="1:4" x14ac:dyDescent="0.25">
      <c r="A88" s="9" t="s">
        <v>375</v>
      </c>
      <c r="B88" s="9" t="s">
        <v>328</v>
      </c>
      <c r="C88" s="9">
        <v>1990</v>
      </c>
      <c r="D88" s="9" t="str">
        <f t="shared" si="1"/>
        <v>Never</v>
      </c>
    </row>
    <row r="89" spans="1:4" x14ac:dyDescent="0.25">
      <c r="A89" s="9" t="s">
        <v>365</v>
      </c>
      <c r="B89" s="9" t="s">
        <v>15</v>
      </c>
      <c r="C89" s="9">
        <v>1993</v>
      </c>
      <c r="D89" s="9" t="str">
        <f t="shared" si="1"/>
        <v>Never</v>
      </c>
    </row>
    <row r="90" spans="1:4" x14ac:dyDescent="0.25">
      <c r="A90" s="9" t="s">
        <v>369</v>
      </c>
      <c r="B90" s="9" t="s">
        <v>328</v>
      </c>
      <c r="C90" s="9">
        <v>1993</v>
      </c>
      <c r="D90" s="9" t="str">
        <f t="shared" si="1"/>
        <v>Never</v>
      </c>
    </row>
    <row r="91" spans="1:4" x14ac:dyDescent="0.25">
      <c r="A91" s="9" t="s">
        <v>386</v>
      </c>
      <c r="B91" s="9" t="s">
        <v>334</v>
      </c>
      <c r="C91" s="9">
        <v>1995</v>
      </c>
      <c r="D91" s="9" t="str">
        <f t="shared" si="1"/>
        <v>Never</v>
      </c>
    </row>
    <row r="92" spans="1:4" x14ac:dyDescent="0.25">
      <c r="A92" s="9" t="s">
        <v>351</v>
      </c>
      <c r="B92" s="9" t="s">
        <v>15</v>
      </c>
      <c r="C92" s="9">
        <v>1998</v>
      </c>
      <c r="D92" s="9" t="str">
        <f t="shared" si="1"/>
        <v>Never</v>
      </c>
    </row>
    <row r="93" spans="1:4" x14ac:dyDescent="0.25">
      <c r="A93" s="9" t="s">
        <v>376</v>
      </c>
      <c r="B93" s="9" t="s">
        <v>12</v>
      </c>
      <c r="C93" s="9">
        <v>1998</v>
      </c>
      <c r="D93" s="9" t="str">
        <f t="shared" si="1"/>
        <v>Never</v>
      </c>
    </row>
    <row r="94" spans="1:4" x14ac:dyDescent="0.25">
      <c r="A94" s="9" t="s">
        <v>352</v>
      </c>
      <c r="B94" s="9" t="s">
        <v>15</v>
      </c>
      <c r="C94" s="9">
        <v>1999</v>
      </c>
      <c r="D94" s="9" t="str">
        <f t="shared" si="1"/>
        <v>Never</v>
      </c>
    </row>
    <row r="95" spans="1:4" x14ac:dyDescent="0.25">
      <c r="A95" s="9" t="s">
        <v>387</v>
      </c>
      <c r="B95" s="9" t="s">
        <v>328</v>
      </c>
      <c r="C95" s="9">
        <v>1999</v>
      </c>
      <c r="D95" s="9" t="str">
        <f t="shared" si="1"/>
        <v>Never</v>
      </c>
    </row>
    <row r="96" spans="1:4" x14ac:dyDescent="0.25">
      <c r="A96" s="9" t="s">
        <v>377</v>
      </c>
      <c r="B96" s="9" t="s">
        <v>328</v>
      </c>
      <c r="C96" s="9">
        <v>2001</v>
      </c>
      <c r="D96" s="9" t="str">
        <f t="shared" si="1"/>
        <v>Never</v>
      </c>
    </row>
    <row r="97" spans="1:4" x14ac:dyDescent="0.25">
      <c r="A97" s="9" t="s">
        <v>388</v>
      </c>
      <c r="B97" s="9" t="s">
        <v>328</v>
      </c>
      <c r="C97" s="9">
        <v>2002</v>
      </c>
      <c r="D97" s="9" t="str">
        <f t="shared" si="1"/>
        <v>Never</v>
      </c>
    </row>
    <row r="98" spans="1:4" x14ac:dyDescent="0.25">
      <c r="A98" s="9" t="s">
        <v>353</v>
      </c>
      <c r="B98" s="9" t="s">
        <v>15</v>
      </c>
      <c r="C98" s="9">
        <v>2010</v>
      </c>
      <c r="D98" s="9" t="str">
        <f t="shared" si="1"/>
        <v>Never</v>
      </c>
    </row>
    <row r="99" spans="1:4" x14ac:dyDescent="0.25">
      <c r="A99" s="9" t="s">
        <v>389</v>
      </c>
      <c r="B99" s="9" t="s">
        <v>328</v>
      </c>
      <c r="C99" s="9">
        <v>2016</v>
      </c>
      <c r="D99" s="9" t="str">
        <f t="shared" si="1"/>
        <v>Never</v>
      </c>
    </row>
    <row r="100" spans="1:4" x14ac:dyDescent="0.25">
      <c r="A100" s="9" t="s">
        <v>366</v>
      </c>
      <c r="B100" s="9" t="s">
        <v>327</v>
      </c>
      <c r="C100" s="9">
        <v>2020</v>
      </c>
      <c r="D100" s="9" t="str">
        <f t="shared" si="1"/>
        <v>Never</v>
      </c>
    </row>
    <row r="101" spans="1:4" x14ac:dyDescent="0.25">
      <c r="D101" s="9" t="str">
        <f t="shared" ref="D101:D164" si="2">IF(C101&gt;0,IF(C101&gt;1985,"Never",C101+40),"")</f>
        <v/>
      </c>
    </row>
    <row r="102" spans="1:4" x14ac:dyDescent="0.25">
      <c r="D102" s="9" t="str">
        <f t="shared" si="2"/>
        <v/>
      </c>
    </row>
    <row r="103" spans="1:4" x14ac:dyDescent="0.25">
      <c r="D103" s="9" t="str">
        <f t="shared" si="2"/>
        <v/>
      </c>
    </row>
    <row r="104" spans="1:4" x14ac:dyDescent="0.25">
      <c r="D104" s="9" t="str">
        <f t="shared" si="2"/>
        <v/>
      </c>
    </row>
    <row r="105" spans="1:4" x14ac:dyDescent="0.25">
      <c r="D105" s="9" t="str">
        <f t="shared" si="2"/>
        <v/>
      </c>
    </row>
    <row r="106" spans="1:4" x14ac:dyDescent="0.25">
      <c r="D106" s="9" t="str">
        <f t="shared" si="2"/>
        <v/>
      </c>
    </row>
    <row r="107" spans="1:4" x14ac:dyDescent="0.25">
      <c r="D107" s="9" t="str">
        <f t="shared" si="2"/>
        <v/>
      </c>
    </row>
    <row r="108" spans="1:4" x14ac:dyDescent="0.25">
      <c r="D108" s="9" t="str">
        <f t="shared" si="2"/>
        <v/>
      </c>
    </row>
    <row r="109" spans="1:4" x14ac:dyDescent="0.25">
      <c r="D109" s="9" t="str">
        <f t="shared" si="2"/>
        <v/>
      </c>
    </row>
    <row r="110" spans="1:4" x14ac:dyDescent="0.25">
      <c r="D110" s="9" t="str">
        <f t="shared" si="2"/>
        <v/>
      </c>
    </row>
    <row r="111" spans="1:4" x14ac:dyDescent="0.25">
      <c r="D111" s="9" t="str">
        <f t="shared" si="2"/>
        <v/>
      </c>
    </row>
    <row r="112" spans="1:4" x14ac:dyDescent="0.25">
      <c r="D112" s="9" t="str">
        <f t="shared" si="2"/>
        <v/>
      </c>
    </row>
    <row r="113" spans="4:4" x14ac:dyDescent="0.25">
      <c r="D113" s="9" t="str">
        <f t="shared" si="2"/>
        <v/>
      </c>
    </row>
    <row r="114" spans="4:4" x14ac:dyDescent="0.25">
      <c r="D114" s="9" t="str">
        <f t="shared" si="2"/>
        <v/>
      </c>
    </row>
    <row r="115" spans="4:4" x14ac:dyDescent="0.25">
      <c r="D115" s="9" t="str">
        <f t="shared" si="2"/>
        <v/>
      </c>
    </row>
    <row r="116" spans="4:4" x14ac:dyDescent="0.25">
      <c r="D116" s="9" t="str">
        <f t="shared" si="2"/>
        <v/>
      </c>
    </row>
    <row r="117" spans="4:4" x14ac:dyDescent="0.25">
      <c r="D117" s="9" t="str">
        <f t="shared" si="2"/>
        <v/>
      </c>
    </row>
    <row r="118" spans="4:4" x14ac:dyDescent="0.25">
      <c r="D118" s="9" t="str">
        <f t="shared" si="2"/>
        <v/>
      </c>
    </row>
    <row r="119" spans="4:4" x14ac:dyDescent="0.25">
      <c r="D119" s="9" t="str">
        <f t="shared" si="2"/>
        <v/>
      </c>
    </row>
    <row r="120" spans="4:4" x14ac:dyDescent="0.25">
      <c r="D120" s="9" t="str">
        <f t="shared" si="2"/>
        <v/>
      </c>
    </row>
    <row r="121" spans="4:4" x14ac:dyDescent="0.25">
      <c r="D121" s="9" t="str">
        <f t="shared" si="2"/>
        <v/>
      </c>
    </row>
    <row r="122" spans="4:4" x14ac:dyDescent="0.25">
      <c r="D122" s="9" t="str">
        <f t="shared" si="2"/>
        <v/>
      </c>
    </row>
    <row r="123" spans="4:4" x14ac:dyDescent="0.25">
      <c r="D123" s="9" t="str">
        <f t="shared" si="2"/>
        <v/>
      </c>
    </row>
    <row r="124" spans="4:4" x14ac:dyDescent="0.25">
      <c r="D124" s="9" t="str">
        <f t="shared" si="2"/>
        <v/>
      </c>
    </row>
    <row r="125" spans="4:4" x14ac:dyDescent="0.25">
      <c r="D125" s="9" t="str">
        <f t="shared" si="2"/>
        <v/>
      </c>
    </row>
    <row r="126" spans="4:4" x14ac:dyDescent="0.25">
      <c r="D126" s="9" t="str">
        <f t="shared" si="2"/>
        <v/>
      </c>
    </row>
    <row r="127" spans="4:4" x14ac:dyDescent="0.25">
      <c r="D127" s="9" t="str">
        <f t="shared" si="2"/>
        <v/>
      </c>
    </row>
    <row r="128" spans="4:4" x14ac:dyDescent="0.25">
      <c r="D128" s="9" t="str">
        <f t="shared" si="2"/>
        <v/>
      </c>
    </row>
    <row r="129" spans="4:4" x14ac:dyDescent="0.25">
      <c r="D129" s="9" t="str">
        <f t="shared" si="2"/>
        <v/>
      </c>
    </row>
    <row r="130" spans="4:4" x14ac:dyDescent="0.25">
      <c r="D130" s="9" t="str">
        <f t="shared" si="2"/>
        <v/>
      </c>
    </row>
    <row r="131" spans="4:4" x14ac:dyDescent="0.25">
      <c r="D131" s="9" t="str">
        <f t="shared" si="2"/>
        <v/>
      </c>
    </row>
    <row r="132" spans="4:4" x14ac:dyDescent="0.25">
      <c r="D132" s="9" t="str">
        <f t="shared" si="2"/>
        <v/>
      </c>
    </row>
    <row r="133" spans="4:4" x14ac:dyDescent="0.25">
      <c r="D133" s="9" t="str">
        <f t="shared" si="2"/>
        <v/>
      </c>
    </row>
    <row r="134" spans="4:4" x14ac:dyDescent="0.25">
      <c r="D134" s="9" t="str">
        <f t="shared" si="2"/>
        <v/>
      </c>
    </row>
    <row r="135" spans="4:4" x14ac:dyDescent="0.25">
      <c r="D135" s="9" t="str">
        <f t="shared" si="2"/>
        <v/>
      </c>
    </row>
    <row r="136" spans="4:4" x14ac:dyDescent="0.25">
      <c r="D136" s="9" t="str">
        <f t="shared" si="2"/>
        <v/>
      </c>
    </row>
    <row r="137" spans="4:4" x14ac:dyDescent="0.25">
      <c r="D137" s="9" t="str">
        <f t="shared" si="2"/>
        <v/>
      </c>
    </row>
    <row r="138" spans="4:4" x14ac:dyDescent="0.25">
      <c r="D138" s="9" t="str">
        <f t="shared" si="2"/>
        <v/>
      </c>
    </row>
    <row r="139" spans="4:4" x14ac:dyDescent="0.25">
      <c r="D139" s="9" t="str">
        <f t="shared" si="2"/>
        <v/>
      </c>
    </row>
    <row r="140" spans="4:4" x14ac:dyDescent="0.25">
      <c r="D140" s="9" t="str">
        <f t="shared" si="2"/>
        <v/>
      </c>
    </row>
    <row r="141" spans="4:4" x14ac:dyDescent="0.25">
      <c r="D141" s="9" t="str">
        <f t="shared" si="2"/>
        <v/>
      </c>
    </row>
    <row r="142" spans="4:4" x14ac:dyDescent="0.25">
      <c r="D142" s="9" t="str">
        <f t="shared" si="2"/>
        <v/>
      </c>
    </row>
    <row r="143" spans="4:4" x14ac:dyDescent="0.25">
      <c r="D143" s="9" t="str">
        <f t="shared" si="2"/>
        <v/>
      </c>
    </row>
    <row r="144" spans="4:4" x14ac:dyDescent="0.25">
      <c r="D144" s="9" t="str">
        <f t="shared" si="2"/>
        <v/>
      </c>
    </row>
    <row r="145" spans="4:4" x14ac:dyDescent="0.25">
      <c r="D145" s="9" t="str">
        <f t="shared" si="2"/>
        <v/>
      </c>
    </row>
    <row r="146" spans="4:4" x14ac:dyDescent="0.25">
      <c r="D146" s="9" t="str">
        <f t="shared" si="2"/>
        <v/>
      </c>
    </row>
    <row r="147" spans="4:4" x14ac:dyDescent="0.25">
      <c r="D147" s="9" t="str">
        <f t="shared" si="2"/>
        <v/>
      </c>
    </row>
    <row r="148" spans="4:4" x14ac:dyDescent="0.25">
      <c r="D148" s="9" t="str">
        <f t="shared" si="2"/>
        <v/>
      </c>
    </row>
    <row r="149" spans="4:4" x14ac:dyDescent="0.25">
      <c r="D149" s="9" t="str">
        <f t="shared" si="2"/>
        <v/>
      </c>
    </row>
    <row r="150" spans="4:4" x14ac:dyDescent="0.25">
      <c r="D150" s="9" t="str">
        <f t="shared" si="2"/>
        <v/>
      </c>
    </row>
    <row r="151" spans="4:4" x14ac:dyDescent="0.25">
      <c r="D151" s="9" t="str">
        <f t="shared" si="2"/>
        <v/>
      </c>
    </row>
    <row r="152" spans="4:4" x14ac:dyDescent="0.25">
      <c r="D152" s="9" t="str">
        <f t="shared" si="2"/>
        <v/>
      </c>
    </row>
    <row r="153" spans="4:4" x14ac:dyDescent="0.25">
      <c r="D153" s="9" t="str">
        <f t="shared" si="2"/>
        <v/>
      </c>
    </row>
    <row r="154" spans="4:4" x14ac:dyDescent="0.25">
      <c r="D154" s="9" t="str">
        <f t="shared" si="2"/>
        <v/>
      </c>
    </row>
    <row r="155" spans="4:4" x14ac:dyDescent="0.25">
      <c r="D155" s="9" t="str">
        <f t="shared" si="2"/>
        <v/>
      </c>
    </row>
    <row r="156" spans="4:4" x14ac:dyDescent="0.25">
      <c r="D156" s="9" t="str">
        <f t="shared" si="2"/>
        <v/>
      </c>
    </row>
    <row r="157" spans="4:4" x14ac:dyDescent="0.25">
      <c r="D157" s="9" t="str">
        <f t="shared" si="2"/>
        <v/>
      </c>
    </row>
    <row r="158" spans="4:4" x14ac:dyDescent="0.25">
      <c r="D158" s="9" t="str">
        <f t="shared" si="2"/>
        <v/>
      </c>
    </row>
    <row r="159" spans="4:4" x14ac:dyDescent="0.25">
      <c r="D159" s="9" t="str">
        <f t="shared" si="2"/>
        <v/>
      </c>
    </row>
    <row r="160" spans="4:4" x14ac:dyDescent="0.25">
      <c r="D160" s="9" t="str">
        <f t="shared" si="2"/>
        <v/>
      </c>
    </row>
    <row r="161" spans="4:4" x14ac:dyDescent="0.25">
      <c r="D161" s="9" t="str">
        <f t="shared" si="2"/>
        <v/>
      </c>
    </row>
    <row r="162" spans="4:4" x14ac:dyDescent="0.25">
      <c r="D162" s="9" t="str">
        <f t="shared" si="2"/>
        <v/>
      </c>
    </row>
    <row r="163" spans="4:4" x14ac:dyDescent="0.25">
      <c r="D163" s="9" t="str">
        <f t="shared" si="2"/>
        <v/>
      </c>
    </row>
    <row r="164" spans="4:4" x14ac:dyDescent="0.25">
      <c r="D164" s="9" t="str">
        <f t="shared" si="2"/>
        <v/>
      </c>
    </row>
    <row r="165" spans="4:4" x14ac:dyDescent="0.25">
      <c r="D165" s="9" t="str">
        <f t="shared" ref="D165:D200" si="3">IF(C165&gt;0,IF(C165&gt;1985,"Never",C165+40),"")</f>
        <v/>
      </c>
    </row>
    <row r="166" spans="4:4" x14ac:dyDescent="0.25">
      <c r="D166" s="9" t="str">
        <f t="shared" si="3"/>
        <v/>
      </c>
    </row>
    <row r="167" spans="4:4" x14ac:dyDescent="0.25">
      <c r="D167" s="9" t="str">
        <f t="shared" si="3"/>
        <v/>
      </c>
    </row>
    <row r="168" spans="4:4" x14ac:dyDescent="0.25">
      <c r="D168" s="9" t="str">
        <f t="shared" si="3"/>
        <v/>
      </c>
    </row>
    <row r="169" spans="4:4" x14ac:dyDescent="0.25">
      <c r="D169" s="9" t="str">
        <f t="shared" si="3"/>
        <v/>
      </c>
    </row>
    <row r="170" spans="4:4" x14ac:dyDescent="0.25">
      <c r="D170" s="9" t="str">
        <f t="shared" si="3"/>
        <v/>
      </c>
    </row>
    <row r="171" spans="4:4" x14ac:dyDescent="0.25">
      <c r="D171" s="9" t="str">
        <f t="shared" si="3"/>
        <v/>
      </c>
    </row>
    <row r="172" spans="4:4" x14ac:dyDescent="0.25">
      <c r="D172" s="9" t="str">
        <f t="shared" si="3"/>
        <v/>
      </c>
    </row>
    <row r="173" spans="4:4" x14ac:dyDescent="0.25">
      <c r="D173" s="9" t="str">
        <f t="shared" si="3"/>
        <v/>
      </c>
    </row>
    <row r="174" spans="4:4" x14ac:dyDescent="0.25">
      <c r="D174" s="9" t="str">
        <f t="shared" si="3"/>
        <v/>
      </c>
    </row>
    <row r="175" spans="4:4" x14ac:dyDescent="0.25">
      <c r="D175" s="9" t="str">
        <f t="shared" si="3"/>
        <v/>
      </c>
    </row>
    <row r="176" spans="4:4" x14ac:dyDescent="0.25">
      <c r="D176" s="9" t="str">
        <f t="shared" si="3"/>
        <v/>
      </c>
    </row>
    <row r="177" spans="4:4" x14ac:dyDescent="0.25">
      <c r="D177" s="9" t="str">
        <f t="shared" si="3"/>
        <v/>
      </c>
    </row>
    <row r="178" spans="4:4" x14ac:dyDescent="0.25">
      <c r="D178" s="9" t="str">
        <f t="shared" si="3"/>
        <v/>
      </c>
    </row>
    <row r="179" spans="4:4" x14ac:dyDescent="0.25">
      <c r="D179" s="9" t="str">
        <f t="shared" si="3"/>
        <v/>
      </c>
    </row>
    <row r="180" spans="4:4" x14ac:dyDescent="0.25">
      <c r="D180" s="9" t="str">
        <f t="shared" si="3"/>
        <v/>
      </c>
    </row>
    <row r="181" spans="4:4" x14ac:dyDescent="0.25">
      <c r="D181" s="9" t="str">
        <f t="shared" si="3"/>
        <v/>
      </c>
    </row>
    <row r="182" spans="4:4" x14ac:dyDescent="0.25">
      <c r="D182" s="9" t="str">
        <f t="shared" si="3"/>
        <v/>
      </c>
    </row>
    <row r="183" spans="4:4" x14ac:dyDescent="0.25">
      <c r="D183" s="9" t="str">
        <f t="shared" si="3"/>
        <v/>
      </c>
    </row>
    <row r="184" spans="4:4" x14ac:dyDescent="0.25">
      <c r="D184" s="9" t="str">
        <f t="shared" si="3"/>
        <v/>
      </c>
    </row>
    <row r="185" spans="4:4" x14ac:dyDescent="0.25">
      <c r="D185" s="9" t="str">
        <f t="shared" si="3"/>
        <v/>
      </c>
    </row>
    <row r="186" spans="4:4" x14ac:dyDescent="0.25">
      <c r="D186" s="9" t="str">
        <f t="shared" si="3"/>
        <v/>
      </c>
    </row>
    <row r="187" spans="4:4" x14ac:dyDescent="0.25">
      <c r="D187" s="9" t="str">
        <f t="shared" si="3"/>
        <v/>
      </c>
    </row>
    <row r="188" spans="4:4" x14ac:dyDescent="0.25">
      <c r="D188" s="9" t="str">
        <f t="shared" si="3"/>
        <v/>
      </c>
    </row>
    <row r="189" spans="4:4" x14ac:dyDescent="0.25">
      <c r="D189" s="9" t="str">
        <f t="shared" si="3"/>
        <v/>
      </c>
    </row>
    <row r="190" spans="4:4" x14ac:dyDescent="0.25">
      <c r="D190" s="9" t="str">
        <f t="shared" si="3"/>
        <v/>
      </c>
    </row>
    <row r="191" spans="4:4" x14ac:dyDescent="0.25">
      <c r="D191" s="9" t="str">
        <f t="shared" si="3"/>
        <v/>
      </c>
    </row>
    <row r="192" spans="4:4" x14ac:dyDescent="0.25">
      <c r="D192" s="9" t="str">
        <f t="shared" si="3"/>
        <v/>
      </c>
    </row>
    <row r="193" spans="4:4" x14ac:dyDescent="0.25">
      <c r="D193" s="9" t="str">
        <f t="shared" si="3"/>
        <v/>
      </c>
    </row>
    <row r="194" spans="4:4" x14ac:dyDescent="0.25">
      <c r="D194" s="9" t="str">
        <f t="shared" si="3"/>
        <v/>
      </c>
    </row>
    <row r="195" spans="4:4" x14ac:dyDescent="0.25">
      <c r="D195" s="9" t="str">
        <f t="shared" si="3"/>
        <v/>
      </c>
    </row>
    <row r="196" spans="4:4" x14ac:dyDescent="0.25">
      <c r="D196" s="9" t="str">
        <f t="shared" si="3"/>
        <v/>
      </c>
    </row>
    <row r="197" spans="4:4" x14ac:dyDescent="0.25">
      <c r="D197" s="9" t="str">
        <f t="shared" si="3"/>
        <v/>
      </c>
    </row>
    <row r="198" spans="4:4" x14ac:dyDescent="0.25">
      <c r="D198" s="9" t="str">
        <f t="shared" si="3"/>
        <v/>
      </c>
    </row>
    <row r="199" spans="4:4" x14ac:dyDescent="0.25">
      <c r="D199" s="9" t="str">
        <f t="shared" si="3"/>
        <v/>
      </c>
    </row>
    <row r="200" spans="4:4" x14ac:dyDescent="0.25">
      <c r="D200" s="9" t="str">
        <f t="shared" si="3"/>
        <v/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010D-361C-4C6D-8BE7-6258846F6D94}">
  <dimension ref="A1:I58"/>
  <sheetViews>
    <sheetView workbookViewId="0">
      <pane ySplit="1" topLeftCell="A2" activePane="bottomLeft" state="frozen"/>
      <selection pane="bottomLeft" activeCell="D2" sqref="D2"/>
    </sheetView>
  </sheetViews>
  <sheetFormatPr defaultRowHeight="13.5" x14ac:dyDescent="0.25"/>
  <cols>
    <col min="1" max="1" width="19.42578125" style="16" bestFit="1" customWidth="1"/>
    <col min="2" max="2" width="11.85546875" style="4" bestFit="1" customWidth="1"/>
    <col min="3" max="3" width="10.42578125" style="4" bestFit="1" customWidth="1"/>
    <col min="4" max="4" width="12.85546875" style="4" bestFit="1" customWidth="1"/>
    <col min="5" max="5" width="36.140625" style="11" bestFit="1" customWidth="1"/>
    <col min="6" max="6" width="10.5703125" style="4" bestFit="1" customWidth="1"/>
    <col min="7" max="7" width="9.5703125" style="4" bestFit="1" customWidth="1"/>
    <col min="8" max="8" width="9.140625" style="4"/>
    <col min="9" max="9" width="16.42578125" style="16" bestFit="1" customWidth="1"/>
    <col min="10" max="16384" width="9.140625" style="4"/>
  </cols>
  <sheetData>
    <row r="1" spans="1:9" s="5" customFormat="1" ht="12.75" x14ac:dyDescent="0.25">
      <c r="A1" s="5" t="s">
        <v>19</v>
      </c>
      <c r="B1" s="5" t="s">
        <v>475</v>
      </c>
      <c r="C1" s="5" t="s">
        <v>476</v>
      </c>
      <c r="D1" s="5" t="s">
        <v>477</v>
      </c>
      <c r="E1" s="5" t="s">
        <v>478</v>
      </c>
      <c r="F1" s="5" t="s">
        <v>545</v>
      </c>
      <c r="G1" s="5" t="s">
        <v>544</v>
      </c>
      <c r="I1" s="5" t="s">
        <v>546</v>
      </c>
    </row>
    <row r="2" spans="1:9" x14ac:dyDescent="0.25">
      <c r="A2" s="16" t="s">
        <v>479</v>
      </c>
      <c r="B2" s="4">
        <v>9</v>
      </c>
      <c r="C2" s="4">
        <v>18</v>
      </c>
      <c r="D2" s="4">
        <v>18</v>
      </c>
      <c r="E2" s="11" t="s">
        <v>522</v>
      </c>
      <c r="F2" s="4">
        <v>72</v>
      </c>
      <c r="G2" s="4">
        <v>72</v>
      </c>
    </row>
    <row r="3" spans="1:9" x14ac:dyDescent="0.25">
      <c r="A3" s="16" t="s">
        <v>480</v>
      </c>
      <c r="B3" s="4">
        <v>14</v>
      </c>
      <c r="C3" s="4">
        <v>24</v>
      </c>
      <c r="D3" s="4">
        <v>24</v>
      </c>
      <c r="E3" s="11" t="s">
        <v>523</v>
      </c>
      <c r="F3" s="4">
        <v>96</v>
      </c>
      <c r="G3" s="4">
        <v>96</v>
      </c>
    </row>
    <row r="4" spans="1:9" x14ac:dyDescent="0.25">
      <c r="A4" s="16" t="s">
        <v>481</v>
      </c>
      <c r="B4" s="4">
        <v>20</v>
      </c>
      <c r="C4" s="4">
        <v>30</v>
      </c>
      <c r="D4" s="4">
        <v>30</v>
      </c>
      <c r="E4" s="11" t="s">
        <v>481</v>
      </c>
      <c r="F4" s="4">
        <v>112</v>
      </c>
      <c r="G4" s="4">
        <v>112</v>
      </c>
    </row>
    <row r="5" spans="1:9" x14ac:dyDescent="0.25">
      <c r="A5" s="16" t="s">
        <v>482</v>
      </c>
      <c r="B5" s="4">
        <v>30</v>
      </c>
      <c r="C5" s="4">
        <v>42</v>
      </c>
      <c r="D5" s="4">
        <v>42</v>
      </c>
      <c r="E5" s="11" t="s">
        <v>482</v>
      </c>
      <c r="F5" s="4">
        <v>128</v>
      </c>
      <c r="G5" s="4">
        <v>128</v>
      </c>
    </row>
    <row r="6" spans="1:9" x14ac:dyDescent="0.25">
      <c r="A6" s="16" t="s">
        <v>482</v>
      </c>
      <c r="B6" s="4">
        <v>30</v>
      </c>
      <c r="C6" s="4">
        <v>42</v>
      </c>
      <c r="D6" s="4">
        <v>30</v>
      </c>
      <c r="E6" s="11" t="s">
        <v>524</v>
      </c>
      <c r="F6" s="4">
        <v>128</v>
      </c>
      <c r="G6" s="4">
        <v>128</v>
      </c>
    </row>
    <row r="7" spans="1:9" x14ac:dyDescent="0.25">
      <c r="A7" s="16" t="s">
        <v>483</v>
      </c>
      <c r="B7" s="4">
        <v>30</v>
      </c>
      <c r="C7" s="4">
        <v>45</v>
      </c>
      <c r="D7" s="4">
        <v>45</v>
      </c>
      <c r="E7" s="11" t="s">
        <v>525</v>
      </c>
      <c r="F7" s="4">
        <v>193</v>
      </c>
      <c r="G7" s="4">
        <v>193</v>
      </c>
    </row>
    <row r="8" spans="1:9" x14ac:dyDescent="0.25">
      <c r="A8" s="16" t="s">
        <v>484</v>
      </c>
      <c r="B8" s="4">
        <v>35</v>
      </c>
      <c r="C8" s="4">
        <v>48</v>
      </c>
      <c r="D8" s="4">
        <v>48</v>
      </c>
      <c r="E8" s="11" t="s">
        <v>479</v>
      </c>
      <c r="F8" s="4">
        <v>160</v>
      </c>
      <c r="G8" s="4">
        <v>160</v>
      </c>
    </row>
    <row r="9" spans="1:9" x14ac:dyDescent="0.25">
      <c r="A9" s="16" t="s">
        <v>484</v>
      </c>
      <c r="B9" s="4">
        <v>35</v>
      </c>
      <c r="C9" s="4">
        <v>48</v>
      </c>
      <c r="D9" s="4">
        <v>40</v>
      </c>
      <c r="E9" s="11" t="s">
        <v>526</v>
      </c>
      <c r="F9" s="4">
        <v>160</v>
      </c>
      <c r="G9" s="4">
        <v>160</v>
      </c>
    </row>
    <row r="10" spans="1:9" x14ac:dyDescent="0.25">
      <c r="A10" s="16" t="s">
        <v>484</v>
      </c>
      <c r="B10" s="4">
        <v>35</v>
      </c>
      <c r="C10" s="4">
        <v>54</v>
      </c>
      <c r="D10" s="4">
        <v>54</v>
      </c>
      <c r="E10" s="11" t="s">
        <v>527</v>
      </c>
      <c r="F10" s="4">
        <v>160</v>
      </c>
      <c r="G10" s="4">
        <v>160</v>
      </c>
    </row>
    <row r="11" spans="1:9" x14ac:dyDescent="0.25">
      <c r="A11" s="16" t="s">
        <v>484</v>
      </c>
      <c r="B11" s="4">
        <v>35</v>
      </c>
      <c r="C11" s="4">
        <v>57</v>
      </c>
      <c r="D11" s="4">
        <v>57</v>
      </c>
      <c r="E11" s="11" t="s">
        <v>528</v>
      </c>
      <c r="F11" s="4">
        <v>160</v>
      </c>
      <c r="G11" s="4">
        <v>160</v>
      </c>
    </row>
    <row r="12" spans="1:9" x14ac:dyDescent="0.25">
      <c r="A12" s="16" t="s">
        <v>485</v>
      </c>
      <c r="B12" s="4">
        <v>35</v>
      </c>
      <c r="C12" s="4">
        <v>72</v>
      </c>
      <c r="D12" s="4">
        <v>72</v>
      </c>
      <c r="E12" s="11" t="s">
        <v>529</v>
      </c>
      <c r="F12" s="4">
        <v>225</v>
      </c>
      <c r="G12" s="4">
        <v>225</v>
      </c>
    </row>
    <row r="14" spans="1:9" x14ac:dyDescent="0.25">
      <c r="A14" s="16" t="s">
        <v>486</v>
      </c>
      <c r="B14" s="4">
        <v>20</v>
      </c>
      <c r="C14" s="4">
        <v>30</v>
      </c>
      <c r="D14" s="4">
        <v>30</v>
      </c>
      <c r="E14" s="11" t="s">
        <v>486</v>
      </c>
      <c r="F14" s="4">
        <v>112</v>
      </c>
      <c r="G14" s="4">
        <v>112</v>
      </c>
    </row>
    <row r="15" spans="1:9" x14ac:dyDescent="0.25">
      <c r="A15" s="16" t="s">
        <v>487</v>
      </c>
      <c r="B15" s="4">
        <v>20</v>
      </c>
      <c r="C15" s="4">
        <v>30</v>
      </c>
      <c r="D15" s="4">
        <v>24</v>
      </c>
      <c r="E15" s="11" t="s">
        <v>531</v>
      </c>
      <c r="F15" s="4">
        <v>120</v>
      </c>
      <c r="G15" s="4">
        <v>120</v>
      </c>
    </row>
    <row r="16" spans="1:9" x14ac:dyDescent="0.25">
      <c r="A16" s="16" t="s">
        <v>488</v>
      </c>
      <c r="B16" s="4">
        <v>30</v>
      </c>
      <c r="C16" s="4">
        <v>60</v>
      </c>
      <c r="D16" s="4">
        <v>60</v>
      </c>
      <c r="E16" s="11" t="s">
        <v>488</v>
      </c>
      <c r="F16" s="4">
        <v>120</v>
      </c>
      <c r="G16" s="4">
        <v>120</v>
      </c>
    </row>
    <row r="17" spans="1:9" x14ac:dyDescent="0.25">
      <c r="A17" s="16" t="s">
        <v>489</v>
      </c>
      <c r="B17" s="4">
        <v>30</v>
      </c>
      <c r="C17" s="4">
        <v>78</v>
      </c>
      <c r="D17" s="4">
        <v>78</v>
      </c>
      <c r="E17" s="11" t="s">
        <v>532</v>
      </c>
      <c r="F17" s="4">
        <v>160</v>
      </c>
      <c r="G17" s="4">
        <v>225</v>
      </c>
      <c r="I17" s="16" t="s">
        <v>554</v>
      </c>
    </row>
    <row r="18" spans="1:9" x14ac:dyDescent="0.25">
      <c r="A18" s="16" t="s">
        <v>490</v>
      </c>
      <c r="B18" s="4">
        <v>30</v>
      </c>
      <c r="C18" s="4" t="s">
        <v>530</v>
      </c>
      <c r="D18" s="4">
        <v>65</v>
      </c>
      <c r="E18" s="11" t="s">
        <v>490</v>
      </c>
      <c r="F18" s="4">
        <v>160</v>
      </c>
      <c r="G18" s="4">
        <v>160</v>
      </c>
    </row>
    <row r="20" spans="1:9" x14ac:dyDescent="0.25">
      <c r="A20" s="16" t="s">
        <v>491</v>
      </c>
      <c r="B20" s="4">
        <v>6</v>
      </c>
      <c r="C20" s="4">
        <v>12</v>
      </c>
      <c r="D20" s="4">
        <v>12</v>
      </c>
      <c r="E20" s="11" t="s">
        <v>491</v>
      </c>
      <c r="F20" s="4">
        <v>56</v>
      </c>
      <c r="G20" s="4">
        <v>56</v>
      </c>
    </row>
    <row r="21" spans="1:9" x14ac:dyDescent="0.25">
      <c r="A21" s="16" t="s">
        <v>492</v>
      </c>
      <c r="B21" s="4">
        <v>10</v>
      </c>
      <c r="C21" s="4">
        <v>21</v>
      </c>
      <c r="D21" s="4">
        <v>21</v>
      </c>
      <c r="E21" s="11" t="s">
        <v>492</v>
      </c>
      <c r="F21" s="4">
        <v>64</v>
      </c>
      <c r="G21" s="4">
        <v>64</v>
      </c>
    </row>
    <row r="22" spans="1:9" x14ac:dyDescent="0.25">
      <c r="A22" s="16" t="s">
        <v>493</v>
      </c>
      <c r="B22" s="4">
        <v>14</v>
      </c>
      <c r="C22" s="4">
        <v>27</v>
      </c>
      <c r="D22" s="4">
        <v>30</v>
      </c>
      <c r="E22" s="11" t="s">
        <v>493</v>
      </c>
      <c r="F22" s="4">
        <v>80</v>
      </c>
      <c r="G22" s="4">
        <v>80</v>
      </c>
    </row>
    <row r="23" spans="1:9" x14ac:dyDescent="0.25">
      <c r="A23" s="16" t="s">
        <v>494</v>
      </c>
      <c r="B23" s="4">
        <v>20</v>
      </c>
      <c r="C23" s="4">
        <v>78</v>
      </c>
      <c r="D23" s="4">
        <v>75</v>
      </c>
      <c r="E23" s="11" t="s">
        <v>543</v>
      </c>
      <c r="F23" s="4">
        <v>80</v>
      </c>
      <c r="G23" s="4">
        <v>80</v>
      </c>
    </row>
    <row r="24" spans="1:9" x14ac:dyDescent="0.25">
      <c r="A24" s="16" t="s">
        <v>495</v>
      </c>
      <c r="B24" s="4">
        <v>20</v>
      </c>
      <c r="C24" s="4">
        <v>45</v>
      </c>
      <c r="D24" s="4">
        <v>45</v>
      </c>
      <c r="E24" s="11" t="s">
        <v>541</v>
      </c>
      <c r="F24" s="4">
        <v>104</v>
      </c>
      <c r="G24" s="4">
        <v>104</v>
      </c>
    </row>
    <row r="25" spans="1:9" x14ac:dyDescent="0.25">
      <c r="A25" s="16" t="s">
        <v>496</v>
      </c>
      <c r="B25" s="4">
        <v>16</v>
      </c>
      <c r="C25" s="4">
        <v>33</v>
      </c>
      <c r="D25" s="4">
        <v>35</v>
      </c>
      <c r="E25" s="11" t="s">
        <v>542</v>
      </c>
      <c r="F25" s="4">
        <v>104</v>
      </c>
      <c r="G25" s="4">
        <v>104</v>
      </c>
    </row>
    <row r="26" spans="1:9" x14ac:dyDescent="0.25">
      <c r="A26" s="16" t="s">
        <v>521</v>
      </c>
      <c r="B26" s="4">
        <v>20</v>
      </c>
      <c r="C26" s="4">
        <v>45</v>
      </c>
      <c r="D26" s="4">
        <v>45</v>
      </c>
      <c r="E26" s="11" t="s">
        <v>521</v>
      </c>
      <c r="F26" s="4">
        <v>96</v>
      </c>
      <c r="G26" s="4">
        <v>96</v>
      </c>
      <c r="I26" s="16" t="s">
        <v>547</v>
      </c>
    </row>
    <row r="27" spans="1:9" x14ac:dyDescent="0.25">
      <c r="A27" s="16" t="s">
        <v>497</v>
      </c>
      <c r="B27" s="4">
        <v>25</v>
      </c>
      <c r="C27" s="4">
        <v>78</v>
      </c>
      <c r="D27" s="4">
        <v>75</v>
      </c>
      <c r="E27" s="11" t="s">
        <v>497</v>
      </c>
      <c r="F27" s="4">
        <v>112</v>
      </c>
      <c r="G27" s="4">
        <v>96</v>
      </c>
    </row>
    <row r="29" spans="1:9" x14ac:dyDescent="0.25">
      <c r="A29" s="16" t="s">
        <v>498</v>
      </c>
      <c r="B29" s="4">
        <v>10</v>
      </c>
      <c r="C29" s="4">
        <v>12</v>
      </c>
      <c r="D29" s="4">
        <v>12</v>
      </c>
      <c r="E29" s="11" t="s">
        <v>533</v>
      </c>
      <c r="F29" s="4">
        <v>80</v>
      </c>
      <c r="G29" s="4">
        <v>72</v>
      </c>
      <c r="I29" s="16" t="s">
        <v>553</v>
      </c>
    </row>
    <row r="30" spans="1:9" x14ac:dyDescent="0.25">
      <c r="A30" s="16" t="s">
        <v>498</v>
      </c>
      <c r="B30" s="4">
        <v>14</v>
      </c>
      <c r="C30" s="4">
        <v>21</v>
      </c>
      <c r="D30" s="4">
        <v>21</v>
      </c>
      <c r="E30" s="11" t="s">
        <v>498</v>
      </c>
      <c r="F30" s="4">
        <v>88</v>
      </c>
      <c r="G30" s="4">
        <v>88</v>
      </c>
      <c r="I30" s="16" t="s">
        <v>553</v>
      </c>
    </row>
    <row r="31" spans="1:9" x14ac:dyDescent="0.25">
      <c r="A31" s="16" t="s">
        <v>499</v>
      </c>
      <c r="B31" s="4">
        <v>15</v>
      </c>
      <c r="C31" s="4">
        <v>27</v>
      </c>
      <c r="D31" s="4">
        <v>30</v>
      </c>
      <c r="E31" s="11" t="s">
        <v>499</v>
      </c>
      <c r="F31" s="4">
        <v>96</v>
      </c>
      <c r="G31" s="4">
        <v>96</v>
      </c>
    </row>
    <row r="32" spans="1:9" x14ac:dyDescent="0.25">
      <c r="A32" s="16" t="s">
        <v>500</v>
      </c>
      <c r="B32" s="4">
        <v>16</v>
      </c>
      <c r="C32" s="4">
        <v>33</v>
      </c>
      <c r="D32" s="4">
        <v>40</v>
      </c>
      <c r="E32" s="11" t="s">
        <v>500</v>
      </c>
      <c r="F32" s="4">
        <v>120</v>
      </c>
      <c r="G32" s="4">
        <v>120</v>
      </c>
    </row>
    <row r="33" spans="1:9" x14ac:dyDescent="0.25">
      <c r="A33" s="16" t="s">
        <v>501</v>
      </c>
      <c r="B33" s="4">
        <v>26</v>
      </c>
      <c r="C33" s="4">
        <v>78</v>
      </c>
      <c r="D33" s="4">
        <v>75</v>
      </c>
      <c r="E33" s="11" t="s">
        <v>501</v>
      </c>
      <c r="F33" s="4">
        <v>144</v>
      </c>
      <c r="G33" s="4">
        <v>144</v>
      </c>
    </row>
    <row r="35" spans="1:9" x14ac:dyDescent="0.25">
      <c r="A35" s="16" t="s">
        <v>502</v>
      </c>
      <c r="B35" s="4">
        <v>5</v>
      </c>
      <c r="C35" s="4">
        <v>18</v>
      </c>
      <c r="D35" s="4">
        <v>18</v>
      </c>
      <c r="E35" s="11" t="s">
        <v>502</v>
      </c>
      <c r="F35" s="4">
        <v>56</v>
      </c>
      <c r="G35" s="4">
        <v>56</v>
      </c>
    </row>
    <row r="36" spans="1:9" x14ac:dyDescent="0.25">
      <c r="A36" s="16" t="s">
        <v>503</v>
      </c>
      <c r="B36" s="4">
        <v>12</v>
      </c>
      <c r="C36" s="4">
        <v>24</v>
      </c>
      <c r="D36" s="4">
        <v>24</v>
      </c>
      <c r="E36" s="11" t="s">
        <v>503</v>
      </c>
      <c r="F36" s="4">
        <v>72</v>
      </c>
      <c r="G36" s="4">
        <v>72</v>
      </c>
    </row>
    <row r="37" spans="1:9" x14ac:dyDescent="0.25">
      <c r="A37" s="16" t="s">
        <v>504</v>
      </c>
      <c r="B37" s="4">
        <v>20</v>
      </c>
      <c r="C37" s="4">
        <v>57</v>
      </c>
      <c r="D37" s="4">
        <v>57</v>
      </c>
      <c r="E37" s="11" t="s">
        <v>504</v>
      </c>
      <c r="F37" s="4">
        <v>88</v>
      </c>
      <c r="G37" s="4">
        <v>88</v>
      </c>
    </row>
    <row r="38" spans="1:9" x14ac:dyDescent="0.25">
      <c r="A38" s="16" t="s">
        <v>505</v>
      </c>
      <c r="B38" s="4">
        <v>20</v>
      </c>
      <c r="C38" s="4">
        <v>42</v>
      </c>
      <c r="D38" s="4">
        <v>42</v>
      </c>
      <c r="E38" s="11" t="s">
        <v>534</v>
      </c>
      <c r="F38" s="4">
        <v>104</v>
      </c>
      <c r="G38" s="4">
        <v>104</v>
      </c>
    </row>
    <row r="39" spans="1:9" x14ac:dyDescent="0.25">
      <c r="A39" s="16" t="s">
        <v>506</v>
      </c>
      <c r="B39" s="4">
        <v>12</v>
      </c>
      <c r="D39" s="4">
        <v>40</v>
      </c>
      <c r="E39" s="11" t="s">
        <v>506</v>
      </c>
      <c r="F39" s="4">
        <v>144</v>
      </c>
      <c r="G39" s="4">
        <v>144</v>
      </c>
      <c r="I39" s="16" t="s">
        <v>552</v>
      </c>
    </row>
    <row r="40" spans="1:9" x14ac:dyDescent="0.25">
      <c r="A40" s="16" t="s">
        <v>507</v>
      </c>
      <c r="B40" s="4">
        <v>25</v>
      </c>
      <c r="C40" s="4">
        <v>60</v>
      </c>
      <c r="D40" s="4">
        <v>60</v>
      </c>
      <c r="E40" s="11" t="s">
        <v>535</v>
      </c>
      <c r="F40" s="4">
        <v>144</v>
      </c>
      <c r="G40" s="4">
        <v>144</v>
      </c>
    </row>
    <row r="41" spans="1:9" x14ac:dyDescent="0.25">
      <c r="A41" s="16" t="s">
        <v>508</v>
      </c>
      <c r="B41" s="4">
        <v>20</v>
      </c>
      <c r="C41" s="4">
        <v>45</v>
      </c>
      <c r="D41" s="4">
        <v>45</v>
      </c>
      <c r="E41" s="11" t="s">
        <v>508</v>
      </c>
      <c r="F41" s="4">
        <v>112</v>
      </c>
      <c r="G41" s="4">
        <v>112</v>
      </c>
      <c r="I41" s="16" t="s">
        <v>548</v>
      </c>
    </row>
    <row r="42" spans="1:9" x14ac:dyDescent="0.25">
      <c r="A42" s="16" t="s">
        <v>509</v>
      </c>
      <c r="B42" s="4">
        <v>24</v>
      </c>
      <c r="C42" s="4">
        <v>78</v>
      </c>
      <c r="D42" s="4">
        <v>78</v>
      </c>
      <c r="E42" s="11" t="s">
        <v>509</v>
      </c>
      <c r="F42" s="4">
        <v>112</v>
      </c>
      <c r="G42" s="4">
        <v>112</v>
      </c>
      <c r="I42" s="16" t="s">
        <v>549</v>
      </c>
    </row>
    <row r="44" spans="1:9" x14ac:dyDescent="0.25">
      <c r="A44" s="16" t="s">
        <v>510</v>
      </c>
      <c r="B44" s="4">
        <v>9</v>
      </c>
      <c r="C44" s="4">
        <v>15</v>
      </c>
      <c r="D44" s="4">
        <v>15</v>
      </c>
      <c r="E44" s="11" t="s">
        <v>510</v>
      </c>
      <c r="F44" s="4">
        <v>56</v>
      </c>
      <c r="G44" s="4">
        <v>56</v>
      </c>
    </row>
    <row r="45" spans="1:9" x14ac:dyDescent="0.25">
      <c r="A45" s="16" t="s">
        <v>511</v>
      </c>
      <c r="B45" s="4">
        <v>12</v>
      </c>
      <c r="C45" s="4">
        <v>27</v>
      </c>
      <c r="D45" s="4">
        <v>27</v>
      </c>
      <c r="E45" s="11" t="s">
        <v>511</v>
      </c>
      <c r="F45" s="4">
        <v>88</v>
      </c>
      <c r="G45" s="4">
        <v>88</v>
      </c>
    </row>
    <row r="46" spans="1:9" x14ac:dyDescent="0.25">
      <c r="A46" s="16" t="s">
        <v>512</v>
      </c>
      <c r="B46" s="4">
        <v>16</v>
      </c>
      <c r="C46" s="4">
        <v>33</v>
      </c>
      <c r="D46" s="4">
        <v>33</v>
      </c>
      <c r="E46" s="11" t="s">
        <v>512</v>
      </c>
      <c r="F46" s="4">
        <v>120</v>
      </c>
      <c r="G46" s="4">
        <v>120</v>
      </c>
    </row>
    <row r="47" spans="1:9" x14ac:dyDescent="0.25">
      <c r="A47" s="16" t="s">
        <v>513</v>
      </c>
      <c r="B47" s="4">
        <v>28</v>
      </c>
      <c r="C47" s="4">
        <v>78</v>
      </c>
      <c r="D47" s="4">
        <v>78</v>
      </c>
      <c r="E47" s="11" t="s">
        <v>536</v>
      </c>
      <c r="F47" s="4">
        <v>128</v>
      </c>
      <c r="G47" s="4">
        <v>128</v>
      </c>
    </row>
    <row r="49" spans="1:9" x14ac:dyDescent="0.25">
      <c r="A49" s="16" t="s">
        <v>514</v>
      </c>
      <c r="B49" s="4">
        <v>10</v>
      </c>
      <c r="C49" s="4">
        <v>24</v>
      </c>
      <c r="D49" s="4">
        <v>24</v>
      </c>
      <c r="E49" s="11" t="s">
        <v>514</v>
      </c>
      <c r="F49" s="4">
        <v>72</v>
      </c>
      <c r="G49" s="4">
        <v>72</v>
      </c>
    </row>
    <row r="50" spans="1:9" x14ac:dyDescent="0.25">
      <c r="A50" s="16" t="s">
        <v>515</v>
      </c>
      <c r="B50" s="4">
        <v>10</v>
      </c>
      <c r="C50" s="4">
        <v>24</v>
      </c>
      <c r="D50" s="4">
        <v>18</v>
      </c>
      <c r="E50" s="11" t="s">
        <v>537</v>
      </c>
      <c r="F50" s="4">
        <v>88</v>
      </c>
      <c r="G50" s="4">
        <v>88</v>
      </c>
    </row>
    <row r="51" spans="1:9" x14ac:dyDescent="0.25">
      <c r="A51" s="16" t="s">
        <v>516</v>
      </c>
      <c r="B51" s="4">
        <v>18</v>
      </c>
      <c r="C51" s="4">
        <v>39</v>
      </c>
      <c r="D51" s="4">
        <v>39</v>
      </c>
      <c r="E51" s="11" t="s">
        <v>538</v>
      </c>
      <c r="F51" s="4">
        <v>112</v>
      </c>
      <c r="G51" s="4">
        <v>144</v>
      </c>
    </row>
    <row r="52" spans="1:9" x14ac:dyDescent="0.25">
      <c r="A52" s="16" t="s">
        <v>517</v>
      </c>
      <c r="B52" s="4">
        <v>18</v>
      </c>
      <c r="C52" s="4">
        <v>39</v>
      </c>
      <c r="D52" s="4">
        <v>39</v>
      </c>
      <c r="E52" s="11" t="s">
        <v>517</v>
      </c>
      <c r="F52" s="4">
        <v>112</v>
      </c>
      <c r="G52" s="4">
        <v>144</v>
      </c>
    </row>
    <row r="53" spans="1:9" x14ac:dyDescent="0.25">
      <c r="A53" s="16" t="s">
        <v>518</v>
      </c>
      <c r="B53" s="4">
        <v>22</v>
      </c>
      <c r="C53" s="4">
        <v>45</v>
      </c>
      <c r="D53" s="4">
        <v>45</v>
      </c>
      <c r="E53" s="11" t="s">
        <v>518</v>
      </c>
      <c r="F53" s="4">
        <v>96</v>
      </c>
      <c r="G53" s="4">
        <v>96</v>
      </c>
      <c r="I53" s="16" t="s">
        <v>550</v>
      </c>
    </row>
    <row r="54" spans="1:9" x14ac:dyDescent="0.25">
      <c r="A54" s="16" t="s">
        <v>519</v>
      </c>
      <c r="B54" s="4">
        <v>27</v>
      </c>
      <c r="C54" s="4">
        <v>78</v>
      </c>
      <c r="D54" s="4">
        <v>78</v>
      </c>
      <c r="E54" s="11" t="s">
        <v>519</v>
      </c>
      <c r="F54" s="4">
        <v>104</v>
      </c>
      <c r="G54" s="4">
        <v>104</v>
      </c>
    </row>
    <row r="55" spans="1:9" x14ac:dyDescent="0.25">
      <c r="A55" s="16" t="s">
        <v>520</v>
      </c>
      <c r="B55" s="4">
        <v>8</v>
      </c>
      <c r="C55" s="4">
        <v>18</v>
      </c>
      <c r="D55" s="4">
        <v>18</v>
      </c>
      <c r="E55" s="11" t="s">
        <v>520</v>
      </c>
      <c r="F55" s="4">
        <v>72</v>
      </c>
      <c r="G55" s="4">
        <v>72</v>
      </c>
      <c r="I55" s="16" t="s">
        <v>551</v>
      </c>
    </row>
    <row r="57" spans="1:9" x14ac:dyDescent="0.25">
      <c r="A57" s="16" t="s">
        <v>520</v>
      </c>
      <c r="B57" s="4">
        <v>8</v>
      </c>
      <c r="C57" s="4">
        <v>39</v>
      </c>
      <c r="D57" s="4">
        <v>40</v>
      </c>
      <c r="E57" s="11" t="s">
        <v>539</v>
      </c>
      <c r="F57" s="4">
        <v>72</v>
      </c>
      <c r="G57" s="4">
        <v>96</v>
      </c>
      <c r="I57" s="16" t="s">
        <v>551</v>
      </c>
    </row>
    <row r="58" spans="1:9" x14ac:dyDescent="0.25">
      <c r="A58" s="16" t="s">
        <v>514</v>
      </c>
      <c r="B58" s="4">
        <v>10</v>
      </c>
      <c r="C58" s="4">
        <v>27</v>
      </c>
      <c r="D58" s="4">
        <v>27</v>
      </c>
      <c r="E58" s="11" t="s">
        <v>540</v>
      </c>
      <c r="F58" s="4">
        <v>88</v>
      </c>
      <c r="G58" s="4">
        <v>112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70E7-AC93-4953-8916-74E202CA976B}">
  <dimension ref="A1:E256"/>
  <sheetViews>
    <sheetView workbookViewId="0">
      <selection activeCell="A2" sqref="A2"/>
    </sheetView>
  </sheetViews>
  <sheetFormatPr defaultRowHeight="15" x14ac:dyDescent="0.25"/>
  <cols>
    <col min="1" max="1" width="6.5703125" style="39" bestFit="1" customWidth="1"/>
    <col min="2" max="2" width="10.7109375" style="39" bestFit="1" customWidth="1"/>
    <col min="3" max="3" width="9.140625" style="39"/>
    <col min="4" max="4" width="6.5703125" style="39" bestFit="1" customWidth="1"/>
    <col min="5" max="5" width="10.7109375" style="39" bestFit="1" customWidth="1"/>
    <col min="6" max="16384" width="9.140625" style="39"/>
  </cols>
  <sheetData>
    <row r="1" spans="1:5" x14ac:dyDescent="0.25">
      <c r="A1" s="38" t="s">
        <v>317</v>
      </c>
      <c r="B1" s="38" t="s">
        <v>318</v>
      </c>
      <c r="D1" s="38" t="s">
        <v>317</v>
      </c>
      <c r="E1" s="38" t="s">
        <v>318</v>
      </c>
    </row>
    <row r="2" spans="1:5" x14ac:dyDescent="0.25">
      <c r="A2" s="40">
        <f t="shared" ref="A2:A65" si="0">ROUNDDOWN((1494/255)*B2,0)</f>
        <v>5</v>
      </c>
      <c r="B2" s="39">
        <v>1</v>
      </c>
      <c r="D2" s="40">
        <f t="shared" ref="D2:D65" si="1">ROUNDDOWN((5929/255)*E2,0)</f>
        <v>23</v>
      </c>
      <c r="E2" s="39">
        <v>1</v>
      </c>
    </row>
    <row r="3" spans="1:5" x14ac:dyDescent="0.25">
      <c r="A3" s="40">
        <f t="shared" si="0"/>
        <v>11</v>
      </c>
      <c r="B3" s="39">
        <v>2</v>
      </c>
      <c r="D3" s="40">
        <f t="shared" si="1"/>
        <v>46</v>
      </c>
      <c r="E3" s="39">
        <v>2</v>
      </c>
    </row>
    <row r="4" spans="1:5" x14ac:dyDescent="0.25">
      <c r="A4" s="40">
        <f t="shared" si="0"/>
        <v>17</v>
      </c>
      <c r="B4" s="39">
        <v>3</v>
      </c>
      <c r="D4" s="40">
        <f t="shared" si="1"/>
        <v>69</v>
      </c>
      <c r="E4" s="39">
        <v>3</v>
      </c>
    </row>
    <row r="5" spans="1:5" x14ac:dyDescent="0.25">
      <c r="A5" s="40">
        <f t="shared" si="0"/>
        <v>23</v>
      </c>
      <c r="B5" s="39">
        <v>4</v>
      </c>
      <c r="D5" s="40">
        <f t="shared" si="1"/>
        <v>93</v>
      </c>
      <c r="E5" s="39">
        <v>4</v>
      </c>
    </row>
    <row r="6" spans="1:5" x14ac:dyDescent="0.25">
      <c r="A6" s="40">
        <f t="shared" si="0"/>
        <v>29</v>
      </c>
      <c r="B6" s="39">
        <v>5</v>
      </c>
      <c r="D6" s="40">
        <f t="shared" si="1"/>
        <v>116</v>
      </c>
      <c r="E6" s="39">
        <v>5</v>
      </c>
    </row>
    <row r="7" spans="1:5" x14ac:dyDescent="0.25">
      <c r="A7" s="40">
        <f t="shared" si="0"/>
        <v>35</v>
      </c>
      <c r="B7" s="39">
        <v>6</v>
      </c>
      <c r="D7" s="40">
        <f t="shared" si="1"/>
        <v>139</v>
      </c>
      <c r="E7" s="39">
        <v>6</v>
      </c>
    </row>
    <row r="8" spans="1:5" x14ac:dyDescent="0.25">
      <c r="A8" s="40">
        <f t="shared" si="0"/>
        <v>41</v>
      </c>
      <c r="B8" s="39">
        <v>7</v>
      </c>
      <c r="D8" s="40">
        <f t="shared" si="1"/>
        <v>162</v>
      </c>
      <c r="E8" s="39">
        <v>7</v>
      </c>
    </row>
    <row r="9" spans="1:5" x14ac:dyDescent="0.25">
      <c r="A9" s="40">
        <f t="shared" si="0"/>
        <v>46</v>
      </c>
      <c r="B9" s="39">
        <v>8</v>
      </c>
      <c r="D9" s="40">
        <f t="shared" si="1"/>
        <v>186</v>
      </c>
      <c r="E9" s="39">
        <v>8</v>
      </c>
    </row>
    <row r="10" spans="1:5" x14ac:dyDescent="0.25">
      <c r="A10" s="40">
        <f t="shared" si="0"/>
        <v>52</v>
      </c>
      <c r="B10" s="39">
        <v>9</v>
      </c>
      <c r="D10" s="40">
        <f t="shared" si="1"/>
        <v>209</v>
      </c>
      <c r="E10" s="39">
        <v>9</v>
      </c>
    </row>
    <row r="11" spans="1:5" x14ac:dyDescent="0.25">
      <c r="A11" s="40">
        <f t="shared" si="0"/>
        <v>58</v>
      </c>
      <c r="B11" s="39">
        <v>10</v>
      </c>
      <c r="D11" s="40">
        <f t="shared" si="1"/>
        <v>232</v>
      </c>
      <c r="E11" s="39">
        <v>10</v>
      </c>
    </row>
    <row r="12" spans="1:5" x14ac:dyDescent="0.25">
      <c r="A12" s="40">
        <f t="shared" si="0"/>
        <v>64</v>
      </c>
      <c r="B12" s="39">
        <v>11</v>
      </c>
      <c r="D12" s="40">
        <f t="shared" si="1"/>
        <v>255</v>
      </c>
      <c r="E12" s="39">
        <v>11</v>
      </c>
    </row>
    <row r="13" spans="1:5" x14ac:dyDescent="0.25">
      <c r="A13" s="40">
        <f t="shared" si="0"/>
        <v>70</v>
      </c>
      <c r="B13" s="39">
        <v>12</v>
      </c>
      <c r="D13" s="40">
        <f t="shared" si="1"/>
        <v>279</v>
      </c>
      <c r="E13" s="39">
        <v>12</v>
      </c>
    </row>
    <row r="14" spans="1:5" x14ac:dyDescent="0.25">
      <c r="A14" s="40">
        <f t="shared" si="0"/>
        <v>76</v>
      </c>
      <c r="B14" s="39">
        <v>13</v>
      </c>
      <c r="D14" s="40">
        <f t="shared" si="1"/>
        <v>302</v>
      </c>
      <c r="E14" s="39">
        <v>13</v>
      </c>
    </row>
    <row r="15" spans="1:5" x14ac:dyDescent="0.25">
      <c r="A15" s="40">
        <f t="shared" si="0"/>
        <v>82</v>
      </c>
      <c r="B15" s="39">
        <v>14</v>
      </c>
      <c r="D15" s="40">
        <f t="shared" si="1"/>
        <v>325</v>
      </c>
      <c r="E15" s="39">
        <v>14</v>
      </c>
    </row>
    <row r="16" spans="1:5" x14ac:dyDescent="0.25">
      <c r="A16" s="40">
        <f t="shared" si="0"/>
        <v>87</v>
      </c>
      <c r="B16" s="39">
        <v>15</v>
      </c>
      <c r="D16" s="40">
        <f t="shared" si="1"/>
        <v>348</v>
      </c>
      <c r="E16" s="39">
        <v>15</v>
      </c>
    </row>
    <row r="17" spans="1:5" x14ac:dyDescent="0.25">
      <c r="A17" s="40">
        <f t="shared" si="0"/>
        <v>93</v>
      </c>
      <c r="B17" s="39">
        <v>16</v>
      </c>
      <c r="D17" s="40">
        <f t="shared" si="1"/>
        <v>372</v>
      </c>
      <c r="E17" s="39">
        <v>16</v>
      </c>
    </row>
    <row r="18" spans="1:5" x14ac:dyDescent="0.25">
      <c r="A18" s="40">
        <f t="shared" si="0"/>
        <v>99</v>
      </c>
      <c r="B18" s="39">
        <v>17</v>
      </c>
      <c r="D18" s="40">
        <f t="shared" si="1"/>
        <v>395</v>
      </c>
      <c r="E18" s="39">
        <v>17</v>
      </c>
    </row>
    <row r="19" spans="1:5" x14ac:dyDescent="0.25">
      <c r="A19" s="40">
        <f t="shared" si="0"/>
        <v>105</v>
      </c>
      <c r="B19" s="39">
        <v>18</v>
      </c>
      <c r="D19" s="40">
        <f t="shared" si="1"/>
        <v>418</v>
      </c>
      <c r="E19" s="39">
        <v>18</v>
      </c>
    </row>
    <row r="20" spans="1:5" x14ac:dyDescent="0.25">
      <c r="A20" s="40">
        <f t="shared" si="0"/>
        <v>111</v>
      </c>
      <c r="B20" s="39">
        <v>19</v>
      </c>
      <c r="D20" s="40">
        <f t="shared" si="1"/>
        <v>441</v>
      </c>
      <c r="E20" s="39">
        <v>19</v>
      </c>
    </row>
    <row r="21" spans="1:5" x14ac:dyDescent="0.25">
      <c r="A21" s="40">
        <f t="shared" si="0"/>
        <v>117</v>
      </c>
      <c r="B21" s="39">
        <v>20</v>
      </c>
      <c r="D21" s="40">
        <f t="shared" si="1"/>
        <v>465</v>
      </c>
      <c r="E21" s="39">
        <v>20</v>
      </c>
    </row>
    <row r="22" spans="1:5" x14ac:dyDescent="0.25">
      <c r="A22" s="40">
        <f t="shared" si="0"/>
        <v>123</v>
      </c>
      <c r="B22" s="39">
        <v>21</v>
      </c>
      <c r="D22" s="40">
        <f t="shared" si="1"/>
        <v>488</v>
      </c>
      <c r="E22" s="39">
        <v>21</v>
      </c>
    </row>
    <row r="23" spans="1:5" x14ac:dyDescent="0.25">
      <c r="A23" s="40">
        <f t="shared" si="0"/>
        <v>128</v>
      </c>
      <c r="B23" s="39">
        <v>22</v>
      </c>
      <c r="D23" s="40">
        <f t="shared" si="1"/>
        <v>511</v>
      </c>
      <c r="E23" s="39">
        <v>22</v>
      </c>
    </row>
    <row r="24" spans="1:5" x14ac:dyDescent="0.25">
      <c r="A24" s="40">
        <f t="shared" si="0"/>
        <v>134</v>
      </c>
      <c r="B24" s="39">
        <v>23</v>
      </c>
      <c r="D24" s="40">
        <f t="shared" si="1"/>
        <v>534</v>
      </c>
      <c r="E24" s="39">
        <v>23</v>
      </c>
    </row>
    <row r="25" spans="1:5" x14ac:dyDescent="0.25">
      <c r="A25" s="40">
        <f t="shared" si="0"/>
        <v>140</v>
      </c>
      <c r="B25" s="39">
        <v>24</v>
      </c>
      <c r="D25" s="40">
        <f t="shared" si="1"/>
        <v>558</v>
      </c>
      <c r="E25" s="39">
        <v>24</v>
      </c>
    </row>
    <row r="26" spans="1:5" x14ac:dyDescent="0.25">
      <c r="A26" s="40">
        <f t="shared" si="0"/>
        <v>146</v>
      </c>
      <c r="B26" s="39">
        <v>25</v>
      </c>
      <c r="D26" s="40">
        <f t="shared" si="1"/>
        <v>581</v>
      </c>
      <c r="E26" s="39">
        <v>25</v>
      </c>
    </row>
    <row r="27" spans="1:5" x14ac:dyDescent="0.25">
      <c r="A27" s="40">
        <f t="shared" si="0"/>
        <v>152</v>
      </c>
      <c r="B27" s="39">
        <v>26</v>
      </c>
      <c r="D27" s="40">
        <f t="shared" si="1"/>
        <v>604</v>
      </c>
      <c r="E27" s="39">
        <v>26</v>
      </c>
    </row>
    <row r="28" spans="1:5" x14ac:dyDescent="0.25">
      <c r="A28" s="40">
        <f t="shared" si="0"/>
        <v>158</v>
      </c>
      <c r="B28" s="39">
        <v>27</v>
      </c>
      <c r="D28" s="40">
        <f t="shared" si="1"/>
        <v>627</v>
      </c>
      <c r="E28" s="39">
        <v>27</v>
      </c>
    </row>
    <row r="29" spans="1:5" x14ac:dyDescent="0.25">
      <c r="A29" s="40">
        <f t="shared" si="0"/>
        <v>164</v>
      </c>
      <c r="B29" s="39">
        <v>28</v>
      </c>
      <c r="D29" s="40">
        <f t="shared" si="1"/>
        <v>651</v>
      </c>
      <c r="E29" s="39">
        <v>28</v>
      </c>
    </row>
    <row r="30" spans="1:5" x14ac:dyDescent="0.25">
      <c r="A30" s="40">
        <f t="shared" si="0"/>
        <v>169</v>
      </c>
      <c r="B30" s="39">
        <v>29</v>
      </c>
      <c r="D30" s="40">
        <f t="shared" si="1"/>
        <v>674</v>
      </c>
      <c r="E30" s="39">
        <v>29</v>
      </c>
    </row>
    <row r="31" spans="1:5" x14ac:dyDescent="0.25">
      <c r="A31" s="40">
        <f t="shared" si="0"/>
        <v>175</v>
      </c>
      <c r="B31" s="39">
        <v>30</v>
      </c>
      <c r="D31" s="40">
        <f t="shared" si="1"/>
        <v>697</v>
      </c>
      <c r="E31" s="39">
        <v>30</v>
      </c>
    </row>
    <row r="32" spans="1:5" x14ac:dyDescent="0.25">
      <c r="A32" s="40">
        <f t="shared" si="0"/>
        <v>181</v>
      </c>
      <c r="B32" s="39">
        <v>31</v>
      </c>
      <c r="D32" s="40">
        <f t="shared" si="1"/>
        <v>720</v>
      </c>
      <c r="E32" s="39">
        <v>31</v>
      </c>
    </row>
    <row r="33" spans="1:5" x14ac:dyDescent="0.25">
      <c r="A33" s="40">
        <f t="shared" si="0"/>
        <v>187</v>
      </c>
      <c r="B33" s="39">
        <v>32</v>
      </c>
      <c r="D33" s="40">
        <f t="shared" si="1"/>
        <v>744</v>
      </c>
      <c r="E33" s="39">
        <v>32</v>
      </c>
    </row>
    <row r="34" spans="1:5" x14ac:dyDescent="0.25">
      <c r="A34" s="40">
        <f t="shared" si="0"/>
        <v>193</v>
      </c>
      <c r="B34" s="39">
        <v>33</v>
      </c>
      <c r="D34" s="40">
        <f t="shared" si="1"/>
        <v>767</v>
      </c>
      <c r="E34" s="39">
        <v>33</v>
      </c>
    </row>
    <row r="35" spans="1:5" x14ac:dyDescent="0.25">
      <c r="A35" s="40">
        <f t="shared" si="0"/>
        <v>199</v>
      </c>
      <c r="B35" s="39">
        <v>34</v>
      </c>
      <c r="D35" s="40">
        <f t="shared" si="1"/>
        <v>790</v>
      </c>
      <c r="E35" s="39">
        <v>34</v>
      </c>
    </row>
    <row r="36" spans="1:5" x14ac:dyDescent="0.25">
      <c r="A36" s="40">
        <f t="shared" si="0"/>
        <v>205</v>
      </c>
      <c r="B36" s="39">
        <v>35</v>
      </c>
      <c r="D36" s="40">
        <f t="shared" si="1"/>
        <v>813</v>
      </c>
      <c r="E36" s="39">
        <v>35</v>
      </c>
    </row>
    <row r="37" spans="1:5" x14ac:dyDescent="0.25">
      <c r="A37" s="40">
        <f t="shared" si="0"/>
        <v>210</v>
      </c>
      <c r="B37" s="39">
        <v>36</v>
      </c>
      <c r="D37" s="40">
        <f t="shared" si="1"/>
        <v>837</v>
      </c>
      <c r="E37" s="39">
        <v>36</v>
      </c>
    </row>
    <row r="38" spans="1:5" x14ac:dyDescent="0.25">
      <c r="A38" s="40">
        <f t="shared" si="0"/>
        <v>216</v>
      </c>
      <c r="B38" s="39">
        <v>37</v>
      </c>
      <c r="D38" s="40">
        <f t="shared" si="1"/>
        <v>860</v>
      </c>
      <c r="E38" s="39">
        <v>37</v>
      </c>
    </row>
    <row r="39" spans="1:5" x14ac:dyDescent="0.25">
      <c r="A39" s="40">
        <f t="shared" si="0"/>
        <v>222</v>
      </c>
      <c r="B39" s="39">
        <v>38</v>
      </c>
      <c r="D39" s="40">
        <f t="shared" si="1"/>
        <v>883</v>
      </c>
      <c r="E39" s="39">
        <v>38</v>
      </c>
    </row>
    <row r="40" spans="1:5" x14ac:dyDescent="0.25">
      <c r="A40" s="40">
        <f t="shared" si="0"/>
        <v>228</v>
      </c>
      <c r="B40" s="39">
        <v>39</v>
      </c>
      <c r="D40" s="40">
        <f t="shared" si="1"/>
        <v>906</v>
      </c>
      <c r="E40" s="39">
        <v>39</v>
      </c>
    </row>
    <row r="41" spans="1:5" x14ac:dyDescent="0.25">
      <c r="A41" s="40">
        <f t="shared" si="0"/>
        <v>234</v>
      </c>
      <c r="B41" s="39">
        <v>40</v>
      </c>
      <c r="D41" s="40">
        <f t="shared" si="1"/>
        <v>930</v>
      </c>
      <c r="E41" s="39">
        <v>40</v>
      </c>
    </row>
    <row r="42" spans="1:5" x14ac:dyDescent="0.25">
      <c r="A42" s="40">
        <f t="shared" si="0"/>
        <v>240</v>
      </c>
      <c r="B42" s="39">
        <v>41</v>
      </c>
      <c r="D42" s="40">
        <f t="shared" si="1"/>
        <v>953</v>
      </c>
      <c r="E42" s="39">
        <v>41</v>
      </c>
    </row>
    <row r="43" spans="1:5" x14ac:dyDescent="0.25">
      <c r="A43" s="40">
        <f t="shared" si="0"/>
        <v>246</v>
      </c>
      <c r="B43" s="39">
        <v>42</v>
      </c>
      <c r="D43" s="40">
        <f t="shared" si="1"/>
        <v>976</v>
      </c>
      <c r="E43" s="39">
        <v>42</v>
      </c>
    </row>
    <row r="44" spans="1:5" x14ac:dyDescent="0.25">
      <c r="A44" s="40">
        <f t="shared" si="0"/>
        <v>251</v>
      </c>
      <c r="B44" s="39">
        <v>43</v>
      </c>
      <c r="D44" s="40">
        <f t="shared" si="1"/>
        <v>999</v>
      </c>
      <c r="E44" s="39">
        <v>43</v>
      </c>
    </row>
    <row r="45" spans="1:5" x14ac:dyDescent="0.25">
      <c r="A45" s="40">
        <f t="shared" si="0"/>
        <v>257</v>
      </c>
      <c r="B45" s="39">
        <v>44</v>
      </c>
      <c r="D45" s="40">
        <f t="shared" si="1"/>
        <v>1023</v>
      </c>
      <c r="E45" s="39">
        <v>44</v>
      </c>
    </row>
    <row r="46" spans="1:5" x14ac:dyDescent="0.25">
      <c r="A46" s="40">
        <f t="shared" si="0"/>
        <v>263</v>
      </c>
      <c r="B46" s="39">
        <v>45</v>
      </c>
      <c r="D46" s="40">
        <f t="shared" si="1"/>
        <v>1046</v>
      </c>
      <c r="E46" s="39">
        <v>45</v>
      </c>
    </row>
    <row r="47" spans="1:5" x14ac:dyDescent="0.25">
      <c r="A47" s="40">
        <f t="shared" si="0"/>
        <v>269</v>
      </c>
      <c r="B47" s="39">
        <v>46</v>
      </c>
      <c r="D47" s="40">
        <f t="shared" si="1"/>
        <v>1069</v>
      </c>
      <c r="E47" s="39">
        <v>46</v>
      </c>
    </row>
    <row r="48" spans="1:5" x14ac:dyDescent="0.25">
      <c r="A48" s="40">
        <f t="shared" si="0"/>
        <v>275</v>
      </c>
      <c r="B48" s="39">
        <v>47</v>
      </c>
      <c r="D48" s="40">
        <f t="shared" si="1"/>
        <v>1092</v>
      </c>
      <c r="E48" s="39">
        <v>47</v>
      </c>
    </row>
    <row r="49" spans="1:5" x14ac:dyDescent="0.25">
      <c r="A49" s="40">
        <f t="shared" si="0"/>
        <v>281</v>
      </c>
      <c r="B49" s="39">
        <v>48</v>
      </c>
      <c r="D49" s="40">
        <f t="shared" si="1"/>
        <v>1116</v>
      </c>
      <c r="E49" s="39">
        <v>48</v>
      </c>
    </row>
    <row r="50" spans="1:5" x14ac:dyDescent="0.25">
      <c r="A50" s="40">
        <f t="shared" si="0"/>
        <v>287</v>
      </c>
      <c r="B50" s="39">
        <v>49</v>
      </c>
      <c r="D50" s="40">
        <f t="shared" si="1"/>
        <v>1139</v>
      </c>
      <c r="E50" s="39">
        <v>49</v>
      </c>
    </row>
    <row r="51" spans="1:5" x14ac:dyDescent="0.25">
      <c r="A51" s="40">
        <f t="shared" si="0"/>
        <v>292</v>
      </c>
      <c r="B51" s="39">
        <v>50</v>
      </c>
      <c r="D51" s="40">
        <f t="shared" si="1"/>
        <v>1162</v>
      </c>
      <c r="E51" s="39">
        <v>50</v>
      </c>
    </row>
    <row r="52" spans="1:5" x14ac:dyDescent="0.25">
      <c r="A52" s="40">
        <f t="shared" si="0"/>
        <v>298</v>
      </c>
      <c r="B52" s="39">
        <v>51</v>
      </c>
      <c r="D52" s="40">
        <f t="shared" si="1"/>
        <v>1185</v>
      </c>
      <c r="E52" s="39">
        <v>51</v>
      </c>
    </row>
    <row r="53" spans="1:5" x14ac:dyDescent="0.25">
      <c r="A53" s="40">
        <f t="shared" si="0"/>
        <v>304</v>
      </c>
      <c r="B53" s="39">
        <v>52</v>
      </c>
      <c r="D53" s="40">
        <f t="shared" si="1"/>
        <v>1209</v>
      </c>
      <c r="E53" s="39">
        <v>52</v>
      </c>
    </row>
    <row r="54" spans="1:5" x14ac:dyDescent="0.25">
      <c r="A54" s="40">
        <f t="shared" si="0"/>
        <v>310</v>
      </c>
      <c r="B54" s="39">
        <v>53</v>
      </c>
      <c r="D54" s="40">
        <f t="shared" si="1"/>
        <v>1232</v>
      </c>
      <c r="E54" s="39">
        <v>53</v>
      </c>
    </row>
    <row r="55" spans="1:5" x14ac:dyDescent="0.25">
      <c r="A55" s="40">
        <f t="shared" si="0"/>
        <v>316</v>
      </c>
      <c r="B55" s="39">
        <v>54</v>
      </c>
      <c r="D55" s="40">
        <f t="shared" si="1"/>
        <v>1255</v>
      </c>
      <c r="E55" s="39">
        <v>54</v>
      </c>
    </row>
    <row r="56" spans="1:5" x14ac:dyDescent="0.25">
      <c r="A56" s="40">
        <f t="shared" si="0"/>
        <v>322</v>
      </c>
      <c r="B56" s="39">
        <v>55</v>
      </c>
      <c r="D56" s="40">
        <f t="shared" si="1"/>
        <v>1278</v>
      </c>
      <c r="E56" s="39">
        <v>55</v>
      </c>
    </row>
    <row r="57" spans="1:5" x14ac:dyDescent="0.25">
      <c r="A57" s="40">
        <f t="shared" si="0"/>
        <v>328</v>
      </c>
      <c r="B57" s="39">
        <v>56</v>
      </c>
      <c r="D57" s="40">
        <f t="shared" si="1"/>
        <v>1302</v>
      </c>
      <c r="E57" s="39">
        <v>56</v>
      </c>
    </row>
    <row r="58" spans="1:5" x14ac:dyDescent="0.25">
      <c r="A58" s="40">
        <f t="shared" si="0"/>
        <v>333</v>
      </c>
      <c r="B58" s="39">
        <v>57</v>
      </c>
      <c r="D58" s="40">
        <f t="shared" si="1"/>
        <v>1325</v>
      </c>
      <c r="E58" s="39">
        <v>57</v>
      </c>
    </row>
    <row r="59" spans="1:5" x14ac:dyDescent="0.25">
      <c r="A59" s="40">
        <f t="shared" si="0"/>
        <v>339</v>
      </c>
      <c r="B59" s="39">
        <v>58</v>
      </c>
      <c r="D59" s="40">
        <f t="shared" si="1"/>
        <v>1348</v>
      </c>
      <c r="E59" s="39">
        <v>58</v>
      </c>
    </row>
    <row r="60" spans="1:5" x14ac:dyDescent="0.25">
      <c r="A60" s="40">
        <f t="shared" si="0"/>
        <v>345</v>
      </c>
      <c r="B60" s="39">
        <v>59</v>
      </c>
      <c r="D60" s="40">
        <f t="shared" si="1"/>
        <v>1371</v>
      </c>
      <c r="E60" s="39">
        <v>59</v>
      </c>
    </row>
    <row r="61" spans="1:5" x14ac:dyDescent="0.25">
      <c r="A61" s="40">
        <f t="shared" si="0"/>
        <v>351</v>
      </c>
      <c r="B61" s="39">
        <v>60</v>
      </c>
      <c r="D61" s="40">
        <f t="shared" si="1"/>
        <v>1395</v>
      </c>
      <c r="E61" s="39">
        <v>60</v>
      </c>
    </row>
    <row r="62" spans="1:5" x14ac:dyDescent="0.25">
      <c r="A62" s="40">
        <f t="shared" si="0"/>
        <v>357</v>
      </c>
      <c r="B62" s="39">
        <v>61</v>
      </c>
      <c r="D62" s="40">
        <f t="shared" si="1"/>
        <v>1418</v>
      </c>
      <c r="E62" s="39">
        <v>61</v>
      </c>
    </row>
    <row r="63" spans="1:5" x14ac:dyDescent="0.25">
      <c r="A63" s="40">
        <f t="shared" si="0"/>
        <v>363</v>
      </c>
      <c r="B63" s="39">
        <v>62</v>
      </c>
      <c r="D63" s="40">
        <f t="shared" si="1"/>
        <v>1441</v>
      </c>
      <c r="E63" s="39">
        <v>62</v>
      </c>
    </row>
    <row r="64" spans="1:5" x14ac:dyDescent="0.25">
      <c r="A64" s="40">
        <f t="shared" si="0"/>
        <v>369</v>
      </c>
      <c r="B64" s="39">
        <v>63</v>
      </c>
      <c r="D64" s="40">
        <f t="shared" si="1"/>
        <v>1464</v>
      </c>
      <c r="E64" s="39">
        <v>63</v>
      </c>
    </row>
    <row r="65" spans="1:5" x14ac:dyDescent="0.25">
      <c r="A65" s="40">
        <f t="shared" si="0"/>
        <v>374</v>
      </c>
      <c r="B65" s="39">
        <v>64</v>
      </c>
      <c r="D65" s="40">
        <f t="shared" si="1"/>
        <v>1488</v>
      </c>
      <c r="E65" s="39">
        <v>64</v>
      </c>
    </row>
    <row r="66" spans="1:5" x14ac:dyDescent="0.25">
      <c r="A66" s="40">
        <f t="shared" ref="A66:A129" si="2">ROUNDDOWN((1494/255)*B66,0)</f>
        <v>380</v>
      </c>
      <c r="B66" s="39">
        <v>65</v>
      </c>
      <c r="D66" s="40">
        <f t="shared" ref="D66:D129" si="3">ROUNDDOWN((5929/255)*E66,0)</f>
        <v>1511</v>
      </c>
      <c r="E66" s="39">
        <v>65</v>
      </c>
    </row>
    <row r="67" spans="1:5" x14ac:dyDescent="0.25">
      <c r="A67" s="40">
        <f t="shared" si="2"/>
        <v>386</v>
      </c>
      <c r="B67" s="39">
        <v>66</v>
      </c>
      <c r="D67" s="40">
        <f t="shared" si="3"/>
        <v>1534</v>
      </c>
      <c r="E67" s="39">
        <v>66</v>
      </c>
    </row>
    <row r="68" spans="1:5" x14ac:dyDescent="0.25">
      <c r="A68" s="40">
        <f t="shared" si="2"/>
        <v>392</v>
      </c>
      <c r="B68" s="39">
        <v>67</v>
      </c>
      <c r="D68" s="40">
        <f t="shared" si="3"/>
        <v>1557</v>
      </c>
      <c r="E68" s="39">
        <v>67</v>
      </c>
    </row>
    <row r="69" spans="1:5" x14ac:dyDescent="0.25">
      <c r="A69" s="40">
        <f t="shared" si="2"/>
        <v>398</v>
      </c>
      <c r="B69" s="39">
        <v>68</v>
      </c>
      <c r="D69" s="40">
        <f t="shared" si="3"/>
        <v>1581</v>
      </c>
      <c r="E69" s="39">
        <v>68</v>
      </c>
    </row>
    <row r="70" spans="1:5" x14ac:dyDescent="0.25">
      <c r="A70" s="40">
        <f t="shared" si="2"/>
        <v>404</v>
      </c>
      <c r="B70" s="39">
        <v>69</v>
      </c>
      <c r="D70" s="40">
        <f t="shared" si="3"/>
        <v>1604</v>
      </c>
      <c r="E70" s="39">
        <v>69</v>
      </c>
    </row>
    <row r="71" spans="1:5" x14ac:dyDescent="0.25">
      <c r="A71" s="40">
        <f t="shared" si="2"/>
        <v>410</v>
      </c>
      <c r="B71" s="39">
        <v>70</v>
      </c>
      <c r="D71" s="40">
        <f t="shared" si="3"/>
        <v>1627</v>
      </c>
      <c r="E71" s="39">
        <v>70</v>
      </c>
    </row>
    <row r="72" spans="1:5" x14ac:dyDescent="0.25">
      <c r="A72" s="40">
        <f t="shared" si="2"/>
        <v>415</v>
      </c>
      <c r="B72" s="39">
        <v>71</v>
      </c>
      <c r="D72" s="40">
        <f t="shared" si="3"/>
        <v>1650</v>
      </c>
      <c r="E72" s="39">
        <v>71</v>
      </c>
    </row>
    <row r="73" spans="1:5" x14ac:dyDescent="0.25">
      <c r="A73" s="40">
        <f t="shared" si="2"/>
        <v>421</v>
      </c>
      <c r="B73" s="39">
        <v>72</v>
      </c>
      <c r="D73" s="40">
        <f t="shared" si="3"/>
        <v>1674</v>
      </c>
      <c r="E73" s="39">
        <v>72</v>
      </c>
    </row>
    <row r="74" spans="1:5" x14ac:dyDescent="0.25">
      <c r="A74" s="40">
        <f t="shared" si="2"/>
        <v>427</v>
      </c>
      <c r="B74" s="39">
        <v>73</v>
      </c>
      <c r="D74" s="40">
        <f t="shared" si="3"/>
        <v>1697</v>
      </c>
      <c r="E74" s="39">
        <v>73</v>
      </c>
    </row>
    <row r="75" spans="1:5" x14ac:dyDescent="0.25">
      <c r="A75" s="40">
        <f t="shared" si="2"/>
        <v>433</v>
      </c>
      <c r="B75" s="39">
        <v>74</v>
      </c>
      <c r="D75" s="40">
        <f t="shared" si="3"/>
        <v>1720</v>
      </c>
      <c r="E75" s="39">
        <v>74</v>
      </c>
    </row>
    <row r="76" spans="1:5" x14ac:dyDescent="0.25">
      <c r="A76" s="40">
        <f t="shared" si="2"/>
        <v>439</v>
      </c>
      <c r="B76" s="39">
        <v>75</v>
      </c>
      <c r="D76" s="40">
        <f t="shared" si="3"/>
        <v>1743</v>
      </c>
      <c r="E76" s="39">
        <v>75</v>
      </c>
    </row>
    <row r="77" spans="1:5" x14ac:dyDescent="0.25">
      <c r="A77" s="40">
        <f t="shared" si="2"/>
        <v>445</v>
      </c>
      <c r="B77" s="39">
        <v>76</v>
      </c>
      <c r="D77" s="40">
        <f t="shared" si="3"/>
        <v>1767</v>
      </c>
      <c r="E77" s="39">
        <v>76</v>
      </c>
    </row>
    <row r="78" spans="1:5" x14ac:dyDescent="0.25">
      <c r="A78" s="40">
        <f t="shared" si="2"/>
        <v>451</v>
      </c>
      <c r="B78" s="39">
        <v>77</v>
      </c>
      <c r="D78" s="40">
        <f t="shared" si="3"/>
        <v>1790</v>
      </c>
      <c r="E78" s="39">
        <v>77</v>
      </c>
    </row>
    <row r="79" spans="1:5" x14ac:dyDescent="0.25">
      <c r="A79" s="40">
        <f t="shared" si="2"/>
        <v>456</v>
      </c>
      <c r="B79" s="39">
        <v>78</v>
      </c>
      <c r="D79" s="40">
        <f t="shared" si="3"/>
        <v>1813</v>
      </c>
      <c r="E79" s="39">
        <v>78</v>
      </c>
    </row>
    <row r="80" spans="1:5" x14ac:dyDescent="0.25">
      <c r="A80" s="40">
        <f t="shared" si="2"/>
        <v>462</v>
      </c>
      <c r="B80" s="39">
        <v>79</v>
      </c>
      <c r="D80" s="40">
        <f t="shared" si="3"/>
        <v>1836</v>
      </c>
      <c r="E80" s="39">
        <v>79</v>
      </c>
    </row>
    <row r="81" spans="1:5" x14ac:dyDescent="0.25">
      <c r="A81" s="40">
        <f t="shared" si="2"/>
        <v>468</v>
      </c>
      <c r="B81" s="39">
        <v>80</v>
      </c>
      <c r="D81" s="40">
        <f t="shared" si="3"/>
        <v>1860</v>
      </c>
      <c r="E81" s="39">
        <v>80</v>
      </c>
    </row>
    <row r="82" spans="1:5" x14ac:dyDescent="0.25">
      <c r="A82" s="40">
        <f t="shared" si="2"/>
        <v>474</v>
      </c>
      <c r="B82" s="39">
        <v>81</v>
      </c>
      <c r="D82" s="40">
        <f t="shared" si="3"/>
        <v>1883</v>
      </c>
      <c r="E82" s="39">
        <v>81</v>
      </c>
    </row>
    <row r="83" spans="1:5" x14ac:dyDescent="0.25">
      <c r="A83" s="40">
        <f t="shared" si="2"/>
        <v>480</v>
      </c>
      <c r="B83" s="39">
        <v>82</v>
      </c>
      <c r="D83" s="40">
        <f t="shared" si="3"/>
        <v>1906</v>
      </c>
      <c r="E83" s="39">
        <v>82</v>
      </c>
    </row>
    <row r="84" spans="1:5" x14ac:dyDescent="0.25">
      <c r="A84" s="40">
        <f t="shared" si="2"/>
        <v>486</v>
      </c>
      <c r="B84" s="39">
        <v>83</v>
      </c>
      <c r="D84" s="40">
        <f t="shared" si="3"/>
        <v>1929</v>
      </c>
      <c r="E84" s="39">
        <v>83</v>
      </c>
    </row>
    <row r="85" spans="1:5" x14ac:dyDescent="0.25">
      <c r="A85" s="40">
        <f t="shared" si="2"/>
        <v>492</v>
      </c>
      <c r="B85" s="39">
        <v>84</v>
      </c>
      <c r="D85" s="40">
        <f t="shared" si="3"/>
        <v>1953</v>
      </c>
      <c r="E85" s="39">
        <v>84</v>
      </c>
    </row>
    <row r="86" spans="1:5" x14ac:dyDescent="0.25">
      <c r="A86" s="40">
        <f t="shared" si="2"/>
        <v>498</v>
      </c>
      <c r="B86" s="39">
        <v>85</v>
      </c>
      <c r="D86" s="40">
        <f t="shared" si="3"/>
        <v>1976</v>
      </c>
      <c r="E86" s="39">
        <v>85</v>
      </c>
    </row>
    <row r="87" spans="1:5" x14ac:dyDescent="0.25">
      <c r="A87" s="40">
        <f t="shared" si="2"/>
        <v>503</v>
      </c>
      <c r="B87" s="39">
        <v>86</v>
      </c>
      <c r="D87" s="40">
        <f t="shared" si="3"/>
        <v>1999</v>
      </c>
      <c r="E87" s="39">
        <v>86</v>
      </c>
    </row>
    <row r="88" spans="1:5" x14ac:dyDescent="0.25">
      <c r="A88" s="40">
        <f t="shared" si="2"/>
        <v>509</v>
      </c>
      <c r="B88" s="39">
        <v>87</v>
      </c>
      <c r="D88" s="40">
        <f t="shared" si="3"/>
        <v>2022</v>
      </c>
      <c r="E88" s="39">
        <v>87</v>
      </c>
    </row>
    <row r="89" spans="1:5" x14ac:dyDescent="0.25">
      <c r="A89" s="40">
        <f t="shared" si="2"/>
        <v>515</v>
      </c>
      <c r="B89" s="39">
        <v>88</v>
      </c>
      <c r="D89" s="40">
        <f t="shared" si="3"/>
        <v>2046</v>
      </c>
      <c r="E89" s="39">
        <v>88</v>
      </c>
    </row>
    <row r="90" spans="1:5" x14ac:dyDescent="0.25">
      <c r="A90" s="40">
        <f t="shared" si="2"/>
        <v>521</v>
      </c>
      <c r="B90" s="39">
        <v>89</v>
      </c>
      <c r="D90" s="40">
        <f t="shared" si="3"/>
        <v>2069</v>
      </c>
      <c r="E90" s="39">
        <v>89</v>
      </c>
    </row>
    <row r="91" spans="1:5" x14ac:dyDescent="0.25">
      <c r="A91" s="40">
        <f t="shared" si="2"/>
        <v>527</v>
      </c>
      <c r="B91" s="39">
        <v>90</v>
      </c>
      <c r="D91" s="40">
        <f t="shared" si="3"/>
        <v>2092</v>
      </c>
      <c r="E91" s="39">
        <v>90</v>
      </c>
    </row>
    <row r="92" spans="1:5" x14ac:dyDescent="0.25">
      <c r="A92" s="40">
        <f t="shared" si="2"/>
        <v>533</v>
      </c>
      <c r="B92" s="39">
        <v>91</v>
      </c>
      <c r="D92" s="40">
        <f t="shared" si="3"/>
        <v>2115</v>
      </c>
      <c r="E92" s="39">
        <v>91</v>
      </c>
    </row>
    <row r="93" spans="1:5" x14ac:dyDescent="0.25">
      <c r="A93" s="40">
        <f t="shared" si="2"/>
        <v>539</v>
      </c>
      <c r="B93" s="39">
        <v>92</v>
      </c>
      <c r="D93" s="40">
        <f t="shared" si="3"/>
        <v>2139</v>
      </c>
      <c r="E93" s="39">
        <v>92</v>
      </c>
    </row>
    <row r="94" spans="1:5" x14ac:dyDescent="0.25">
      <c r="A94" s="40">
        <f t="shared" si="2"/>
        <v>544</v>
      </c>
      <c r="B94" s="39">
        <v>93</v>
      </c>
      <c r="D94" s="40">
        <f t="shared" si="3"/>
        <v>2162</v>
      </c>
      <c r="E94" s="39">
        <v>93</v>
      </c>
    </row>
    <row r="95" spans="1:5" x14ac:dyDescent="0.25">
      <c r="A95" s="40">
        <f t="shared" si="2"/>
        <v>550</v>
      </c>
      <c r="B95" s="39">
        <v>94</v>
      </c>
      <c r="D95" s="40">
        <f t="shared" si="3"/>
        <v>2185</v>
      </c>
      <c r="E95" s="39">
        <v>94</v>
      </c>
    </row>
    <row r="96" spans="1:5" x14ac:dyDescent="0.25">
      <c r="A96" s="40">
        <f t="shared" si="2"/>
        <v>556</v>
      </c>
      <c r="B96" s="39">
        <v>95</v>
      </c>
      <c r="D96" s="40">
        <f t="shared" si="3"/>
        <v>2208</v>
      </c>
      <c r="E96" s="39">
        <v>95</v>
      </c>
    </row>
    <row r="97" spans="1:5" x14ac:dyDescent="0.25">
      <c r="A97" s="40">
        <f t="shared" si="2"/>
        <v>562</v>
      </c>
      <c r="B97" s="39">
        <v>96</v>
      </c>
      <c r="D97" s="40">
        <f t="shared" si="3"/>
        <v>2232</v>
      </c>
      <c r="E97" s="39">
        <v>96</v>
      </c>
    </row>
    <row r="98" spans="1:5" x14ac:dyDescent="0.25">
      <c r="A98" s="40">
        <f t="shared" si="2"/>
        <v>568</v>
      </c>
      <c r="B98" s="39">
        <v>97</v>
      </c>
      <c r="D98" s="40">
        <f t="shared" si="3"/>
        <v>2255</v>
      </c>
      <c r="E98" s="39">
        <v>97</v>
      </c>
    </row>
    <row r="99" spans="1:5" x14ac:dyDescent="0.25">
      <c r="A99" s="40">
        <f t="shared" si="2"/>
        <v>574</v>
      </c>
      <c r="B99" s="39">
        <v>98</v>
      </c>
      <c r="D99" s="40">
        <f t="shared" si="3"/>
        <v>2278</v>
      </c>
      <c r="E99" s="39">
        <v>98</v>
      </c>
    </row>
    <row r="100" spans="1:5" x14ac:dyDescent="0.25">
      <c r="A100" s="40">
        <f t="shared" si="2"/>
        <v>580</v>
      </c>
      <c r="B100" s="39">
        <v>99</v>
      </c>
      <c r="D100" s="40">
        <f t="shared" si="3"/>
        <v>2301</v>
      </c>
      <c r="E100" s="39">
        <v>99</v>
      </c>
    </row>
    <row r="101" spans="1:5" x14ac:dyDescent="0.25">
      <c r="A101" s="40">
        <f t="shared" si="2"/>
        <v>585</v>
      </c>
      <c r="B101" s="39">
        <v>100</v>
      </c>
      <c r="D101" s="40">
        <f t="shared" si="3"/>
        <v>2325</v>
      </c>
      <c r="E101" s="39">
        <v>100</v>
      </c>
    </row>
    <row r="102" spans="1:5" x14ac:dyDescent="0.25">
      <c r="A102" s="40">
        <f t="shared" si="2"/>
        <v>591</v>
      </c>
      <c r="B102" s="39">
        <v>101</v>
      </c>
      <c r="D102" s="40">
        <f t="shared" si="3"/>
        <v>2348</v>
      </c>
      <c r="E102" s="39">
        <v>101</v>
      </c>
    </row>
    <row r="103" spans="1:5" x14ac:dyDescent="0.25">
      <c r="A103" s="40">
        <f t="shared" si="2"/>
        <v>597</v>
      </c>
      <c r="B103" s="39">
        <v>102</v>
      </c>
      <c r="D103" s="40">
        <f t="shared" si="3"/>
        <v>2371</v>
      </c>
      <c r="E103" s="39">
        <v>102</v>
      </c>
    </row>
    <row r="104" spans="1:5" x14ac:dyDescent="0.25">
      <c r="A104" s="40">
        <f t="shared" si="2"/>
        <v>603</v>
      </c>
      <c r="B104" s="39">
        <v>103</v>
      </c>
      <c r="D104" s="40">
        <f t="shared" si="3"/>
        <v>2394</v>
      </c>
      <c r="E104" s="39">
        <v>103</v>
      </c>
    </row>
    <row r="105" spans="1:5" x14ac:dyDescent="0.25">
      <c r="A105" s="40">
        <f t="shared" si="2"/>
        <v>609</v>
      </c>
      <c r="B105" s="39">
        <v>104</v>
      </c>
      <c r="D105" s="40">
        <f t="shared" si="3"/>
        <v>2418</v>
      </c>
      <c r="E105" s="39">
        <v>104</v>
      </c>
    </row>
    <row r="106" spans="1:5" x14ac:dyDescent="0.25">
      <c r="A106" s="40">
        <f t="shared" si="2"/>
        <v>615</v>
      </c>
      <c r="B106" s="39">
        <v>105</v>
      </c>
      <c r="D106" s="40">
        <f t="shared" si="3"/>
        <v>2441</v>
      </c>
      <c r="E106" s="39">
        <v>105</v>
      </c>
    </row>
    <row r="107" spans="1:5" x14ac:dyDescent="0.25">
      <c r="A107" s="40">
        <f t="shared" si="2"/>
        <v>621</v>
      </c>
      <c r="B107" s="39">
        <v>106</v>
      </c>
      <c r="D107" s="40">
        <f t="shared" si="3"/>
        <v>2464</v>
      </c>
      <c r="E107" s="39">
        <v>106</v>
      </c>
    </row>
    <row r="108" spans="1:5" x14ac:dyDescent="0.25">
      <c r="A108" s="40">
        <f t="shared" si="2"/>
        <v>626</v>
      </c>
      <c r="B108" s="39">
        <v>107</v>
      </c>
      <c r="D108" s="40">
        <f t="shared" si="3"/>
        <v>2487</v>
      </c>
      <c r="E108" s="39">
        <v>107</v>
      </c>
    </row>
    <row r="109" spans="1:5" x14ac:dyDescent="0.25">
      <c r="A109" s="40">
        <f t="shared" si="2"/>
        <v>632</v>
      </c>
      <c r="B109" s="39">
        <v>108</v>
      </c>
      <c r="D109" s="40">
        <f t="shared" si="3"/>
        <v>2511</v>
      </c>
      <c r="E109" s="39">
        <v>108</v>
      </c>
    </row>
    <row r="110" spans="1:5" x14ac:dyDescent="0.25">
      <c r="A110" s="40">
        <f t="shared" si="2"/>
        <v>638</v>
      </c>
      <c r="B110" s="39">
        <v>109</v>
      </c>
      <c r="D110" s="40">
        <f t="shared" si="3"/>
        <v>2534</v>
      </c>
      <c r="E110" s="39">
        <v>109</v>
      </c>
    </row>
    <row r="111" spans="1:5" x14ac:dyDescent="0.25">
      <c r="A111" s="40">
        <f t="shared" si="2"/>
        <v>644</v>
      </c>
      <c r="B111" s="39">
        <v>110</v>
      </c>
      <c r="D111" s="40">
        <f t="shared" si="3"/>
        <v>2557</v>
      </c>
      <c r="E111" s="39">
        <v>110</v>
      </c>
    </row>
    <row r="112" spans="1:5" x14ac:dyDescent="0.25">
      <c r="A112" s="40">
        <f t="shared" si="2"/>
        <v>650</v>
      </c>
      <c r="B112" s="39">
        <v>111</v>
      </c>
      <c r="D112" s="40">
        <f t="shared" si="3"/>
        <v>2580</v>
      </c>
      <c r="E112" s="39">
        <v>111</v>
      </c>
    </row>
    <row r="113" spans="1:5" x14ac:dyDescent="0.25">
      <c r="A113" s="40">
        <f t="shared" si="2"/>
        <v>656</v>
      </c>
      <c r="B113" s="39">
        <v>112</v>
      </c>
      <c r="D113" s="40">
        <f t="shared" si="3"/>
        <v>2604</v>
      </c>
      <c r="E113" s="39">
        <v>112</v>
      </c>
    </row>
    <row r="114" spans="1:5" x14ac:dyDescent="0.25">
      <c r="A114" s="40">
        <f t="shared" si="2"/>
        <v>662</v>
      </c>
      <c r="B114" s="39">
        <v>113</v>
      </c>
      <c r="D114" s="40">
        <f t="shared" si="3"/>
        <v>2627</v>
      </c>
      <c r="E114" s="39">
        <v>113</v>
      </c>
    </row>
    <row r="115" spans="1:5" x14ac:dyDescent="0.25">
      <c r="A115" s="40">
        <f t="shared" si="2"/>
        <v>667</v>
      </c>
      <c r="B115" s="39">
        <v>114</v>
      </c>
      <c r="D115" s="40">
        <f t="shared" si="3"/>
        <v>2650</v>
      </c>
      <c r="E115" s="39">
        <v>114</v>
      </c>
    </row>
    <row r="116" spans="1:5" x14ac:dyDescent="0.25">
      <c r="A116" s="40">
        <f t="shared" si="2"/>
        <v>673</v>
      </c>
      <c r="B116" s="39">
        <v>115</v>
      </c>
      <c r="D116" s="40">
        <f t="shared" si="3"/>
        <v>2673</v>
      </c>
      <c r="E116" s="39">
        <v>115</v>
      </c>
    </row>
    <row r="117" spans="1:5" x14ac:dyDescent="0.25">
      <c r="A117" s="40">
        <f t="shared" si="2"/>
        <v>679</v>
      </c>
      <c r="B117" s="39">
        <v>116</v>
      </c>
      <c r="D117" s="40">
        <f t="shared" si="3"/>
        <v>2697</v>
      </c>
      <c r="E117" s="39">
        <v>116</v>
      </c>
    </row>
    <row r="118" spans="1:5" x14ac:dyDescent="0.25">
      <c r="A118" s="40">
        <f t="shared" si="2"/>
        <v>685</v>
      </c>
      <c r="B118" s="39">
        <v>117</v>
      </c>
      <c r="D118" s="40">
        <f t="shared" si="3"/>
        <v>2720</v>
      </c>
      <c r="E118" s="39">
        <v>117</v>
      </c>
    </row>
    <row r="119" spans="1:5" x14ac:dyDescent="0.25">
      <c r="A119" s="40">
        <f t="shared" si="2"/>
        <v>691</v>
      </c>
      <c r="B119" s="39">
        <v>118</v>
      </c>
      <c r="D119" s="40">
        <f t="shared" si="3"/>
        <v>2743</v>
      </c>
      <c r="E119" s="39">
        <v>118</v>
      </c>
    </row>
    <row r="120" spans="1:5" x14ac:dyDescent="0.25">
      <c r="A120" s="40">
        <f t="shared" si="2"/>
        <v>697</v>
      </c>
      <c r="B120" s="39">
        <v>119</v>
      </c>
      <c r="D120" s="40">
        <f t="shared" si="3"/>
        <v>2766</v>
      </c>
      <c r="E120" s="39">
        <v>119</v>
      </c>
    </row>
    <row r="121" spans="1:5" x14ac:dyDescent="0.25">
      <c r="A121" s="40">
        <f t="shared" si="2"/>
        <v>703</v>
      </c>
      <c r="B121" s="39">
        <v>120</v>
      </c>
      <c r="D121" s="40">
        <f t="shared" si="3"/>
        <v>2790</v>
      </c>
      <c r="E121" s="39">
        <v>120</v>
      </c>
    </row>
    <row r="122" spans="1:5" x14ac:dyDescent="0.25">
      <c r="A122" s="40">
        <f t="shared" si="2"/>
        <v>708</v>
      </c>
      <c r="B122" s="39">
        <v>121</v>
      </c>
      <c r="D122" s="40">
        <f t="shared" si="3"/>
        <v>2813</v>
      </c>
      <c r="E122" s="39">
        <v>121</v>
      </c>
    </row>
    <row r="123" spans="1:5" x14ac:dyDescent="0.25">
      <c r="A123" s="40">
        <f t="shared" si="2"/>
        <v>714</v>
      </c>
      <c r="B123" s="39">
        <v>122</v>
      </c>
      <c r="D123" s="40">
        <f t="shared" si="3"/>
        <v>2836</v>
      </c>
      <c r="E123" s="39">
        <v>122</v>
      </c>
    </row>
    <row r="124" spans="1:5" x14ac:dyDescent="0.25">
      <c r="A124" s="40">
        <f t="shared" si="2"/>
        <v>720</v>
      </c>
      <c r="B124" s="39">
        <v>123</v>
      </c>
      <c r="D124" s="40">
        <f t="shared" si="3"/>
        <v>2859</v>
      </c>
      <c r="E124" s="39">
        <v>123</v>
      </c>
    </row>
    <row r="125" spans="1:5" x14ac:dyDescent="0.25">
      <c r="A125" s="40">
        <f t="shared" si="2"/>
        <v>726</v>
      </c>
      <c r="B125" s="39">
        <v>124</v>
      </c>
      <c r="D125" s="40">
        <f t="shared" si="3"/>
        <v>2883</v>
      </c>
      <c r="E125" s="39">
        <v>124</v>
      </c>
    </row>
    <row r="126" spans="1:5" x14ac:dyDescent="0.25">
      <c r="A126" s="40">
        <f t="shared" si="2"/>
        <v>732</v>
      </c>
      <c r="B126" s="39">
        <v>125</v>
      </c>
      <c r="D126" s="40">
        <f t="shared" si="3"/>
        <v>2906</v>
      </c>
      <c r="E126" s="39">
        <v>125</v>
      </c>
    </row>
    <row r="127" spans="1:5" x14ac:dyDescent="0.25">
      <c r="A127" s="40">
        <f t="shared" si="2"/>
        <v>738</v>
      </c>
      <c r="B127" s="39">
        <v>126</v>
      </c>
      <c r="D127" s="40">
        <f t="shared" si="3"/>
        <v>2929</v>
      </c>
      <c r="E127" s="39">
        <v>126</v>
      </c>
    </row>
    <row r="128" spans="1:5" x14ac:dyDescent="0.25">
      <c r="A128" s="40">
        <f t="shared" si="2"/>
        <v>744</v>
      </c>
      <c r="B128" s="39">
        <v>127</v>
      </c>
      <c r="D128" s="40">
        <f t="shared" si="3"/>
        <v>2952</v>
      </c>
      <c r="E128" s="39">
        <v>127</v>
      </c>
    </row>
    <row r="129" spans="1:5" x14ac:dyDescent="0.25">
      <c r="A129" s="40">
        <f t="shared" si="2"/>
        <v>749</v>
      </c>
      <c r="B129" s="39">
        <v>128</v>
      </c>
      <c r="D129" s="40">
        <f t="shared" si="3"/>
        <v>2976</v>
      </c>
      <c r="E129" s="39">
        <v>128</v>
      </c>
    </row>
    <row r="130" spans="1:5" x14ac:dyDescent="0.25">
      <c r="A130" s="40">
        <f t="shared" ref="A130:A193" si="4">ROUNDDOWN((1494/255)*B130,0)</f>
        <v>755</v>
      </c>
      <c r="B130" s="39">
        <v>129</v>
      </c>
      <c r="D130" s="40">
        <f t="shared" ref="D130:D193" si="5">ROUNDDOWN((5929/255)*E130,0)</f>
        <v>2999</v>
      </c>
      <c r="E130" s="39">
        <v>129</v>
      </c>
    </row>
    <row r="131" spans="1:5" x14ac:dyDescent="0.25">
      <c r="A131" s="40">
        <f t="shared" si="4"/>
        <v>761</v>
      </c>
      <c r="B131" s="39">
        <v>130</v>
      </c>
      <c r="D131" s="40">
        <f t="shared" si="5"/>
        <v>3022</v>
      </c>
      <c r="E131" s="39">
        <v>130</v>
      </c>
    </row>
    <row r="132" spans="1:5" x14ac:dyDescent="0.25">
      <c r="A132" s="40">
        <f t="shared" si="4"/>
        <v>767</v>
      </c>
      <c r="B132" s="39">
        <v>131</v>
      </c>
      <c r="D132" s="40">
        <f t="shared" si="5"/>
        <v>3045</v>
      </c>
      <c r="E132" s="39">
        <v>131</v>
      </c>
    </row>
    <row r="133" spans="1:5" x14ac:dyDescent="0.25">
      <c r="A133" s="40">
        <f t="shared" si="4"/>
        <v>773</v>
      </c>
      <c r="B133" s="39">
        <v>132</v>
      </c>
      <c r="D133" s="40">
        <f t="shared" si="5"/>
        <v>3069</v>
      </c>
      <c r="E133" s="39">
        <v>132</v>
      </c>
    </row>
    <row r="134" spans="1:5" x14ac:dyDescent="0.25">
      <c r="A134" s="40">
        <f t="shared" si="4"/>
        <v>779</v>
      </c>
      <c r="B134" s="39">
        <v>133</v>
      </c>
      <c r="D134" s="40">
        <f t="shared" si="5"/>
        <v>3092</v>
      </c>
      <c r="E134" s="39">
        <v>133</v>
      </c>
    </row>
    <row r="135" spans="1:5" x14ac:dyDescent="0.25">
      <c r="A135" s="40">
        <f t="shared" si="4"/>
        <v>785</v>
      </c>
      <c r="B135" s="39">
        <v>134</v>
      </c>
      <c r="D135" s="40">
        <f t="shared" si="5"/>
        <v>3115</v>
      </c>
      <c r="E135" s="39">
        <v>134</v>
      </c>
    </row>
    <row r="136" spans="1:5" x14ac:dyDescent="0.25">
      <c r="A136" s="40">
        <f t="shared" si="4"/>
        <v>790</v>
      </c>
      <c r="B136" s="39">
        <v>135</v>
      </c>
      <c r="D136" s="40">
        <f t="shared" si="5"/>
        <v>3138</v>
      </c>
      <c r="E136" s="39">
        <v>135</v>
      </c>
    </row>
    <row r="137" spans="1:5" x14ac:dyDescent="0.25">
      <c r="A137" s="40">
        <f t="shared" si="4"/>
        <v>796</v>
      </c>
      <c r="B137" s="39">
        <v>136</v>
      </c>
      <c r="D137" s="40">
        <f t="shared" si="5"/>
        <v>3162</v>
      </c>
      <c r="E137" s="39">
        <v>136</v>
      </c>
    </row>
    <row r="138" spans="1:5" x14ac:dyDescent="0.25">
      <c r="A138" s="40">
        <f t="shared" si="4"/>
        <v>802</v>
      </c>
      <c r="B138" s="39">
        <v>137</v>
      </c>
      <c r="D138" s="40">
        <f t="shared" si="5"/>
        <v>3185</v>
      </c>
      <c r="E138" s="39">
        <v>137</v>
      </c>
    </row>
    <row r="139" spans="1:5" x14ac:dyDescent="0.25">
      <c r="A139" s="40">
        <f t="shared" si="4"/>
        <v>808</v>
      </c>
      <c r="B139" s="39">
        <v>138</v>
      </c>
      <c r="D139" s="40">
        <f t="shared" si="5"/>
        <v>3208</v>
      </c>
      <c r="E139" s="39">
        <v>138</v>
      </c>
    </row>
    <row r="140" spans="1:5" x14ac:dyDescent="0.25">
      <c r="A140" s="40">
        <f t="shared" si="4"/>
        <v>814</v>
      </c>
      <c r="B140" s="39">
        <v>139</v>
      </c>
      <c r="D140" s="40">
        <f t="shared" si="5"/>
        <v>3231</v>
      </c>
      <c r="E140" s="39">
        <v>139</v>
      </c>
    </row>
    <row r="141" spans="1:5" x14ac:dyDescent="0.25">
      <c r="A141" s="40">
        <f t="shared" si="4"/>
        <v>820</v>
      </c>
      <c r="B141" s="39">
        <v>140</v>
      </c>
      <c r="D141" s="40">
        <f t="shared" si="5"/>
        <v>3255</v>
      </c>
      <c r="E141" s="39">
        <v>140</v>
      </c>
    </row>
    <row r="142" spans="1:5" x14ac:dyDescent="0.25">
      <c r="A142" s="40">
        <f t="shared" si="4"/>
        <v>826</v>
      </c>
      <c r="B142" s="39">
        <v>141</v>
      </c>
      <c r="D142" s="40">
        <f t="shared" si="5"/>
        <v>3278</v>
      </c>
      <c r="E142" s="39">
        <v>141</v>
      </c>
    </row>
    <row r="143" spans="1:5" x14ac:dyDescent="0.25">
      <c r="A143" s="40">
        <f t="shared" si="4"/>
        <v>831</v>
      </c>
      <c r="B143" s="39">
        <v>142</v>
      </c>
      <c r="D143" s="40">
        <f t="shared" si="5"/>
        <v>3301</v>
      </c>
      <c r="E143" s="39">
        <v>142</v>
      </c>
    </row>
    <row r="144" spans="1:5" x14ac:dyDescent="0.25">
      <c r="A144" s="40">
        <f t="shared" si="4"/>
        <v>837</v>
      </c>
      <c r="B144" s="39">
        <v>143</v>
      </c>
      <c r="D144" s="40">
        <f t="shared" si="5"/>
        <v>3324</v>
      </c>
      <c r="E144" s="39">
        <v>143</v>
      </c>
    </row>
    <row r="145" spans="1:5" x14ac:dyDescent="0.25">
      <c r="A145" s="40">
        <f t="shared" si="4"/>
        <v>843</v>
      </c>
      <c r="B145" s="39">
        <v>144</v>
      </c>
      <c r="D145" s="40">
        <f t="shared" si="5"/>
        <v>3348</v>
      </c>
      <c r="E145" s="39">
        <v>144</v>
      </c>
    </row>
    <row r="146" spans="1:5" x14ac:dyDescent="0.25">
      <c r="A146" s="40">
        <f t="shared" si="4"/>
        <v>849</v>
      </c>
      <c r="B146" s="39">
        <v>145</v>
      </c>
      <c r="D146" s="40">
        <f t="shared" si="5"/>
        <v>3371</v>
      </c>
      <c r="E146" s="39">
        <v>145</v>
      </c>
    </row>
    <row r="147" spans="1:5" x14ac:dyDescent="0.25">
      <c r="A147" s="40">
        <f t="shared" si="4"/>
        <v>855</v>
      </c>
      <c r="B147" s="39">
        <v>146</v>
      </c>
      <c r="D147" s="40">
        <f t="shared" si="5"/>
        <v>3394</v>
      </c>
      <c r="E147" s="39">
        <v>146</v>
      </c>
    </row>
    <row r="148" spans="1:5" x14ac:dyDescent="0.25">
      <c r="A148" s="40">
        <f t="shared" si="4"/>
        <v>861</v>
      </c>
      <c r="B148" s="39">
        <v>147</v>
      </c>
      <c r="D148" s="40">
        <f t="shared" si="5"/>
        <v>3417</v>
      </c>
      <c r="E148" s="39">
        <v>147</v>
      </c>
    </row>
    <row r="149" spans="1:5" x14ac:dyDescent="0.25">
      <c r="A149" s="40">
        <f t="shared" si="4"/>
        <v>867</v>
      </c>
      <c r="B149" s="39">
        <v>148</v>
      </c>
      <c r="D149" s="40">
        <f t="shared" si="5"/>
        <v>3441</v>
      </c>
      <c r="E149" s="39">
        <v>148</v>
      </c>
    </row>
    <row r="150" spans="1:5" x14ac:dyDescent="0.25">
      <c r="A150" s="40">
        <f t="shared" si="4"/>
        <v>872</v>
      </c>
      <c r="B150" s="39">
        <v>149</v>
      </c>
      <c r="D150" s="40">
        <f t="shared" si="5"/>
        <v>3464</v>
      </c>
      <c r="E150" s="39">
        <v>149</v>
      </c>
    </row>
    <row r="151" spans="1:5" x14ac:dyDescent="0.25">
      <c r="A151" s="40">
        <f t="shared" si="4"/>
        <v>878</v>
      </c>
      <c r="B151" s="39">
        <v>150</v>
      </c>
      <c r="D151" s="40">
        <f t="shared" si="5"/>
        <v>3487</v>
      </c>
      <c r="E151" s="39">
        <v>150</v>
      </c>
    </row>
    <row r="152" spans="1:5" x14ac:dyDescent="0.25">
      <c r="A152" s="40">
        <f t="shared" si="4"/>
        <v>884</v>
      </c>
      <c r="B152" s="39">
        <v>151</v>
      </c>
      <c r="D152" s="40">
        <f t="shared" si="5"/>
        <v>3510</v>
      </c>
      <c r="E152" s="39">
        <v>151</v>
      </c>
    </row>
    <row r="153" spans="1:5" x14ac:dyDescent="0.25">
      <c r="A153" s="40">
        <f t="shared" si="4"/>
        <v>890</v>
      </c>
      <c r="B153" s="39">
        <v>152</v>
      </c>
      <c r="D153" s="40">
        <f t="shared" si="5"/>
        <v>3534</v>
      </c>
      <c r="E153" s="39">
        <v>152</v>
      </c>
    </row>
    <row r="154" spans="1:5" x14ac:dyDescent="0.25">
      <c r="A154" s="40">
        <f t="shared" si="4"/>
        <v>896</v>
      </c>
      <c r="B154" s="39">
        <v>153</v>
      </c>
      <c r="D154" s="40">
        <f t="shared" si="5"/>
        <v>3557</v>
      </c>
      <c r="E154" s="39">
        <v>153</v>
      </c>
    </row>
    <row r="155" spans="1:5" x14ac:dyDescent="0.25">
      <c r="A155" s="40">
        <f t="shared" si="4"/>
        <v>902</v>
      </c>
      <c r="B155" s="39">
        <v>154</v>
      </c>
      <c r="D155" s="40">
        <f t="shared" si="5"/>
        <v>3580</v>
      </c>
      <c r="E155" s="39">
        <v>154</v>
      </c>
    </row>
    <row r="156" spans="1:5" x14ac:dyDescent="0.25">
      <c r="A156" s="40">
        <f t="shared" si="4"/>
        <v>908</v>
      </c>
      <c r="B156" s="39">
        <v>155</v>
      </c>
      <c r="D156" s="40">
        <f t="shared" si="5"/>
        <v>3603</v>
      </c>
      <c r="E156" s="39">
        <v>155</v>
      </c>
    </row>
    <row r="157" spans="1:5" x14ac:dyDescent="0.25">
      <c r="A157" s="40">
        <f t="shared" si="4"/>
        <v>913</v>
      </c>
      <c r="B157" s="39">
        <v>156</v>
      </c>
      <c r="D157" s="40">
        <f t="shared" si="5"/>
        <v>3627</v>
      </c>
      <c r="E157" s="39">
        <v>156</v>
      </c>
    </row>
    <row r="158" spans="1:5" x14ac:dyDescent="0.25">
      <c r="A158" s="40">
        <f t="shared" si="4"/>
        <v>919</v>
      </c>
      <c r="B158" s="39">
        <v>157</v>
      </c>
      <c r="D158" s="40">
        <f t="shared" si="5"/>
        <v>3650</v>
      </c>
      <c r="E158" s="39">
        <v>157</v>
      </c>
    </row>
    <row r="159" spans="1:5" x14ac:dyDescent="0.25">
      <c r="A159" s="40">
        <f t="shared" si="4"/>
        <v>925</v>
      </c>
      <c r="B159" s="39">
        <v>158</v>
      </c>
      <c r="D159" s="40">
        <f t="shared" si="5"/>
        <v>3673</v>
      </c>
      <c r="E159" s="39">
        <v>158</v>
      </c>
    </row>
    <row r="160" spans="1:5" x14ac:dyDescent="0.25">
      <c r="A160" s="40">
        <f t="shared" si="4"/>
        <v>931</v>
      </c>
      <c r="B160" s="39">
        <v>159</v>
      </c>
      <c r="D160" s="40">
        <f t="shared" si="5"/>
        <v>3696</v>
      </c>
      <c r="E160" s="39">
        <v>159</v>
      </c>
    </row>
    <row r="161" spans="1:5" x14ac:dyDescent="0.25">
      <c r="A161" s="40">
        <f t="shared" si="4"/>
        <v>937</v>
      </c>
      <c r="B161" s="39">
        <v>160</v>
      </c>
      <c r="D161" s="40">
        <f t="shared" si="5"/>
        <v>3720</v>
      </c>
      <c r="E161" s="39">
        <v>160</v>
      </c>
    </row>
    <row r="162" spans="1:5" x14ac:dyDescent="0.25">
      <c r="A162" s="40">
        <f t="shared" si="4"/>
        <v>943</v>
      </c>
      <c r="B162" s="39">
        <v>161</v>
      </c>
      <c r="D162" s="40">
        <f t="shared" si="5"/>
        <v>3743</v>
      </c>
      <c r="E162" s="39">
        <v>161</v>
      </c>
    </row>
    <row r="163" spans="1:5" x14ac:dyDescent="0.25">
      <c r="A163" s="40">
        <f t="shared" si="4"/>
        <v>949</v>
      </c>
      <c r="B163" s="39">
        <v>162</v>
      </c>
      <c r="D163" s="40">
        <f t="shared" si="5"/>
        <v>3766</v>
      </c>
      <c r="E163" s="39">
        <v>162</v>
      </c>
    </row>
    <row r="164" spans="1:5" x14ac:dyDescent="0.25">
      <c r="A164" s="40">
        <f t="shared" si="4"/>
        <v>954</v>
      </c>
      <c r="B164" s="39">
        <v>163</v>
      </c>
      <c r="D164" s="40">
        <f t="shared" si="5"/>
        <v>3789</v>
      </c>
      <c r="E164" s="39">
        <v>163</v>
      </c>
    </row>
    <row r="165" spans="1:5" x14ac:dyDescent="0.25">
      <c r="A165" s="40">
        <f t="shared" si="4"/>
        <v>960</v>
      </c>
      <c r="B165" s="39">
        <v>164</v>
      </c>
      <c r="D165" s="40">
        <f t="shared" si="5"/>
        <v>3813</v>
      </c>
      <c r="E165" s="39">
        <v>164</v>
      </c>
    </row>
    <row r="166" spans="1:5" x14ac:dyDescent="0.25">
      <c r="A166" s="40">
        <f t="shared" si="4"/>
        <v>966</v>
      </c>
      <c r="B166" s="39">
        <v>165</v>
      </c>
      <c r="D166" s="40">
        <f t="shared" si="5"/>
        <v>3836</v>
      </c>
      <c r="E166" s="39">
        <v>165</v>
      </c>
    </row>
    <row r="167" spans="1:5" x14ac:dyDescent="0.25">
      <c r="A167" s="40">
        <f t="shared" si="4"/>
        <v>972</v>
      </c>
      <c r="B167" s="39">
        <v>166</v>
      </c>
      <c r="D167" s="40">
        <f t="shared" si="5"/>
        <v>3859</v>
      </c>
      <c r="E167" s="39">
        <v>166</v>
      </c>
    </row>
    <row r="168" spans="1:5" x14ac:dyDescent="0.25">
      <c r="A168" s="40">
        <f t="shared" si="4"/>
        <v>978</v>
      </c>
      <c r="B168" s="39">
        <v>167</v>
      </c>
      <c r="D168" s="40">
        <f t="shared" si="5"/>
        <v>3882</v>
      </c>
      <c r="E168" s="39">
        <v>167</v>
      </c>
    </row>
    <row r="169" spans="1:5" x14ac:dyDescent="0.25">
      <c r="A169" s="40">
        <f t="shared" si="4"/>
        <v>984</v>
      </c>
      <c r="B169" s="39">
        <v>168</v>
      </c>
      <c r="D169" s="40">
        <f t="shared" si="5"/>
        <v>3906</v>
      </c>
      <c r="E169" s="39">
        <v>168</v>
      </c>
    </row>
    <row r="170" spans="1:5" x14ac:dyDescent="0.25">
      <c r="A170" s="40">
        <f t="shared" si="4"/>
        <v>990</v>
      </c>
      <c r="B170" s="39">
        <v>169</v>
      </c>
      <c r="D170" s="40">
        <f t="shared" si="5"/>
        <v>3929</v>
      </c>
      <c r="E170" s="39">
        <v>169</v>
      </c>
    </row>
    <row r="171" spans="1:5" x14ac:dyDescent="0.25">
      <c r="A171" s="40">
        <f t="shared" si="4"/>
        <v>996</v>
      </c>
      <c r="B171" s="39">
        <v>170</v>
      </c>
      <c r="D171" s="40">
        <f t="shared" si="5"/>
        <v>3952</v>
      </c>
      <c r="E171" s="39">
        <v>170</v>
      </c>
    </row>
    <row r="172" spans="1:5" x14ac:dyDescent="0.25">
      <c r="A172" s="40">
        <f t="shared" si="4"/>
        <v>1001</v>
      </c>
      <c r="B172" s="39">
        <v>171</v>
      </c>
      <c r="D172" s="40">
        <f t="shared" si="5"/>
        <v>3975</v>
      </c>
      <c r="E172" s="39">
        <v>171</v>
      </c>
    </row>
    <row r="173" spans="1:5" x14ac:dyDescent="0.25">
      <c r="A173" s="40">
        <f t="shared" si="4"/>
        <v>1007</v>
      </c>
      <c r="B173" s="39">
        <v>172</v>
      </c>
      <c r="D173" s="40">
        <f t="shared" si="5"/>
        <v>3999</v>
      </c>
      <c r="E173" s="39">
        <v>172</v>
      </c>
    </row>
    <row r="174" spans="1:5" x14ac:dyDescent="0.25">
      <c r="A174" s="40">
        <f t="shared" si="4"/>
        <v>1013</v>
      </c>
      <c r="B174" s="39">
        <v>173</v>
      </c>
      <c r="D174" s="40">
        <f t="shared" si="5"/>
        <v>4022</v>
      </c>
      <c r="E174" s="39">
        <v>173</v>
      </c>
    </row>
    <row r="175" spans="1:5" x14ac:dyDescent="0.25">
      <c r="A175" s="40">
        <f t="shared" si="4"/>
        <v>1019</v>
      </c>
      <c r="B175" s="39">
        <v>174</v>
      </c>
      <c r="D175" s="40">
        <f t="shared" si="5"/>
        <v>4045</v>
      </c>
      <c r="E175" s="39">
        <v>174</v>
      </c>
    </row>
    <row r="176" spans="1:5" x14ac:dyDescent="0.25">
      <c r="A176" s="40">
        <f t="shared" si="4"/>
        <v>1025</v>
      </c>
      <c r="B176" s="39">
        <v>175</v>
      </c>
      <c r="D176" s="40">
        <f t="shared" si="5"/>
        <v>4068</v>
      </c>
      <c r="E176" s="39">
        <v>175</v>
      </c>
    </row>
    <row r="177" spans="1:5" x14ac:dyDescent="0.25">
      <c r="A177" s="40">
        <f t="shared" si="4"/>
        <v>1031</v>
      </c>
      <c r="B177" s="39">
        <v>176</v>
      </c>
      <c r="D177" s="40">
        <f t="shared" si="5"/>
        <v>4092</v>
      </c>
      <c r="E177" s="39">
        <v>176</v>
      </c>
    </row>
    <row r="178" spans="1:5" x14ac:dyDescent="0.25">
      <c r="A178" s="40">
        <f t="shared" si="4"/>
        <v>1037</v>
      </c>
      <c r="B178" s="39">
        <v>177</v>
      </c>
      <c r="D178" s="40">
        <f t="shared" si="5"/>
        <v>4115</v>
      </c>
      <c r="E178" s="39">
        <v>177</v>
      </c>
    </row>
    <row r="179" spans="1:5" x14ac:dyDescent="0.25">
      <c r="A179" s="40">
        <f t="shared" si="4"/>
        <v>1042</v>
      </c>
      <c r="B179" s="39">
        <v>178</v>
      </c>
      <c r="D179" s="40">
        <f t="shared" si="5"/>
        <v>4138</v>
      </c>
      <c r="E179" s="39">
        <v>178</v>
      </c>
    </row>
    <row r="180" spans="1:5" x14ac:dyDescent="0.25">
      <c r="A180" s="40">
        <f t="shared" si="4"/>
        <v>1048</v>
      </c>
      <c r="B180" s="39">
        <v>179</v>
      </c>
      <c r="D180" s="40">
        <f t="shared" si="5"/>
        <v>4161</v>
      </c>
      <c r="E180" s="39">
        <v>179</v>
      </c>
    </row>
    <row r="181" spans="1:5" x14ac:dyDescent="0.25">
      <c r="A181" s="40">
        <f t="shared" si="4"/>
        <v>1054</v>
      </c>
      <c r="B181" s="39">
        <v>180</v>
      </c>
      <c r="D181" s="40">
        <f t="shared" si="5"/>
        <v>4185</v>
      </c>
      <c r="E181" s="39">
        <v>180</v>
      </c>
    </row>
    <row r="182" spans="1:5" x14ac:dyDescent="0.25">
      <c r="A182" s="40">
        <f t="shared" si="4"/>
        <v>1060</v>
      </c>
      <c r="B182" s="39">
        <v>181</v>
      </c>
      <c r="D182" s="40">
        <f t="shared" si="5"/>
        <v>4208</v>
      </c>
      <c r="E182" s="39">
        <v>181</v>
      </c>
    </row>
    <row r="183" spans="1:5" x14ac:dyDescent="0.25">
      <c r="A183" s="40">
        <f t="shared" si="4"/>
        <v>1066</v>
      </c>
      <c r="B183" s="39">
        <v>182</v>
      </c>
      <c r="D183" s="40">
        <f t="shared" si="5"/>
        <v>4231</v>
      </c>
      <c r="E183" s="39">
        <v>182</v>
      </c>
    </row>
    <row r="184" spans="1:5" x14ac:dyDescent="0.25">
      <c r="A184" s="40">
        <f t="shared" si="4"/>
        <v>1072</v>
      </c>
      <c r="B184" s="39">
        <v>183</v>
      </c>
      <c r="D184" s="40">
        <f t="shared" si="5"/>
        <v>4254</v>
      </c>
      <c r="E184" s="39">
        <v>183</v>
      </c>
    </row>
    <row r="185" spans="1:5" x14ac:dyDescent="0.25">
      <c r="A185" s="40">
        <f t="shared" si="4"/>
        <v>1078</v>
      </c>
      <c r="B185" s="39">
        <v>184</v>
      </c>
      <c r="D185" s="40">
        <f t="shared" si="5"/>
        <v>4278</v>
      </c>
      <c r="E185" s="39">
        <v>184</v>
      </c>
    </row>
    <row r="186" spans="1:5" x14ac:dyDescent="0.25">
      <c r="A186" s="40">
        <f t="shared" si="4"/>
        <v>1083</v>
      </c>
      <c r="B186" s="39">
        <v>185</v>
      </c>
      <c r="D186" s="40">
        <f t="shared" si="5"/>
        <v>4301</v>
      </c>
      <c r="E186" s="39">
        <v>185</v>
      </c>
    </row>
    <row r="187" spans="1:5" x14ac:dyDescent="0.25">
      <c r="A187" s="40">
        <f t="shared" si="4"/>
        <v>1089</v>
      </c>
      <c r="B187" s="39">
        <v>186</v>
      </c>
      <c r="D187" s="40">
        <f t="shared" si="5"/>
        <v>4324</v>
      </c>
      <c r="E187" s="39">
        <v>186</v>
      </c>
    </row>
    <row r="188" spans="1:5" x14ac:dyDescent="0.25">
      <c r="A188" s="40">
        <f t="shared" si="4"/>
        <v>1095</v>
      </c>
      <c r="B188" s="39">
        <v>187</v>
      </c>
      <c r="D188" s="40">
        <f t="shared" si="5"/>
        <v>4347</v>
      </c>
      <c r="E188" s="39">
        <v>187</v>
      </c>
    </row>
    <row r="189" spans="1:5" x14ac:dyDescent="0.25">
      <c r="A189" s="40">
        <f t="shared" si="4"/>
        <v>1101</v>
      </c>
      <c r="B189" s="39">
        <v>188</v>
      </c>
      <c r="D189" s="40">
        <f t="shared" si="5"/>
        <v>4371</v>
      </c>
      <c r="E189" s="39">
        <v>188</v>
      </c>
    </row>
    <row r="190" spans="1:5" x14ac:dyDescent="0.25">
      <c r="A190" s="40">
        <f t="shared" si="4"/>
        <v>1107</v>
      </c>
      <c r="B190" s="39">
        <v>189</v>
      </c>
      <c r="D190" s="40">
        <f t="shared" si="5"/>
        <v>4394</v>
      </c>
      <c r="E190" s="39">
        <v>189</v>
      </c>
    </row>
    <row r="191" spans="1:5" x14ac:dyDescent="0.25">
      <c r="A191" s="40">
        <f t="shared" si="4"/>
        <v>1113</v>
      </c>
      <c r="B191" s="39">
        <v>190</v>
      </c>
      <c r="D191" s="40">
        <f t="shared" si="5"/>
        <v>4417</v>
      </c>
      <c r="E191" s="39">
        <v>190</v>
      </c>
    </row>
    <row r="192" spans="1:5" x14ac:dyDescent="0.25">
      <c r="A192" s="40">
        <f t="shared" si="4"/>
        <v>1119</v>
      </c>
      <c r="B192" s="39">
        <v>191</v>
      </c>
      <c r="D192" s="40">
        <f t="shared" si="5"/>
        <v>4440</v>
      </c>
      <c r="E192" s="39">
        <v>191</v>
      </c>
    </row>
    <row r="193" spans="1:5" x14ac:dyDescent="0.25">
      <c r="A193" s="40">
        <f t="shared" si="4"/>
        <v>1124</v>
      </c>
      <c r="B193" s="39">
        <v>192</v>
      </c>
      <c r="D193" s="40">
        <f t="shared" si="5"/>
        <v>4464</v>
      </c>
      <c r="E193" s="39">
        <v>192</v>
      </c>
    </row>
    <row r="194" spans="1:5" x14ac:dyDescent="0.25">
      <c r="A194" s="40">
        <f t="shared" ref="A194:A256" si="6">ROUNDDOWN((1494/255)*B194,0)</f>
        <v>1130</v>
      </c>
      <c r="B194" s="39">
        <v>193</v>
      </c>
      <c r="D194" s="40">
        <f t="shared" ref="D194:D255" si="7">ROUNDDOWN((5929/255)*E194,0)</f>
        <v>4487</v>
      </c>
      <c r="E194" s="39">
        <v>193</v>
      </c>
    </row>
    <row r="195" spans="1:5" x14ac:dyDescent="0.25">
      <c r="A195" s="40">
        <f t="shared" si="6"/>
        <v>1136</v>
      </c>
      <c r="B195" s="39">
        <v>194</v>
      </c>
      <c r="D195" s="40">
        <f t="shared" si="7"/>
        <v>4510</v>
      </c>
      <c r="E195" s="39">
        <v>194</v>
      </c>
    </row>
    <row r="196" spans="1:5" x14ac:dyDescent="0.25">
      <c r="A196" s="40">
        <f t="shared" si="6"/>
        <v>1142</v>
      </c>
      <c r="B196" s="39">
        <v>195</v>
      </c>
      <c r="D196" s="40">
        <f t="shared" si="7"/>
        <v>4533</v>
      </c>
      <c r="E196" s="39">
        <v>195</v>
      </c>
    </row>
    <row r="197" spans="1:5" x14ac:dyDescent="0.25">
      <c r="A197" s="40">
        <f t="shared" si="6"/>
        <v>1148</v>
      </c>
      <c r="B197" s="39">
        <v>196</v>
      </c>
      <c r="D197" s="40">
        <f t="shared" si="7"/>
        <v>4557</v>
      </c>
      <c r="E197" s="39">
        <v>196</v>
      </c>
    </row>
    <row r="198" spans="1:5" x14ac:dyDescent="0.25">
      <c r="A198" s="40">
        <f t="shared" si="6"/>
        <v>1154</v>
      </c>
      <c r="B198" s="39">
        <v>197</v>
      </c>
      <c r="D198" s="40">
        <f t="shared" si="7"/>
        <v>4580</v>
      </c>
      <c r="E198" s="39">
        <v>197</v>
      </c>
    </row>
    <row r="199" spans="1:5" x14ac:dyDescent="0.25">
      <c r="A199" s="40">
        <f t="shared" si="6"/>
        <v>1160</v>
      </c>
      <c r="B199" s="39">
        <v>198</v>
      </c>
      <c r="D199" s="40">
        <f t="shared" si="7"/>
        <v>4603</v>
      </c>
      <c r="E199" s="39">
        <v>198</v>
      </c>
    </row>
    <row r="200" spans="1:5" x14ac:dyDescent="0.25">
      <c r="A200" s="40">
        <f t="shared" si="6"/>
        <v>1165</v>
      </c>
      <c r="B200" s="39">
        <v>199</v>
      </c>
      <c r="D200" s="40">
        <f t="shared" si="7"/>
        <v>4626</v>
      </c>
      <c r="E200" s="39">
        <v>199</v>
      </c>
    </row>
    <row r="201" spans="1:5" x14ac:dyDescent="0.25">
      <c r="A201" s="40">
        <f t="shared" si="6"/>
        <v>1171</v>
      </c>
      <c r="B201" s="39">
        <v>200</v>
      </c>
      <c r="D201" s="40">
        <f t="shared" si="7"/>
        <v>4650</v>
      </c>
      <c r="E201" s="39">
        <v>200</v>
      </c>
    </row>
    <row r="202" spans="1:5" x14ac:dyDescent="0.25">
      <c r="A202" s="40">
        <f t="shared" si="6"/>
        <v>1177</v>
      </c>
      <c r="B202" s="39">
        <v>201</v>
      </c>
      <c r="D202" s="40">
        <f t="shared" si="7"/>
        <v>4673</v>
      </c>
      <c r="E202" s="39">
        <v>201</v>
      </c>
    </row>
    <row r="203" spans="1:5" x14ac:dyDescent="0.25">
      <c r="A203" s="40">
        <f t="shared" si="6"/>
        <v>1183</v>
      </c>
      <c r="B203" s="39">
        <v>202</v>
      </c>
      <c r="D203" s="40">
        <f t="shared" si="7"/>
        <v>4696</v>
      </c>
      <c r="E203" s="39">
        <v>202</v>
      </c>
    </row>
    <row r="204" spans="1:5" x14ac:dyDescent="0.25">
      <c r="A204" s="40">
        <f t="shared" si="6"/>
        <v>1189</v>
      </c>
      <c r="B204" s="39">
        <v>203</v>
      </c>
      <c r="D204" s="40">
        <f t="shared" si="7"/>
        <v>4719</v>
      </c>
      <c r="E204" s="39">
        <v>203</v>
      </c>
    </row>
    <row r="205" spans="1:5" x14ac:dyDescent="0.25">
      <c r="A205" s="40">
        <f t="shared" si="6"/>
        <v>1195</v>
      </c>
      <c r="B205" s="39">
        <v>204</v>
      </c>
      <c r="D205" s="40">
        <f t="shared" si="7"/>
        <v>4743</v>
      </c>
      <c r="E205" s="39">
        <v>204</v>
      </c>
    </row>
    <row r="206" spans="1:5" x14ac:dyDescent="0.25">
      <c r="A206" s="40">
        <f t="shared" si="6"/>
        <v>1201</v>
      </c>
      <c r="B206" s="39">
        <v>205</v>
      </c>
      <c r="D206" s="40">
        <f t="shared" si="7"/>
        <v>4766</v>
      </c>
      <c r="E206" s="39">
        <v>205</v>
      </c>
    </row>
    <row r="207" spans="1:5" x14ac:dyDescent="0.25">
      <c r="A207" s="40">
        <f t="shared" si="6"/>
        <v>1206</v>
      </c>
      <c r="B207" s="39">
        <v>206</v>
      </c>
      <c r="D207" s="40">
        <f t="shared" si="7"/>
        <v>4789</v>
      </c>
      <c r="E207" s="39">
        <v>206</v>
      </c>
    </row>
    <row r="208" spans="1:5" x14ac:dyDescent="0.25">
      <c r="A208" s="40">
        <f t="shared" si="6"/>
        <v>1212</v>
      </c>
      <c r="B208" s="39">
        <v>207</v>
      </c>
      <c r="D208" s="40">
        <f t="shared" si="7"/>
        <v>4812</v>
      </c>
      <c r="E208" s="39">
        <v>207</v>
      </c>
    </row>
    <row r="209" spans="1:5" x14ac:dyDescent="0.25">
      <c r="A209" s="40">
        <f t="shared" si="6"/>
        <v>1218</v>
      </c>
      <c r="B209" s="39">
        <v>208</v>
      </c>
      <c r="D209" s="40">
        <f t="shared" si="7"/>
        <v>4836</v>
      </c>
      <c r="E209" s="39">
        <v>208</v>
      </c>
    </row>
    <row r="210" spans="1:5" x14ac:dyDescent="0.25">
      <c r="A210" s="40">
        <f t="shared" si="6"/>
        <v>1224</v>
      </c>
      <c r="B210" s="39">
        <v>209</v>
      </c>
      <c r="D210" s="40">
        <f t="shared" si="7"/>
        <v>4859</v>
      </c>
      <c r="E210" s="39">
        <v>209</v>
      </c>
    </row>
    <row r="211" spans="1:5" x14ac:dyDescent="0.25">
      <c r="A211" s="40">
        <f t="shared" si="6"/>
        <v>1230</v>
      </c>
      <c r="B211" s="39">
        <v>210</v>
      </c>
      <c r="D211" s="40">
        <f t="shared" si="7"/>
        <v>4882</v>
      </c>
      <c r="E211" s="39">
        <v>210</v>
      </c>
    </row>
    <row r="212" spans="1:5" x14ac:dyDescent="0.25">
      <c r="A212" s="40">
        <f t="shared" si="6"/>
        <v>1236</v>
      </c>
      <c r="B212" s="39">
        <v>211</v>
      </c>
      <c r="D212" s="40">
        <f t="shared" si="7"/>
        <v>4905</v>
      </c>
      <c r="E212" s="39">
        <v>211</v>
      </c>
    </row>
    <row r="213" spans="1:5" x14ac:dyDescent="0.25">
      <c r="A213" s="40">
        <f t="shared" si="6"/>
        <v>1242</v>
      </c>
      <c r="B213" s="39">
        <v>212</v>
      </c>
      <c r="D213" s="40">
        <f t="shared" si="7"/>
        <v>4929</v>
      </c>
      <c r="E213" s="39">
        <v>212</v>
      </c>
    </row>
    <row r="214" spans="1:5" x14ac:dyDescent="0.25">
      <c r="A214" s="40">
        <f t="shared" si="6"/>
        <v>1247</v>
      </c>
      <c r="B214" s="39">
        <v>213</v>
      </c>
      <c r="D214" s="40">
        <f t="shared" si="7"/>
        <v>4952</v>
      </c>
      <c r="E214" s="39">
        <v>213</v>
      </c>
    </row>
    <row r="215" spans="1:5" x14ac:dyDescent="0.25">
      <c r="A215" s="40">
        <f t="shared" si="6"/>
        <v>1253</v>
      </c>
      <c r="B215" s="39">
        <v>214</v>
      </c>
      <c r="D215" s="40">
        <f t="shared" si="7"/>
        <v>4975</v>
      </c>
      <c r="E215" s="39">
        <v>214</v>
      </c>
    </row>
    <row r="216" spans="1:5" x14ac:dyDescent="0.25">
      <c r="A216" s="40">
        <f t="shared" si="6"/>
        <v>1259</v>
      </c>
      <c r="B216" s="39">
        <v>215</v>
      </c>
      <c r="D216" s="40">
        <f t="shared" si="7"/>
        <v>4998</v>
      </c>
      <c r="E216" s="39">
        <v>215</v>
      </c>
    </row>
    <row r="217" spans="1:5" x14ac:dyDescent="0.25">
      <c r="A217" s="40">
        <f t="shared" si="6"/>
        <v>1265</v>
      </c>
      <c r="B217" s="39">
        <v>216</v>
      </c>
      <c r="D217" s="40">
        <f t="shared" si="7"/>
        <v>5022</v>
      </c>
      <c r="E217" s="39">
        <v>216</v>
      </c>
    </row>
    <row r="218" spans="1:5" x14ac:dyDescent="0.25">
      <c r="A218" s="40">
        <f t="shared" si="6"/>
        <v>1271</v>
      </c>
      <c r="B218" s="39">
        <v>217</v>
      </c>
      <c r="D218" s="40">
        <f t="shared" si="7"/>
        <v>5045</v>
      </c>
      <c r="E218" s="39">
        <v>217</v>
      </c>
    </row>
    <row r="219" spans="1:5" x14ac:dyDescent="0.25">
      <c r="A219" s="40">
        <f t="shared" si="6"/>
        <v>1277</v>
      </c>
      <c r="B219" s="39">
        <v>218</v>
      </c>
      <c r="D219" s="40">
        <f t="shared" si="7"/>
        <v>5068</v>
      </c>
      <c r="E219" s="39">
        <v>218</v>
      </c>
    </row>
    <row r="220" spans="1:5" x14ac:dyDescent="0.25">
      <c r="A220" s="40">
        <f t="shared" si="6"/>
        <v>1283</v>
      </c>
      <c r="B220" s="39">
        <v>219</v>
      </c>
      <c r="D220" s="40">
        <f t="shared" si="7"/>
        <v>5091</v>
      </c>
      <c r="E220" s="39">
        <v>219</v>
      </c>
    </row>
    <row r="221" spans="1:5" x14ac:dyDescent="0.25">
      <c r="A221" s="40">
        <f t="shared" si="6"/>
        <v>1288</v>
      </c>
      <c r="B221" s="39">
        <v>220</v>
      </c>
      <c r="D221" s="40">
        <f t="shared" si="7"/>
        <v>5115</v>
      </c>
      <c r="E221" s="39">
        <v>220</v>
      </c>
    </row>
    <row r="222" spans="1:5" x14ac:dyDescent="0.25">
      <c r="A222" s="40">
        <f t="shared" si="6"/>
        <v>1294</v>
      </c>
      <c r="B222" s="39">
        <v>221</v>
      </c>
      <c r="D222" s="40">
        <f t="shared" si="7"/>
        <v>5138</v>
      </c>
      <c r="E222" s="39">
        <v>221</v>
      </c>
    </row>
    <row r="223" spans="1:5" x14ac:dyDescent="0.25">
      <c r="A223" s="40">
        <f t="shared" si="6"/>
        <v>1300</v>
      </c>
      <c r="B223" s="39">
        <v>222</v>
      </c>
      <c r="D223" s="40">
        <f t="shared" si="7"/>
        <v>5161</v>
      </c>
      <c r="E223" s="39">
        <v>222</v>
      </c>
    </row>
    <row r="224" spans="1:5" x14ac:dyDescent="0.25">
      <c r="A224" s="40">
        <f t="shared" si="6"/>
        <v>1306</v>
      </c>
      <c r="B224" s="39">
        <v>223</v>
      </c>
      <c r="D224" s="40">
        <f t="shared" si="7"/>
        <v>5184</v>
      </c>
      <c r="E224" s="39">
        <v>223</v>
      </c>
    </row>
    <row r="225" spans="1:5" x14ac:dyDescent="0.25">
      <c r="A225" s="40">
        <f t="shared" si="6"/>
        <v>1312</v>
      </c>
      <c r="B225" s="39">
        <v>224</v>
      </c>
      <c r="D225" s="40">
        <f t="shared" si="7"/>
        <v>5208</v>
      </c>
      <c r="E225" s="39">
        <v>224</v>
      </c>
    </row>
    <row r="226" spans="1:5" x14ac:dyDescent="0.25">
      <c r="A226" s="40">
        <f t="shared" si="6"/>
        <v>1318</v>
      </c>
      <c r="B226" s="39">
        <v>225</v>
      </c>
      <c r="D226" s="40">
        <f t="shared" si="7"/>
        <v>5231</v>
      </c>
      <c r="E226" s="39">
        <v>225</v>
      </c>
    </row>
    <row r="227" spans="1:5" x14ac:dyDescent="0.25">
      <c r="A227" s="40">
        <f t="shared" si="6"/>
        <v>1324</v>
      </c>
      <c r="B227" s="39">
        <v>226</v>
      </c>
      <c r="D227" s="40">
        <f t="shared" si="7"/>
        <v>5254</v>
      </c>
      <c r="E227" s="39">
        <v>226</v>
      </c>
    </row>
    <row r="228" spans="1:5" x14ac:dyDescent="0.25">
      <c r="A228" s="40">
        <f t="shared" si="6"/>
        <v>1329</v>
      </c>
      <c r="B228" s="39">
        <v>227</v>
      </c>
      <c r="D228" s="40">
        <f t="shared" si="7"/>
        <v>5277</v>
      </c>
      <c r="E228" s="39">
        <v>227</v>
      </c>
    </row>
    <row r="229" spans="1:5" x14ac:dyDescent="0.25">
      <c r="A229" s="40">
        <f t="shared" si="6"/>
        <v>1335</v>
      </c>
      <c r="B229" s="39">
        <v>228</v>
      </c>
      <c r="D229" s="40">
        <f t="shared" si="7"/>
        <v>5301</v>
      </c>
      <c r="E229" s="39">
        <v>228</v>
      </c>
    </row>
    <row r="230" spans="1:5" x14ac:dyDescent="0.25">
      <c r="A230" s="40">
        <f t="shared" si="6"/>
        <v>1341</v>
      </c>
      <c r="B230" s="39">
        <v>229</v>
      </c>
      <c r="D230" s="40">
        <f t="shared" si="7"/>
        <v>5324</v>
      </c>
      <c r="E230" s="39">
        <v>229</v>
      </c>
    </row>
    <row r="231" spans="1:5" x14ac:dyDescent="0.25">
      <c r="A231" s="40">
        <f t="shared" si="6"/>
        <v>1347</v>
      </c>
      <c r="B231" s="39">
        <v>230</v>
      </c>
      <c r="D231" s="40">
        <f t="shared" si="7"/>
        <v>5347</v>
      </c>
      <c r="E231" s="39">
        <v>230</v>
      </c>
    </row>
    <row r="232" spans="1:5" x14ac:dyDescent="0.25">
      <c r="A232" s="40">
        <f t="shared" si="6"/>
        <v>1353</v>
      </c>
      <c r="B232" s="39">
        <v>231</v>
      </c>
      <c r="D232" s="40">
        <f t="shared" si="7"/>
        <v>5370</v>
      </c>
      <c r="E232" s="39">
        <v>231</v>
      </c>
    </row>
    <row r="233" spans="1:5" x14ac:dyDescent="0.25">
      <c r="A233" s="40">
        <f t="shared" si="6"/>
        <v>1359</v>
      </c>
      <c r="B233" s="39">
        <v>232</v>
      </c>
      <c r="D233" s="40">
        <f t="shared" si="7"/>
        <v>5394</v>
      </c>
      <c r="E233" s="39">
        <v>232</v>
      </c>
    </row>
    <row r="234" spans="1:5" x14ac:dyDescent="0.25">
      <c r="A234" s="40">
        <f t="shared" si="6"/>
        <v>1365</v>
      </c>
      <c r="B234" s="39">
        <v>233</v>
      </c>
      <c r="D234" s="40">
        <f t="shared" si="7"/>
        <v>5417</v>
      </c>
      <c r="E234" s="39">
        <v>233</v>
      </c>
    </row>
    <row r="235" spans="1:5" x14ac:dyDescent="0.25">
      <c r="A235" s="40">
        <f t="shared" si="6"/>
        <v>1370</v>
      </c>
      <c r="B235" s="39">
        <v>234</v>
      </c>
      <c r="D235" s="40">
        <f t="shared" si="7"/>
        <v>5440</v>
      </c>
      <c r="E235" s="39">
        <v>234</v>
      </c>
    </row>
    <row r="236" spans="1:5" x14ac:dyDescent="0.25">
      <c r="A236" s="40">
        <f t="shared" si="6"/>
        <v>1376</v>
      </c>
      <c r="B236" s="39">
        <v>235</v>
      </c>
      <c r="D236" s="40">
        <f t="shared" si="7"/>
        <v>5463</v>
      </c>
      <c r="E236" s="39">
        <v>235</v>
      </c>
    </row>
    <row r="237" spans="1:5" x14ac:dyDescent="0.25">
      <c r="A237" s="40">
        <f t="shared" si="6"/>
        <v>1382</v>
      </c>
      <c r="B237" s="39">
        <v>236</v>
      </c>
      <c r="D237" s="40">
        <f t="shared" si="7"/>
        <v>5487</v>
      </c>
      <c r="E237" s="39">
        <v>236</v>
      </c>
    </row>
    <row r="238" spans="1:5" x14ac:dyDescent="0.25">
      <c r="A238" s="40">
        <f t="shared" si="6"/>
        <v>1388</v>
      </c>
      <c r="B238" s="39">
        <v>237</v>
      </c>
      <c r="D238" s="40">
        <f t="shared" si="7"/>
        <v>5510</v>
      </c>
      <c r="E238" s="39">
        <v>237</v>
      </c>
    </row>
    <row r="239" spans="1:5" x14ac:dyDescent="0.25">
      <c r="A239" s="40">
        <f t="shared" si="6"/>
        <v>1394</v>
      </c>
      <c r="B239" s="39">
        <v>238</v>
      </c>
      <c r="D239" s="40">
        <f t="shared" si="7"/>
        <v>5533</v>
      </c>
      <c r="E239" s="39">
        <v>238</v>
      </c>
    </row>
    <row r="240" spans="1:5" x14ac:dyDescent="0.25">
      <c r="A240" s="40">
        <f t="shared" si="6"/>
        <v>1400</v>
      </c>
      <c r="B240" s="39">
        <v>239</v>
      </c>
      <c r="D240" s="40">
        <f t="shared" si="7"/>
        <v>5556</v>
      </c>
      <c r="E240" s="39">
        <v>239</v>
      </c>
    </row>
    <row r="241" spans="1:5" x14ac:dyDescent="0.25">
      <c r="A241" s="40">
        <f t="shared" si="6"/>
        <v>1406</v>
      </c>
      <c r="B241" s="39">
        <v>240</v>
      </c>
      <c r="D241" s="40">
        <f t="shared" si="7"/>
        <v>5580</v>
      </c>
      <c r="E241" s="39">
        <v>240</v>
      </c>
    </row>
    <row r="242" spans="1:5" x14ac:dyDescent="0.25">
      <c r="A242" s="40">
        <f t="shared" si="6"/>
        <v>1411</v>
      </c>
      <c r="B242" s="39">
        <v>241</v>
      </c>
      <c r="D242" s="40">
        <f t="shared" si="7"/>
        <v>5603</v>
      </c>
      <c r="E242" s="39">
        <v>241</v>
      </c>
    </row>
    <row r="243" spans="1:5" x14ac:dyDescent="0.25">
      <c r="A243" s="40">
        <f t="shared" si="6"/>
        <v>1417</v>
      </c>
      <c r="B243" s="39">
        <v>242</v>
      </c>
      <c r="D243" s="40">
        <f t="shared" si="7"/>
        <v>5626</v>
      </c>
      <c r="E243" s="39">
        <v>242</v>
      </c>
    </row>
    <row r="244" spans="1:5" x14ac:dyDescent="0.25">
      <c r="A244" s="40">
        <f t="shared" si="6"/>
        <v>1423</v>
      </c>
      <c r="B244" s="39">
        <v>243</v>
      </c>
      <c r="D244" s="40">
        <f t="shared" si="7"/>
        <v>5649</v>
      </c>
      <c r="E244" s="39">
        <v>243</v>
      </c>
    </row>
    <row r="245" spans="1:5" x14ac:dyDescent="0.25">
      <c r="A245" s="40">
        <f t="shared" si="6"/>
        <v>1429</v>
      </c>
      <c r="B245" s="39">
        <v>244</v>
      </c>
      <c r="D245" s="40">
        <f t="shared" si="7"/>
        <v>5673</v>
      </c>
      <c r="E245" s="39">
        <v>244</v>
      </c>
    </row>
    <row r="246" spans="1:5" x14ac:dyDescent="0.25">
      <c r="A246" s="40">
        <f t="shared" si="6"/>
        <v>1435</v>
      </c>
      <c r="B246" s="39">
        <v>245</v>
      </c>
      <c r="D246" s="40">
        <f t="shared" si="7"/>
        <v>5696</v>
      </c>
      <c r="E246" s="39">
        <v>245</v>
      </c>
    </row>
    <row r="247" spans="1:5" x14ac:dyDescent="0.25">
      <c r="A247" s="40">
        <f t="shared" si="6"/>
        <v>1441</v>
      </c>
      <c r="B247" s="39">
        <v>246</v>
      </c>
      <c r="D247" s="40">
        <f t="shared" si="7"/>
        <v>5719</v>
      </c>
      <c r="E247" s="39">
        <v>246</v>
      </c>
    </row>
    <row r="248" spans="1:5" x14ac:dyDescent="0.25">
      <c r="A248" s="40">
        <f t="shared" si="6"/>
        <v>1447</v>
      </c>
      <c r="B248" s="39">
        <v>247</v>
      </c>
      <c r="D248" s="40">
        <f t="shared" si="7"/>
        <v>5742</v>
      </c>
      <c r="E248" s="39">
        <v>247</v>
      </c>
    </row>
    <row r="249" spans="1:5" x14ac:dyDescent="0.25">
      <c r="A249" s="40">
        <f t="shared" si="6"/>
        <v>1452</v>
      </c>
      <c r="B249" s="39">
        <v>248</v>
      </c>
      <c r="D249" s="40">
        <f t="shared" si="7"/>
        <v>5766</v>
      </c>
      <c r="E249" s="39">
        <v>248</v>
      </c>
    </row>
    <row r="250" spans="1:5" x14ac:dyDescent="0.25">
      <c r="A250" s="40">
        <f t="shared" si="6"/>
        <v>1458</v>
      </c>
      <c r="B250" s="39">
        <v>249</v>
      </c>
      <c r="D250" s="40">
        <f t="shared" si="7"/>
        <v>5789</v>
      </c>
      <c r="E250" s="39">
        <v>249</v>
      </c>
    </row>
    <row r="251" spans="1:5" x14ac:dyDescent="0.25">
      <c r="A251" s="40">
        <f t="shared" si="6"/>
        <v>1464</v>
      </c>
      <c r="B251" s="39">
        <v>250</v>
      </c>
      <c r="D251" s="40">
        <f t="shared" si="7"/>
        <v>5812</v>
      </c>
      <c r="E251" s="39">
        <v>250</v>
      </c>
    </row>
    <row r="252" spans="1:5" x14ac:dyDescent="0.25">
      <c r="A252" s="40">
        <f t="shared" si="6"/>
        <v>1470</v>
      </c>
      <c r="B252" s="39">
        <v>251</v>
      </c>
      <c r="D252" s="40">
        <f t="shared" si="7"/>
        <v>5835</v>
      </c>
      <c r="E252" s="39">
        <v>251</v>
      </c>
    </row>
    <row r="253" spans="1:5" x14ac:dyDescent="0.25">
      <c r="A253" s="40">
        <f t="shared" si="6"/>
        <v>1476</v>
      </c>
      <c r="B253" s="39">
        <v>252</v>
      </c>
      <c r="D253" s="40">
        <f t="shared" si="7"/>
        <v>5859</v>
      </c>
      <c r="E253" s="39">
        <v>252</v>
      </c>
    </row>
    <row r="254" spans="1:5" x14ac:dyDescent="0.25">
      <c r="A254" s="40">
        <f t="shared" si="6"/>
        <v>1482</v>
      </c>
      <c r="B254" s="39">
        <v>253</v>
      </c>
      <c r="D254" s="40">
        <f t="shared" si="7"/>
        <v>5882</v>
      </c>
      <c r="E254" s="39">
        <v>253</v>
      </c>
    </row>
    <row r="255" spans="1:5" x14ac:dyDescent="0.25">
      <c r="A255" s="40">
        <f t="shared" si="6"/>
        <v>1488</v>
      </c>
      <c r="B255" s="39">
        <v>254</v>
      </c>
      <c r="D255" s="40">
        <f t="shared" si="7"/>
        <v>5905</v>
      </c>
      <c r="E255" s="39">
        <v>254</v>
      </c>
    </row>
    <row r="256" spans="1:5" x14ac:dyDescent="0.25">
      <c r="A256" s="40">
        <f t="shared" si="6"/>
        <v>1494</v>
      </c>
      <c r="B256" s="39">
        <v>255</v>
      </c>
      <c r="D256" s="40">
        <f>ROUNDDOWN((5929/255)*E256,0)</f>
        <v>5929</v>
      </c>
      <c r="E256" s="3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Name Stuff</vt:lpstr>
      <vt:lpstr>Air Drag</vt:lpstr>
      <vt:lpstr>TE</vt:lpstr>
      <vt:lpstr>UKRS2 Stats</vt:lpstr>
      <vt:lpstr>Wagon Stats</vt:lpstr>
      <vt:lpstr>Sprite Aligner</vt:lpstr>
      <vt:lpstr>TE Calc</vt:lpstr>
      <vt:lpstr>Dates</vt:lpstr>
      <vt:lpstr>Wagon Capacities</vt:lpstr>
      <vt:lpstr>Wagon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2020-10-14T19:17:26Z</dcterms:created>
  <dcterms:modified xsi:type="dcterms:W3CDTF">2022-05-14T12:44:52Z</dcterms:modified>
</cp:coreProperties>
</file>