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40" yWindow="380" windowWidth="37520" windowHeight="18020" tabRatio="500" activeTab="2"/>
  </bookViews>
  <sheets>
    <sheet name="Sheet1" sheetId="1" r:id="rId1"/>
    <sheet name="Maternal" sheetId="2" r:id="rId2"/>
    <sheet name="Maternal-Summar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5" i="3" l="1"/>
  <c r="D66" i="3"/>
  <c r="D67" i="3"/>
  <c r="D68" i="3"/>
  <c r="D69" i="3"/>
  <c r="D70" i="3"/>
  <c r="D71" i="3"/>
  <c r="D58" i="3"/>
  <c r="D59" i="3"/>
  <c r="D60" i="3"/>
  <c r="D61" i="3"/>
  <c r="D62" i="3"/>
  <c r="D63" i="3"/>
  <c r="D64" i="3"/>
  <c r="D51" i="3"/>
  <c r="D52" i="3"/>
  <c r="D53" i="3"/>
  <c r="D54" i="3"/>
  <c r="D55" i="3"/>
  <c r="D56" i="3"/>
  <c r="D57" i="3"/>
  <c r="D44" i="3"/>
  <c r="D45" i="3"/>
  <c r="D46" i="3"/>
  <c r="D47" i="3"/>
  <c r="D48" i="3"/>
  <c r="D49" i="3"/>
  <c r="D50" i="3"/>
  <c r="D37" i="3"/>
  <c r="D38" i="3"/>
  <c r="D39" i="3"/>
  <c r="D40" i="3"/>
  <c r="D41" i="3"/>
  <c r="D42" i="3"/>
  <c r="D43" i="3"/>
  <c r="D30" i="3"/>
  <c r="D31" i="3"/>
  <c r="D32" i="3"/>
  <c r="D33" i="3"/>
  <c r="D34" i="3"/>
  <c r="D35" i="3"/>
  <c r="D36" i="3"/>
  <c r="D23" i="3"/>
  <c r="D24" i="3"/>
  <c r="D25" i="3"/>
  <c r="D26" i="3"/>
  <c r="D27" i="3"/>
  <c r="D28" i="3"/>
  <c r="D29" i="3"/>
  <c r="D16" i="3"/>
  <c r="D17" i="3"/>
  <c r="D18" i="3"/>
  <c r="D19" i="3"/>
  <c r="D20" i="3"/>
  <c r="D21" i="3"/>
  <c r="D22" i="3"/>
  <c r="D9" i="3"/>
  <c r="D10" i="3"/>
  <c r="D11" i="3"/>
  <c r="D12" i="3"/>
  <c r="D13" i="3"/>
  <c r="D14" i="3"/>
  <c r="D15" i="3"/>
  <c r="D2" i="3"/>
  <c r="D3" i="3"/>
  <c r="D4" i="3"/>
  <c r="D5" i="3"/>
  <c r="D6" i="3"/>
  <c r="D7" i="3"/>
  <c r="D8" i="3"/>
  <c r="AA8" i="2"/>
  <c r="AA7" i="2"/>
  <c r="AA6" i="2"/>
  <c r="AA5" i="2"/>
  <c r="AA4" i="2"/>
  <c r="AA3" i="2"/>
  <c r="AA2" i="2"/>
  <c r="E25" i="2"/>
  <c r="C25" i="2"/>
  <c r="D25" i="2"/>
  <c r="D36" i="2"/>
  <c r="L36" i="2"/>
  <c r="K37" i="2"/>
  <c r="L37" i="2"/>
  <c r="L34" i="2"/>
  <c r="L33" i="2"/>
  <c r="L31" i="2"/>
  <c r="L30" i="2"/>
  <c r="X12" i="2"/>
  <c r="X11" i="2"/>
  <c r="D51" i="2"/>
  <c r="D50" i="2"/>
  <c r="E41" i="2"/>
  <c r="C33" i="2"/>
  <c r="M62" i="2"/>
  <c r="M63" i="2"/>
  <c r="M61" i="2"/>
  <c r="M60" i="2"/>
  <c r="M58" i="2"/>
  <c r="L62" i="2"/>
  <c r="J60" i="2"/>
  <c r="E60" i="2"/>
  <c r="D60" i="2"/>
  <c r="D62" i="2"/>
  <c r="K58" i="2"/>
  <c r="L58" i="2"/>
  <c r="E58" i="2"/>
  <c r="F58" i="2"/>
  <c r="G58" i="2"/>
  <c r="H58" i="2"/>
  <c r="I58" i="2"/>
  <c r="J58" i="2"/>
  <c r="D58" i="2"/>
  <c r="D59" i="2"/>
  <c r="M59" i="2"/>
  <c r="M56" i="2"/>
  <c r="M51" i="2"/>
  <c r="M52" i="2"/>
  <c r="M53" i="2"/>
  <c r="M54" i="2"/>
  <c r="M55" i="2"/>
  <c r="M50" i="2"/>
  <c r="L47" i="2"/>
  <c r="M47" i="2"/>
  <c r="M42" i="2"/>
  <c r="M41" i="2"/>
  <c r="E56" i="2"/>
  <c r="D56" i="2"/>
  <c r="F50" i="2"/>
  <c r="E50" i="2"/>
  <c r="M43" i="2"/>
  <c r="M44" i="2"/>
  <c r="M45" i="2"/>
  <c r="M46" i="2"/>
  <c r="L28" i="2"/>
  <c r="L27" i="2"/>
  <c r="L26" i="2"/>
  <c r="L25" i="2"/>
  <c r="L24" i="2"/>
  <c r="L23" i="2"/>
  <c r="L22" i="2"/>
  <c r="Y16" i="2"/>
  <c r="Y17" i="2"/>
  <c r="Y12" i="2"/>
  <c r="Y13" i="2"/>
  <c r="Y14" i="2"/>
  <c r="Y15" i="2"/>
  <c r="Y11" i="2"/>
  <c r="X13" i="2"/>
  <c r="X14" i="2"/>
  <c r="X15" i="2"/>
  <c r="X16" i="2"/>
  <c r="X17" i="2"/>
  <c r="W11" i="2"/>
  <c r="W12" i="2"/>
  <c r="Y8" i="2"/>
  <c r="Y7" i="2"/>
  <c r="Y6" i="2"/>
  <c r="Y5" i="2"/>
  <c r="Y4" i="2"/>
  <c r="Y3" i="2"/>
  <c r="Y2" i="2"/>
  <c r="G50" i="2"/>
  <c r="H50" i="2"/>
  <c r="I50" i="2"/>
  <c r="J50" i="2"/>
  <c r="K50" i="2"/>
  <c r="L50" i="2"/>
  <c r="L63" i="2"/>
  <c r="E62" i="2"/>
  <c r="E63" i="2"/>
  <c r="F62" i="2"/>
  <c r="F63" i="2"/>
  <c r="G62" i="2"/>
  <c r="G63" i="2"/>
  <c r="H62" i="2"/>
  <c r="H63" i="2"/>
  <c r="I62" i="2"/>
  <c r="I63" i="2"/>
  <c r="J62" i="2"/>
  <c r="J63" i="2"/>
  <c r="K62" i="2"/>
  <c r="K63" i="2"/>
  <c r="D63" i="2"/>
  <c r="L61" i="2"/>
  <c r="E61" i="2"/>
  <c r="F61" i="2"/>
  <c r="G61" i="2"/>
  <c r="H61" i="2"/>
  <c r="I61" i="2"/>
  <c r="J61" i="2"/>
  <c r="K61" i="2"/>
  <c r="D61" i="2"/>
  <c r="L60" i="2"/>
  <c r="F60" i="2"/>
  <c r="G60" i="2"/>
  <c r="H60" i="2"/>
  <c r="I60" i="2"/>
  <c r="K60" i="2"/>
  <c r="G59" i="2"/>
  <c r="E59" i="2"/>
  <c r="F59" i="2"/>
  <c r="H59" i="2"/>
  <c r="I59" i="2"/>
  <c r="J59" i="2"/>
  <c r="K59" i="2"/>
  <c r="L59" i="2"/>
  <c r="L54" i="2"/>
  <c r="L51" i="2"/>
  <c r="L52" i="2"/>
  <c r="L53" i="2"/>
  <c r="L55" i="2"/>
  <c r="L56" i="2"/>
  <c r="K51" i="2"/>
  <c r="K52" i="2"/>
  <c r="K53" i="2"/>
  <c r="K54" i="2"/>
  <c r="K55" i="2"/>
  <c r="K56" i="2"/>
  <c r="J51" i="2"/>
  <c r="J52" i="2"/>
  <c r="J53" i="2"/>
  <c r="J54" i="2"/>
  <c r="J55" i="2"/>
  <c r="J56" i="2"/>
  <c r="I51" i="2"/>
  <c r="I52" i="2"/>
  <c r="I53" i="2"/>
  <c r="I54" i="2"/>
  <c r="I55" i="2"/>
  <c r="I56" i="2"/>
  <c r="H51" i="2"/>
  <c r="H52" i="2"/>
  <c r="H53" i="2"/>
  <c r="H54" i="2"/>
  <c r="H55" i="2"/>
  <c r="H56" i="2"/>
  <c r="G51" i="2"/>
  <c r="G52" i="2"/>
  <c r="G53" i="2"/>
  <c r="G54" i="2"/>
  <c r="G55" i="2"/>
  <c r="G56" i="2"/>
  <c r="F52" i="2"/>
  <c r="F51" i="2"/>
  <c r="F53" i="2"/>
  <c r="F54" i="2"/>
  <c r="F55" i="2"/>
  <c r="F56" i="2"/>
  <c r="E53" i="2"/>
  <c r="E52" i="2"/>
  <c r="E54" i="2"/>
  <c r="E55" i="2"/>
  <c r="E51" i="2"/>
  <c r="D52" i="2"/>
  <c r="D53" i="2"/>
  <c r="D54" i="2"/>
  <c r="D55" i="2"/>
  <c r="L44" i="2"/>
  <c r="L42" i="2"/>
  <c r="L43" i="2"/>
  <c r="L45" i="2"/>
  <c r="L46" i="2"/>
  <c r="K42" i="2"/>
  <c r="K43" i="2"/>
  <c r="K44" i="2"/>
  <c r="K45" i="2"/>
  <c r="K46" i="2"/>
  <c r="K47" i="2"/>
  <c r="J42" i="2"/>
  <c r="J43" i="2"/>
  <c r="J44" i="2"/>
  <c r="J45" i="2"/>
  <c r="J46" i="2"/>
  <c r="J47" i="2"/>
  <c r="I42" i="2"/>
  <c r="I43" i="2"/>
  <c r="I44" i="2"/>
  <c r="I45" i="2"/>
  <c r="I46" i="2"/>
  <c r="I47" i="2"/>
  <c r="H42" i="2"/>
  <c r="H43" i="2"/>
  <c r="H44" i="2"/>
  <c r="H45" i="2"/>
  <c r="H46" i="2"/>
  <c r="H47" i="2"/>
  <c r="G42" i="2"/>
  <c r="G43" i="2"/>
  <c r="G44" i="2"/>
  <c r="G45" i="2"/>
  <c r="G46" i="2"/>
  <c r="G47" i="2"/>
  <c r="F42" i="2"/>
  <c r="F43" i="2"/>
  <c r="F44" i="2"/>
  <c r="F45" i="2"/>
  <c r="F46" i="2"/>
  <c r="F47" i="2"/>
  <c r="L41" i="2"/>
  <c r="F41" i="2"/>
  <c r="G41" i="2"/>
  <c r="H41" i="2"/>
  <c r="I41" i="2"/>
  <c r="J41" i="2"/>
  <c r="K41" i="2"/>
  <c r="D43" i="2"/>
  <c r="D44" i="2"/>
  <c r="D45" i="2"/>
  <c r="D46" i="2"/>
  <c r="D47" i="2"/>
  <c r="D42" i="2"/>
  <c r="E42" i="2"/>
  <c r="E43" i="2"/>
  <c r="E44" i="2"/>
  <c r="E45" i="2"/>
  <c r="E46" i="2"/>
  <c r="E47" i="2"/>
  <c r="D27" i="2"/>
  <c r="E22" i="2"/>
  <c r="D22" i="2"/>
  <c r="F22" i="2"/>
  <c r="F11" i="2"/>
  <c r="E11" i="2"/>
  <c r="K28" i="2"/>
  <c r="K27" i="2"/>
  <c r="K26" i="2"/>
  <c r="K25" i="2"/>
  <c r="K24" i="2"/>
  <c r="K23" i="2"/>
  <c r="K22" i="2"/>
  <c r="J28" i="2"/>
  <c r="J27" i="2"/>
  <c r="J26" i="2"/>
  <c r="J25" i="2"/>
  <c r="J24" i="2"/>
  <c r="J23" i="2"/>
  <c r="J22" i="2"/>
  <c r="I28" i="2"/>
  <c r="I27" i="2"/>
  <c r="I26" i="2"/>
  <c r="I25" i="2"/>
  <c r="I24" i="2"/>
  <c r="I23" i="2"/>
  <c r="I22" i="2"/>
  <c r="H28" i="2"/>
  <c r="H27" i="2"/>
  <c r="H26" i="2"/>
  <c r="H25" i="2"/>
  <c r="H24" i="2"/>
  <c r="H23" i="2"/>
  <c r="H22" i="2"/>
  <c r="G28" i="2"/>
  <c r="G27" i="2"/>
  <c r="G26" i="2"/>
  <c r="G25" i="2"/>
  <c r="G24" i="2"/>
  <c r="G23" i="2"/>
  <c r="G22" i="2"/>
  <c r="F28" i="2"/>
  <c r="F27" i="2"/>
  <c r="F26" i="2"/>
  <c r="F25" i="2"/>
  <c r="F24" i="2"/>
  <c r="F23" i="2"/>
  <c r="E28" i="2"/>
  <c r="E27" i="2"/>
  <c r="E26" i="2"/>
  <c r="E24" i="2"/>
  <c r="E23" i="2"/>
  <c r="D28" i="2"/>
  <c r="D26" i="2"/>
  <c r="D24" i="2"/>
  <c r="D23" i="2"/>
  <c r="C28" i="2"/>
  <c r="C27" i="2"/>
  <c r="C26" i="2"/>
  <c r="C24" i="2"/>
  <c r="C23" i="2"/>
  <c r="J30" i="2"/>
  <c r="J33" i="2"/>
  <c r="E30" i="2"/>
  <c r="E33" i="2"/>
  <c r="F30" i="2"/>
  <c r="F33" i="2"/>
  <c r="G30" i="2"/>
  <c r="G33" i="2"/>
  <c r="H30" i="2"/>
  <c r="H33" i="2"/>
  <c r="I30" i="2"/>
  <c r="I33" i="2"/>
  <c r="K30" i="2"/>
  <c r="K33" i="2"/>
  <c r="E34" i="2"/>
  <c r="F34" i="2"/>
  <c r="G34" i="2"/>
  <c r="H34" i="2"/>
  <c r="I34" i="2"/>
  <c r="J34" i="2"/>
  <c r="K34" i="2"/>
  <c r="D30" i="2"/>
  <c r="D33" i="2"/>
  <c r="D34" i="2"/>
  <c r="D31" i="2"/>
  <c r="D37" i="2"/>
  <c r="E31" i="2"/>
  <c r="E36" i="2"/>
  <c r="F31" i="2"/>
  <c r="F36" i="2"/>
  <c r="G31" i="2"/>
  <c r="G36" i="2"/>
  <c r="H31" i="2"/>
  <c r="H36" i="2"/>
  <c r="I31" i="2"/>
  <c r="I36" i="2"/>
  <c r="J31" i="2"/>
  <c r="J36" i="2"/>
  <c r="K31" i="2"/>
  <c r="K36" i="2"/>
  <c r="E37" i="2"/>
  <c r="F37" i="2"/>
  <c r="G37" i="2"/>
  <c r="H37" i="2"/>
  <c r="I37" i="2"/>
  <c r="J37" i="2"/>
  <c r="C31" i="2"/>
  <c r="C36" i="2"/>
  <c r="C37" i="2"/>
  <c r="C30" i="2"/>
  <c r="C34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D13" i="2"/>
  <c r="D14" i="2"/>
  <c r="D15" i="2"/>
  <c r="D16" i="2"/>
  <c r="D17" i="2"/>
  <c r="D12" i="2"/>
  <c r="D11" i="2"/>
  <c r="W8" i="2"/>
  <c r="W7" i="2"/>
  <c r="W6" i="2"/>
  <c r="W5" i="2"/>
  <c r="W4" i="2"/>
  <c r="W3" i="2"/>
  <c r="W2" i="2"/>
  <c r="U8" i="2"/>
  <c r="U7" i="2"/>
  <c r="U6" i="2"/>
  <c r="U5" i="2"/>
  <c r="U4" i="2"/>
  <c r="U3" i="2"/>
  <c r="U2" i="2"/>
  <c r="S8" i="2"/>
  <c r="S7" i="2"/>
  <c r="S6" i="2"/>
  <c r="S5" i="2"/>
  <c r="S4" i="2"/>
  <c r="S3" i="2"/>
  <c r="S2" i="2"/>
  <c r="Q8" i="2"/>
  <c r="Q7" i="2"/>
  <c r="Q6" i="2"/>
  <c r="Q5" i="2"/>
  <c r="Q4" i="2"/>
  <c r="Q3" i="2"/>
  <c r="Q2" i="2"/>
  <c r="O8" i="2"/>
  <c r="O7" i="2"/>
  <c r="O6" i="2"/>
  <c r="O5" i="2"/>
  <c r="O4" i="2"/>
  <c r="O3" i="2"/>
  <c r="O2" i="2"/>
  <c r="M8" i="2"/>
  <c r="M7" i="2"/>
  <c r="M6" i="2"/>
  <c r="M5" i="2"/>
  <c r="M4" i="2"/>
  <c r="M3" i="2"/>
  <c r="M2" i="2"/>
  <c r="K8" i="2"/>
  <c r="K7" i="2"/>
  <c r="K6" i="2"/>
  <c r="K5" i="2"/>
  <c r="K4" i="2"/>
  <c r="K3" i="2"/>
  <c r="K2" i="2"/>
  <c r="I8" i="2"/>
  <c r="I7" i="2"/>
  <c r="I6" i="2"/>
  <c r="I5" i="2"/>
  <c r="I4" i="2"/>
  <c r="I3" i="2"/>
  <c r="I2" i="2"/>
  <c r="G8" i="2"/>
  <c r="G7" i="2"/>
  <c r="G6" i="2"/>
  <c r="G5" i="2"/>
  <c r="G4" i="2"/>
  <c r="G3" i="2"/>
  <c r="E4" i="2"/>
  <c r="G2" i="2"/>
  <c r="E3" i="2"/>
  <c r="V2" i="1"/>
  <c r="Q2" i="1"/>
  <c r="L2" i="1"/>
  <c r="B8" i="1"/>
  <c r="G6" i="1"/>
  <c r="D6" i="1"/>
  <c r="G4" i="1"/>
  <c r="G2" i="1"/>
  <c r="I4" i="1"/>
  <c r="I2" i="1"/>
  <c r="B6" i="1"/>
  <c r="D4" i="1"/>
  <c r="B4" i="1"/>
  <c r="D2" i="1"/>
  <c r="B2" i="1"/>
</calcChain>
</file>

<file path=xl/sharedStrings.xml><?xml version="1.0" encoding="utf-8"?>
<sst xmlns="http://schemas.openxmlformats.org/spreadsheetml/2006/main" count="204" uniqueCount="56">
  <si>
    <t>Cage</t>
  </si>
  <si>
    <t>Food (02/19/14)</t>
  </si>
  <si>
    <t>Food End (02/26/14)</t>
  </si>
  <si>
    <t>Food Eaten</t>
  </si>
  <si>
    <t>Food (02/26/14)</t>
  </si>
  <si>
    <t>Food End (03/05/14)</t>
  </si>
  <si>
    <t>Food (03/05/14)</t>
  </si>
  <si>
    <t>Food End (03/12/14)</t>
  </si>
  <si>
    <t>Food (03/12/14)</t>
  </si>
  <si>
    <t>Food End (03/19/14)</t>
  </si>
  <si>
    <t>Food End (3/19/14)</t>
  </si>
  <si>
    <t>Food End (03/26/14)</t>
  </si>
  <si>
    <t>Food (03/19/14)</t>
  </si>
  <si>
    <t>Mice</t>
  </si>
  <si>
    <t>Treatment</t>
  </si>
  <si>
    <t>Particulate</t>
  </si>
  <si>
    <t>Control</t>
  </si>
  <si>
    <t>4.16_left</t>
  </si>
  <si>
    <t>4.16_start</t>
  </si>
  <si>
    <t>4.23_left</t>
  </si>
  <si>
    <t>4.23_start</t>
  </si>
  <si>
    <t>5.01_left</t>
  </si>
  <si>
    <t>5.01_start</t>
  </si>
  <si>
    <t>5.07_left</t>
  </si>
  <si>
    <t>5.07_start</t>
  </si>
  <si>
    <t>5.14_left</t>
  </si>
  <si>
    <t>5.14_start</t>
  </si>
  <si>
    <t>5.21_left</t>
  </si>
  <si>
    <t>5.21_start</t>
  </si>
  <si>
    <t>5.28_left</t>
  </si>
  <si>
    <t>5.28_start</t>
  </si>
  <si>
    <t>6.04_left</t>
  </si>
  <si>
    <t>6.04_start</t>
  </si>
  <si>
    <t>6.11_left</t>
  </si>
  <si>
    <t>6.11_start</t>
  </si>
  <si>
    <t>6.18_left</t>
  </si>
  <si>
    <t>6.18_start</t>
  </si>
  <si>
    <t>Calories</t>
  </si>
  <si>
    <t>avg</t>
  </si>
  <si>
    <t>SD</t>
  </si>
  <si>
    <t>SE</t>
  </si>
  <si>
    <t>Calories/mouse/day</t>
  </si>
  <si>
    <t>Weeks</t>
  </si>
  <si>
    <t>Cumulatives</t>
  </si>
  <si>
    <t>Avg Control</t>
  </si>
  <si>
    <t>Avg Particulate</t>
  </si>
  <si>
    <t>SD Control</t>
  </si>
  <si>
    <t>SD Particulate</t>
  </si>
  <si>
    <t>SE Control</t>
  </si>
  <si>
    <t>SE Particulate</t>
  </si>
  <si>
    <t>6.25_left</t>
  </si>
  <si>
    <t>6.25_start</t>
  </si>
  <si>
    <t>7.02_left</t>
  </si>
  <si>
    <t>7.02_start</t>
  </si>
  <si>
    <t>7.09_left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</si>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</sst>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4" fillId="0" borderId="0" xfId="0" applyFont="1"/>
    <xf numFmtId="0" fontId="5" fillId="2" borderId="0" xfId="0" applyFont="1" applyFill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Calories Consumed per mouse per 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Maternal!$B$22</c:f>
              <c:strCache>
                <c:ptCount val="1"/>
                <c:pt idx="0">
                  <c:v>Particulate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Maternal!$C$34:$L$34</c:f>
                <c:numCache>
                  <c:formatCode>General</c:formatCode>
                  <c:ptCount val="10"/>
                  <c:pt idx="0">
                    <c:v>0.409493983344892</c:v>
                  </c:pt>
                  <c:pt idx="1">
                    <c:v>0.501814587689013</c:v>
                  </c:pt>
                  <c:pt idx="2">
                    <c:v>0.411327218667272</c:v>
                  </c:pt>
                  <c:pt idx="3">
                    <c:v>0.426203979856915</c:v>
                  </c:pt>
                  <c:pt idx="4">
                    <c:v>1.13873983428562</c:v>
                  </c:pt>
                  <c:pt idx="5">
                    <c:v>0.972272196555244</c:v>
                  </c:pt>
                  <c:pt idx="6">
                    <c:v>0.447503201137515</c:v>
                  </c:pt>
                  <c:pt idx="7">
                    <c:v>0.595507422180182</c:v>
                  </c:pt>
                  <c:pt idx="8">
                    <c:v>0.718878540298981</c:v>
                  </c:pt>
                  <c:pt idx="9">
                    <c:v>0.528630812520945</c:v>
                  </c:pt>
                </c:numCache>
              </c:numRef>
            </c:plus>
            <c:minus>
              <c:numRef>
                <c:f>Maternal!$C$34:$L$34</c:f>
                <c:numCache>
                  <c:formatCode>General</c:formatCode>
                  <c:ptCount val="10"/>
                  <c:pt idx="0">
                    <c:v>0.409493983344892</c:v>
                  </c:pt>
                  <c:pt idx="1">
                    <c:v>0.501814587689013</c:v>
                  </c:pt>
                  <c:pt idx="2">
                    <c:v>0.411327218667272</c:v>
                  </c:pt>
                  <c:pt idx="3">
                    <c:v>0.426203979856915</c:v>
                  </c:pt>
                  <c:pt idx="4">
                    <c:v>1.13873983428562</c:v>
                  </c:pt>
                  <c:pt idx="5">
                    <c:v>0.972272196555244</c:v>
                  </c:pt>
                  <c:pt idx="6">
                    <c:v>0.447503201137515</c:v>
                  </c:pt>
                  <c:pt idx="7">
                    <c:v>0.595507422180182</c:v>
                  </c:pt>
                  <c:pt idx="8">
                    <c:v>0.718878540298981</c:v>
                  </c:pt>
                  <c:pt idx="9">
                    <c:v>0.528630812520945</c:v>
                  </c:pt>
                </c:numCache>
              </c:numRef>
            </c:minus>
          </c:errBars>
          <c:yVal>
            <c:numRef>
              <c:f>Maternal!$C$30:$L$30</c:f>
              <c:numCache>
                <c:formatCode>General</c:formatCode>
                <c:ptCount val="10"/>
                <c:pt idx="0">
                  <c:v>4.994285714285715</c:v>
                </c:pt>
                <c:pt idx="1">
                  <c:v>3.805714285714286</c:v>
                </c:pt>
                <c:pt idx="2">
                  <c:v>2.55</c:v>
                </c:pt>
                <c:pt idx="3">
                  <c:v>3.216666666666667</c:v>
                </c:pt>
                <c:pt idx="4">
                  <c:v>4.91452380952381</c:v>
                </c:pt>
                <c:pt idx="5">
                  <c:v>4.535</c:v>
                </c:pt>
                <c:pt idx="6">
                  <c:v>3.126428571428571</c:v>
                </c:pt>
                <c:pt idx="7">
                  <c:v>2.954285714285715</c:v>
                </c:pt>
                <c:pt idx="8">
                  <c:v>3.372619047619047</c:v>
                </c:pt>
                <c:pt idx="9">
                  <c:v>3.152142857142856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Maternal!$B$26</c:f>
              <c:strCache>
                <c:ptCount val="1"/>
                <c:pt idx="0">
                  <c:v>Control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Maternal!$C$37:$L$37</c:f>
                <c:numCache>
                  <c:formatCode>General</c:formatCode>
                  <c:ptCount val="10"/>
                  <c:pt idx="0">
                    <c:v>1.024990207888453</c:v>
                  </c:pt>
                  <c:pt idx="1">
                    <c:v>1.220491290267365</c:v>
                  </c:pt>
                  <c:pt idx="2">
                    <c:v>0.667963304075079</c:v>
                  </c:pt>
                  <c:pt idx="3">
                    <c:v>0.861057937950126</c:v>
                  </c:pt>
                  <c:pt idx="4">
                    <c:v>0.668415080490026</c:v>
                  </c:pt>
                  <c:pt idx="5">
                    <c:v>0.989886362949127</c:v>
                  </c:pt>
                  <c:pt idx="6">
                    <c:v>0.698542722785938</c:v>
                  </c:pt>
                  <c:pt idx="7">
                    <c:v>1.012583363850023</c:v>
                  </c:pt>
                  <c:pt idx="8">
                    <c:v>0.483075422204028</c:v>
                  </c:pt>
                  <c:pt idx="9">
                    <c:v>0.416842325621624</c:v>
                  </c:pt>
                </c:numCache>
              </c:numRef>
            </c:plus>
            <c:minus>
              <c:numRef>
                <c:f>Maternal!$C$37:$L$37</c:f>
                <c:numCache>
                  <c:formatCode>General</c:formatCode>
                  <c:ptCount val="10"/>
                  <c:pt idx="0">
                    <c:v>1.024990207888453</c:v>
                  </c:pt>
                  <c:pt idx="1">
                    <c:v>1.220491290267365</c:v>
                  </c:pt>
                  <c:pt idx="2">
                    <c:v>0.667963304075079</c:v>
                  </c:pt>
                  <c:pt idx="3">
                    <c:v>0.861057937950126</c:v>
                  </c:pt>
                  <c:pt idx="4">
                    <c:v>0.668415080490026</c:v>
                  </c:pt>
                  <c:pt idx="5">
                    <c:v>0.989886362949127</c:v>
                  </c:pt>
                  <c:pt idx="6">
                    <c:v>0.698542722785938</c:v>
                  </c:pt>
                  <c:pt idx="7">
                    <c:v>1.012583363850023</c:v>
                  </c:pt>
                  <c:pt idx="8">
                    <c:v>0.483075422204028</c:v>
                  </c:pt>
                  <c:pt idx="9">
                    <c:v>0.416842325621624</c:v>
                  </c:pt>
                </c:numCache>
              </c:numRef>
            </c:minus>
          </c:errBars>
          <c:yVal>
            <c:numRef>
              <c:f>Maternal!$C$31:$L$31</c:f>
              <c:numCache>
                <c:formatCode>General</c:formatCode>
                <c:ptCount val="10"/>
                <c:pt idx="0">
                  <c:v>5.8225</c:v>
                </c:pt>
                <c:pt idx="1">
                  <c:v>5.435357142857142</c:v>
                </c:pt>
                <c:pt idx="2">
                  <c:v>4.011428571428572</c:v>
                </c:pt>
                <c:pt idx="3">
                  <c:v>4.78</c:v>
                </c:pt>
                <c:pt idx="4">
                  <c:v>3.745714285714285</c:v>
                </c:pt>
                <c:pt idx="5">
                  <c:v>5.143571428571429</c:v>
                </c:pt>
                <c:pt idx="6">
                  <c:v>4.721785714285715</c:v>
                </c:pt>
                <c:pt idx="7">
                  <c:v>5.268571428571428</c:v>
                </c:pt>
                <c:pt idx="8">
                  <c:v>3.525</c:v>
                </c:pt>
                <c:pt idx="9">
                  <c:v>3.122142857142858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98248"/>
        <c:axId val="2133502856"/>
      </c:scatterChart>
      <c:valAx>
        <c:axId val="213349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3502856"/>
        <c:crosses val="autoZero"/>
        <c:crossBetween val="midCat"/>
      </c:valAx>
      <c:valAx>
        <c:axId val="213350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498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Calories Consumed per mouse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Control</c:v>
          </c:tx>
          <c:errBars>
            <c:errDir val="y"/>
            <c:errBarType val="both"/>
            <c:errValType val="cust"/>
            <c:noEndCap val="0"/>
            <c:plus>
              <c:numRef>
                <c:f>Maternal!$C$61:$M$61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4.60784340373383</c:v>
                  </c:pt>
                  <c:pt idx="2">
                    <c:v>11.15237888353442</c:v>
                  </c:pt>
                  <c:pt idx="3">
                    <c:v>12.48646591123288</c:v>
                  </c:pt>
                  <c:pt idx="4">
                    <c:v>15.78809776231389</c:v>
                  </c:pt>
                  <c:pt idx="5">
                    <c:v>15.22813084549836</c:v>
                  </c:pt>
                  <c:pt idx="6">
                    <c:v>18.26772055527764</c:v>
                  </c:pt>
                  <c:pt idx="7">
                    <c:v>20.26182692545621</c:v>
                  </c:pt>
                  <c:pt idx="8">
                    <c:v>24.57695943600528</c:v>
                  </c:pt>
                  <c:pt idx="9">
                    <c:v>24.1952012533576</c:v>
                  </c:pt>
                  <c:pt idx="10">
                    <c:v>24.37502951158163</c:v>
                  </c:pt>
                </c:numCache>
              </c:numRef>
            </c:plus>
            <c:minus>
              <c:numRef>
                <c:f>Maternal!$C$61:$M$61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4.60784340373383</c:v>
                  </c:pt>
                  <c:pt idx="2">
                    <c:v>11.15237888353442</c:v>
                  </c:pt>
                  <c:pt idx="3">
                    <c:v>12.48646591123288</c:v>
                  </c:pt>
                  <c:pt idx="4">
                    <c:v>15.78809776231389</c:v>
                  </c:pt>
                  <c:pt idx="5">
                    <c:v>15.22813084549836</c:v>
                  </c:pt>
                  <c:pt idx="6">
                    <c:v>18.26772055527764</c:v>
                  </c:pt>
                  <c:pt idx="7">
                    <c:v>20.26182692545621</c:v>
                  </c:pt>
                  <c:pt idx="8">
                    <c:v>24.57695943600528</c:v>
                  </c:pt>
                  <c:pt idx="9">
                    <c:v>24.1952012533576</c:v>
                  </c:pt>
                  <c:pt idx="10">
                    <c:v>24.37502951158163</c:v>
                  </c:pt>
                </c:numCache>
              </c:numRef>
            </c:minus>
          </c:errBars>
          <c:xVal>
            <c:numRef>
              <c:f>Maternal!$C$49:$M$49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Maternal!$C$58:$M$58</c:f>
              <c:numCache>
                <c:formatCode>General</c:formatCode>
                <c:ptCount val="11"/>
                <c:pt idx="0">
                  <c:v>0.0</c:v>
                </c:pt>
                <c:pt idx="1">
                  <c:v>40.7575</c:v>
                </c:pt>
                <c:pt idx="2">
                  <c:v>78.80500000000001</c:v>
                </c:pt>
                <c:pt idx="3">
                  <c:v>106.885</c:v>
                </c:pt>
                <c:pt idx="4">
                  <c:v>140.345</c:v>
                </c:pt>
                <c:pt idx="5">
                  <c:v>166.565</c:v>
                </c:pt>
                <c:pt idx="6">
                  <c:v>202.57</c:v>
                </c:pt>
                <c:pt idx="7">
                  <c:v>235.6225</c:v>
                </c:pt>
                <c:pt idx="8">
                  <c:v>272.5024999999999</c:v>
                </c:pt>
                <c:pt idx="9">
                  <c:v>297.1775</c:v>
                </c:pt>
                <c:pt idx="10">
                  <c:v>319.0325</c:v>
                </c:pt>
              </c:numCache>
            </c:numRef>
          </c:yVal>
          <c:smooth val="0"/>
        </c:ser>
        <c:ser>
          <c:idx val="1"/>
          <c:order val="1"/>
          <c:tx>
            <c:v>Particulate</c:v>
          </c:tx>
          <c:errBars>
            <c:errDir val="y"/>
            <c:errBarType val="both"/>
            <c:errValType val="cust"/>
            <c:noEndCap val="0"/>
            <c:plus>
              <c:numRef>
                <c:f>Maternal!$C$63:$M$63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0.838559822408381</c:v>
                  </c:pt>
                  <c:pt idx="2">
                    <c:v>0.476674878081422</c:v>
                  </c:pt>
                  <c:pt idx="3">
                    <c:v>1.219767426912841</c:v>
                  </c:pt>
                  <c:pt idx="4">
                    <c:v>1.89357946276838</c:v>
                  </c:pt>
                  <c:pt idx="5">
                    <c:v>7.777251257431001</c:v>
                  </c:pt>
                  <c:pt idx="6">
                    <c:v>12.24738936313043</c:v>
                  </c:pt>
                  <c:pt idx="7">
                    <c:v>12.70349686408263</c:v>
                  </c:pt>
                  <c:pt idx="8">
                    <c:v>14.24217156046002</c:v>
                  </c:pt>
                  <c:pt idx="9">
                    <c:v>16.57880115470575</c:v>
                  </c:pt>
                  <c:pt idx="10">
                    <c:v>17.93345508717251</c:v>
                  </c:pt>
                </c:numCache>
              </c:numRef>
            </c:plus>
            <c:minus>
              <c:numRef>
                <c:f>Maternal!$C$63:$M$63</c:f>
                <c:numCache>
                  <c:formatCode>General</c:formatCode>
                  <c:ptCount val="11"/>
                  <c:pt idx="0">
                    <c:v>0.0</c:v>
                  </c:pt>
                  <c:pt idx="1">
                    <c:v>0.838559822408381</c:v>
                  </c:pt>
                  <c:pt idx="2">
                    <c:v>0.476674878081422</c:v>
                  </c:pt>
                  <c:pt idx="3">
                    <c:v>1.219767426912841</c:v>
                  </c:pt>
                  <c:pt idx="4">
                    <c:v>1.89357946276838</c:v>
                  </c:pt>
                  <c:pt idx="5">
                    <c:v>7.777251257431001</c:v>
                  </c:pt>
                  <c:pt idx="6">
                    <c:v>12.24738936313043</c:v>
                  </c:pt>
                  <c:pt idx="7">
                    <c:v>12.70349686408263</c:v>
                  </c:pt>
                  <c:pt idx="8">
                    <c:v>14.24217156046002</c:v>
                  </c:pt>
                  <c:pt idx="9">
                    <c:v>16.57880115470575</c:v>
                  </c:pt>
                  <c:pt idx="10">
                    <c:v>17.93345508717251</c:v>
                  </c:pt>
                </c:numCache>
              </c:numRef>
            </c:minus>
          </c:errBars>
          <c:xVal>
            <c:numRef>
              <c:f>Maternal!$C$49:$M$49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Maternal!$C$59:$M$59</c:f>
              <c:numCache>
                <c:formatCode>General</c:formatCode>
                <c:ptCount val="11"/>
                <c:pt idx="0">
                  <c:v>0.0</c:v>
                </c:pt>
                <c:pt idx="1">
                  <c:v>36.24833333333333</c:v>
                </c:pt>
                <c:pt idx="2">
                  <c:v>62.88833333333333</c:v>
                </c:pt>
                <c:pt idx="3">
                  <c:v>80.73833333333333</c:v>
                </c:pt>
                <c:pt idx="4">
                  <c:v>103.255</c:v>
                </c:pt>
                <c:pt idx="5">
                  <c:v>137.6566666666667</c:v>
                </c:pt>
                <c:pt idx="6">
                  <c:v>169.4016666666667</c:v>
                </c:pt>
                <c:pt idx="7">
                  <c:v>191.2866666666667</c:v>
                </c:pt>
                <c:pt idx="8">
                  <c:v>211.9666666666667</c:v>
                </c:pt>
                <c:pt idx="9">
                  <c:v>235.575</c:v>
                </c:pt>
                <c:pt idx="10">
                  <c:v>257.64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98888"/>
        <c:axId val="2127593336"/>
      </c:scatterChart>
      <c:valAx>
        <c:axId val="212759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Weeks on Diet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7593336"/>
        <c:crosses val="autoZero"/>
        <c:crossBetween val="midCat"/>
      </c:valAx>
      <c:valAx>
        <c:axId val="2127593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Cumulative Calories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2759888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66666666666667"/>
          <c:y val="0.272574413775201"/>
          <c:w val="0.205613298337708"/>
          <c:h val="0.163436012806092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20</xdr:row>
      <xdr:rowOff>25400</xdr:rowOff>
    </xdr:from>
    <xdr:to>
      <xdr:col>23</xdr:col>
      <xdr:colOff>698500</xdr:colOff>
      <xdr:row>46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64</xdr:row>
      <xdr:rowOff>12700</xdr:rowOff>
    </xdr:from>
    <xdr:to>
      <xdr:col>9</xdr:col>
      <xdr:colOff>266700</xdr:colOff>
      <xdr:row>88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X3" sqref="X3"/>
    </sheetView>
  </sheetViews>
  <sheetFormatPr baseColWidth="10" defaultRowHeight="15" x14ac:dyDescent="0"/>
  <cols>
    <col min="2" max="2" width="14.6640625" customWidth="1"/>
    <col min="3" max="3" width="17.83203125" customWidth="1"/>
    <col min="7" max="7" width="14.6640625" customWidth="1"/>
    <col min="8" max="8" width="18" customWidth="1"/>
    <col min="12" max="12" width="17.6640625" customWidth="1"/>
    <col min="13" max="13" width="19.1640625" customWidth="1"/>
    <col min="14" max="14" width="11.6640625" customWidth="1"/>
    <col min="17" max="17" width="15.6640625" customWidth="1"/>
    <col min="18" max="18" width="20.1640625" customWidth="1"/>
    <col min="19" max="19" width="11.1640625" customWidth="1"/>
    <col min="22" max="22" width="14.33203125" customWidth="1"/>
    <col min="23" max="23" width="17.6640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4</v>
      </c>
      <c r="H1" t="s">
        <v>5</v>
      </c>
      <c r="I1" t="s">
        <v>3</v>
      </c>
      <c r="K1" t="s">
        <v>0</v>
      </c>
      <c r="L1" t="s">
        <v>8</v>
      </c>
      <c r="M1" t="s">
        <v>9</v>
      </c>
      <c r="N1" t="s">
        <v>3</v>
      </c>
      <c r="P1" t="s">
        <v>0</v>
      </c>
      <c r="Q1" t="s">
        <v>8</v>
      </c>
      <c r="R1" t="s">
        <v>9</v>
      </c>
      <c r="S1" t="s">
        <v>3</v>
      </c>
      <c r="U1" t="s">
        <v>0</v>
      </c>
      <c r="V1" t="s">
        <v>8</v>
      </c>
      <c r="W1" t="s">
        <v>9</v>
      </c>
      <c r="X1" t="s">
        <v>3</v>
      </c>
    </row>
    <row r="2" spans="1:24">
      <c r="A2" s="1">
        <v>41625</v>
      </c>
      <c r="B2">
        <f>173.92+125.8</f>
        <v>299.71999999999997</v>
      </c>
      <c r="C2">
        <v>198.13</v>
      </c>
      <c r="D2">
        <f>B2-C2</f>
        <v>101.58999999999997</v>
      </c>
      <c r="F2" s="1">
        <v>41629</v>
      </c>
      <c r="G2">
        <f>172.18+126.36</f>
        <v>298.54000000000002</v>
      </c>
      <c r="H2">
        <v>120.41</v>
      </c>
      <c r="I2">
        <f>G2-H2</f>
        <v>178.13000000000002</v>
      </c>
      <c r="K2" s="1">
        <v>41641</v>
      </c>
      <c r="L2">
        <f>179.13+132.79</f>
        <v>311.91999999999996</v>
      </c>
      <c r="P2" s="1">
        <v>41642</v>
      </c>
      <c r="Q2">
        <f>149.63+145.74</f>
        <v>295.37</v>
      </c>
      <c r="U2" s="1">
        <v>41640</v>
      </c>
      <c r="V2">
        <f>149.31+150.83</f>
        <v>300.14</v>
      </c>
    </row>
    <row r="3" spans="1:24">
      <c r="A3" s="1">
        <v>41625</v>
      </c>
      <c r="B3" t="s">
        <v>4</v>
      </c>
      <c r="C3" t="s">
        <v>5</v>
      </c>
      <c r="D3" t="s">
        <v>3</v>
      </c>
      <c r="F3" s="1">
        <v>41629</v>
      </c>
      <c r="G3" t="s">
        <v>6</v>
      </c>
      <c r="H3" t="s">
        <v>7</v>
      </c>
      <c r="I3" t="s">
        <v>3</v>
      </c>
      <c r="K3" s="1">
        <v>41641</v>
      </c>
      <c r="L3" t="s">
        <v>12</v>
      </c>
      <c r="M3" t="s">
        <v>11</v>
      </c>
      <c r="N3" t="s">
        <v>3</v>
      </c>
      <c r="P3" s="1">
        <v>41642</v>
      </c>
      <c r="Q3" t="s">
        <v>12</v>
      </c>
      <c r="R3" t="s">
        <v>11</v>
      </c>
      <c r="S3" t="s">
        <v>3</v>
      </c>
      <c r="U3" s="1">
        <v>41640</v>
      </c>
      <c r="V3" t="s">
        <v>12</v>
      </c>
      <c r="W3" t="s">
        <v>11</v>
      </c>
      <c r="X3" t="s">
        <v>3</v>
      </c>
    </row>
    <row r="4" spans="1:24">
      <c r="A4" s="1">
        <v>41625</v>
      </c>
      <c r="B4">
        <f>C2+98.2</f>
        <v>296.33</v>
      </c>
      <c r="C4">
        <v>193.51</v>
      </c>
      <c r="D4">
        <f>B4-C4</f>
        <v>102.82</v>
      </c>
      <c r="F4" s="1">
        <v>41629</v>
      </c>
      <c r="G4">
        <f>H2+181.25</f>
        <v>301.65999999999997</v>
      </c>
      <c r="H4">
        <v>126.65</v>
      </c>
      <c r="I4">
        <f>G4-H4</f>
        <v>175.00999999999996</v>
      </c>
      <c r="K4" s="1">
        <v>41641</v>
      </c>
      <c r="P4" s="1">
        <v>41642</v>
      </c>
      <c r="U4" s="1">
        <v>41640</v>
      </c>
    </row>
    <row r="5" spans="1:24">
      <c r="A5" s="1">
        <v>41625</v>
      </c>
      <c r="B5" t="s">
        <v>6</v>
      </c>
      <c r="C5" t="s">
        <v>7</v>
      </c>
      <c r="D5" t="s">
        <v>3</v>
      </c>
      <c r="F5" s="1">
        <v>41629</v>
      </c>
      <c r="G5" t="s">
        <v>8</v>
      </c>
      <c r="H5" t="s">
        <v>9</v>
      </c>
      <c r="I5" t="s">
        <v>3</v>
      </c>
      <c r="K5" s="1">
        <v>41641</v>
      </c>
      <c r="P5" s="1">
        <v>41642</v>
      </c>
      <c r="U5" s="1">
        <v>41640</v>
      </c>
    </row>
    <row r="6" spans="1:24">
      <c r="A6" s="1">
        <v>41625</v>
      </c>
      <c r="B6">
        <f>C4+115.75</f>
        <v>309.26</v>
      </c>
      <c r="C6">
        <v>126.76</v>
      </c>
      <c r="D6">
        <f>B6-C6</f>
        <v>182.5</v>
      </c>
      <c r="F6" s="1">
        <v>41629</v>
      </c>
      <c r="G6">
        <f>H4+169.92</f>
        <v>296.57</v>
      </c>
      <c r="K6" s="1">
        <v>41641</v>
      </c>
      <c r="P6" s="1">
        <v>41642</v>
      </c>
      <c r="U6" s="1">
        <v>41640</v>
      </c>
    </row>
    <row r="7" spans="1:24">
      <c r="A7" s="1">
        <v>41625</v>
      </c>
      <c r="B7" t="s">
        <v>8</v>
      </c>
      <c r="C7" t="s">
        <v>10</v>
      </c>
      <c r="D7" t="s">
        <v>3</v>
      </c>
      <c r="F7" s="1">
        <v>41629</v>
      </c>
      <c r="G7" t="s">
        <v>12</v>
      </c>
      <c r="H7" t="s">
        <v>11</v>
      </c>
      <c r="I7" t="s">
        <v>3</v>
      </c>
      <c r="K7" s="1">
        <v>41641</v>
      </c>
      <c r="P7" s="1">
        <v>41642</v>
      </c>
      <c r="U7" s="1">
        <v>41640</v>
      </c>
    </row>
    <row r="8" spans="1:24">
      <c r="A8" s="1">
        <v>41625</v>
      </c>
      <c r="B8">
        <f>C6+166.42</f>
        <v>293.18</v>
      </c>
      <c r="F8" s="1">
        <v>41629</v>
      </c>
      <c r="K8" s="1">
        <v>41641</v>
      </c>
      <c r="P8" s="1">
        <v>41642</v>
      </c>
      <c r="U8" s="1">
        <v>41640</v>
      </c>
    </row>
    <row r="9" spans="1:24">
      <c r="A9" s="1">
        <v>41625</v>
      </c>
      <c r="F9" s="1">
        <v>41629</v>
      </c>
      <c r="K9" s="1">
        <v>41641</v>
      </c>
      <c r="P9" s="1">
        <v>41642</v>
      </c>
      <c r="U9" s="1">
        <v>41640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opLeftCell="A35" workbookViewId="0">
      <selection activeCell="M41" sqref="M41:M47"/>
    </sheetView>
  </sheetViews>
  <sheetFormatPr baseColWidth="10" defaultRowHeight="15" x14ac:dyDescent="0"/>
  <sheetData>
    <row r="1" spans="1:28">
      <c r="A1" t="s">
        <v>0</v>
      </c>
      <c r="B1" t="s">
        <v>14</v>
      </c>
      <c r="C1" t="s">
        <v>13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>
      <c r="A2">
        <v>143767</v>
      </c>
      <c r="B2" t="s">
        <v>15</v>
      </c>
      <c r="C2">
        <v>2</v>
      </c>
      <c r="F2">
        <v>227</v>
      </c>
      <c r="G2">
        <f>F2+0</f>
        <v>227</v>
      </c>
      <c r="H2">
        <v>179</v>
      </c>
      <c r="I2">
        <f>H2+125</f>
        <v>304</v>
      </c>
      <c r="J2">
        <v>265</v>
      </c>
      <c r="K2">
        <f>J2+0</f>
        <v>265</v>
      </c>
      <c r="L2">
        <v>223</v>
      </c>
      <c r="M2">
        <f>L2+0</f>
        <v>223</v>
      </c>
      <c r="N2">
        <v>182.4</v>
      </c>
      <c r="O2">
        <f>N2+0</f>
        <v>182.4</v>
      </c>
      <c r="P2">
        <v>139</v>
      </c>
      <c r="Q2">
        <f>P2+71</f>
        <v>210</v>
      </c>
      <c r="R2">
        <v>162.4</v>
      </c>
      <c r="S2">
        <f>R2+106.7</f>
        <v>269.10000000000002</v>
      </c>
      <c r="T2">
        <v>230</v>
      </c>
      <c r="U2">
        <f>T2+0</f>
        <v>230</v>
      </c>
      <c r="V2">
        <v>188.4</v>
      </c>
      <c r="W2">
        <f>V2+101</f>
        <v>289.39999999999998</v>
      </c>
      <c r="X2">
        <v>247</v>
      </c>
      <c r="Y2">
        <f>X2+0</f>
        <v>247</v>
      </c>
      <c r="Z2">
        <v>210.3</v>
      </c>
      <c r="AA2">
        <f>Z2+0</f>
        <v>210.3</v>
      </c>
    </row>
    <row r="3" spans="1:28">
      <c r="A3">
        <v>143771</v>
      </c>
      <c r="B3" t="s">
        <v>15</v>
      </c>
      <c r="C3">
        <v>4</v>
      </c>
      <c r="D3">
        <v>120.1</v>
      </c>
      <c r="E3">
        <f>D3+187.1</f>
        <v>307.2</v>
      </c>
      <c r="F3">
        <v>174</v>
      </c>
      <c r="G3">
        <f>F3+122.8</f>
        <v>296.8</v>
      </c>
      <c r="H3">
        <v>172</v>
      </c>
      <c r="I3">
        <f>H3+158</f>
        <v>330</v>
      </c>
      <c r="J3">
        <v>253</v>
      </c>
      <c r="K3">
        <f>J3+43</f>
        <v>296</v>
      </c>
      <c r="L3">
        <v>193</v>
      </c>
      <c r="M3">
        <f>L3+88.5</f>
        <v>281.5</v>
      </c>
      <c r="N3">
        <v>49.8</v>
      </c>
      <c r="O3">
        <f>N3+214</f>
        <v>263.8</v>
      </c>
      <c r="P3">
        <v>68.3</v>
      </c>
      <c r="Q3">
        <f>P3+226</f>
        <v>294.3</v>
      </c>
      <c r="R3">
        <v>200</v>
      </c>
      <c r="S3">
        <f>R3+87.4</f>
        <v>287.39999999999998</v>
      </c>
      <c r="T3">
        <v>181.6</v>
      </c>
      <c r="U3">
        <f>T3+126.4</f>
        <v>308</v>
      </c>
      <c r="V3">
        <v>178.3</v>
      </c>
      <c r="W3">
        <f>V3+88.6</f>
        <v>266.89999999999998</v>
      </c>
      <c r="X3">
        <v>158.6</v>
      </c>
      <c r="Y3">
        <f>X3+165.5</f>
        <v>324.10000000000002</v>
      </c>
      <c r="Z3">
        <v>248.4</v>
      </c>
      <c r="AA3">
        <f>Z3+0</f>
        <v>248.4</v>
      </c>
    </row>
    <row r="4" spans="1:28">
      <c r="A4">
        <v>143768</v>
      </c>
      <c r="B4" t="s">
        <v>15</v>
      </c>
      <c r="C4">
        <v>5</v>
      </c>
      <c r="D4">
        <v>186.9</v>
      </c>
      <c r="E4">
        <f>D4+118.6</f>
        <v>305.5</v>
      </c>
      <c r="F4">
        <v>122.4</v>
      </c>
      <c r="G4">
        <f>F4+170.2</f>
        <v>292.60000000000002</v>
      </c>
      <c r="H4">
        <v>169</v>
      </c>
      <c r="I4">
        <f>H4+145</f>
        <v>314</v>
      </c>
      <c r="J4">
        <v>240</v>
      </c>
      <c r="K4">
        <f>J4+37</f>
        <v>277</v>
      </c>
      <c r="L4">
        <v>173</v>
      </c>
      <c r="M4">
        <f>L4+104</f>
        <v>277</v>
      </c>
      <c r="N4">
        <v>152.1</v>
      </c>
      <c r="O4">
        <f>N4+115</f>
        <v>267.10000000000002</v>
      </c>
      <c r="P4">
        <v>143.80000000000001</v>
      </c>
      <c r="Q4">
        <f>P4+97.3</f>
        <v>241.10000000000002</v>
      </c>
      <c r="R4">
        <v>149.69999999999999</v>
      </c>
      <c r="S4">
        <f>R4+129.7</f>
        <v>279.39999999999998</v>
      </c>
      <c r="T4">
        <v>199.2</v>
      </c>
      <c r="U4">
        <f>T4+101.1</f>
        <v>300.29999999999995</v>
      </c>
      <c r="V4">
        <v>212.3</v>
      </c>
      <c r="W4">
        <f>V4+96.7</f>
        <v>309</v>
      </c>
      <c r="X4">
        <v>219.4</v>
      </c>
      <c r="Y4">
        <f>X4+97.6</f>
        <v>317</v>
      </c>
      <c r="Z4">
        <v>240.5</v>
      </c>
      <c r="AA4">
        <f>Z4+0</f>
        <v>240.5</v>
      </c>
    </row>
    <row r="5" spans="1:28">
      <c r="A5">
        <v>143999</v>
      </c>
      <c r="B5" t="s">
        <v>16</v>
      </c>
      <c r="C5">
        <v>2</v>
      </c>
      <c r="D5">
        <v>297.89999999999998</v>
      </c>
      <c r="E5">
        <v>297.89999999999998</v>
      </c>
      <c r="F5">
        <v>173.5</v>
      </c>
      <c r="G5">
        <f>F5+117</f>
        <v>290.5</v>
      </c>
      <c r="H5">
        <v>154</v>
      </c>
      <c r="I5">
        <f>H5+132</f>
        <v>286</v>
      </c>
      <c r="J5">
        <v>216</v>
      </c>
      <c r="K5">
        <f>J5+58</f>
        <v>274</v>
      </c>
      <c r="L5">
        <v>185</v>
      </c>
      <c r="M5">
        <f>L5+46</f>
        <v>231</v>
      </c>
      <c r="N5">
        <v>184.5</v>
      </c>
      <c r="O5">
        <f>N5+29</f>
        <v>213.5</v>
      </c>
      <c r="P5">
        <v>97.2</v>
      </c>
      <c r="Q5">
        <f>P5+146.7</f>
        <v>243.89999999999998</v>
      </c>
      <c r="R5">
        <v>163.6</v>
      </c>
      <c r="S5">
        <f>R5+48</f>
        <v>211.6</v>
      </c>
      <c r="T5">
        <v>91.9</v>
      </c>
      <c r="U5">
        <f>T5+118.5</f>
        <v>210.4</v>
      </c>
      <c r="V5">
        <v>160.30000000000001</v>
      </c>
      <c r="W5">
        <f>V5+78.4</f>
        <v>238.70000000000002</v>
      </c>
      <c r="X5">
        <v>196.7</v>
      </c>
      <c r="Y5">
        <f>X5+73</f>
        <v>269.7</v>
      </c>
      <c r="Z5">
        <v>230.6</v>
      </c>
      <c r="AA5">
        <f>Z5+0</f>
        <v>230.6</v>
      </c>
      <c r="AB5">
        <v>176.2</v>
      </c>
    </row>
    <row r="6" spans="1:28">
      <c r="A6">
        <v>144000</v>
      </c>
      <c r="B6" t="s">
        <v>16</v>
      </c>
      <c r="C6">
        <v>5</v>
      </c>
      <c r="D6">
        <v>288.60000000000002</v>
      </c>
      <c r="E6">
        <v>288.60000000000002</v>
      </c>
      <c r="F6">
        <v>164</v>
      </c>
      <c r="G6">
        <f>F6+137.4</f>
        <v>301.39999999999998</v>
      </c>
      <c r="H6">
        <v>216</v>
      </c>
      <c r="I6">
        <f>H6+60</f>
        <v>276</v>
      </c>
      <c r="J6">
        <v>122.9</v>
      </c>
      <c r="K6">
        <f>J6+187</f>
        <v>309.89999999999998</v>
      </c>
      <c r="L6">
        <v>188</v>
      </c>
      <c r="M6">
        <f>L6+129</f>
        <v>317</v>
      </c>
      <c r="N6">
        <v>132</v>
      </c>
      <c r="O6">
        <f>N6+152</f>
        <v>284</v>
      </c>
      <c r="P6">
        <v>77.599999999999994</v>
      </c>
      <c r="Q6">
        <f>P6+265</f>
        <v>342.6</v>
      </c>
      <c r="R6">
        <v>178.7</v>
      </c>
      <c r="S6">
        <f>R6+165</f>
        <v>343.7</v>
      </c>
      <c r="T6">
        <v>173.6</v>
      </c>
      <c r="U6">
        <f>T6+149.3</f>
        <v>322.89999999999998</v>
      </c>
      <c r="V6">
        <v>177.8</v>
      </c>
      <c r="W6">
        <f>V6+115.4</f>
        <v>293.20000000000005</v>
      </c>
      <c r="X6">
        <v>170.2</v>
      </c>
      <c r="Y6">
        <f>X6+133.5</f>
        <v>303.7</v>
      </c>
      <c r="Z6">
        <v>156.1</v>
      </c>
      <c r="AA6">
        <f>Z6+140.7</f>
        <v>296.79999999999995</v>
      </c>
      <c r="AB6">
        <v>169.5</v>
      </c>
    </row>
    <row r="7" spans="1:28">
      <c r="A7">
        <v>144008</v>
      </c>
      <c r="B7" t="s">
        <v>16</v>
      </c>
      <c r="C7">
        <v>5</v>
      </c>
      <c r="D7">
        <v>323.3</v>
      </c>
      <c r="E7">
        <v>323.3</v>
      </c>
      <c r="F7">
        <v>179</v>
      </c>
      <c r="G7">
        <f>F7+119.8</f>
        <v>298.8</v>
      </c>
      <c r="H7">
        <v>203</v>
      </c>
      <c r="I7">
        <f>H7+65</f>
        <v>268</v>
      </c>
      <c r="J7">
        <v>178</v>
      </c>
      <c r="K7">
        <f>J7+74</f>
        <v>252</v>
      </c>
      <c r="L7">
        <v>152.19999999999999</v>
      </c>
      <c r="M7">
        <f>L7+91.7</f>
        <v>243.89999999999998</v>
      </c>
      <c r="N7">
        <v>140</v>
      </c>
      <c r="O7">
        <f>N7+153</f>
        <v>293</v>
      </c>
      <c r="P7">
        <v>176.8</v>
      </c>
      <c r="Q7">
        <f>P7+135.2</f>
        <v>312</v>
      </c>
      <c r="R7">
        <v>203.6</v>
      </c>
      <c r="S7">
        <f>R7+112.6</f>
        <v>316.2</v>
      </c>
      <c r="T7">
        <v>216.2</v>
      </c>
      <c r="U7">
        <f>T7+80.9</f>
        <v>297.10000000000002</v>
      </c>
      <c r="V7">
        <v>161.19999999999999</v>
      </c>
      <c r="W7">
        <f>V7+100.8</f>
        <v>262</v>
      </c>
      <c r="X7">
        <v>169.9</v>
      </c>
      <c r="Y7">
        <f>X7+126.4</f>
        <v>296.3</v>
      </c>
      <c r="Z7">
        <v>211.2</v>
      </c>
      <c r="AA7">
        <f>Z7+81.7</f>
        <v>292.89999999999998</v>
      </c>
      <c r="AB7">
        <v>187.1</v>
      </c>
    </row>
    <row r="8" spans="1:28">
      <c r="A8">
        <v>145468</v>
      </c>
      <c r="B8" t="s">
        <v>16</v>
      </c>
      <c r="C8">
        <v>2</v>
      </c>
      <c r="D8">
        <v>215</v>
      </c>
      <c r="E8">
        <v>215</v>
      </c>
      <c r="F8">
        <v>120.9</v>
      </c>
      <c r="G8">
        <f>F8+111</f>
        <v>231.9</v>
      </c>
      <c r="H8">
        <v>136.5</v>
      </c>
      <c r="I8">
        <f>H8+72.7</f>
        <v>209.2</v>
      </c>
      <c r="J8">
        <v>151.80000000000001</v>
      </c>
      <c r="K8">
        <f>J8+51</f>
        <v>202.8</v>
      </c>
      <c r="L8">
        <v>112.8</v>
      </c>
      <c r="M8">
        <f>L8+49.2</f>
        <v>162</v>
      </c>
      <c r="N8">
        <v>114.3</v>
      </c>
      <c r="O8">
        <f>N8+70.1</f>
        <v>184.39999999999998</v>
      </c>
      <c r="P8">
        <v>141.69999999999999</v>
      </c>
      <c r="Q8">
        <f>P8+83.5</f>
        <v>225.2</v>
      </c>
      <c r="R8">
        <v>150</v>
      </c>
      <c r="S8">
        <f>R8+93.6</f>
        <v>243.6</v>
      </c>
      <c r="T8">
        <v>176.3</v>
      </c>
      <c r="U8">
        <f>T8+64.6</f>
        <v>240.9</v>
      </c>
      <c r="V8">
        <v>206</v>
      </c>
      <c r="W8">
        <f>V8+0</f>
        <v>206</v>
      </c>
      <c r="X8">
        <v>159.19999999999999</v>
      </c>
      <c r="Y8">
        <f>X8+55</f>
        <v>214.2</v>
      </c>
      <c r="Z8">
        <v>174.7</v>
      </c>
      <c r="AA8">
        <f>Z8+0</f>
        <v>174.7</v>
      </c>
      <c r="AB8">
        <v>133.69999999999999</v>
      </c>
    </row>
    <row r="10" spans="1:28">
      <c r="A10" t="s">
        <v>37</v>
      </c>
    </row>
    <row r="11" spans="1:28">
      <c r="A11">
        <v>143767</v>
      </c>
      <c r="B11" t="s">
        <v>15</v>
      </c>
      <c r="C11">
        <v>2</v>
      </c>
      <c r="D11">
        <f>4.73*D2</f>
        <v>0</v>
      </c>
      <c r="E11">
        <f>4.73*E2</f>
        <v>0</v>
      </c>
      <c r="F11">
        <f>4.73*F2</f>
        <v>1073.71</v>
      </c>
      <c r="G11">
        <f t="shared" ref="G11:V11" si="0">4.73*G2</f>
        <v>1073.71</v>
      </c>
      <c r="H11">
        <f t="shared" si="0"/>
        <v>846.67000000000007</v>
      </c>
      <c r="I11">
        <f t="shared" si="0"/>
        <v>1437.92</v>
      </c>
      <c r="J11">
        <f t="shared" si="0"/>
        <v>1253.45</v>
      </c>
      <c r="K11">
        <f t="shared" si="0"/>
        <v>1253.45</v>
      </c>
      <c r="L11">
        <f t="shared" si="0"/>
        <v>1054.7900000000002</v>
      </c>
      <c r="M11">
        <f t="shared" si="0"/>
        <v>1054.7900000000002</v>
      </c>
      <c r="N11">
        <f t="shared" si="0"/>
        <v>862.75200000000007</v>
      </c>
      <c r="O11">
        <f t="shared" si="0"/>
        <v>862.75200000000007</v>
      </c>
      <c r="P11">
        <f t="shared" si="0"/>
        <v>657.47</v>
      </c>
      <c r="Q11">
        <f t="shared" si="0"/>
        <v>993.30000000000007</v>
      </c>
      <c r="R11">
        <f t="shared" si="0"/>
        <v>768.15200000000004</v>
      </c>
      <c r="S11">
        <f t="shared" si="0"/>
        <v>1272.8430000000003</v>
      </c>
      <c r="T11">
        <f t="shared" si="0"/>
        <v>1087.9000000000001</v>
      </c>
      <c r="U11">
        <f t="shared" si="0"/>
        <v>1087.9000000000001</v>
      </c>
      <c r="V11">
        <f t="shared" si="0"/>
        <v>891.13200000000006</v>
      </c>
      <c r="W11">
        <f>4.73*W2</f>
        <v>1368.8620000000001</v>
      </c>
      <c r="X11">
        <f>4.73*X2</f>
        <v>1168.3100000000002</v>
      </c>
      <c r="Y11">
        <f>4.73*Y2</f>
        <v>1168.3100000000002</v>
      </c>
    </row>
    <row r="12" spans="1:28">
      <c r="A12">
        <v>143771</v>
      </c>
      <c r="B12" t="s">
        <v>15</v>
      </c>
      <c r="C12">
        <v>4</v>
      </c>
      <c r="D12">
        <f>4.73*D3</f>
        <v>568.07299999999998</v>
      </c>
      <c r="E12">
        <f t="shared" ref="E12:V12" si="1">4.73*E3</f>
        <v>1453.056</v>
      </c>
      <c r="F12">
        <f t="shared" si="1"/>
        <v>823.0200000000001</v>
      </c>
      <c r="G12">
        <f t="shared" si="1"/>
        <v>1403.8640000000003</v>
      </c>
      <c r="H12">
        <f t="shared" si="1"/>
        <v>813.56000000000006</v>
      </c>
      <c r="I12">
        <f t="shared" si="1"/>
        <v>1560.9</v>
      </c>
      <c r="J12">
        <f t="shared" si="1"/>
        <v>1196.69</v>
      </c>
      <c r="K12">
        <f t="shared" si="1"/>
        <v>1400.0800000000002</v>
      </c>
      <c r="L12">
        <f t="shared" si="1"/>
        <v>912.8900000000001</v>
      </c>
      <c r="M12">
        <f t="shared" si="1"/>
        <v>1331.4950000000001</v>
      </c>
      <c r="N12">
        <f t="shared" si="1"/>
        <v>235.554</v>
      </c>
      <c r="O12">
        <f t="shared" si="1"/>
        <v>1247.7740000000001</v>
      </c>
      <c r="P12">
        <f t="shared" si="1"/>
        <v>323.05900000000003</v>
      </c>
      <c r="Q12">
        <f t="shared" si="1"/>
        <v>1392.0390000000002</v>
      </c>
      <c r="R12">
        <f t="shared" si="1"/>
        <v>946.00000000000011</v>
      </c>
      <c r="S12">
        <f t="shared" si="1"/>
        <v>1359.402</v>
      </c>
      <c r="T12">
        <f t="shared" si="1"/>
        <v>858.96800000000007</v>
      </c>
      <c r="U12">
        <f t="shared" si="1"/>
        <v>1456.8400000000001</v>
      </c>
      <c r="V12">
        <f t="shared" si="1"/>
        <v>843.35900000000015</v>
      </c>
      <c r="W12">
        <f>4.73*W3</f>
        <v>1262.4369999999999</v>
      </c>
      <c r="X12">
        <f>4.73*X3</f>
        <v>750.178</v>
      </c>
      <c r="Y12">
        <f t="shared" ref="X12:Y17" si="2">4.73*Y3</f>
        <v>1532.9930000000002</v>
      </c>
    </row>
    <row r="13" spans="1:28">
      <c r="A13">
        <v>143768</v>
      </c>
      <c r="B13" t="s">
        <v>15</v>
      </c>
      <c r="C13">
        <v>5</v>
      </c>
      <c r="D13">
        <f>4.73*D4</f>
        <v>884.03700000000015</v>
      </c>
      <c r="E13">
        <f t="shared" ref="E13:W17" si="3">4.73*E4</f>
        <v>1445.0150000000001</v>
      </c>
      <c r="F13">
        <f t="shared" si="3"/>
        <v>578.95200000000011</v>
      </c>
      <c r="G13">
        <f t="shared" si="3"/>
        <v>1383.9980000000003</v>
      </c>
      <c r="H13">
        <f t="shared" si="3"/>
        <v>799.37000000000012</v>
      </c>
      <c r="I13">
        <f t="shared" si="3"/>
        <v>1485.22</v>
      </c>
      <c r="J13">
        <f t="shared" si="3"/>
        <v>1135.2</v>
      </c>
      <c r="K13">
        <f t="shared" si="3"/>
        <v>1310.21</v>
      </c>
      <c r="L13">
        <f t="shared" si="3"/>
        <v>818.29000000000008</v>
      </c>
      <c r="M13">
        <f t="shared" si="3"/>
        <v>1310.21</v>
      </c>
      <c r="N13">
        <f t="shared" si="3"/>
        <v>719.43299999999999</v>
      </c>
      <c r="O13">
        <f t="shared" si="3"/>
        <v>1263.3830000000003</v>
      </c>
      <c r="P13">
        <f t="shared" si="3"/>
        <v>680.17400000000009</v>
      </c>
      <c r="Q13">
        <f t="shared" si="3"/>
        <v>1140.4030000000002</v>
      </c>
      <c r="R13">
        <f t="shared" si="3"/>
        <v>708.08100000000002</v>
      </c>
      <c r="S13">
        <f t="shared" si="3"/>
        <v>1321.5619999999999</v>
      </c>
      <c r="T13">
        <f t="shared" si="3"/>
        <v>942.21600000000001</v>
      </c>
      <c r="U13">
        <f t="shared" si="3"/>
        <v>1420.4189999999999</v>
      </c>
      <c r="V13">
        <f t="shared" si="3"/>
        <v>1004.1790000000002</v>
      </c>
      <c r="W13">
        <f t="shared" si="3"/>
        <v>1461.5700000000002</v>
      </c>
      <c r="X13">
        <f t="shared" si="2"/>
        <v>1037.7620000000002</v>
      </c>
      <c r="Y13">
        <f t="shared" si="2"/>
        <v>1499.41</v>
      </c>
    </row>
    <row r="14" spans="1:28">
      <c r="A14">
        <v>143999</v>
      </c>
      <c r="B14" t="s">
        <v>16</v>
      </c>
      <c r="C14">
        <v>2</v>
      </c>
      <c r="D14">
        <f t="shared" ref="D14:S17" si="4">4.73*D5</f>
        <v>1409.067</v>
      </c>
      <c r="E14">
        <f t="shared" si="4"/>
        <v>1409.067</v>
      </c>
      <c r="F14">
        <f t="shared" si="4"/>
        <v>820.65500000000009</v>
      </c>
      <c r="G14">
        <f t="shared" si="4"/>
        <v>1374.0650000000001</v>
      </c>
      <c r="H14">
        <f t="shared" si="4"/>
        <v>728.42000000000007</v>
      </c>
      <c r="I14">
        <f t="shared" si="4"/>
        <v>1352.7800000000002</v>
      </c>
      <c r="J14">
        <f t="shared" si="4"/>
        <v>1021.6800000000001</v>
      </c>
      <c r="K14">
        <f t="shared" si="4"/>
        <v>1296.0200000000002</v>
      </c>
      <c r="L14">
        <f t="shared" si="4"/>
        <v>875.05000000000007</v>
      </c>
      <c r="M14">
        <f t="shared" si="4"/>
        <v>1092.6300000000001</v>
      </c>
      <c r="N14">
        <f t="shared" si="4"/>
        <v>872.68500000000006</v>
      </c>
      <c r="O14">
        <f t="shared" si="4"/>
        <v>1009.8550000000001</v>
      </c>
      <c r="P14">
        <f t="shared" si="4"/>
        <v>459.75600000000003</v>
      </c>
      <c r="Q14">
        <f t="shared" si="4"/>
        <v>1153.6469999999999</v>
      </c>
      <c r="R14">
        <f t="shared" si="4"/>
        <v>773.82800000000009</v>
      </c>
      <c r="S14">
        <f t="shared" si="4"/>
        <v>1000.8680000000001</v>
      </c>
      <c r="T14">
        <f t="shared" si="3"/>
        <v>434.68700000000007</v>
      </c>
      <c r="U14">
        <f t="shared" si="3"/>
        <v>995.19200000000012</v>
      </c>
      <c r="V14">
        <f t="shared" si="3"/>
        <v>758.21900000000016</v>
      </c>
      <c r="W14">
        <f t="shared" si="3"/>
        <v>1129.0510000000002</v>
      </c>
      <c r="X14">
        <f t="shared" si="2"/>
        <v>930.39100000000008</v>
      </c>
      <c r="Y14">
        <f t="shared" si="2"/>
        <v>1275.681</v>
      </c>
    </row>
    <row r="15" spans="1:28">
      <c r="A15">
        <v>144000</v>
      </c>
      <c r="B15" t="s">
        <v>16</v>
      </c>
      <c r="C15">
        <v>5</v>
      </c>
      <c r="D15">
        <f t="shared" si="4"/>
        <v>1365.0780000000002</v>
      </c>
      <c r="E15">
        <f t="shared" si="3"/>
        <v>1365.0780000000002</v>
      </c>
      <c r="F15">
        <f t="shared" si="3"/>
        <v>775.72</v>
      </c>
      <c r="G15">
        <f t="shared" si="3"/>
        <v>1425.6220000000001</v>
      </c>
      <c r="H15">
        <f t="shared" si="3"/>
        <v>1021.6800000000001</v>
      </c>
      <c r="I15">
        <f t="shared" si="3"/>
        <v>1305.48</v>
      </c>
      <c r="J15">
        <f t="shared" si="3"/>
        <v>581.31700000000012</v>
      </c>
      <c r="K15">
        <f t="shared" si="3"/>
        <v>1465.827</v>
      </c>
      <c r="L15">
        <f t="shared" si="3"/>
        <v>889.24000000000012</v>
      </c>
      <c r="M15">
        <f t="shared" si="3"/>
        <v>1499.41</v>
      </c>
      <c r="N15">
        <f t="shared" si="3"/>
        <v>624.36</v>
      </c>
      <c r="O15">
        <f t="shared" si="3"/>
        <v>1343.3200000000002</v>
      </c>
      <c r="P15">
        <f t="shared" si="3"/>
        <v>367.048</v>
      </c>
      <c r="Q15">
        <f t="shared" si="3"/>
        <v>1620.4980000000003</v>
      </c>
      <c r="R15">
        <f t="shared" si="3"/>
        <v>845.25099999999998</v>
      </c>
      <c r="S15">
        <f t="shared" si="3"/>
        <v>1625.701</v>
      </c>
      <c r="T15">
        <f t="shared" si="3"/>
        <v>821.12800000000004</v>
      </c>
      <c r="U15">
        <f t="shared" si="3"/>
        <v>1527.317</v>
      </c>
      <c r="V15">
        <f t="shared" si="3"/>
        <v>840.99400000000014</v>
      </c>
      <c r="W15">
        <f t="shared" si="3"/>
        <v>1386.8360000000002</v>
      </c>
      <c r="X15">
        <f t="shared" si="2"/>
        <v>805.04600000000005</v>
      </c>
      <c r="Y15">
        <f t="shared" si="2"/>
        <v>1436.501</v>
      </c>
    </row>
    <row r="16" spans="1:28">
      <c r="A16">
        <v>144008</v>
      </c>
      <c r="B16" t="s">
        <v>16</v>
      </c>
      <c r="C16">
        <v>5</v>
      </c>
      <c r="D16">
        <f t="shared" si="4"/>
        <v>1529.2090000000003</v>
      </c>
      <c r="E16">
        <f t="shared" si="3"/>
        <v>1529.2090000000003</v>
      </c>
      <c r="F16">
        <f t="shared" si="3"/>
        <v>846.67000000000007</v>
      </c>
      <c r="G16">
        <f t="shared" si="3"/>
        <v>1413.3240000000001</v>
      </c>
      <c r="H16">
        <f t="shared" si="3"/>
        <v>960.19</v>
      </c>
      <c r="I16">
        <f t="shared" si="3"/>
        <v>1267.6400000000001</v>
      </c>
      <c r="J16">
        <f t="shared" si="3"/>
        <v>841.94</v>
      </c>
      <c r="K16">
        <f t="shared" si="3"/>
        <v>1191.96</v>
      </c>
      <c r="L16">
        <f t="shared" si="3"/>
        <v>719.90600000000006</v>
      </c>
      <c r="M16">
        <f t="shared" si="3"/>
        <v>1153.6469999999999</v>
      </c>
      <c r="N16">
        <f t="shared" si="3"/>
        <v>662.2</v>
      </c>
      <c r="O16">
        <f t="shared" si="3"/>
        <v>1385.89</v>
      </c>
      <c r="P16">
        <f t="shared" si="3"/>
        <v>836.26400000000012</v>
      </c>
      <c r="Q16">
        <f t="shared" si="3"/>
        <v>1475.7600000000002</v>
      </c>
      <c r="R16">
        <f t="shared" si="3"/>
        <v>963.02800000000002</v>
      </c>
      <c r="S16">
        <f t="shared" si="3"/>
        <v>1495.626</v>
      </c>
      <c r="T16">
        <f t="shared" si="3"/>
        <v>1022.6260000000001</v>
      </c>
      <c r="U16">
        <f t="shared" si="3"/>
        <v>1405.2830000000001</v>
      </c>
      <c r="V16">
        <f t="shared" si="3"/>
        <v>762.476</v>
      </c>
      <c r="W16">
        <f t="shared" si="3"/>
        <v>1239.2600000000002</v>
      </c>
      <c r="X16">
        <f t="shared" si="2"/>
        <v>803.62700000000007</v>
      </c>
      <c r="Y16">
        <f t="shared" ref="Y16" si="5">4.73*Y7</f>
        <v>1401.4990000000003</v>
      </c>
    </row>
    <row r="17" spans="1:25">
      <c r="A17">
        <v>145468</v>
      </c>
      <c r="B17" t="s">
        <v>16</v>
      </c>
      <c r="C17">
        <v>2</v>
      </c>
      <c r="D17">
        <f t="shared" si="4"/>
        <v>1016.95</v>
      </c>
      <c r="E17">
        <f t="shared" si="3"/>
        <v>1016.95</v>
      </c>
      <c r="F17">
        <f t="shared" si="3"/>
        <v>571.85700000000008</v>
      </c>
      <c r="G17">
        <f t="shared" si="3"/>
        <v>1096.8870000000002</v>
      </c>
      <c r="H17">
        <f t="shared" si="3"/>
        <v>645.6450000000001</v>
      </c>
      <c r="I17">
        <f t="shared" si="3"/>
        <v>989.51600000000008</v>
      </c>
      <c r="J17">
        <f t="shared" si="3"/>
        <v>718.01400000000012</v>
      </c>
      <c r="K17">
        <f t="shared" si="3"/>
        <v>959.24400000000014</v>
      </c>
      <c r="L17">
        <f t="shared" si="3"/>
        <v>533.54399999999998</v>
      </c>
      <c r="M17">
        <f t="shared" si="3"/>
        <v>766.2600000000001</v>
      </c>
      <c r="N17">
        <f t="shared" si="3"/>
        <v>540.63900000000001</v>
      </c>
      <c r="O17">
        <f t="shared" si="3"/>
        <v>872.21199999999999</v>
      </c>
      <c r="P17">
        <f t="shared" si="3"/>
        <v>670.24099999999999</v>
      </c>
      <c r="Q17">
        <f t="shared" si="3"/>
        <v>1065.1960000000001</v>
      </c>
      <c r="R17">
        <f t="shared" si="3"/>
        <v>709.50000000000011</v>
      </c>
      <c r="S17">
        <f t="shared" si="3"/>
        <v>1152.2280000000001</v>
      </c>
      <c r="T17">
        <f t="shared" si="3"/>
        <v>833.89900000000011</v>
      </c>
      <c r="U17">
        <f t="shared" si="3"/>
        <v>1139.4570000000001</v>
      </c>
      <c r="V17">
        <f t="shared" si="3"/>
        <v>974.38000000000011</v>
      </c>
      <c r="W17">
        <f t="shared" si="3"/>
        <v>974.38000000000011</v>
      </c>
      <c r="X17">
        <f t="shared" si="2"/>
        <v>753.01599999999996</v>
      </c>
      <c r="Y17">
        <f t="shared" ref="Y17" si="6">4.73*Y8</f>
        <v>1013.1660000000001</v>
      </c>
    </row>
    <row r="20" spans="1:25">
      <c r="A20" t="s">
        <v>41</v>
      </c>
      <c r="C20">
        <v>4.16</v>
      </c>
      <c r="D20">
        <v>4.2300000000000004</v>
      </c>
      <c r="E20">
        <v>5.01</v>
      </c>
      <c r="F20">
        <v>5.07</v>
      </c>
      <c r="G20">
        <v>5.14</v>
      </c>
      <c r="H20">
        <v>5.21</v>
      </c>
      <c r="I20">
        <v>5.28</v>
      </c>
      <c r="J20">
        <v>6.04</v>
      </c>
      <c r="K20">
        <v>6.11</v>
      </c>
      <c r="L20">
        <v>6.18</v>
      </c>
    </row>
    <row r="22" spans="1:25">
      <c r="A22" s="2">
        <v>143767</v>
      </c>
      <c r="B22" s="2" t="s">
        <v>15</v>
      </c>
      <c r="C22" s="2"/>
      <c r="D22" s="2">
        <f>(G2-H2)/14</f>
        <v>3.4285714285714284</v>
      </c>
      <c r="E22" s="2">
        <f>(I2-J2)/14</f>
        <v>2.7857142857142856</v>
      </c>
      <c r="F22" s="2">
        <f>(K2-L2)/14</f>
        <v>3</v>
      </c>
      <c r="G22" s="2">
        <f>(M2-N2)/14</f>
        <v>2.8999999999999995</v>
      </c>
      <c r="H22" s="2">
        <f>(O2-P2)/14</f>
        <v>3.1000000000000005</v>
      </c>
      <c r="I22" s="2">
        <f>(Q2-R2)/14</f>
        <v>3.3999999999999995</v>
      </c>
      <c r="J22" s="2">
        <f>(S2-T2)/14</f>
        <v>2.7928571428571445</v>
      </c>
      <c r="K22" s="2">
        <f>(U2-V2)/14</f>
        <v>2.9714285714285711</v>
      </c>
      <c r="L22" s="2">
        <f>(W2-X2)/14</f>
        <v>3.0285714285714271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5">
      <c r="A23" s="2">
        <v>143771</v>
      </c>
      <c r="B23" s="2" t="s">
        <v>15</v>
      </c>
      <c r="C23" s="2">
        <f>(E3-F3)/28</f>
        <v>4.7571428571428571</v>
      </c>
      <c r="D23" s="2">
        <f>(G3-H3)/28</f>
        <v>4.4571428571428573</v>
      </c>
      <c r="E23" s="2">
        <f>(I3-J3)/28</f>
        <v>2.75</v>
      </c>
      <c r="F23" s="2">
        <f>(K3-L3)/28</f>
        <v>3.6785714285714284</v>
      </c>
      <c r="G23" s="2">
        <f>(M3-N3)/28</f>
        <v>8.2750000000000004</v>
      </c>
      <c r="H23" s="2">
        <f>(O3-P3)/28</f>
        <v>6.9821428571428568</v>
      </c>
      <c r="I23" s="2">
        <f>(Q3-R3)/28</f>
        <v>3.3678571428571433</v>
      </c>
      <c r="J23" s="2">
        <f>(S3-T3)/28</f>
        <v>3.778571428571428</v>
      </c>
      <c r="K23" s="2">
        <f>(U3-V3)/28</f>
        <v>4.6321428571428571</v>
      </c>
      <c r="L23" s="2">
        <f>(W3-X3)/28</f>
        <v>3.8678571428571424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5">
      <c r="A24" s="2">
        <v>143768</v>
      </c>
      <c r="B24" s="2" t="s">
        <v>15</v>
      </c>
      <c r="C24" s="2">
        <f>(E4-F4)/35</f>
        <v>5.2314285714285713</v>
      </c>
      <c r="D24" s="2">
        <f>(G4-H4)/35</f>
        <v>3.531428571428572</v>
      </c>
      <c r="E24" s="2">
        <f>(I4-J4)/35</f>
        <v>2.1142857142857143</v>
      </c>
      <c r="F24" s="2">
        <f>(K4-L4)/35</f>
        <v>2.9714285714285715</v>
      </c>
      <c r="G24" s="2">
        <f>(M4-N4)/35</f>
        <v>3.5685714285714289</v>
      </c>
      <c r="H24" s="2">
        <f>(O4-P4)/35</f>
        <v>3.5228571428571431</v>
      </c>
      <c r="I24" s="2">
        <f>(Q4-R4)/35</f>
        <v>2.6114285714285725</v>
      </c>
      <c r="J24" s="2">
        <f>(S4-T4)/35</f>
        <v>2.2914285714285709</v>
      </c>
      <c r="K24" s="2">
        <f>(U4-V4)/35</f>
        <v>2.5142857142857125</v>
      </c>
      <c r="L24" s="2">
        <f>(W4-X4)/35</f>
        <v>2.56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5">
      <c r="A25" s="2">
        <v>143999</v>
      </c>
      <c r="B25" s="2" t="s">
        <v>16</v>
      </c>
      <c r="C25" s="2">
        <f>(E5-F5)/14</f>
        <v>8.8857142857142843</v>
      </c>
      <c r="D25" s="2">
        <f>(G5-H5)/14</f>
        <v>9.75</v>
      </c>
      <c r="E25" s="2">
        <f>(I5-J5)/14</f>
        <v>5</v>
      </c>
      <c r="F25" s="2">
        <f>(K5-L5)/14</f>
        <v>6.3571428571428568</v>
      </c>
      <c r="G25" s="2">
        <f>(M5-N5)/14</f>
        <v>3.3214285714285716</v>
      </c>
      <c r="H25" s="2">
        <f>(O5-P5)/14</f>
        <v>8.3071428571428569</v>
      </c>
      <c r="I25" s="2">
        <f>(Q5-R5)/14</f>
        <v>5.7357142857142849</v>
      </c>
      <c r="J25" s="2">
        <f>(S5-T5)/14</f>
        <v>8.5499999999999989</v>
      </c>
      <c r="K25" s="2">
        <f>(U5-V5)/14</f>
        <v>3.5785714285714283</v>
      </c>
      <c r="L25" s="2">
        <f>(W5-X5)/14</f>
        <v>3.0000000000000022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5">
      <c r="A26" s="2">
        <v>144000</v>
      </c>
      <c r="B26" s="2" t="s">
        <v>16</v>
      </c>
      <c r="C26" s="2">
        <f>(E6-F6)/35</f>
        <v>3.5600000000000005</v>
      </c>
      <c r="D26" s="2">
        <f>(G6-H6)/35</f>
        <v>2.4399999999999995</v>
      </c>
      <c r="E26" s="2">
        <f>(I6-J6)/35</f>
        <v>4.3742857142857146</v>
      </c>
      <c r="F26" s="2">
        <f>(K6-L6)/35</f>
        <v>3.4828571428571422</v>
      </c>
      <c r="G26" s="2">
        <f>(M6-N6)/35</f>
        <v>5.2857142857142856</v>
      </c>
      <c r="H26" s="2">
        <f>(O6-P6)/35</f>
        <v>5.8971428571428577</v>
      </c>
      <c r="I26" s="2">
        <f>(Q6-R6)/35</f>
        <v>4.6828571428571442</v>
      </c>
      <c r="J26" s="2">
        <f>(S6-T6)/35</f>
        <v>4.8599999999999994</v>
      </c>
      <c r="K26" s="2">
        <f>(U6-V6)/35</f>
        <v>4.145714285714285</v>
      </c>
      <c r="L26" s="2">
        <f>(W6-X6)/35</f>
        <v>3.514285714285716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5">
      <c r="A27" s="2">
        <v>144008</v>
      </c>
      <c r="B27" s="2" t="s">
        <v>16</v>
      </c>
      <c r="C27" s="2">
        <f>(E7-F7)/35</f>
        <v>4.1228571428571428</v>
      </c>
      <c r="D27" s="2">
        <f>(G7-H7)/35</f>
        <v>2.7371428571428575</v>
      </c>
      <c r="E27" s="2">
        <f>(I7-J7)/35</f>
        <v>2.5714285714285716</v>
      </c>
      <c r="F27" s="2">
        <f>(K7-L7)/35</f>
        <v>2.8514285714285719</v>
      </c>
      <c r="G27" s="2">
        <f>(M7-N7)/35</f>
        <v>2.968571428571428</v>
      </c>
      <c r="H27" s="2">
        <f>(O7-P7)/35</f>
        <v>3.32</v>
      </c>
      <c r="I27" s="2">
        <f>(Q7-R7)/35</f>
        <v>3.0971428571428574</v>
      </c>
      <c r="J27" s="2">
        <f>(S7-T7)/35</f>
        <v>2.8571428571428572</v>
      </c>
      <c r="K27" s="2">
        <f>(U7-V7)/35</f>
        <v>3.8828571428571439</v>
      </c>
      <c r="L27" s="2">
        <f>(W7-X7)/35</f>
        <v>2.6314285714285712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5">
      <c r="A28" s="2">
        <v>145468</v>
      </c>
      <c r="B28" s="2" t="s">
        <v>16</v>
      </c>
      <c r="C28" s="2">
        <f>(E8-F8)/14</f>
        <v>6.7214285714285706</v>
      </c>
      <c r="D28" s="2">
        <f>(G8-H8)/14</f>
        <v>6.8142857142857149</v>
      </c>
      <c r="E28" s="2">
        <f>(I8-J8)/14</f>
        <v>4.0999999999999988</v>
      </c>
      <c r="F28" s="2">
        <f>(K8-L8)/14</f>
        <v>6.4285714285714297</v>
      </c>
      <c r="G28" s="2">
        <f>(M8-N8)/14</f>
        <v>3.4071428571428575</v>
      </c>
      <c r="H28" s="2">
        <f>(O8-P8)/14</f>
        <v>3.0499999999999994</v>
      </c>
      <c r="I28" s="2">
        <f>(Q8-R8)/14</f>
        <v>5.371428571428571</v>
      </c>
      <c r="J28" s="2">
        <f>(S8-T8)/14</f>
        <v>4.8071428571428561</v>
      </c>
      <c r="K28" s="2">
        <f>(U8-V8)/14</f>
        <v>2.4928571428571433</v>
      </c>
      <c r="L28" s="2">
        <f>(W8-X8)/14</f>
        <v>3.3428571428571439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30" spans="1:25">
      <c r="A30" t="s">
        <v>38</v>
      </c>
      <c r="B30" s="2" t="s">
        <v>15</v>
      </c>
      <c r="C30" s="2">
        <f>AVERAGE(C23,C24)</f>
        <v>4.9942857142857147</v>
      </c>
      <c r="D30" s="2">
        <f>AVERAGE(D22,D23,D24)</f>
        <v>3.805714285714286</v>
      </c>
      <c r="E30" s="2">
        <f>AVERAGE(E22,E23,E24)</f>
        <v>2.5500000000000003</v>
      </c>
      <c r="F30" s="2">
        <f t="shared" ref="F30:K30" si="7">AVERAGE(F22,F23,F24)</f>
        <v>3.2166666666666668</v>
      </c>
      <c r="G30" s="2">
        <f t="shared" si="7"/>
        <v>4.9145238095238097</v>
      </c>
      <c r="H30" s="2">
        <f t="shared" si="7"/>
        <v>4.5350000000000001</v>
      </c>
      <c r="I30" s="2">
        <f t="shared" si="7"/>
        <v>3.1264285714285713</v>
      </c>
      <c r="J30" s="2">
        <f t="shared" si="7"/>
        <v>2.9542857142857151</v>
      </c>
      <c r="K30" s="2">
        <f t="shared" si="7"/>
        <v>3.3726190476190467</v>
      </c>
      <c r="L30" s="2">
        <f>AVERAGE(L22,L23,L24)</f>
        <v>3.1521428571428562</v>
      </c>
    </row>
    <row r="31" spans="1:25">
      <c r="B31" s="2" t="s">
        <v>16</v>
      </c>
      <c r="C31">
        <f>AVERAGE(C25,C26,C27,C28)</f>
        <v>5.8224999999999998</v>
      </c>
      <c r="D31">
        <f>AVERAGE(D25,D26,D27,D28)</f>
        <v>5.4353571428571428</v>
      </c>
      <c r="E31">
        <f>AVERAGE(E25,E26,E27,E28)</f>
        <v>4.0114285714285716</v>
      </c>
      <c r="F31">
        <f t="shared" ref="F31:K31" si="8">AVERAGE(F25,F26,F27,F28)</f>
        <v>4.78</v>
      </c>
      <c r="G31">
        <f t="shared" si="8"/>
        <v>3.7457142857142856</v>
      </c>
      <c r="H31">
        <f t="shared" si="8"/>
        <v>5.1435714285714287</v>
      </c>
      <c r="I31">
        <f t="shared" si="8"/>
        <v>4.7217857142857147</v>
      </c>
      <c r="J31">
        <f t="shared" si="8"/>
        <v>5.2685714285714278</v>
      </c>
      <c r="K31">
        <f t="shared" si="8"/>
        <v>3.5250000000000004</v>
      </c>
      <c r="L31">
        <f>AVERAGE(L25,L26,L27,L28)</f>
        <v>3.1221428571428582</v>
      </c>
    </row>
    <row r="33" spans="1:13">
      <c r="A33" t="s">
        <v>39</v>
      </c>
      <c r="B33" s="2" t="s">
        <v>15</v>
      </c>
      <c r="C33">
        <f>SQRT(((C23-C30)^2)+((C24-C30)^2)/1)</f>
        <v>0.33537064479133394</v>
      </c>
      <c r="D33">
        <f>SQRT(((D23-D30)^2)+((D24-D30)^2)+((D22-D30)^2)/2)</f>
        <v>0.75545364125248116</v>
      </c>
      <c r="E33">
        <f t="shared" ref="E33:K33" si="9">SQRT(((E23-E30)^2)+((E24-E30)^2)+((E22-E30)^2)/2)</f>
        <v>0.50757024244966154</v>
      </c>
      <c r="F33">
        <f t="shared" si="9"/>
        <v>0.54494949733762099</v>
      </c>
      <c r="G33">
        <f t="shared" si="9"/>
        <v>3.8901852305665234</v>
      </c>
      <c r="H33">
        <f t="shared" si="9"/>
        <v>2.835939672583077</v>
      </c>
      <c r="I33">
        <f t="shared" si="9"/>
        <v>0.6007773450849706</v>
      </c>
      <c r="J33">
        <f>SQRT(((J23-J30)^2)+((J24-J30)^2)+((J22-J30)^2)/2)</f>
        <v>1.0638872696150561</v>
      </c>
      <c r="K33">
        <f t="shared" si="9"/>
        <v>1.550359067107183</v>
      </c>
      <c r="L33">
        <f>SQRT(((L22-L30)^2)+((L23-L30)^2)+((L24-L30)^2)/2)</f>
        <v>0.83835160783966245</v>
      </c>
    </row>
    <row r="34" spans="1:13">
      <c r="A34" t="s">
        <v>40</v>
      </c>
      <c r="C34">
        <f>SQRT(C33/2)</f>
        <v>0.40949398334489234</v>
      </c>
      <c r="D34">
        <f>SQRT(D33/3)</f>
        <v>0.50181458768901255</v>
      </c>
      <c r="E34">
        <f t="shared" ref="E34:K34" si="10">SQRT(E33/3)</f>
        <v>0.41132721866727207</v>
      </c>
      <c r="F34">
        <f t="shared" si="10"/>
        <v>0.42620397985691505</v>
      </c>
      <c r="G34">
        <f t="shared" si="10"/>
        <v>1.1387398342856199</v>
      </c>
      <c r="H34">
        <f t="shared" si="10"/>
        <v>0.97227219655524399</v>
      </c>
      <c r="I34">
        <f t="shared" si="10"/>
        <v>0.44750320113751535</v>
      </c>
      <c r="J34">
        <f t="shared" si="10"/>
        <v>0.59550742218018182</v>
      </c>
      <c r="K34">
        <f t="shared" si="10"/>
        <v>0.71887854029898146</v>
      </c>
      <c r="L34">
        <f>SQRT(L33/3)</f>
        <v>0.52863081252094468</v>
      </c>
    </row>
    <row r="36" spans="1:13">
      <c r="A36" t="s">
        <v>39</v>
      </c>
      <c r="B36" s="2" t="s">
        <v>16</v>
      </c>
      <c r="C36">
        <f t="shared" ref="C36:K36" si="11">SQRT(((C25-C31)^2)+((C26-C31)^2)+((C27-C31)^2)+((C28-C31)^2)/3)</f>
        <v>4.2024197050688556</v>
      </c>
      <c r="D36">
        <f>SQRT(((D25-D31)^2)+((D26-D31)^2)+((D27-D31)^2)+((D28-D31)^2)/3)</f>
        <v>5.9583959584739903</v>
      </c>
      <c r="E36">
        <f t="shared" si="11"/>
        <v>1.7846999023635872</v>
      </c>
      <c r="F36">
        <f t="shared" si="11"/>
        <v>2.9656830900276909</v>
      </c>
      <c r="G36">
        <f t="shared" si="11"/>
        <v>1.7871148793059541</v>
      </c>
      <c r="H36">
        <f t="shared" si="11"/>
        <v>3.9195000462106004</v>
      </c>
      <c r="I36">
        <f t="shared" si="11"/>
        <v>1.951847742228767</v>
      </c>
      <c r="J36">
        <f t="shared" si="11"/>
        <v>4.1013002749833163</v>
      </c>
      <c r="K36">
        <f t="shared" si="11"/>
        <v>0.93344745415039998</v>
      </c>
      <c r="L36">
        <f>SQRT(((L25-L31)^2)+((L26-L31)^2)+((L27-L31)^2)+((L28-L31)/3))</f>
        <v>0.69503009771857749</v>
      </c>
    </row>
    <row r="37" spans="1:13">
      <c r="A37" t="s">
        <v>40</v>
      </c>
      <c r="C37">
        <f>SQRT(C36/4)</f>
        <v>1.024990207888453</v>
      </c>
      <c r="D37">
        <f>SQRT(D36/4)</f>
        <v>1.220491290267365</v>
      </c>
      <c r="E37">
        <f t="shared" ref="E37:J37" si="12">SQRT(E36/4)</f>
        <v>0.66796330407507931</v>
      </c>
      <c r="F37">
        <f t="shared" si="12"/>
        <v>0.86105793795012586</v>
      </c>
      <c r="G37">
        <f t="shared" si="12"/>
        <v>0.6684150804900264</v>
      </c>
      <c r="H37">
        <f t="shared" si="12"/>
        <v>0.98988636294912669</v>
      </c>
      <c r="I37">
        <f t="shared" si="12"/>
        <v>0.69854272278593799</v>
      </c>
      <c r="J37">
        <f t="shared" si="12"/>
        <v>1.0125833638500235</v>
      </c>
      <c r="K37">
        <f>SQRT(K36/4)</f>
        <v>0.4830754222040281</v>
      </c>
      <c r="L37">
        <f>SQRT(L36/4)</f>
        <v>0.41684232562162443</v>
      </c>
    </row>
    <row r="39" spans="1:13">
      <c r="A39" t="s">
        <v>0</v>
      </c>
    </row>
    <row r="40" spans="1:13">
      <c r="A40" t="s">
        <v>42</v>
      </c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</row>
    <row r="41" spans="1:13">
      <c r="A41" s="2">
        <v>143767</v>
      </c>
      <c r="B41" s="2" t="s">
        <v>15</v>
      </c>
      <c r="C41">
        <v>0</v>
      </c>
      <c r="E41">
        <f>D22*7</f>
        <v>24</v>
      </c>
      <c r="F41">
        <f t="shared" ref="F41:K41" si="13">E22*7</f>
        <v>19.5</v>
      </c>
      <c r="G41">
        <f t="shared" si="13"/>
        <v>21</v>
      </c>
      <c r="H41">
        <f t="shared" si="13"/>
        <v>20.299999999999997</v>
      </c>
      <c r="I41">
        <f t="shared" si="13"/>
        <v>21.700000000000003</v>
      </c>
      <c r="J41">
        <f t="shared" si="13"/>
        <v>23.799999999999997</v>
      </c>
      <c r="K41">
        <f t="shared" si="13"/>
        <v>19.550000000000011</v>
      </c>
      <c r="L41">
        <f>K22*7</f>
        <v>20.799999999999997</v>
      </c>
      <c r="M41">
        <f>L22*7</f>
        <v>21.199999999999989</v>
      </c>
    </row>
    <row r="42" spans="1:13">
      <c r="A42" s="2">
        <v>143771</v>
      </c>
      <c r="B42" s="2" t="s">
        <v>15</v>
      </c>
      <c r="C42">
        <v>0</v>
      </c>
      <c r="D42">
        <f>C23*7</f>
        <v>33.299999999999997</v>
      </c>
      <c r="E42">
        <f>D23*7</f>
        <v>31.200000000000003</v>
      </c>
      <c r="F42">
        <f>E23*7</f>
        <v>19.25</v>
      </c>
      <c r="G42">
        <f t="shared" ref="G42:M46" si="14">F23*7</f>
        <v>25.75</v>
      </c>
      <c r="H42">
        <f t="shared" si="14"/>
        <v>57.925000000000004</v>
      </c>
      <c r="I42">
        <f t="shared" si="14"/>
        <v>48.875</v>
      </c>
      <c r="J42">
        <f t="shared" si="14"/>
        <v>23.575000000000003</v>
      </c>
      <c r="K42">
        <f t="shared" si="14"/>
        <v>26.449999999999996</v>
      </c>
      <c r="L42">
        <f t="shared" si="14"/>
        <v>32.424999999999997</v>
      </c>
      <c r="M42">
        <f>L23*7</f>
        <v>27.074999999999996</v>
      </c>
    </row>
    <row r="43" spans="1:13">
      <c r="A43" s="2">
        <v>143768</v>
      </c>
      <c r="B43" s="2" t="s">
        <v>15</v>
      </c>
      <c r="C43">
        <v>0</v>
      </c>
      <c r="D43">
        <f t="shared" ref="D43:D47" si="15">C24*7</f>
        <v>36.619999999999997</v>
      </c>
      <c r="E43">
        <f t="shared" ref="E43:L47" si="16">D24*7</f>
        <v>24.720000000000006</v>
      </c>
      <c r="F43">
        <f t="shared" si="16"/>
        <v>14.8</v>
      </c>
      <c r="G43">
        <f t="shared" si="16"/>
        <v>20.8</v>
      </c>
      <c r="H43">
        <f t="shared" si="16"/>
        <v>24.980000000000004</v>
      </c>
      <c r="I43">
        <f t="shared" si="16"/>
        <v>24.660000000000004</v>
      </c>
      <c r="J43">
        <f t="shared" si="16"/>
        <v>18.280000000000008</v>
      </c>
      <c r="K43">
        <f t="shared" si="16"/>
        <v>16.039999999999996</v>
      </c>
      <c r="L43">
        <f t="shared" si="16"/>
        <v>17.599999999999987</v>
      </c>
      <c r="M43">
        <f t="shared" si="14"/>
        <v>17.920000000000002</v>
      </c>
    </row>
    <row r="44" spans="1:13">
      <c r="A44" s="2">
        <v>143999</v>
      </c>
      <c r="B44" s="2" t="s">
        <v>16</v>
      </c>
      <c r="C44">
        <v>0</v>
      </c>
      <c r="D44">
        <f t="shared" si="15"/>
        <v>62.199999999999989</v>
      </c>
      <c r="E44">
        <f t="shared" si="16"/>
        <v>68.25</v>
      </c>
      <c r="F44">
        <f t="shared" si="16"/>
        <v>35</v>
      </c>
      <c r="G44">
        <f t="shared" si="16"/>
        <v>44.5</v>
      </c>
      <c r="H44">
        <f t="shared" si="16"/>
        <v>23.25</v>
      </c>
      <c r="I44">
        <f t="shared" si="16"/>
        <v>58.15</v>
      </c>
      <c r="J44">
        <f t="shared" si="16"/>
        <v>40.149999999999991</v>
      </c>
      <c r="K44">
        <f t="shared" si="16"/>
        <v>59.849999999999994</v>
      </c>
      <c r="L44">
        <f>K25*7</f>
        <v>25.049999999999997</v>
      </c>
      <c r="M44">
        <f t="shared" si="14"/>
        <v>21.000000000000014</v>
      </c>
    </row>
    <row r="45" spans="1:13">
      <c r="A45" s="2">
        <v>144000</v>
      </c>
      <c r="B45" s="2" t="s">
        <v>16</v>
      </c>
      <c r="C45">
        <v>0</v>
      </c>
      <c r="D45">
        <f t="shared" si="15"/>
        <v>24.92</v>
      </c>
      <c r="E45">
        <f t="shared" si="16"/>
        <v>17.079999999999998</v>
      </c>
      <c r="F45">
        <f t="shared" si="16"/>
        <v>30.62</v>
      </c>
      <c r="G45">
        <f t="shared" si="16"/>
        <v>24.379999999999995</v>
      </c>
      <c r="H45">
        <f t="shared" si="16"/>
        <v>37</v>
      </c>
      <c r="I45">
        <f t="shared" si="16"/>
        <v>41.28</v>
      </c>
      <c r="J45">
        <f t="shared" si="16"/>
        <v>32.780000000000008</v>
      </c>
      <c r="K45">
        <f t="shared" si="16"/>
        <v>34.019999999999996</v>
      </c>
      <c r="L45">
        <f t="shared" si="16"/>
        <v>29.019999999999996</v>
      </c>
      <c r="M45">
        <f t="shared" si="14"/>
        <v>24.600000000000012</v>
      </c>
    </row>
    <row r="46" spans="1:13">
      <c r="A46" s="2">
        <v>144008</v>
      </c>
      <c r="B46" s="2" t="s">
        <v>16</v>
      </c>
      <c r="C46">
        <v>0</v>
      </c>
      <c r="D46">
        <f t="shared" si="15"/>
        <v>28.86</v>
      </c>
      <c r="E46">
        <f t="shared" si="16"/>
        <v>19.160000000000004</v>
      </c>
      <c r="F46">
        <f t="shared" si="16"/>
        <v>18</v>
      </c>
      <c r="G46">
        <f t="shared" si="16"/>
        <v>19.960000000000004</v>
      </c>
      <c r="H46">
        <f t="shared" si="16"/>
        <v>20.779999999999994</v>
      </c>
      <c r="I46">
        <f t="shared" si="16"/>
        <v>23.24</v>
      </c>
      <c r="J46">
        <f t="shared" si="16"/>
        <v>21.680000000000003</v>
      </c>
      <c r="K46">
        <f t="shared" si="16"/>
        <v>20</v>
      </c>
      <c r="L46">
        <f t="shared" si="16"/>
        <v>27.180000000000007</v>
      </c>
      <c r="M46">
        <f t="shared" si="14"/>
        <v>18.419999999999998</v>
      </c>
    </row>
    <row r="47" spans="1:13">
      <c r="A47" s="2">
        <v>145468</v>
      </c>
      <c r="B47" s="2" t="s">
        <v>16</v>
      </c>
      <c r="C47">
        <v>0</v>
      </c>
      <c r="D47">
        <f t="shared" si="15"/>
        <v>47.05</v>
      </c>
      <c r="E47">
        <f t="shared" si="16"/>
        <v>47.7</v>
      </c>
      <c r="F47">
        <f t="shared" si="16"/>
        <v>28.699999999999992</v>
      </c>
      <c r="G47">
        <f t="shared" si="16"/>
        <v>45.000000000000007</v>
      </c>
      <c r="H47">
        <f t="shared" si="16"/>
        <v>23.85</v>
      </c>
      <c r="I47">
        <f t="shared" si="16"/>
        <v>21.349999999999994</v>
      </c>
      <c r="J47">
        <f t="shared" si="16"/>
        <v>37.599999999999994</v>
      </c>
      <c r="K47">
        <f t="shared" si="16"/>
        <v>33.649999999999991</v>
      </c>
      <c r="L47">
        <f>K28*7</f>
        <v>17.450000000000003</v>
      </c>
      <c r="M47">
        <f>L28*7</f>
        <v>23.400000000000006</v>
      </c>
    </row>
    <row r="49" spans="1:13">
      <c r="A49" t="s">
        <v>43</v>
      </c>
      <c r="C49">
        <v>0</v>
      </c>
      <c r="D49">
        <v>1</v>
      </c>
      <c r="E49">
        <v>2</v>
      </c>
      <c r="F49">
        <v>3</v>
      </c>
      <c r="G49">
        <v>4</v>
      </c>
      <c r="H49">
        <v>5</v>
      </c>
      <c r="I49">
        <v>6</v>
      </c>
      <c r="J49">
        <v>7</v>
      </c>
      <c r="K49">
        <v>8</v>
      </c>
      <c r="L49">
        <v>9</v>
      </c>
      <c r="M49">
        <v>10</v>
      </c>
    </row>
    <row r="50" spans="1:13">
      <c r="A50" s="2">
        <v>143767</v>
      </c>
      <c r="B50" s="2" t="s">
        <v>15</v>
      </c>
      <c r="C50">
        <v>0</v>
      </c>
      <c r="D50" s="3">
        <f>AVERAGE(D51:D56)</f>
        <v>38.824999999999996</v>
      </c>
      <c r="E50">
        <f>D50+E41</f>
        <v>62.824999999999996</v>
      </c>
      <c r="F50">
        <f>E50+F41</f>
        <v>82.324999999999989</v>
      </c>
      <c r="G50">
        <f>F50+G41</f>
        <v>103.32499999999999</v>
      </c>
      <c r="H50">
        <f t="shared" ref="H50:L50" si="17">G50+H41</f>
        <v>123.62499999999999</v>
      </c>
      <c r="I50">
        <f t="shared" si="17"/>
        <v>145.32499999999999</v>
      </c>
      <c r="J50">
        <f t="shared" si="17"/>
        <v>169.125</v>
      </c>
      <c r="K50">
        <f t="shared" si="17"/>
        <v>188.67500000000001</v>
      </c>
      <c r="L50">
        <f t="shared" si="17"/>
        <v>209.47500000000002</v>
      </c>
      <c r="M50">
        <f>L50+M41</f>
        <v>230.67500000000001</v>
      </c>
    </row>
    <row r="51" spans="1:13">
      <c r="A51" s="2">
        <v>143771</v>
      </c>
      <c r="B51" s="2" t="s">
        <v>15</v>
      </c>
      <c r="C51">
        <v>0</v>
      </c>
      <c r="D51">
        <f>D42</f>
        <v>33.299999999999997</v>
      </c>
      <c r="E51">
        <f>D51+E42</f>
        <v>64.5</v>
      </c>
      <c r="F51">
        <f t="shared" ref="F51:M56" si="18">E51+F42</f>
        <v>83.75</v>
      </c>
      <c r="G51">
        <f t="shared" si="18"/>
        <v>109.5</v>
      </c>
      <c r="H51">
        <f t="shared" si="18"/>
        <v>167.42500000000001</v>
      </c>
      <c r="I51">
        <f t="shared" si="18"/>
        <v>216.3</v>
      </c>
      <c r="J51">
        <f t="shared" si="18"/>
        <v>239.875</v>
      </c>
      <c r="K51">
        <f t="shared" si="18"/>
        <v>266.32499999999999</v>
      </c>
      <c r="L51">
        <f t="shared" si="18"/>
        <v>298.75</v>
      </c>
      <c r="M51">
        <f t="shared" si="18"/>
        <v>325.82499999999999</v>
      </c>
    </row>
    <row r="52" spans="1:13">
      <c r="A52" s="2">
        <v>143768</v>
      </c>
      <c r="B52" s="2" t="s">
        <v>15</v>
      </c>
      <c r="C52">
        <v>0</v>
      </c>
      <c r="D52">
        <f t="shared" ref="D52:D55" si="19">D43</f>
        <v>36.619999999999997</v>
      </c>
      <c r="E52">
        <f t="shared" ref="E52:E55" si="20">D52+E43</f>
        <v>61.34</v>
      </c>
      <c r="F52">
        <f>E52+F43</f>
        <v>76.14</v>
      </c>
      <c r="G52">
        <f t="shared" ref="G52:M56" si="21">F52+G43</f>
        <v>96.94</v>
      </c>
      <c r="H52">
        <f t="shared" si="21"/>
        <v>121.92</v>
      </c>
      <c r="I52">
        <f t="shared" si="21"/>
        <v>146.58000000000001</v>
      </c>
      <c r="J52">
        <f t="shared" si="21"/>
        <v>164.86</v>
      </c>
      <c r="K52">
        <f t="shared" si="21"/>
        <v>180.9</v>
      </c>
      <c r="L52">
        <f t="shared" si="21"/>
        <v>198.5</v>
      </c>
      <c r="M52">
        <f t="shared" si="21"/>
        <v>216.42000000000002</v>
      </c>
    </row>
    <row r="53" spans="1:13">
      <c r="A53" s="2">
        <v>143999</v>
      </c>
      <c r="B53" s="2" t="s">
        <v>16</v>
      </c>
      <c r="C53">
        <v>0</v>
      </c>
      <c r="D53">
        <f t="shared" si="19"/>
        <v>62.199999999999989</v>
      </c>
      <c r="E53">
        <f>D53+E44</f>
        <v>130.44999999999999</v>
      </c>
      <c r="F53">
        <f t="shared" si="18"/>
        <v>165.45</v>
      </c>
      <c r="G53">
        <f t="shared" si="21"/>
        <v>209.95</v>
      </c>
      <c r="H53">
        <f t="shared" si="21"/>
        <v>233.2</v>
      </c>
      <c r="I53">
        <f t="shared" si="21"/>
        <v>291.34999999999997</v>
      </c>
      <c r="J53">
        <f t="shared" si="21"/>
        <v>331.49999999999994</v>
      </c>
      <c r="K53">
        <f t="shared" si="21"/>
        <v>391.34999999999991</v>
      </c>
      <c r="L53">
        <f t="shared" si="21"/>
        <v>416.39999999999992</v>
      </c>
      <c r="M53">
        <f t="shared" si="21"/>
        <v>437.39999999999992</v>
      </c>
    </row>
    <row r="54" spans="1:13">
      <c r="A54" s="2">
        <v>144000</v>
      </c>
      <c r="B54" s="2" t="s">
        <v>16</v>
      </c>
      <c r="C54">
        <v>0</v>
      </c>
      <c r="D54">
        <f t="shared" si="19"/>
        <v>24.92</v>
      </c>
      <c r="E54">
        <f t="shared" si="20"/>
        <v>42</v>
      </c>
      <c r="F54">
        <f t="shared" si="18"/>
        <v>72.62</v>
      </c>
      <c r="G54">
        <f t="shared" si="21"/>
        <v>97</v>
      </c>
      <c r="H54">
        <f t="shared" si="21"/>
        <v>134</v>
      </c>
      <c r="I54">
        <f t="shared" si="21"/>
        <v>175.28</v>
      </c>
      <c r="J54">
        <f t="shared" si="21"/>
        <v>208.06</v>
      </c>
      <c r="K54">
        <f t="shared" si="21"/>
        <v>242.07999999999998</v>
      </c>
      <c r="L54">
        <f>K54+L45</f>
        <v>271.09999999999997</v>
      </c>
      <c r="M54">
        <f>L54+M45</f>
        <v>295.7</v>
      </c>
    </row>
    <row r="55" spans="1:13">
      <c r="A55" s="2">
        <v>144008</v>
      </c>
      <c r="B55" s="2" t="s">
        <v>16</v>
      </c>
      <c r="C55">
        <v>0</v>
      </c>
      <c r="D55">
        <f t="shared" si="19"/>
        <v>28.86</v>
      </c>
      <c r="E55">
        <f t="shared" si="20"/>
        <v>48.02</v>
      </c>
      <c r="F55">
        <f t="shared" si="18"/>
        <v>66.02000000000001</v>
      </c>
      <c r="G55">
        <f t="shared" si="21"/>
        <v>85.980000000000018</v>
      </c>
      <c r="H55">
        <f t="shared" si="21"/>
        <v>106.76000000000002</v>
      </c>
      <c r="I55">
        <f t="shared" si="21"/>
        <v>130.00000000000003</v>
      </c>
      <c r="J55">
        <f t="shared" si="21"/>
        <v>151.68000000000004</v>
      </c>
      <c r="K55">
        <f t="shared" si="21"/>
        <v>171.68000000000004</v>
      </c>
      <c r="L55">
        <f t="shared" si="21"/>
        <v>198.86000000000004</v>
      </c>
      <c r="M55">
        <f t="shared" si="21"/>
        <v>217.28000000000003</v>
      </c>
    </row>
    <row r="56" spans="1:13">
      <c r="A56" s="2">
        <v>145468</v>
      </c>
      <c r="B56" s="2" t="s">
        <v>16</v>
      </c>
      <c r="C56">
        <v>0</v>
      </c>
      <c r="D56">
        <f>D47</f>
        <v>47.05</v>
      </c>
      <c r="E56">
        <f>D56+E47</f>
        <v>94.75</v>
      </c>
      <c r="F56">
        <f t="shared" si="18"/>
        <v>123.44999999999999</v>
      </c>
      <c r="G56">
        <f t="shared" si="21"/>
        <v>168.45</v>
      </c>
      <c r="H56">
        <f t="shared" si="21"/>
        <v>192.29999999999998</v>
      </c>
      <c r="I56">
        <f t="shared" si="21"/>
        <v>213.64999999999998</v>
      </c>
      <c r="J56">
        <f t="shared" si="21"/>
        <v>251.24999999999997</v>
      </c>
      <c r="K56">
        <f t="shared" si="21"/>
        <v>284.89999999999998</v>
      </c>
      <c r="L56">
        <f t="shared" si="21"/>
        <v>302.34999999999997</v>
      </c>
      <c r="M56">
        <f>L56+M47</f>
        <v>325.75</v>
      </c>
    </row>
    <row r="58" spans="1:13">
      <c r="A58" t="s">
        <v>44</v>
      </c>
      <c r="C58">
        <v>0</v>
      </c>
      <c r="D58">
        <f>AVERAGE(D53:D56)</f>
        <v>40.757499999999993</v>
      </c>
      <c r="E58">
        <f t="shared" ref="E58:J58" si="22">AVERAGE(E53:E56)</f>
        <v>78.805000000000007</v>
      </c>
      <c r="F58">
        <f t="shared" si="22"/>
        <v>106.88500000000001</v>
      </c>
      <c r="G58">
        <f t="shared" si="22"/>
        <v>140.345</v>
      </c>
      <c r="H58">
        <f t="shared" si="22"/>
        <v>166.565</v>
      </c>
      <c r="I58">
        <f t="shared" si="22"/>
        <v>202.57</v>
      </c>
      <c r="J58">
        <f t="shared" si="22"/>
        <v>235.6225</v>
      </c>
      <c r="K58">
        <f>AVERAGE(K53:K56)</f>
        <v>272.50249999999994</v>
      </c>
      <c r="L58">
        <f>AVERAGE(L53:L56)</f>
        <v>297.17749999999995</v>
      </c>
      <c r="M58">
        <f>AVERAGE(M53:M56)</f>
        <v>319.03249999999997</v>
      </c>
    </row>
    <row r="59" spans="1:13">
      <c r="A59" t="s">
        <v>45</v>
      </c>
      <c r="C59">
        <v>0</v>
      </c>
      <c r="D59">
        <f>AVERAGE(D50:D52)</f>
        <v>36.248333333333335</v>
      </c>
      <c r="E59">
        <f t="shared" ref="E59:L59" si="23">AVERAGE(E50:E52)</f>
        <v>62.888333333333328</v>
      </c>
      <c r="F59">
        <f t="shared" si="23"/>
        <v>80.73833333333333</v>
      </c>
      <c r="G59">
        <f>AVERAGE(G50:G52)</f>
        <v>103.255</v>
      </c>
      <c r="H59">
        <f t="shared" si="23"/>
        <v>137.65666666666667</v>
      </c>
      <c r="I59">
        <f t="shared" si="23"/>
        <v>169.40166666666667</v>
      </c>
      <c r="J59">
        <f t="shared" si="23"/>
        <v>191.28666666666666</v>
      </c>
      <c r="K59">
        <f t="shared" si="23"/>
        <v>211.96666666666667</v>
      </c>
      <c r="L59">
        <f t="shared" si="23"/>
        <v>235.57500000000002</v>
      </c>
      <c r="M59">
        <f t="shared" ref="M59" si="24">AVERAGE(M50:M52)</f>
        <v>257.64000000000004</v>
      </c>
    </row>
    <row r="60" spans="1:13">
      <c r="A60" t="s">
        <v>46</v>
      </c>
      <c r="C60">
        <v>0</v>
      </c>
      <c r="D60">
        <f>STDEV(D53:D56)</f>
        <v>17.240971308678262</v>
      </c>
      <c r="E60">
        <f>STDEV(E53:E56)</f>
        <v>41.728380829678294</v>
      </c>
      <c r="F60">
        <f t="shared" ref="F60:K60" si="25">STDEV(F53:F56)</f>
        <v>46.720077411465503</v>
      </c>
      <c r="G60">
        <f t="shared" si="25"/>
        <v>59.073652615470891</v>
      </c>
      <c r="H60">
        <f t="shared" si="25"/>
        <v>56.978448264819043</v>
      </c>
      <c r="I60">
        <f t="shared" si="25"/>
        <v>68.351551555176769</v>
      </c>
      <c r="J60">
        <f>STDEV(J53:J56)</f>
        <v>75.812814385168352</v>
      </c>
      <c r="K60">
        <f t="shared" si="25"/>
        <v>91.958561818172669</v>
      </c>
      <c r="L60">
        <f>STDEV(L53:L56)</f>
        <v>90.53015349410758</v>
      </c>
      <c r="M60">
        <f>STDEV(M53:M56)</f>
        <v>91.203009224842233</v>
      </c>
    </row>
    <row r="61" spans="1:13">
      <c r="A61" t="s">
        <v>48</v>
      </c>
      <c r="C61">
        <v>0</v>
      </c>
      <c r="D61">
        <f>D60/SQRT(14)</f>
        <v>4.6078434037338294</v>
      </c>
      <c r="E61">
        <f t="shared" ref="E61:K61" si="26">E60/SQRT(14)</f>
        <v>11.152378883534423</v>
      </c>
      <c r="F61">
        <f t="shared" si="26"/>
        <v>12.486465911232877</v>
      </c>
      <c r="G61">
        <f t="shared" si="26"/>
        <v>15.788097762313887</v>
      </c>
      <c r="H61">
        <f t="shared" si="26"/>
        <v>15.228130845498359</v>
      </c>
      <c r="I61">
        <f t="shared" si="26"/>
        <v>18.267720555277645</v>
      </c>
      <c r="J61">
        <f t="shared" si="26"/>
        <v>20.261826925456205</v>
      </c>
      <c r="K61">
        <f t="shared" si="26"/>
        <v>24.576959436005279</v>
      </c>
      <c r="L61">
        <f>L60/SQRT(14)</f>
        <v>24.195201253357599</v>
      </c>
      <c r="M61">
        <f>M60/SQRT(14)</f>
        <v>24.375029511581634</v>
      </c>
    </row>
    <row r="62" spans="1:13">
      <c r="A62" t="s">
        <v>47</v>
      </c>
      <c r="C62">
        <v>0</v>
      </c>
      <c r="D62">
        <f>STDEV(D50:D52)</f>
        <v>2.7811882951956579</v>
      </c>
      <c r="E62">
        <f t="shared" ref="E62:K62" si="27">STDEV(E50:E52)</f>
        <v>1.5809517175844834</v>
      </c>
      <c r="F62">
        <f t="shared" si="27"/>
        <v>4.0455108865671479</v>
      </c>
      <c r="G62">
        <f t="shared" si="27"/>
        <v>6.2802925887254659</v>
      </c>
      <c r="H62">
        <f t="shared" si="27"/>
        <v>25.794224321218366</v>
      </c>
      <c r="I62">
        <f t="shared" si="27"/>
        <v>40.619995178893433</v>
      </c>
      <c r="J62">
        <f t="shared" si="27"/>
        <v>42.132732623618537</v>
      </c>
      <c r="K62">
        <f t="shared" si="27"/>
        <v>47.23593926591635</v>
      </c>
      <c r="L62">
        <f>STDEV(L50:L52)</f>
        <v>54.985662904069834</v>
      </c>
      <c r="M62">
        <f>STDEV(M50:M52)</f>
        <v>59.478541718841491</v>
      </c>
    </row>
    <row r="63" spans="1:13">
      <c r="A63" t="s">
        <v>49</v>
      </c>
      <c r="C63">
        <v>0</v>
      </c>
      <c r="D63">
        <f>D62/SQRT(11)</f>
        <v>0.83855982240838101</v>
      </c>
      <c r="E63">
        <f t="shared" ref="E63:K63" si="28">E62/SQRT(11)</f>
        <v>0.47667487808142239</v>
      </c>
      <c r="F63">
        <f t="shared" si="28"/>
        <v>1.2197674269128413</v>
      </c>
      <c r="G63">
        <f t="shared" si="28"/>
        <v>1.8935794627683791</v>
      </c>
      <c r="H63">
        <f t="shared" si="28"/>
        <v>7.7772512574310015</v>
      </c>
      <c r="I63">
        <f t="shared" si="28"/>
        <v>12.247389363130434</v>
      </c>
      <c r="J63">
        <f t="shared" si="28"/>
        <v>12.703496864082632</v>
      </c>
      <c r="K63">
        <f t="shared" si="28"/>
        <v>14.242171560460021</v>
      </c>
      <c r="L63">
        <f>L62/SQRT(11)</f>
        <v>16.578801154705754</v>
      </c>
      <c r="M63">
        <f>M62/SQRT(11)</f>
        <v>17.933455087172508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C1" sqref="C1"/>
    </sheetView>
  </sheetViews>
  <sheetFormatPr baseColWidth="10" defaultRowHeight="15" x14ac:dyDescent="0"/>
  <sheetData>
    <row r="1" spans="1:4">
      <c r="A1" t="s">
        <v>0</v>
      </c>
      <c r="B1" t="s">
        <v>14</v>
      </c>
      <c r="C1" t="s">
        <v>55</v>
      </c>
      <c r="D1" t="s">
        <v>37</v>
      </c>
    </row>
    <row r="2" spans="1:4">
      <c r="A2" s="2">
        <v>143767</v>
      </c>
      <c r="B2" s="2" t="s">
        <v>15</v>
      </c>
      <c r="C2">
        <v>1</v>
      </c>
      <c r="D2">
        <f>AVERAGE(D3:D8)</f>
        <v>38.824999999999996</v>
      </c>
    </row>
    <row r="3" spans="1:4">
      <c r="A3" s="2">
        <v>143771</v>
      </c>
      <c r="B3" s="2" t="s">
        <v>15</v>
      </c>
      <c r="C3">
        <v>1</v>
      </c>
      <c r="D3">
        <f>Maternal!D42</f>
        <v>33.299999999999997</v>
      </c>
    </row>
    <row r="4" spans="1:4">
      <c r="A4" s="2">
        <v>143768</v>
      </c>
      <c r="B4" s="2" t="s">
        <v>15</v>
      </c>
      <c r="C4">
        <v>1</v>
      </c>
      <c r="D4">
        <f>Maternal!D43</f>
        <v>36.619999999999997</v>
      </c>
    </row>
    <row r="5" spans="1:4">
      <c r="A5" s="2">
        <v>143999</v>
      </c>
      <c r="B5" s="2" t="s">
        <v>16</v>
      </c>
      <c r="C5">
        <v>1</v>
      </c>
      <c r="D5">
        <f>Maternal!D44</f>
        <v>62.199999999999989</v>
      </c>
    </row>
    <row r="6" spans="1:4">
      <c r="A6" s="2">
        <v>144000</v>
      </c>
      <c r="B6" s="2" t="s">
        <v>16</v>
      </c>
      <c r="C6">
        <v>1</v>
      </c>
      <c r="D6">
        <f>Maternal!D45</f>
        <v>24.92</v>
      </c>
    </row>
    <row r="7" spans="1:4">
      <c r="A7" s="2">
        <v>144008</v>
      </c>
      <c r="B7" s="2" t="s">
        <v>16</v>
      </c>
      <c r="C7">
        <v>1</v>
      </c>
      <c r="D7">
        <f>Maternal!D46</f>
        <v>28.86</v>
      </c>
    </row>
    <row r="8" spans="1:4">
      <c r="A8" s="2">
        <v>145468</v>
      </c>
      <c r="B8" s="2" t="s">
        <v>16</v>
      </c>
      <c r="C8">
        <v>1</v>
      </c>
      <c r="D8">
        <f>Maternal!D47</f>
        <v>47.05</v>
      </c>
    </row>
    <row r="9" spans="1:4">
      <c r="A9" s="2">
        <v>143767</v>
      </c>
      <c r="B9" s="2" t="s">
        <v>15</v>
      </c>
      <c r="C9">
        <v>2</v>
      </c>
      <c r="D9">
        <f>Maternal!E41</f>
        <v>24</v>
      </c>
    </row>
    <row r="10" spans="1:4">
      <c r="A10" s="2">
        <v>143771</v>
      </c>
      <c r="B10" s="2" t="s">
        <v>15</v>
      </c>
      <c r="C10">
        <v>2</v>
      </c>
      <c r="D10">
        <f>Maternal!E42</f>
        <v>31.200000000000003</v>
      </c>
    </row>
    <row r="11" spans="1:4">
      <c r="A11" s="2">
        <v>143768</v>
      </c>
      <c r="B11" s="2" t="s">
        <v>15</v>
      </c>
      <c r="C11">
        <v>2</v>
      </c>
      <c r="D11">
        <f>Maternal!E43</f>
        <v>24.720000000000006</v>
      </c>
    </row>
    <row r="12" spans="1:4">
      <c r="A12" s="2">
        <v>143999</v>
      </c>
      <c r="B12" s="2" t="s">
        <v>16</v>
      </c>
      <c r="C12">
        <v>2</v>
      </c>
      <c r="D12">
        <f>Maternal!E44</f>
        <v>68.25</v>
      </c>
    </row>
    <row r="13" spans="1:4">
      <c r="A13" s="2">
        <v>144000</v>
      </c>
      <c r="B13" s="2" t="s">
        <v>16</v>
      </c>
      <c r="C13">
        <v>2</v>
      </c>
      <c r="D13">
        <f>Maternal!E45</f>
        <v>17.079999999999998</v>
      </c>
    </row>
    <row r="14" spans="1:4">
      <c r="A14" s="2">
        <v>144008</v>
      </c>
      <c r="B14" s="2" t="s">
        <v>16</v>
      </c>
      <c r="C14">
        <v>2</v>
      </c>
      <c r="D14">
        <f>Maternal!E46</f>
        <v>19.160000000000004</v>
      </c>
    </row>
    <row r="15" spans="1:4">
      <c r="A15" s="2">
        <v>145468</v>
      </c>
      <c r="B15" s="2" t="s">
        <v>16</v>
      </c>
      <c r="C15">
        <v>2</v>
      </c>
      <c r="D15">
        <f>Maternal!E47</f>
        <v>47.7</v>
      </c>
    </row>
    <row r="16" spans="1:4">
      <c r="A16" s="2">
        <v>143767</v>
      </c>
      <c r="B16" s="2" t="s">
        <v>15</v>
      </c>
      <c r="C16">
        <v>3</v>
      </c>
      <c r="D16">
        <f>Maternal!F41</f>
        <v>19.5</v>
      </c>
    </row>
    <row r="17" spans="1:4">
      <c r="A17" s="2">
        <v>143771</v>
      </c>
      <c r="B17" s="2" t="s">
        <v>15</v>
      </c>
      <c r="C17">
        <v>3</v>
      </c>
      <c r="D17">
        <f>Maternal!F42</f>
        <v>19.25</v>
      </c>
    </row>
    <row r="18" spans="1:4">
      <c r="A18" s="2">
        <v>143768</v>
      </c>
      <c r="B18" s="2" t="s">
        <v>15</v>
      </c>
      <c r="C18">
        <v>3</v>
      </c>
      <c r="D18">
        <f>Maternal!F43</f>
        <v>14.8</v>
      </c>
    </row>
    <row r="19" spans="1:4">
      <c r="A19" s="2">
        <v>143999</v>
      </c>
      <c r="B19" s="2" t="s">
        <v>16</v>
      </c>
      <c r="C19">
        <v>3</v>
      </c>
      <c r="D19">
        <f>Maternal!F44</f>
        <v>35</v>
      </c>
    </row>
    <row r="20" spans="1:4">
      <c r="A20" s="2">
        <v>144000</v>
      </c>
      <c r="B20" s="2" t="s">
        <v>16</v>
      </c>
      <c r="C20">
        <v>3</v>
      </c>
      <c r="D20">
        <f>Maternal!F45</f>
        <v>30.62</v>
      </c>
    </row>
    <row r="21" spans="1:4">
      <c r="A21" s="2">
        <v>144008</v>
      </c>
      <c r="B21" s="2" t="s">
        <v>16</v>
      </c>
      <c r="C21">
        <v>3</v>
      </c>
      <c r="D21">
        <f>Maternal!F46</f>
        <v>18</v>
      </c>
    </row>
    <row r="22" spans="1:4">
      <c r="A22" s="2">
        <v>145468</v>
      </c>
      <c r="B22" s="2" t="s">
        <v>16</v>
      </c>
      <c r="C22">
        <v>3</v>
      </c>
      <c r="D22">
        <f>Maternal!F47</f>
        <v>28.699999999999992</v>
      </c>
    </row>
    <row r="23" spans="1:4">
      <c r="A23" s="2">
        <v>143767</v>
      </c>
      <c r="B23" s="2" t="s">
        <v>15</v>
      </c>
      <c r="C23">
        <v>4</v>
      </c>
      <c r="D23">
        <f>Maternal!G41</f>
        <v>21</v>
      </c>
    </row>
    <row r="24" spans="1:4">
      <c r="A24" s="2">
        <v>143771</v>
      </c>
      <c r="B24" s="2" t="s">
        <v>15</v>
      </c>
      <c r="C24">
        <v>4</v>
      </c>
      <c r="D24">
        <f>Maternal!G42</f>
        <v>25.75</v>
      </c>
    </row>
    <row r="25" spans="1:4">
      <c r="A25" s="2">
        <v>143768</v>
      </c>
      <c r="B25" s="2" t="s">
        <v>15</v>
      </c>
      <c r="C25">
        <v>4</v>
      </c>
      <c r="D25">
        <f>Maternal!G43</f>
        <v>20.8</v>
      </c>
    </row>
    <row r="26" spans="1:4">
      <c r="A26" s="2">
        <v>143999</v>
      </c>
      <c r="B26" s="2" t="s">
        <v>16</v>
      </c>
      <c r="C26">
        <v>4</v>
      </c>
      <c r="D26">
        <f>Maternal!G44</f>
        <v>44.5</v>
      </c>
    </row>
    <row r="27" spans="1:4">
      <c r="A27" s="2">
        <v>144000</v>
      </c>
      <c r="B27" s="2" t="s">
        <v>16</v>
      </c>
      <c r="C27">
        <v>4</v>
      </c>
      <c r="D27">
        <f>Maternal!G45</f>
        <v>24.379999999999995</v>
      </c>
    </row>
    <row r="28" spans="1:4">
      <c r="A28" s="2">
        <v>144008</v>
      </c>
      <c r="B28" s="2" t="s">
        <v>16</v>
      </c>
      <c r="C28">
        <v>4</v>
      </c>
      <c r="D28">
        <f>Maternal!G46</f>
        <v>19.960000000000004</v>
      </c>
    </row>
    <row r="29" spans="1:4">
      <c r="A29" s="2">
        <v>145468</v>
      </c>
      <c r="B29" s="2" t="s">
        <v>16</v>
      </c>
      <c r="C29">
        <v>4</v>
      </c>
      <c r="D29">
        <f>Maternal!G47</f>
        <v>45.000000000000007</v>
      </c>
    </row>
    <row r="30" spans="1:4">
      <c r="A30" s="2">
        <v>143767</v>
      </c>
      <c r="B30" s="2" t="s">
        <v>15</v>
      </c>
      <c r="C30">
        <v>5</v>
      </c>
      <c r="D30">
        <f>Maternal!H41</f>
        <v>20.299999999999997</v>
      </c>
    </row>
    <row r="31" spans="1:4">
      <c r="A31" s="2">
        <v>143771</v>
      </c>
      <c r="B31" s="2" t="s">
        <v>15</v>
      </c>
      <c r="C31">
        <v>5</v>
      </c>
      <c r="D31">
        <f>Maternal!H42</f>
        <v>57.925000000000004</v>
      </c>
    </row>
    <row r="32" spans="1:4">
      <c r="A32" s="2">
        <v>143768</v>
      </c>
      <c r="B32" s="2" t="s">
        <v>15</v>
      </c>
      <c r="C32">
        <v>5</v>
      </c>
      <c r="D32">
        <f>Maternal!H43</f>
        <v>24.980000000000004</v>
      </c>
    </row>
    <row r="33" spans="1:4">
      <c r="A33" s="2">
        <v>143999</v>
      </c>
      <c r="B33" s="2" t="s">
        <v>16</v>
      </c>
      <c r="C33">
        <v>5</v>
      </c>
      <c r="D33">
        <f>Maternal!H44</f>
        <v>23.25</v>
      </c>
    </row>
    <row r="34" spans="1:4">
      <c r="A34" s="2">
        <v>144000</v>
      </c>
      <c r="B34" s="2" t="s">
        <v>16</v>
      </c>
      <c r="C34">
        <v>5</v>
      </c>
      <c r="D34">
        <f>Maternal!H45</f>
        <v>37</v>
      </c>
    </row>
    <row r="35" spans="1:4">
      <c r="A35" s="2">
        <v>144008</v>
      </c>
      <c r="B35" s="2" t="s">
        <v>16</v>
      </c>
      <c r="C35">
        <v>5</v>
      </c>
      <c r="D35">
        <f>Maternal!H46</f>
        <v>20.779999999999994</v>
      </c>
    </row>
    <row r="36" spans="1:4">
      <c r="A36" s="2">
        <v>145468</v>
      </c>
      <c r="B36" s="2" t="s">
        <v>16</v>
      </c>
      <c r="C36">
        <v>5</v>
      </c>
      <c r="D36">
        <f>Maternal!H47</f>
        <v>23.85</v>
      </c>
    </row>
    <row r="37" spans="1:4">
      <c r="A37" s="2">
        <v>143767</v>
      </c>
      <c r="B37" s="2" t="s">
        <v>15</v>
      </c>
      <c r="C37">
        <v>6</v>
      </c>
      <c r="D37">
        <f>Maternal!I41</f>
        <v>21.700000000000003</v>
      </c>
    </row>
    <row r="38" spans="1:4">
      <c r="A38" s="2">
        <v>143771</v>
      </c>
      <c r="B38" s="2" t="s">
        <v>15</v>
      </c>
      <c r="C38">
        <v>6</v>
      </c>
      <c r="D38">
        <f>Maternal!I42</f>
        <v>48.875</v>
      </c>
    </row>
    <row r="39" spans="1:4">
      <c r="A39" s="2">
        <v>143768</v>
      </c>
      <c r="B39" s="2" t="s">
        <v>15</v>
      </c>
      <c r="C39">
        <v>6</v>
      </c>
      <c r="D39">
        <f>Maternal!I43</f>
        <v>24.660000000000004</v>
      </c>
    </row>
    <row r="40" spans="1:4">
      <c r="A40" s="2">
        <v>143999</v>
      </c>
      <c r="B40" s="2" t="s">
        <v>16</v>
      </c>
      <c r="C40">
        <v>6</v>
      </c>
      <c r="D40">
        <f>Maternal!I44</f>
        <v>58.15</v>
      </c>
    </row>
    <row r="41" spans="1:4">
      <c r="A41" s="2">
        <v>144000</v>
      </c>
      <c r="B41" s="2" t="s">
        <v>16</v>
      </c>
      <c r="C41">
        <v>6</v>
      </c>
      <c r="D41">
        <f>Maternal!I45</f>
        <v>41.28</v>
      </c>
    </row>
    <row r="42" spans="1:4">
      <c r="A42" s="2">
        <v>144008</v>
      </c>
      <c r="B42" s="2" t="s">
        <v>16</v>
      </c>
      <c r="C42">
        <v>6</v>
      </c>
      <c r="D42">
        <f>Maternal!I46</f>
        <v>23.24</v>
      </c>
    </row>
    <row r="43" spans="1:4">
      <c r="A43" s="2">
        <v>145468</v>
      </c>
      <c r="B43" s="2" t="s">
        <v>16</v>
      </c>
      <c r="C43">
        <v>6</v>
      </c>
      <c r="D43">
        <f>Maternal!I47</f>
        <v>21.349999999999994</v>
      </c>
    </row>
    <row r="44" spans="1:4">
      <c r="A44" s="2">
        <v>143767</v>
      </c>
      <c r="B44" s="2" t="s">
        <v>15</v>
      </c>
      <c r="C44">
        <v>7</v>
      </c>
      <c r="D44">
        <f>Maternal!J41</f>
        <v>23.799999999999997</v>
      </c>
    </row>
    <row r="45" spans="1:4">
      <c r="A45" s="2">
        <v>143771</v>
      </c>
      <c r="B45" s="2" t="s">
        <v>15</v>
      </c>
      <c r="C45">
        <v>7</v>
      </c>
      <c r="D45">
        <f>Maternal!J42</f>
        <v>23.575000000000003</v>
      </c>
    </row>
    <row r="46" spans="1:4">
      <c r="A46" s="2">
        <v>143768</v>
      </c>
      <c r="B46" s="2" t="s">
        <v>15</v>
      </c>
      <c r="C46">
        <v>7</v>
      </c>
      <c r="D46">
        <f>Maternal!J43</f>
        <v>18.280000000000008</v>
      </c>
    </row>
    <row r="47" spans="1:4">
      <c r="A47" s="2">
        <v>143999</v>
      </c>
      <c r="B47" s="2" t="s">
        <v>16</v>
      </c>
      <c r="C47">
        <v>7</v>
      </c>
      <c r="D47">
        <f>Maternal!J44</f>
        <v>40.149999999999991</v>
      </c>
    </row>
    <row r="48" spans="1:4">
      <c r="A48" s="2">
        <v>144000</v>
      </c>
      <c r="B48" s="2" t="s">
        <v>16</v>
      </c>
      <c r="C48">
        <v>7</v>
      </c>
      <c r="D48">
        <f>Maternal!J45</f>
        <v>32.780000000000008</v>
      </c>
    </row>
    <row r="49" spans="1:4">
      <c r="A49" s="2">
        <v>144008</v>
      </c>
      <c r="B49" s="2" t="s">
        <v>16</v>
      </c>
      <c r="C49">
        <v>7</v>
      </c>
      <c r="D49">
        <f>Maternal!J46</f>
        <v>21.680000000000003</v>
      </c>
    </row>
    <row r="50" spans="1:4">
      <c r="A50" s="2">
        <v>145468</v>
      </c>
      <c r="B50" s="2" t="s">
        <v>16</v>
      </c>
      <c r="C50">
        <v>7</v>
      </c>
      <c r="D50">
        <f>Maternal!J47</f>
        <v>37.599999999999994</v>
      </c>
    </row>
    <row r="51" spans="1:4">
      <c r="A51" s="2">
        <v>143767</v>
      </c>
      <c r="B51" s="2" t="s">
        <v>15</v>
      </c>
      <c r="C51">
        <v>8</v>
      </c>
      <c r="D51">
        <f>Maternal!K41</f>
        <v>19.550000000000011</v>
      </c>
    </row>
    <row r="52" spans="1:4">
      <c r="A52" s="2">
        <v>143771</v>
      </c>
      <c r="B52" s="2" t="s">
        <v>15</v>
      </c>
      <c r="C52">
        <v>8</v>
      </c>
      <c r="D52">
        <f>Maternal!K42</f>
        <v>26.449999999999996</v>
      </c>
    </row>
    <row r="53" spans="1:4">
      <c r="A53" s="2">
        <v>143768</v>
      </c>
      <c r="B53" s="2" t="s">
        <v>15</v>
      </c>
      <c r="C53">
        <v>8</v>
      </c>
      <c r="D53">
        <f>Maternal!K43</f>
        <v>16.039999999999996</v>
      </c>
    </row>
    <row r="54" spans="1:4">
      <c r="A54" s="2">
        <v>143999</v>
      </c>
      <c r="B54" s="2" t="s">
        <v>16</v>
      </c>
      <c r="C54">
        <v>8</v>
      </c>
      <c r="D54">
        <f>Maternal!K44</f>
        <v>59.849999999999994</v>
      </c>
    </row>
    <row r="55" spans="1:4">
      <c r="A55" s="2">
        <v>144000</v>
      </c>
      <c r="B55" s="2" t="s">
        <v>16</v>
      </c>
      <c r="C55">
        <v>8</v>
      </c>
      <c r="D55">
        <f>Maternal!K45</f>
        <v>34.019999999999996</v>
      </c>
    </row>
    <row r="56" spans="1:4">
      <c r="A56" s="2">
        <v>144008</v>
      </c>
      <c r="B56" s="2" t="s">
        <v>16</v>
      </c>
      <c r="C56">
        <v>8</v>
      </c>
      <c r="D56">
        <f>Maternal!K46</f>
        <v>20</v>
      </c>
    </row>
    <row r="57" spans="1:4">
      <c r="A57" s="2">
        <v>145468</v>
      </c>
      <c r="B57" s="2" t="s">
        <v>16</v>
      </c>
      <c r="C57">
        <v>8</v>
      </c>
      <c r="D57">
        <f>Maternal!K47</f>
        <v>33.649999999999991</v>
      </c>
    </row>
    <row r="58" spans="1:4">
      <c r="A58" s="2">
        <v>143767</v>
      </c>
      <c r="B58" s="2" t="s">
        <v>15</v>
      </c>
      <c r="C58">
        <v>9</v>
      </c>
      <c r="D58">
        <f>Maternal!L41</f>
        <v>20.799999999999997</v>
      </c>
    </row>
    <row r="59" spans="1:4">
      <c r="A59" s="2">
        <v>143771</v>
      </c>
      <c r="B59" s="2" t="s">
        <v>15</v>
      </c>
      <c r="C59">
        <v>9</v>
      </c>
      <c r="D59">
        <f>Maternal!L42</f>
        <v>32.424999999999997</v>
      </c>
    </row>
    <row r="60" spans="1:4">
      <c r="A60" s="2">
        <v>143768</v>
      </c>
      <c r="B60" s="2" t="s">
        <v>15</v>
      </c>
      <c r="C60">
        <v>9</v>
      </c>
      <c r="D60">
        <f>Maternal!L43</f>
        <v>17.599999999999987</v>
      </c>
    </row>
    <row r="61" spans="1:4">
      <c r="A61" s="2">
        <v>143999</v>
      </c>
      <c r="B61" s="2" t="s">
        <v>16</v>
      </c>
      <c r="C61">
        <v>9</v>
      </c>
      <c r="D61">
        <f>Maternal!L44</f>
        <v>25.049999999999997</v>
      </c>
    </row>
    <row r="62" spans="1:4">
      <c r="A62" s="2">
        <v>144000</v>
      </c>
      <c r="B62" s="2" t="s">
        <v>16</v>
      </c>
      <c r="C62">
        <v>9</v>
      </c>
      <c r="D62">
        <f>Maternal!L45</f>
        <v>29.019999999999996</v>
      </c>
    </row>
    <row r="63" spans="1:4">
      <c r="A63" s="2">
        <v>144008</v>
      </c>
      <c r="B63" s="2" t="s">
        <v>16</v>
      </c>
      <c r="C63">
        <v>9</v>
      </c>
      <c r="D63">
        <f>Maternal!L46</f>
        <v>27.180000000000007</v>
      </c>
    </row>
    <row r="64" spans="1:4">
      <c r="A64" s="2">
        <v>145468</v>
      </c>
      <c r="B64" s="2" t="s">
        <v>16</v>
      </c>
      <c r="C64">
        <v>9</v>
      </c>
      <c r="D64">
        <f>Maternal!L47</f>
        <v>17.450000000000003</v>
      </c>
    </row>
    <row r="65" spans="1:4">
      <c r="A65" s="2">
        <v>143767</v>
      </c>
      <c r="B65" s="2" t="s">
        <v>15</v>
      </c>
      <c r="C65">
        <v>10</v>
      </c>
      <c r="D65">
        <f>Maternal!M41</f>
        <v>21.199999999999989</v>
      </c>
    </row>
    <row r="66" spans="1:4">
      <c r="A66" s="2">
        <v>143771</v>
      </c>
      <c r="B66" s="2" t="s">
        <v>15</v>
      </c>
      <c r="C66">
        <v>10</v>
      </c>
      <c r="D66">
        <f>Maternal!M42</f>
        <v>27.074999999999996</v>
      </c>
    </row>
    <row r="67" spans="1:4">
      <c r="A67" s="2">
        <v>143768</v>
      </c>
      <c r="B67" s="2" t="s">
        <v>15</v>
      </c>
      <c r="C67">
        <v>10</v>
      </c>
      <c r="D67">
        <f>Maternal!M43</f>
        <v>17.920000000000002</v>
      </c>
    </row>
    <row r="68" spans="1:4">
      <c r="A68" s="2">
        <v>143999</v>
      </c>
      <c r="B68" s="2" t="s">
        <v>16</v>
      </c>
      <c r="C68">
        <v>10</v>
      </c>
      <c r="D68">
        <f>Maternal!M44</f>
        <v>21.000000000000014</v>
      </c>
    </row>
    <row r="69" spans="1:4">
      <c r="A69" s="2">
        <v>144000</v>
      </c>
      <c r="B69" s="2" t="s">
        <v>16</v>
      </c>
      <c r="C69">
        <v>10</v>
      </c>
      <c r="D69">
        <f>Maternal!M45</f>
        <v>24.600000000000012</v>
      </c>
    </row>
    <row r="70" spans="1:4">
      <c r="A70" s="2">
        <v>144008</v>
      </c>
      <c r="B70" s="2" t="s">
        <v>16</v>
      </c>
      <c r="C70">
        <v>10</v>
      </c>
      <c r="D70">
        <f>Maternal!M46</f>
        <v>18.419999999999998</v>
      </c>
    </row>
    <row r="71" spans="1:4">
      <c r="A71" s="2">
        <v>145468</v>
      </c>
      <c r="B71" s="2" t="s">
        <v>16</v>
      </c>
      <c r="C71">
        <v>10</v>
      </c>
      <c r="D71">
        <f>Maternal!M47</f>
        <v>23.400000000000006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Maternal</vt:lpstr>
      <vt:lpstr>Maternal-Summary</vt:lpstr>
    </vt:vector>
  </TitlesOfParts>
  <Company>UTHSC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Peloquin</dc:creator>
  <cp:lastModifiedBy>Dave Bridges</cp:lastModifiedBy>
  <dcterms:created xsi:type="dcterms:W3CDTF">2014-03-05T21:21:39Z</dcterms:created>
  <dcterms:modified xsi:type="dcterms:W3CDTF">2014-08-14T13:57:47Z</dcterms:modified>
</cp:coreProperties>
</file>