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belnl-my.sharepoint.com/personal/britt_zandbergen_rebelgroup_com/Documents/Documents/Literatuur samengevoegd/"/>
    </mc:Choice>
  </mc:AlternateContent>
  <xr:revisionPtr revIDLastSave="414" documentId="8_{E9CC847E-39A9-40B0-AD29-E0DC4A0E4B4F}" xr6:coauthVersionLast="47" xr6:coauthVersionMax="47" xr10:uidLastSave="{1A0704DE-AC52-4B92-8807-A32B2D4428F3}"/>
  <bookViews>
    <workbookView xWindow="-19320" yWindow="795" windowWidth="19440" windowHeight="15000" activeTab="1" xr2:uid="{AB1F6745-F87B-4AB7-B634-BD6190FF1AC5}"/>
  </bookViews>
  <sheets>
    <sheet name="Blad1" sheetId="1" r:id="rId1"/>
    <sheet name="Blad2" sheetId="2" r:id="rId2"/>
    <sheet name="Blad3" sheetId="3" r:id="rId3"/>
    <sheet name="Average scores per value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4" l="1"/>
  <c r="D19" i="4"/>
  <c r="D20" i="4"/>
  <c r="D21" i="4"/>
  <c r="D22" i="4"/>
  <c r="D18" i="4"/>
  <c r="C19" i="4"/>
  <c r="C20" i="4"/>
  <c r="C21" i="4"/>
  <c r="C22" i="4"/>
  <c r="C18" i="4"/>
  <c r="B8" i="4"/>
  <c r="B11" i="4" s="1"/>
  <c r="C24" i="4" l="1"/>
  <c r="B14" i="4"/>
  <c r="E8" i="4"/>
  <c r="E9" i="4" s="1"/>
  <c r="B10" i="4"/>
  <c r="B9" i="4"/>
  <c r="C8" i="4"/>
  <c r="C11" i="4" s="1"/>
  <c r="C14" i="4" s="1"/>
  <c r="F8" i="4"/>
  <c r="F9" i="4" s="1"/>
  <c r="V19" i="3"/>
  <c r="W19" i="3"/>
  <c r="X19" i="3"/>
  <c r="Y19" i="3"/>
  <c r="N12" i="3"/>
  <c r="P12" i="3"/>
  <c r="R12" i="3"/>
  <c r="L12" i="3"/>
  <c r="L11" i="3"/>
  <c r="N11" i="3"/>
  <c r="P11" i="3"/>
  <c r="R11" i="3"/>
  <c r="R3" i="3"/>
  <c r="R4" i="3"/>
  <c r="R5" i="3"/>
  <c r="R6" i="3"/>
  <c r="R7" i="3"/>
  <c r="R8" i="3"/>
  <c r="R9" i="3"/>
  <c r="R2" i="3"/>
  <c r="P3" i="3"/>
  <c r="P4" i="3"/>
  <c r="P5" i="3"/>
  <c r="P6" i="3"/>
  <c r="P7" i="3"/>
  <c r="P8" i="3"/>
  <c r="P9" i="3"/>
  <c r="P2" i="3"/>
  <c r="N3" i="3"/>
  <c r="N4" i="3"/>
  <c r="N5" i="3"/>
  <c r="N6" i="3"/>
  <c r="N7" i="3"/>
  <c r="N8" i="3"/>
  <c r="N9" i="3"/>
  <c r="N2" i="3"/>
  <c r="Q3" i="3"/>
  <c r="Q4" i="3"/>
  <c r="Q5" i="3"/>
  <c r="Q6" i="3"/>
  <c r="Q7" i="3"/>
  <c r="Q8" i="3"/>
  <c r="Q9" i="3"/>
  <c r="Q2" i="3"/>
  <c r="L3" i="3"/>
  <c r="L4" i="3"/>
  <c r="L5" i="3"/>
  <c r="L6" i="3"/>
  <c r="L7" i="3"/>
  <c r="L8" i="3"/>
  <c r="L9" i="3"/>
  <c r="L2" i="3"/>
  <c r="AE2" i="2"/>
  <c r="AD9" i="2" s="1"/>
  <c r="AE10" i="2" s="1"/>
  <c r="M33" i="2"/>
  <c r="E34" i="2"/>
  <c r="V3" i="2"/>
  <c r="V2" i="2"/>
  <c r="M3" i="2"/>
  <c r="M2" i="2" s="1"/>
  <c r="F14" i="1"/>
  <c r="B10" i="1"/>
  <c r="F11" i="1" s="1"/>
  <c r="AD10" i="2"/>
  <c r="AC9" i="2"/>
  <c r="AE9" i="2"/>
  <c r="AF10" i="2" s="1"/>
  <c r="AB9" i="2"/>
  <c r="AC10" i="2" s="1"/>
  <c r="AC5" i="2"/>
  <c r="AD5" i="2"/>
  <c r="AC6" i="2"/>
  <c r="AD6" i="2"/>
  <c r="AB6" i="2"/>
  <c r="AB5" i="2"/>
  <c r="T5" i="2"/>
  <c r="U5" i="2"/>
  <c r="S5" i="2"/>
  <c r="L2" i="2"/>
  <c r="K2" i="2"/>
  <c r="J2" i="2"/>
  <c r="G7" i="1"/>
  <c r="F7" i="1"/>
  <c r="E7" i="1"/>
  <c r="D7" i="1"/>
  <c r="C7" i="1"/>
  <c r="B7" i="1"/>
  <c r="F10" i="4" l="1"/>
  <c r="F11" i="4"/>
  <c r="F14" i="4" s="1"/>
  <c r="E10" i="4"/>
  <c r="E11" i="4"/>
  <c r="E14" i="4" s="1"/>
  <c r="C10" i="4"/>
  <c r="C9" i="4"/>
  <c r="AE5" i="2"/>
  <c r="AE6" i="2"/>
  <c r="V5" i="2"/>
  <c r="E11" i="1"/>
  <c r="G11" i="1"/>
  <c r="C11" i="1"/>
  <c r="D11" i="1"/>
  <c r="H14" i="4" l="1"/>
</calcChain>
</file>

<file path=xl/sharedStrings.xml><?xml version="1.0" encoding="utf-8"?>
<sst xmlns="http://schemas.openxmlformats.org/spreadsheetml/2006/main" count="127" uniqueCount="55">
  <si>
    <t>Segment 1 (Low-budget)</t>
  </si>
  <si>
    <t>Segment 2 (low-casual)</t>
  </si>
  <si>
    <t>Segment 3 (medium-budget)</t>
  </si>
  <si>
    <t>Segment 4 (medium-casual)</t>
  </si>
  <si>
    <t>Segment 5 (high-premium)</t>
  </si>
  <si>
    <t>General fashion (last 3 months)</t>
  </si>
  <si>
    <t xml:space="preserve">All </t>
  </si>
  <si>
    <t>Expenditures last 3 months</t>
  </si>
  <si>
    <t>Brand: premium (%)</t>
  </si>
  <si>
    <t>Brand: casual/medium (%)</t>
  </si>
  <si>
    <t>Brand: budget (%)</t>
  </si>
  <si>
    <t>Material purchased - new</t>
  </si>
  <si>
    <t>Material purchased - reused</t>
  </si>
  <si>
    <t xml:space="preserve">Observations </t>
  </si>
  <si>
    <t>Percentage</t>
  </si>
  <si>
    <t>Premium spender</t>
  </si>
  <si>
    <t>Budget minimalist</t>
  </si>
  <si>
    <t>Casual minimalist</t>
  </si>
  <si>
    <t>Budget shopper</t>
  </si>
  <si>
    <t>Casual shopper</t>
  </si>
  <si>
    <t xml:space="preserve">Non-reused </t>
  </si>
  <si>
    <t>Reused</t>
  </si>
  <si>
    <t>Clothing bought (past 3 months)</t>
  </si>
  <si>
    <t>Clothing expenditure (past 3 months)</t>
  </si>
  <si>
    <t>Normalized income</t>
  </si>
  <si>
    <t xml:space="preserve">Average expenditure per piece of clothing </t>
  </si>
  <si>
    <t>Min</t>
  </si>
  <si>
    <t>max</t>
  </si>
  <si>
    <t>Premium shopper</t>
  </si>
  <si>
    <t>Acquisition mode</t>
  </si>
  <si>
    <t>High street</t>
  </si>
  <si>
    <t>Shopping mall</t>
  </si>
  <si>
    <t>Online shopping</t>
  </si>
  <si>
    <t>Mail order</t>
  </si>
  <si>
    <t>Small boutiques</t>
  </si>
  <si>
    <t>Second-hand</t>
  </si>
  <si>
    <t>Supermarket</t>
  </si>
  <si>
    <t xml:space="preserve">Swapping </t>
  </si>
  <si>
    <t>Som swapping, second-hand and small boutiques</t>
  </si>
  <si>
    <t>Som swapping, small boutqiues</t>
  </si>
  <si>
    <t xml:space="preserve">Som high street shopping mall, supermarket </t>
  </si>
  <si>
    <t>Som online shopping and mail order</t>
  </si>
  <si>
    <t>Value of price</t>
  </si>
  <si>
    <t>Value of environment</t>
  </si>
  <si>
    <t>Value of uniqueness</t>
  </si>
  <si>
    <t xml:space="preserve">Value of convenience </t>
  </si>
  <si>
    <t>Value of ownership</t>
  </si>
  <si>
    <t xml:space="preserve">Premium shopper </t>
  </si>
  <si>
    <t>Reuse-adaption</t>
  </si>
  <si>
    <t>https://medium.com/analytics-vidhya/techniques-to-transform-data-distribution-565a4d0f2da</t>
  </si>
  <si>
    <t>Box-cox transformation</t>
  </si>
  <si>
    <t>Max</t>
  </si>
  <si>
    <t>Random variable</t>
  </si>
  <si>
    <t>Min value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</si>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</sst>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9" fontId="0" fillId="0" borderId="0" xfId="2" applyFont="1"/>
    <xf numFmtId="43" fontId="0" fillId="0" borderId="0" xfId="1" applyFont="1"/>
    <xf numFmtId="0" fontId="2" fillId="0" borderId="0" xfId="0" applyFont="1"/>
    <xf numFmtId="164" fontId="0" fillId="0" borderId="0" xfId="2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9" fontId="0" fillId="0" borderId="0" xfId="0" applyNumberFormat="1"/>
    <xf numFmtId="0" fontId="0" fillId="0" borderId="0" xfId="0" applyFill="1"/>
    <xf numFmtId="165" fontId="0" fillId="0" borderId="0" xfId="0" applyNumberFormat="1"/>
    <xf numFmtId="0" fontId="0" fillId="8" borderId="0" xfId="0" applyFill="1"/>
    <xf numFmtId="0" fontId="3" fillId="0" borderId="0" xfId="0" applyFont="1"/>
    <xf numFmtId="0" fontId="0" fillId="9" borderId="0" xfId="0" applyFill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8-4E5B-BD81-14B35B37F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F8-4E5B-BD81-14B35B37F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F8-4E5B-BD81-14B35B37F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F8-4E5B-BD81-14B35B37F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F8-4E5B-BD81-14B35B37F784}"/>
              </c:ext>
            </c:extLst>
          </c:dPt>
          <c:cat>
            <c:strRef>
              <c:f>Blad2!$A$1:$E$1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Premium shopper</c:v>
                </c:pt>
              </c:strCache>
            </c:strRef>
          </c:cat>
          <c:val>
            <c:numRef>
              <c:f>Blad2!$A$2:$E$2</c:f>
              <c:numCache>
                <c:formatCode>0%</c:formatCode>
                <c:ptCount val="5"/>
                <c:pt idx="0">
                  <c:v>0.43</c:v>
                </c:pt>
                <c:pt idx="1">
                  <c:v>0.27</c:v>
                </c:pt>
                <c:pt idx="2">
                  <c:v>0.21263482280431434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8A7-8F51-1E613C9DB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Blad3!$J$18:$M$18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Premium shopper</c:v>
                </c:pt>
              </c:strCache>
            </c:strRef>
          </c:cat>
          <c:val>
            <c:numRef>
              <c:f>Blad3!$J$19:$M$19</c:f>
              <c:numCache>
                <c:formatCode>0%</c:formatCode>
                <c:ptCount val="4"/>
                <c:pt idx="0">
                  <c:v>9.0418353576248306E-2</c:v>
                </c:pt>
                <c:pt idx="1">
                  <c:v>0.12563451776649745</c:v>
                </c:pt>
                <c:pt idx="2">
                  <c:v>0.11170212765957448</c:v>
                </c:pt>
                <c:pt idx="3">
                  <c:v>0.14797498733588552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B-4EC3-A1AD-85078DCBC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1894943"/>
        <c:axId val="701895775"/>
      </c:barChart>
      <c:catAx>
        <c:axId val="7018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1895775"/>
        <c:crosses val="autoZero"/>
        <c:auto val="1"/>
        <c:lblAlgn val="ctr"/>
        <c:lblOffset val="100"/>
        <c:noMultiLvlLbl val="0"/>
      </c:catAx>
      <c:valAx>
        <c:axId val="7018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189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Blad3!$J$18:$M$18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Premium shopper</c:v>
                </c:pt>
              </c:strCache>
            </c:strRef>
          </c:cat>
          <c:val>
            <c:numRef>
              <c:f>Blad3!$J$19:$M$19</c:f>
              <c:numCache>
                <c:formatCode>0%</c:formatCode>
                <c:ptCount val="4"/>
                <c:pt idx="0">
                  <c:v>9.0418353576248306E-2</c:v>
                </c:pt>
                <c:pt idx="1">
                  <c:v>0.12563451776649745</c:v>
                </c:pt>
                <c:pt idx="2">
                  <c:v>0.11170212765957448</c:v>
                </c:pt>
                <c:pt idx="3">
                  <c:v>0.14797498733588552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E-4262-987A-834ACA223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2870383"/>
        <c:axId val="1912867887"/>
      </c:barChart>
      <c:catAx>
        <c:axId val="19128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2867887"/>
        <c:crosses val="autoZero"/>
        <c:auto val="1"/>
        <c:lblAlgn val="ctr"/>
        <c:lblOffset val="100"/>
        <c:noMultiLvlLbl val="0"/>
      </c:catAx>
      <c:valAx>
        <c:axId val="19128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28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Blad3!$V$18:$Y$18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Premium shopper</c:v>
                </c:pt>
              </c:strCache>
            </c:strRef>
          </c:cat>
          <c:val>
            <c:numRef>
              <c:f>Blad3!$V$19:$Y$19</c:f>
              <c:numCache>
                <c:formatCode>0%</c:formatCode>
                <c:ptCount val="4"/>
                <c:pt idx="0">
                  <c:v>0.26585695006747634</c:v>
                </c:pt>
                <c:pt idx="1">
                  <c:v>0.29822335025380708</c:v>
                </c:pt>
                <c:pt idx="2">
                  <c:v>0.37322695035460995</c:v>
                </c:pt>
                <c:pt idx="3">
                  <c:v>0.32161314521241102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1-4E31-A5FE-23917E175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2870383"/>
        <c:axId val="1912867887"/>
      </c:barChart>
      <c:catAx>
        <c:axId val="19128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2867887"/>
        <c:crosses val="autoZero"/>
        <c:auto val="1"/>
        <c:lblAlgn val="ctr"/>
        <c:lblOffset val="100"/>
        <c:noMultiLvlLbl val="0"/>
      </c:catAx>
      <c:valAx>
        <c:axId val="19128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28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Blad2!$I$2</c:f>
              <c:strCache>
                <c:ptCount val="1"/>
                <c:pt idx="0">
                  <c:v>Non-reused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Blad2!$J$1:$M$1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Premium shopper</c:v>
                </c:pt>
              </c:strCache>
            </c:strRef>
          </c:cat>
          <c:val>
            <c:numRef>
              <c:f>Blad2!$J$2:$M$2</c:f>
              <c:numCache>
                <c:formatCode>General</c:formatCode>
                <c:ptCount val="4"/>
                <c:pt idx="0">
                  <c:v>82.9</c:v>
                </c:pt>
                <c:pt idx="1">
                  <c:v>88</c:v>
                </c:pt>
                <c:pt idx="2">
                  <c:v>91.22</c:v>
                </c:pt>
                <c:pt idx="3">
                  <c:v>90.980999999999995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F-48DA-BD6F-E7F93973ABD7}"/>
            </c:ext>
          </c:extLst>
        </c:ser>
        <c:ser>
          <c:idx val="1"/>
          <c:order val="1"/>
          <c:tx>
            <c:strRef>
              <c:f>Blad2!$I$3</c:f>
              <c:strCache>
                <c:ptCount val="1"/>
                <c:pt idx="0">
                  <c:v>Reused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Blad2!$J$1:$M$1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Premium shopper</c:v>
                </c:pt>
              </c:strCache>
            </c:strRef>
          </c:cat>
          <c:val>
            <c:numRef>
              <c:f>Blad2!$J$3:$M$3</c:f>
              <c:numCache>
                <c:formatCode>General</c:formatCode>
                <c:ptCount val="4"/>
                <c:pt idx="0">
                  <c:v>17.100000000000001</c:v>
                </c:pt>
                <c:pt idx="1">
                  <c:v>12</c:v>
                </c:pt>
                <c:pt idx="2">
                  <c:v>8.7799999999999994</c:v>
                </c:pt>
                <c:pt idx="3">
                  <c:v>9.0190000000000001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F-48DA-BD6F-E7F93973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870383"/>
        <c:axId val="1912867887"/>
      </c:barChart>
      <c:catAx>
        <c:axId val="19128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2867887"/>
        <c:crosses val="autoZero"/>
        <c:auto val="1"/>
        <c:lblAlgn val="ctr"/>
        <c:lblOffset val="100"/>
        <c:noMultiLvlLbl val="0"/>
      </c:catAx>
      <c:valAx>
        <c:axId val="19128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28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Blad2!$R$2</c:f>
              <c:strCache>
                <c:ptCount val="1"/>
                <c:pt idx="0">
                  <c:v>Clothing bought (past 3 months)</c:v>
                </c:pt>
              </c:strCache>
            </c:strRef>
          </c:tx>
          <c:spPr>
            <a:ln w="381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Blad2!$S$1:$V$1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Casual shopper</c:v>
                </c:pt>
              </c:strCache>
            </c:strRef>
          </c:cat>
          <c:val>
            <c:numRef>
              <c:f>Blad2!$S$2:$V$2</c:f>
              <c:numCache>
                <c:formatCode>General</c:formatCode>
                <c:ptCount val="4"/>
                <c:pt idx="0">
                  <c:v>4.38</c:v>
                </c:pt>
                <c:pt idx="1">
                  <c:v>4.25</c:v>
                </c:pt>
                <c:pt idx="2">
                  <c:v>8.39</c:v>
                </c:pt>
                <c:pt idx="3">
                  <c:v>11.718999999999999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A-43C7-8B33-94B17774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471647"/>
        <c:axId val="1919474975"/>
      </c:lineChart>
      <c:lineChart>
        <c:grouping val="standard"/>
        <c:varyColors val="0"/>
        <c:ser>
          <c:idx val="1"/>
          <c:order val="1"/>
          <c:tx>
            <c:strRef>
              <c:f>Blad2!$R$3</c:f>
              <c:strCache>
                <c:ptCount val="1"/>
                <c:pt idx="0">
                  <c:v>Clothing expenditure (past 3 months)</c:v>
                </c:pt>
              </c:strCache>
            </c:strRef>
          </c:tx>
          <c:spPr>
            <a:ln w="381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Blad2!$S$1:$V$1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Casual shopper</c:v>
                </c:pt>
              </c:strCache>
            </c:strRef>
          </c:cat>
          <c:val>
            <c:numRef>
              <c:f>Blad2!$S$3:$V$3</c:f>
              <c:numCache>
                <c:formatCode>General</c:formatCode>
                <c:ptCount val="4"/>
                <c:pt idx="0">
                  <c:v>57.87</c:v>
                </c:pt>
                <c:pt idx="1">
                  <c:v>78.38</c:v>
                </c:pt>
                <c:pt idx="2">
                  <c:v>244.45</c:v>
                </c:pt>
                <c:pt idx="3">
                  <c:v>622.57899999999995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A-43C7-8B33-94B17774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899375"/>
        <c:axId val="2049903951"/>
      </c:lineChart>
      <c:catAx>
        <c:axId val="191947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9474975"/>
        <c:crosses val="autoZero"/>
        <c:auto val="1"/>
        <c:lblAlgn val="ctr"/>
        <c:lblOffset val="100"/>
        <c:noMultiLvlLbl val="0"/>
      </c:catAx>
      <c:valAx>
        <c:axId val="19194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nl-NL"/>
                  <a:t>Number of clothes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9471647"/>
        <c:crosses val="autoZero"/>
        <c:crossBetween val="between"/>
      </c:valAx>
      <c:valAx>
        <c:axId val="2049903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rPr>
                  <a:t>Expenditures (</a:t>
                </a:r>
                <a:r>
                  <a:rPr lang="en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rPr>
                  <a:t>€</a:t>
                </a: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2049899375"/>
        <c:crosses val="max"/>
        <c:crossBetween val="between"/>
      </c:valAx>
      <c:catAx>
        <c:axId val="2049899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903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Blad2!$B$32:$E$32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Premium shopper</c:v>
                </c:pt>
              </c:strCache>
            </c:strRef>
          </c:cat>
          <c:val>
            <c:numRef>
              <c:f>Blad2!$B$33:$E$33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0-45F5-B913-BCC34990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043712"/>
        <c:axId val="1064044544"/>
      </c:barChart>
      <c:catAx>
        <c:axId val="10640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64044544"/>
        <c:crosses val="autoZero"/>
        <c:auto val="1"/>
        <c:lblAlgn val="ctr"/>
        <c:lblOffset val="100"/>
        <c:noMultiLvlLbl val="0"/>
      </c:catAx>
      <c:valAx>
        <c:axId val="10640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640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Blad2!$J$32:$M$32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Premium shopper</c:v>
                </c:pt>
              </c:strCache>
            </c:strRef>
          </c:cat>
          <c:val>
            <c:numRef>
              <c:f>Blad2!$J$33:$M$33</c:f>
              <c:numCache>
                <c:formatCode>General</c:formatCode>
                <c:ptCount val="4"/>
                <c:pt idx="0">
                  <c:v>13.212328767123287</c:v>
                </c:pt>
                <c:pt idx="1">
                  <c:v>18.44235294117647</c:v>
                </c:pt>
                <c:pt idx="2">
                  <c:v>29.135876042908222</c:v>
                </c:pt>
                <c:pt idx="3">
                  <c:v>51.875706422018332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2-4740-ACB3-FCDFB8DC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217408"/>
        <c:axId val="1275212832"/>
      </c:barChart>
      <c:catAx>
        <c:axId val="12752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5212832"/>
        <c:crosses val="autoZero"/>
        <c:auto val="1"/>
        <c:lblAlgn val="ctr"/>
        <c:lblOffset val="100"/>
        <c:noMultiLvlLbl val="0"/>
      </c:catAx>
      <c:valAx>
        <c:axId val="12752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52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Blad2!$A$33</c:f>
              <c:strCache>
                <c:ptCount val="1"/>
                <c:pt idx="0">
                  <c:v>Normalized income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Blad2!$B$32:$E$32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Premium shopper</c:v>
                </c:pt>
              </c:strCache>
            </c:strRef>
          </c:cat>
          <c:val>
            <c:numRef>
              <c:f>Blad2!$B$33:$E$33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F-4D9D-9302-0DBAB8DB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870383"/>
        <c:axId val="1912867887"/>
      </c:barChart>
      <c:lineChart>
        <c:grouping val="standard"/>
        <c:varyColors val="0"/>
        <c:ser>
          <c:idx val="1"/>
          <c:order val="1"/>
          <c:tx>
            <c:strRef>
              <c:f>Blad2!$A$34</c:f>
              <c:strCache>
                <c:ptCount val="1"/>
                <c:pt idx="0">
                  <c:v>Average expenditure per piece of clothing </c:v>
                </c:pt>
              </c:strCache>
            </c:strRef>
          </c:tx>
          <c:spPr>
            <a:ln w="381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Blad2!$B$32:$E$32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Premium shopper</c:v>
                </c:pt>
              </c:strCache>
            </c:strRef>
          </c:cat>
          <c:val>
            <c:numRef>
              <c:f>Blad2!$B$34:$E$34</c:f>
              <c:numCache>
                <c:formatCode>General</c:formatCode>
                <c:ptCount val="4"/>
                <c:pt idx="0">
                  <c:v>13.212328767123287</c:v>
                </c:pt>
                <c:pt idx="1">
                  <c:v>18.44235294117647</c:v>
                </c:pt>
                <c:pt idx="2">
                  <c:v>29.135876042908222</c:v>
                </c:pt>
                <c:pt idx="3">
                  <c:v>51.875706422018332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5F-4D9D-9302-0DBAB8DB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345360"/>
        <c:axId val="715341616"/>
      </c:lineChart>
      <c:catAx>
        <c:axId val="19128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2867887"/>
        <c:crosses val="autoZero"/>
        <c:auto val="1"/>
        <c:lblAlgn val="ctr"/>
        <c:lblOffset val="100"/>
        <c:noMultiLvlLbl val="0"/>
      </c:catAx>
      <c:valAx>
        <c:axId val="19128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nl-NL"/>
                  <a:t>Normalized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2870383"/>
        <c:crosses val="autoZero"/>
        <c:crossBetween val="between"/>
      </c:valAx>
      <c:valAx>
        <c:axId val="715341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nl-NL"/>
                  <a:t> expenditure (</a:t>
                </a:r>
                <a:r>
                  <a:rPr lang="en-NL" sz="900" b="0" i="0" u="none" strike="noStrike" cap="all" baseline="0">
                    <a:effectLst/>
                  </a:rPr>
                  <a:t>€</a:t>
                </a:r>
                <a:r>
                  <a:rPr lang="en-US" sz="900" b="0" i="0" u="none" strike="noStrike" cap="all" baseline="0">
                    <a:effectLst/>
                  </a:rPr>
                  <a:t>/product)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715345360"/>
        <c:crosses val="max"/>
        <c:crossBetween val="between"/>
      </c:valAx>
      <c:catAx>
        <c:axId val="71534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534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Blad2!$AB$1:$AE$1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Premium shopper</c:v>
                </c:pt>
              </c:strCache>
            </c:strRef>
          </c:cat>
          <c:val>
            <c:numRef>
              <c:f>Blad2!$AB$2:$AE$2</c:f>
              <c:numCache>
                <c:formatCode>0.0</c:formatCode>
                <c:ptCount val="4"/>
                <c:pt idx="0">
                  <c:v>2.61</c:v>
                </c:pt>
                <c:pt idx="1">
                  <c:v>2.7</c:v>
                </c:pt>
                <c:pt idx="2">
                  <c:v>2.7</c:v>
                </c:pt>
                <c:pt idx="3">
                  <c:v>2.9170000000000003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7-4BA1-A25A-31B0D40B9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2870383"/>
        <c:axId val="1912867887"/>
      </c:barChart>
      <c:catAx>
        <c:axId val="19128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2867887"/>
        <c:crosses val="autoZero"/>
        <c:auto val="1"/>
        <c:lblAlgn val="ctr"/>
        <c:lblOffset val="100"/>
        <c:noMultiLvlLbl val="0"/>
      </c:catAx>
      <c:valAx>
        <c:axId val="19128678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nl-NL"/>
                  <a:t>Environmental</a:t>
                </a:r>
                <a:r>
                  <a:rPr lang="nl-NL" baseline="0"/>
                  <a:t> apparel consumption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28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Blad2!$R$2</c:f>
              <c:strCache>
                <c:ptCount val="1"/>
                <c:pt idx="0">
                  <c:v>Clothing bought (past 3 months)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Blad2!$S$1:$V$1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Casual shopper</c:v>
                </c:pt>
              </c:strCache>
            </c:strRef>
          </c:cat>
          <c:val>
            <c:numRef>
              <c:f>Blad2!$S$2:$V$2</c:f>
              <c:numCache>
                <c:formatCode>General</c:formatCode>
                <c:ptCount val="4"/>
                <c:pt idx="0">
                  <c:v>4.38</c:v>
                </c:pt>
                <c:pt idx="1">
                  <c:v>4.25</c:v>
                </c:pt>
                <c:pt idx="2">
                  <c:v>8.39</c:v>
                </c:pt>
                <c:pt idx="3">
                  <c:v>11.718999999999999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7-4AB3-ABC2-C81C3295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471647"/>
        <c:axId val="19194749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Blad2!$R$3</c15:sqref>
                        </c15:formulaRef>
                      </c:ext>
                    </c:extLst>
                    <c:strCache>
                      <c:ptCount val="1"/>
                      <c:pt idx="0">
                        <c:v>Clothing expenditure (past 3 months)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Blad2!$S$1:$V$1</c15:sqref>
                        </c15:formulaRef>
                      </c:ext>
                    </c:extLst>
                    <c:strCache>
                      <c:ptCount val="4"/>
                      <c:pt idx="0">
                        <c:v>Budget minimalist</c:v>
                      </c:pt>
                      <c:pt idx="1">
                        <c:v>Casual minimalist</c:v>
                      </c:pt>
                      <c:pt idx="2">
                        <c:v>Budget shopper</c:v>
                      </c:pt>
                      <c:pt idx="3">
                        <c:v>Casual shopper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Blad2!$S$3:$V$3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57.87</c:v>
                      </c:pt>
                      <c:pt idx="1">
                        <c:v>78.38</c:v>
                      </c:pt>
                      <c:pt idx="2">
                        <c:v>244.45</c:v>
                      </c:pt>
                      <c:pt idx="3">
                        <c:v>622.57899999999995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187-4AB3-ABC2-C81C3295BFD5}"/>
                  </c:ext>
                </c:extLst>
              </c15:ser>
            </c15:filteredBarSeries>
          </c:ext>
        </c:extLst>
      </c:barChart>
      <c:catAx>
        <c:axId val="191947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9474975"/>
        <c:crosses val="autoZero"/>
        <c:auto val="1"/>
        <c:lblAlgn val="ctr"/>
        <c:lblOffset val="100"/>
        <c:noMultiLvlLbl val="0"/>
      </c:catAx>
      <c:valAx>
        <c:axId val="19194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nl-NL"/>
                  <a:t>bought clothing</a:t>
                </a:r>
                <a:r>
                  <a:rPr lang="nl-NL" baseline="0"/>
                  <a:t> past 3 months (#)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94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Blad2!$R$3</c:f>
              <c:strCache>
                <c:ptCount val="1"/>
                <c:pt idx="0">
                  <c:v>Clothing expenditure (past 3 months)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Blad2!$S$1:$V$1</c:f>
              <c:strCache>
                <c:ptCount val="4"/>
                <c:pt idx="0">
                  <c:v>Budget minimalist</c:v>
                </c:pt>
                <c:pt idx="1">
                  <c:v>Casual minimalist</c:v>
                </c:pt>
                <c:pt idx="2">
                  <c:v>Budget shopper</c:v>
                </c:pt>
                <c:pt idx="3">
                  <c:v>Casual shopper</c:v>
                </c:pt>
              </c:strCache>
            </c:strRef>
          </c:cat>
          <c:val>
            <c:numRef>
              <c:f>Blad2!$S$3:$V$3</c:f>
              <c:numCache>
                <c:formatCode>General</c:formatCode>
                <c:ptCount val="4"/>
                <c:pt idx="0">
                  <c:v>57.87</c:v>
                </c:pt>
                <c:pt idx="1">
                  <c:v>78.38</c:v>
                </c:pt>
                <c:pt idx="2">
                  <c:v>244.45</c:v>
                </c:pt>
                <c:pt idx="3">
                  <c:v>622.57899999999995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0-411B-96BF-DD4CC3BD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471647"/>
        <c:axId val="19194749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Blad2!$R$2</c15:sqref>
                        </c15:formulaRef>
                      </c:ext>
                    </c:extLst>
                    <c:strCache>
                      <c:ptCount val="1"/>
                      <c:pt idx="0">
                        <c:v>Clothing bought (past 3 months)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Blad2!$S$1:$V$1</c15:sqref>
                        </c15:formulaRef>
                      </c:ext>
                    </c:extLst>
                    <c:strCache>
                      <c:ptCount val="4"/>
                      <c:pt idx="0">
                        <c:v>Budget minimalist</c:v>
                      </c:pt>
                      <c:pt idx="1">
                        <c:v>Casual minimalist</c:v>
                      </c:pt>
                      <c:pt idx="2">
                        <c:v>Budget shopper</c:v>
                      </c:pt>
                      <c:pt idx="3">
                        <c:v>Casual shopper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Blad2!$S$2:$V$2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4.38</c:v>
                      </c:pt>
                      <c:pt idx="1">
                        <c:v>4.25</c:v>
                      </c:pt>
                      <c:pt idx="2">
                        <c:v>8.39</c:v>
                      </c:pt>
                      <c:pt idx="3">
                        <c:v>11.718999999999999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50-411B-96BF-DD4CC3BD23F5}"/>
                  </c:ext>
                </c:extLst>
              </c15:ser>
            </c15:filteredBarSeries>
          </c:ext>
        </c:extLst>
      </c:barChart>
      <c:catAx>
        <c:axId val="191947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9474975"/>
        <c:crosses val="autoZero"/>
        <c:auto val="1"/>
        <c:lblAlgn val="ctr"/>
        <c:lblOffset val="100"/>
        <c:noMultiLvlLbl val="0"/>
      </c:catAx>
      <c:valAx>
        <c:axId val="19194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nl-NL"/>
                  <a:t>clothing</a:t>
                </a:r>
                <a:r>
                  <a:rPr lang="nl-NL" baseline="0"/>
                  <a:t> </a:t>
                </a: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rPr>
                  <a:t>expenditure past 3 months (</a:t>
                </a: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rPr>
                  <a:t>(</a:t>
                </a:r>
                <a:r>
                  <a:rPr lang="en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rPr>
                  <a:t>€</a:t>
                </a: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NL"/>
          </a:p>
        </c:txPr>
        <c:crossAx val="19194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62778</xdr:rowOff>
    </xdr:from>
    <xdr:to>
      <xdr:col>5</xdr:col>
      <xdr:colOff>329336</xdr:colOff>
      <xdr:row>23</xdr:row>
      <xdr:rowOff>97703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F5889D1-1BE2-4BCA-A6B4-2C842F103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291936</xdr:colOff>
      <xdr:row>8</xdr:row>
      <xdr:rowOff>4721</xdr:rowOff>
    </xdr:from>
    <xdr:to>
      <xdr:col>23</xdr:col>
      <xdr:colOff>72572</xdr:colOff>
      <xdr:row>25</xdr:row>
      <xdr:rowOff>160436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AC476A6-676E-4E04-BC7B-0BBEB981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403266</xdr:colOff>
      <xdr:row>7</xdr:row>
      <xdr:rowOff>18144</xdr:rowOff>
    </xdr:from>
    <xdr:to>
      <xdr:col>14</xdr:col>
      <xdr:colOff>184980</xdr:colOff>
      <xdr:row>24</xdr:row>
      <xdr:rowOff>173858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A84A7E2-CACB-4EF5-AC6E-D12BB00E3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176069</xdr:rowOff>
    </xdr:from>
    <xdr:to>
      <xdr:col>7</xdr:col>
      <xdr:colOff>338570</xdr:colOff>
      <xdr:row>51</xdr:row>
      <xdr:rowOff>138834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CFCD893-1F6E-4116-9BC3-BDF6B848A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246001</xdr:colOff>
      <xdr:row>36</xdr:row>
      <xdr:rowOff>134257</xdr:rowOff>
    </xdr:from>
    <xdr:to>
      <xdr:col>13</xdr:col>
      <xdr:colOff>590344</xdr:colOff>
      <xdr:row>52</xdr:row>
      <xdr:rowOff>106548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4C3D09D-6101-4D5A-925C-5312471AE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230910</xdr:colOff>
      <xdr:row>49</xdr:row>
      <xdr:rowOff>0</xdr:rowOff>
    </xdr:from>
    <xdr:to>
      <xdr:col>16</xdr:col>
      <xdr:colOff>80819</xdr:colOff>
      <xdr:row>67</xdr:row>
      <xdr:rowOff>157741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FE4E148E-95BD-4F04-BA49-2758AB126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251939</xdr:colOff>
      <xdr:row>15</xdr:row>
      <xdr:rowOff>122464</xdr:rowOff>
    </xdr:from>
    <xdr:to>
      <xdr:col>31</xdr:col>
      <xdr:colOff>69653</xdr:colOff>
      <xdr:row>33</xdr:row>
      <xdr:rowOff>96750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73CCED89-2491-4EB2-BCDE-38D787200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554182</xdr:colOff>
      <xdr:row>27</xdr:row>
      <xdr:rowOff>69273</xdr:rowOff>
    </xdr:from>
    <xdr:to>
      <xdr:col>23</xdr:col>
      <xdr:colOff>335896</xdr:colOff>
      <xdr:row>45</xdr:row>
      <xdr:rowOff>40260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F159249A-4291-434A-9C9A-F81001D53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565727</xdr:colOff>
      <xdr:row>46</xdr:row>
      <xdr:rowOff>69273</xdr:rowOff>
    </xdr:from>
    <xdr:to>
      <xdr:col>24</xdr:col>
      <xdr:colOff>347441</xdr:colOff>
      <xdr:row>64</xdr:row>
      <xdr:rowOff>40261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CFC62D53-1025-4F4B-8F05-BE4ECF2D2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376093</xdr:colOff>
      <xdr:row>25</xdr:row>
      <xdr:rowOff>157595</xdr:rowOff>
    </xdr:from>
    <xdr:to>
      <xdr:col>8</xdr:col>
      <xdr:colOff>69561</xdr:colOff>
      <xdr:row>40</xdr:row>
      <xdr:rowOff>138546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6698B61-74C6-4C1D-8DAA-11DA4CA91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559377</xdr:colOff>
      <xdr:row>23</xdr:row>
      <xdr:rowOff>181842</xdr:rowOff>
    </xdr:from>
    <xdr:to>
      <xdr:col>16</xdr:col>
      <xdr:colOff>192650</xdr:colOff>
      <xdr:row>41</xdr:row>
      <xdr:rowOff>96751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0E45457-D282-45B0-9871-9113104AA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27</xdr:col>
      <xdr:colOff>291364</xdr:colOff>
      <xdr:row>42</xdr:row>
      <xdr:rowOff>99637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313A0EF-2DD4-47F9-B247-254968BA6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15DB-7F52-4544-9F9C-830559A31666}">
  <dimension ref="A1:G14"/>
  <sheetViews>
    <sheetView workbookViewId="0">
      <selection activeCell="C16" sqref="C16"/>
    </sheetView>
  </sheetViews>
  <sheetFormatPr defaultRowHeight="14.5" x14ac:dyDescent="0.35"/>
  <cols>
    <col min="1" max="1" width="33.453125" customWidth="1"/>
    <col min="2" max="2" width="17.453125" customWidth="1"/>
    <col min="3" max="3" width="22" customWidth="1"/>
    <col min="4" max="4" width="20.81640625" customWidth="1"/>
    <col min="5" max="5" width="25.08984375" customWidth="1"/>
    <col min="6" max="6" width="23.453125" customWidth="1"/>
    <col min="7" max="7" width="14.453125" customWidth="1"/>
  </cols>
  <sheetData>
    <row r="1" spans="1:7" x14ac:dyDescent="0.3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5">
      <c r="A2" t="s">
        <v>5</v>
      </c>
      <c r="B2">
        <v>5.86</v>
      </c>
      <c r="C2">
        <v>4.38</v>
      </c>
      <c r="D2">
        <v>4.25</v>
      </c>
      <c r="E2">
        <v>8.39</v>
      </c>
      <c r="F2">
        <v>10.9</v>
      </c>
      <c r="G2">
        <v>13.63</v>
      </c>
    </row>
    <row r="3" spans="1:7" x14ac:dyDescent="0.35">
      <c r="A3" t="s">
        <v>7</v>
      </c>
      <c r="B3">
        <v>153.43</v>
      </c>
      <c r="C3">
        <v>57.87</v>
      </c>
      <c r="D3">
        <v>78.38</v>
      </c>
      <c r="E3">
        <v>244.45</v>
      </c>
      <c r="F3">
        <v>481.9</v>
      </c>
      <c r="G3">
        <v>950.83</v>
      </c>
    </row>
    <row r="4" spans="1:7" x14ac:dyDescent="0.35">
      <c r="A4" t="s">
        <v>8</v>
      </c>
      <c r="B4">
        <v>7.81</v>
      </c>
      <c r="C4" s="3">
        <v>1.81</v>
      </c>
      <c r="D4" s="3">
        <v>9.51</v>
      </c>
      <c r="E4" s="3">
        <v>10.57</v>
      </c>
      <c r="F4" s="3">
        <v>20</v>
      </c>
      <c r="G4" s="3">
        <v>36.36</v>
      </c>
    </row>
    <row r="5" spans="1:7" x14ac:dyDescent="0.35">
      <c r="A5" t="s">
        <v>9</v>
      </c>
      <c r="B5">
        <v>33.49</v>
      </c>
      <c r="C5" s="3">
        <v>13.49</v>
      </c>
      <c r="D5" s="3">
        <v>54.78</v>
      </c>
      <c r="E5" s="3">
        <v>41.01</v>
      </c>
      <c r="F5" s="3">
        <v>47</v>
      </c>
      <c r="G5" s="3">
        <v>40.97</v>
      </c>
    </row>
    <row r="6" spans="1:7" x14ac:dyDescent="0.35">
      <c r="A6" t="s">
        <v>10</v>
      </c>
      <c r="B6">
        <v>58.7</v>
      </c>
      <c r="C6" s="3">
        <v>84.26</v>
      </c>
      <c r="D6" s="3">
        <v>35.72</v>
      </c>
      <c r="E6" s="3">
        <v>48.41</v>
      </c>
      <c r="F6" s="3">
        <v>33</v>
      </c>
      <c r="G6" s="3">
        <v>22.67</v>
      </c>
    </row>
    <row r="7" spans="1:7" x14ac:dyDescent="0.35">
      <c r="A7" t="s">
        <v>11</v>
      </c>
      <c r="B7" s="1">
        <f>61.13+17.81+7.82</f>
        <v>86.759999999999991</v>
      </c>
      <c r="C7">
        <f>62.03+14.14+6.73</f>
        <v>82.9</v>
      </c>
      <c r="D7">
        <f>100-12</f>
        <v>88</v>
      </c>
      <c r="E7">
        <f>100-8.78</f>
        <v>91.22</v>
      </c>
      <c r="F7">
        <f>100-F8</f>
        <v>91.26</v>
      </c>
      <c r="G7">
        <f>100-G8</f>
        <v>90.33</v>
      </c>
    </row>
    <row r="8" spans="1:7" x14ac:dyDescent="0.35">
      <c r="A8" t="s">
        <v>12</v>
      </c>
      <c r="B8">
        <v>13.24</v>
      </c>
      <c r="C8">
        <v>17.100000000000001</v>
      </c>
      <c r="D8">
        <v>12</v>
      </c>
      <c r="E8">
        <v>8.7799999999999994</v>
      </c>
      <c r="F8">
        <v>8.74</v>
      </c>
      <c r="G8">
        <v>9.67</v>
      </c>
    </row>
    <row r="10" spans="1:7" x14ac:dyDescent="0.35">
      <c r="A10" s="4" t="s">
        <v>13</v>
      </c>
      <c r="B10">
        <f>SUM(C10:G10)</f>
        <v>3984</v>
      </c>
      <c r="C10">
        <v>1712</v>
      </c>
      <c r="D10">
        <v>1073</v>
      </c>
      <c r="E10">
        <v>828</v>
      </c>
      <c r="F10">
        <v>271</v>
      </c>
      <c r="G10">
        <v>100</v>
      </c>
    </row>
    <row r="11" spans="1:7" x14ac:dyDescent="0.35">
      <c r="A11" t="s">
        <v>14</v>
      </c>
      <c r="C11" s="5">
        <f>C10/B10</f>
        <v>0.42971887550200805</v>
      </c>
      <c r="D11" s="5">
        <f>D10/$B$10</f>
        <v>0.26932730923694781</v>
      </c>
      <c r="E11" s="5">
        <f>E10/$B$10</f>
        <v>0.20783132530120482</v>
      </c>
      <c r="F11" s="5">
        <f>F10/$B$10</f>
        <v>6.8022088353413654E-2</v>
      </c>
      <c r="G11" s="5">
        <f>G10/$B$10</f>
        <v>2.5100401606425703E-2</v>
      </c>
    </row>
    <row r="12" spans="1:7" x14ac:dyDescent="0.35">
      <c r="C12" t="s">
        <v>16</v>
      </c>
      <c r="D12" t="s">
        <v>17</v>
      </c>
      <c r="E12" t="s">
        <v>18</v>
      </c>
      <c r="F12" t="s">
        <v>19</v>
      </c>
      <c r="G12" t="s">
        <v>15</v>
      </c>
    </row>
    <row r="14" spans="1:7" x14ac:dyDescent="0.35">
      <c r="F14" s="2">
        <f>(F10+G10)/B10</f>
        <v>9.3122489959839364E-2</v>
      </c>
    </row>
  </sheetData>
  <conditionalFormatting sqref="B8:G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B3CC-1C36-4522-A050-961D257F66C0}">
  <dimension ref="A1:AF34"/>
  <sheetViews>
    <sheetView tabSelected="1" topLeftCell="B1" zoomScale="55" zoomScaleNormal="55" workbookViewId="0">
      <selection activeCell="Z67" sqref="Z67"/>
    </sheetView>
  </sheetViews>
  <sheetFormatPr defaultRowHeight="14.5" x14ac:dyDescent="0.35"/>
  <cols>
    <col min="1" max="1" width="19.1796875" customWidth="1"/>
  </cols>
  <sheetData>
    <row r="1" spans="1:32" x14ac:dyDescent="0.35">
      <c r="A1" t="s">
        <v>16</v>
      </c>
      <c r="B1" t="s">
        <v>17</v>
      </c>
      <c r="C1" t="s">
        <v>18</v>
      </c>
      <c r="D1" t="s">
        <v>28</v>
      </c>
      <c r="J1" t="s">
        <v>16</v>
      </c>
      <c r="K1" t="s">
        <v>17</v>
      </c>
      <c r="L1" t="s">
        <v>18</v>
      </c>
      <c r="M1" t="s">
        <v>28</v>
      </c>
      <c r="S1" t="s">
        <v>16</v>
      </c>
      <c r="T1" t="s">
        <v>17</v>
      </c>
      <c r="U1" t="s">
        <v>18</v>
      </c>
      <c r="V1" t="s">
        <v>19</v>
      </c>
      <c r="AB1" t="s">
        <v>16</v>
      </c>
      <c r="AC1" t="s">
        <v>17</v>
      </c>
      <c r="AD1" t="s">
        <v>18</v>
      </c>
      <c r="AE1" t="s">
        <v>28</v>
      </c>
    </row>
    <row r="2" spans="1:32" x14ac:dyDescent="0.35">
      <c r="A2" s="2">
        <v>0.43</v>
      </c>
      <c r="B2" s="2">
        <v>0.27</v>
      </c>
      <c r="C2" s="2">
        <v>0.21263482280431434</v>
      </c>
      <c r="D2" s="2">
        <v>0.09</v>
      </c>
      <c r="E2" s="2"/>
      <c r="I2" t="s">
        <v>20</v>
      </c>
      <c r="J2">
        <f>62.03+14.14+6.73</f>
        <v>82.9</v>
      </c>
      <c r="K2">
        <f>100-12</f>
        <v>88</v>
      </c>
      <c r="L2">
        <f>100-8.78</f>
        <v>91.22</v>
      </c>
      <c r="M2">
        <f>100-M3</f>
        <v>90.980999999999995</v>
      </c>
      <c r="R2" t="s">
        <v>22</v>
      </c>
      <c r="S2">
        <v>4.38</v>
      </c>
      <c r="T2">
        <v>4.25</v>
      </c>
      <c r="U2">
        <v>8.39</v>
      </c>
      <c r="V2">
        <f>(10.9*7+13.63*3)/10</f>
        <v>11.718999999999999</v>
      </c>
      <c r="AB2" s="14">
        <v>2.61</v>
      </c>
      <c r="AC2" s="14">
        <v>2.7</v>
      </c>
      <c r="AD2" s="14">
        <v>2.7</v>
      </c>
      <c r="AE2" s="14">
        <f>(2.89*7+2.98*3)/10</f>
        <v>2.9170000000000003</v>
      </c>
    </row>
    <row r="3" spans="1:32" x14ac:dyDescent="0.35">
      <c r="I3" t="s">
        <v>21</v>
      </c>
      <c r="J3">
        <v>17.100000000000001</v>
      </c>
      <c r="K3">
        <v>12</v>
      </c>
      <c r="L3">
        <v>8.7799999999999994</v>
      </c>
      <c r="M3">
        <f>(8.74*7+9.67*3)/10</f>
        <v>9.0190000000000001</v>
      </c>
      <c r="R3" t="s">
        <v>23</v>
      </c>
      <c r="S3">
        <v>57.87</v>
      </c>
      <c r="T3">
        <v>78.38</v>
      </c>
      <c r="U3">
        <v>244.45</v>
      </c>
      <c r="V3">
        <f>(481.9*7+950.83*3)/10</f>
        <v>622.57899999999995</v>
      </c>
      <c r="AB3">
        <v>0.76</v>
      </c>
      <c r="AC3">
        <v>0.83</v>
      </c>
      <c r="AD3">
        <v>0.76</v>
      </c>
      <c r="AE3">
        <v>0.87</v>
      </c>
    </row>
    <row r="5" spans="1:32" x14ac:dyDescent="0.35">
      <c r="S5">
        <f>S3/S2</f>
        <v>13.212328767123287</v>
      </c>
      <c r="T5">
        <f t="shared" ref="T5:V5" si="0">T3/T2</f>
        <v>18.44235294117647</v>
      </c>
      <c r="U5">
        <f t="shared" si="0"/>
        <v>29.135876042908222</v>
      </c>
      <c r="V5">
        <f t="shared" si="0"/>
        <v>53.125607987029611</v>
      </c>
      <c r="AA5" t="s">
        <v>26</v>
      </c>
      <c r="AB5">
        <f>AB2-AB3</f>
        <v>1.8499999999999999</v>
      </c>
      <c r="AC5">
        <f t="shared" ref="AC5:AE5" si="1">AC2-AC3</f>
        <v>1.87</v>
      </c>
      <c r="AD5">
        <f t="shared" si="1"/>
        <v>1.9400000000000002</v>
      </c>
      <c r="AE5">
        <f t="shared" si="1"/>
        <v>2.0470000000000002</v>
      </c>
    </row>
    <row r="6" spans="1:32" x14ac:dyDescent="0.35">
      <c r="AA6" t="s">
        <v>27</v>
      </c>
      <c r="AB6">
        <f>AB2+AB3</f>
        <v>3.37</v>
      </c>
      <c r="AC6">
        <f t="shared" ref="AC6:AE6" si="2">AC2+AC3</f>
        <v>3.5300000000000002</v>
      </c>
      <c r="AD6">
        <f t="shared" si="2"/>
        <v>3.46</v>
      </c>
      <c r="AE6">
        <f t="shared" si="2"/>
        <v>3.7870000000000004</v>
      </c>
    </row>
    <row r="9" spans="1:32" x14ac:dyDescent="0.35">
      <c r="AB9">
        <f>(AC2-$AB$2)/0.37*0.3</f>
        <v>7.2972972972973213E-2</v>
      </c>
      <c r="AC9">
        <f t="shared" ref="AC9:AE9" si="3">(AD2-$AB$2)/0.37*0.3</f>
        <v>7.2972972972973213E-2</v>
      </c>
      <c r="AD9">
        <f t="shared" si="3"/>
        <v>0.24891891891891924</v>
      </c>
      <c r="AE9">
        <f t="shared" si="3"/>
        <v>-2.1162162162162161</v>
      </c>
    </row>
    <row r="10" spans="1:32" x14ac:dyDescent="0.35">
      <c r="AB10">
        <v>0.4</v>
      </c>
      <c r="AC10">
        <f>AB9+$AB$10</f>
        <v>0.47297297297297325</v>
      </c>
      <c r="AD10">
        <f>AC9+$AB$10</f>
        <v>0.47297297297297325</v>
      </c>
      <c r="AE10">
        <f>AD9+$AB$10</f>
        <v>0.64891891891891929</v>
      </c>
      <c r="AF10">
        <f>AE9+$AB$10</f>
        <v>-1.7162162162162162</v>
      </c>
    </row>
    <row r="32" spans="2:13" x14ac:dyDescent="0.35">
      <c r="B32" t="s">
        <v>16</v>
      </c>
      <c r="C32" t="s">
        <v>17</v>
      </c>
      <c r="D32" t="s">
        <v>18</v>
      </c>
      <c r="E32" t="s">
        <v>28</v>
      </c>
      <c r="J32" t="s">
        <v>16</v>
      </c>
      <c r="K32" t="s">
        <v>17</v>
      </c>
      <c r="L32" t="s">
        <v>18</v>
      </c>
      <c r="M32" t="s">
        <v>28</v>
      </c>
    </row>
    <row r="33" spans="1:13" x14ac:dyDescent="0.35">
      <c r="A33" t="s">
        <v>24</v>
      </c>
      <c r="B33">
        <v>3</v>
      </c>
      <c r="C33">
        <v>5</v>
      </c>
      <c r="D33">
        <v>5</v>
      </c>
      <c r="E33">
        <v>8</v>
      </c>
      <c r="J33">
        <v>13.212328767123287</v>
      </c>
      <c r="K33">
        <v>18.44235294117647</v>
      </c>
      <c r="L33">
        <v>29.135876042908222</v>
      </c>
      <c r="M33">
        <f>(44.2110091743119*7+69.76*3)/10</f>
        <v>51.875706422018332</v>
      </c>
    </row>
    <row r="34" spans="1:13" x14ac:dyDescent="0.35">
      <c r="A34" t="s">
        <v>25</v>
      </c>
      <c r="B34">
        <v>13.212328767123287</v>
      </c>
      <c r="C34">
        <v>18.44235294117647</v>
      </c>
      <c r="D34">
        <v>29.135876042908222</v>
      </c>
      <c r="E34">
        <f>(44.2110091743119*7+69.76*3)/10</f>
        <v>51.875706422018332</v>
      </c>
    </row>
  </sheetData>
  <conditionalFormatting sqref="J3:N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CD95-50CF-4AE4-A488-E2BAB516BC8A}">
  <dimension ref="A1:AD19"/>
  <sheetViews>
    <sheetView zoomScale="85" zoomScaleNormal="85" workbookViewId="0">
      <selection activeCell="U25" sqref="U25"/>
    </sheetView>
  </sheetViews>
  <sheetFormatPr defaultRowHeight="14.5" x14ac:dyDescent="0.35"/>
  <cols>
    <col min="10" max="10" width="16" customWidth="1"/>
    <col min="11" max="11" width="9.36328125" customWidth="1"/>
    <col min="12" max="12" width="8.90625" customWidth="1"/>
    <col min="13" max="13" width="9" customWidth="1"/>
    <col min="14" max="14" width="8.1796875" customWidth="1"/>
    <col min="15" max="16" width="10" customWidth="1"/>
    <col min="22" max="22" width="18.453125" customWidth="1"/>
  </cols>
  <sheetData>
    <row r="1" spans="1:30" x14ac:dyDescent="0.35">
      <c r="J1" s="6" t="s">
        <v>29</v>
      </c>
      <c r="K1" s="6" t="s">
        <v>16</v>
      </c>
      <c r="L1" s="8" t="s">
        <v>14</v>
      </c>
      <c r="M1" s="6" t="s">
        <v>17</v>
      </c>
      <c r="N1" s="8" t="s">
        <v>14</v>
      </c>
      <c r="O1" s="6" t="s">
        <v>18</v>
      </c>
      <c r="P1" s="8"/>
      <c r="Q1" s="6" t="s">
        <v>28</v>
      </c>
      <c r="R1" s="8"/>
      <c r="V1" s="15" t="s">
        <v>29</v>
      </c>
    </row>
    <row r="2" spans="1:30" x14ac:dyDescent="0.35">
      <c r="B2" s="2">
        <v>0.43</v>
      </c>
      <c r="C2" s="2">
        <v>0.27</v>
      </c>
      <c r="D2" s="2">
        <v>0.21263482280431434</v>
      </c>
      <c r="E2" s="2">
        <v>0.09</v>
      </c>
      <c r="I2" s="10"/>
      <c r="J2" s="7" t="s">
        <v>30</v>
      </c>
      <c r="K2">
        <v>0.71</v>
      </c>
      <c r="L2" s="2">
        <f>K2/SUM($K$2:$K$9)</f>
        <v>9.5816464237516857E-2</v>
      </c>
      <c r="M2">
        <v>0.84</v>
      </c>
      <c r="N2" s="2">
        <f>M2/(SUM($M$2:$M$9))</f>
        <v>0.10659898477157359</v>
      </c>
      <c r="O2">
        <v>1.44</v>
      </c>
      <c r="P2" s="2">
        <f>O2/(SUM($O$2:$O$9))</f>
        <v>0.1276595744680851</v>
      </c>
      <c r="Q2">
        <f>(E6*$E$5+F6*$F$5)/($E$5+$F$5)</f>
        <v>2.88622641509434</v>
      </c>
      <c r="R2" s="2">
        <f>Q2/(SUM($Q$2:$Q$9))</f>
        <v>0.14820335661315903</v>
      </c>
      <c r="V2" t="s">
        <v>30</v>
      </c>
      <c r="W2">
        <v>0.71</v>
      </c>
      <c r="X2" s="2">
        <v>9.5816464237516857E-2</v>
      </c>
      <c r="Y2">
        <v>0.84</v>
      </c>
      <c r="Z2" s="2">
        <v>0.10659898477157359</v>
      </c>
      <c r="AA2">
        <v>1.44</v>
      </c>
      <c r="AB2" s="2">
        <v>0.1276595744680851</v>
      </c>
      <c r="AC2">
        <v>2.88622641509434</v>
      </c>
      <c r="AD2" s="2">
        <v>0.14820335661315903</v>
      </c>
    </row>
    <row r="3" spans="1:30" x14ac:dyDescent="0.35">
      <c r="I3" s="10"/>
      <c r="J3" s="7" t="s">
        <v>31</v>
      </c>
      <c r="K3">
        <v>1.65</v>
      </c>
      <c r="L3" s="2">
        <f t="shared" ref="L3:L9" si="0">K3/SUM($K$2:$K$9)</f>
        <v>0.2226720647773279</v>
      </c>
      <c r="M3">
        <v>1.74</v>
      </c>
      <c r="N3" s="2">
        <f t="shared" ref="N3:N9" si="1">M3/(SUM($M$2:$M$9))</f>
        <v>0.22081218274111672</v>
      </c>
      <c r="O3">
        <v>2.48</v>
      </c>
      <c r="P3" s="2">
        <f t="shared" ref="P3:P9" si="2">O3/(SUM($O$2:$O$9))</f>
        <v>0.21985815602836881</v>
      </c>
      <c r="Q3">
        <f t="shared" ref="Q3:Q9" si="3">(E7*$E$5+F7*$F$5)/($E$5+$F$5)</f>
        <v>4.2138005390835582</v>
      </c>
      <c r="R3" s="2">
        <f t="shared" ref="R3:R9" si="4">Q3/(SUM($Q$2:$Q$9))</f>
        <v>0.21637227790741767</v>
      </c>
      <c r="V3" t="s">
        <v>31</v>
      </c>
      <c r="W3">
        <v>1.65</v>
      </c>
      <c r="X3" s="2">
        <v>0.2226720647773279</v>
      </c>
      <c r="Y3">
        <v>1.74</v>
      </c>
      <c r="Z3" s="2">
        <v>0.22081218274111672</v>
      </c>
      <c r="AA3">
        <v>2.48</v>
      </c>
      <c r="AB3" s="2">
        <v>0.21985815602836881</v>
      </c>
      <c r="AC3">
        <v>4.2138005390835582</v>
      </c>
      <c r="AD3" s="2">
        <v>0.21637227790741767</v>
      </c>
    </row>
    <row r="4" spans="1:30" x14ac:dyDescent="0.35">
      <c r="B4" t="s">
        <v>0</v>
      </c>
      <c r="C4" t="s">
        <v>1</v>
      </c>
      <c r="D4" t="s">
        <v>2</v>
      </c>
      <c r="E4" t="s">
        <v>3</v>
      </c>
      <c r="F4" t="s">
        <v>4</v>
      </c>
      <c r="I4" s="11"/>
      <c r="J4" s="7" t="s">
        <v>32</v>
      </c>
      <c r="K4">
        <v>1.39</v>
      </c>
      <c r="L4" s="2">
        <f t="shared" si="0"/>
        <v>0.18758434547908229</v>
      </c>
      <c r="M4">
        <v>1.74</v>
      </c>
      <c r="N4" s="2">
        <f t="shared" si="1"/>
        <v>0.22081218274111672</v>
      </c>
      <c r="O4">
        <v>3.03</v>
      </c>
      <c r="P4" s="2">
        <f t="shared" si="2"/>
        <v>0.26861702127659576</v>
      </c>
      <c r="Q4">
        <f t="shared" si="3"/>
        <v>4.3125876010781674</v>
      </c>
      <c r="R4" s="2">
        <f t="shared" si="4"/>
        <v>0.22144484397534162</v>
      </c>
      <c r="V4" t="s">
        <v>32</v>
      </c>
      <c r="W4">
        <v>1.39</v>
      </c>
      <c r="X4" s="2">
        <v>0.18758434547908229</v>
      </c>
      <c r="Y4">
        <v>1.74</v>
      </c>
      <c r="Z4" s="2">
        <v>0.22081218274111672</v>
      </c>
      <c r="AA4">
        <v>3.03</v>
      </c>
      <c r="AB4" s="2">
        <v>0.26861702127659576</v>
      </c>
      <c r="AC4">
        <v>4.3125876010781674</v>
      </c>
      <c r="AD4" s="2">
        <v>0.22144484397534162</v>
      </c>
    </row>
    <row r="5" spans="1:30" x14ac:dyDescent="0.35">
      <c r="B5" s="2">
        <v>0.42971887550200805</v>
      </c>
      <c r="C5" s="2">
        <v>0.26932730923694781</v>
      </c>
      <c r="D5" s="2">
        <v>0.20783132530120482</v>
      </c>
      <c r="E5" s="2">
        <v>6.8022088353413654E-2</v>
      </c>
      <c r="F5" s="2">
        <v>2.5100401606425703E-2</v>
      </c>
      <c r="I5" s="11"/>
      <c r="J5" s="7" t="s">
        <v>33</v>
      </c>
      <c r="K5">
        <v>0.57999999999999996</v>
      </c>
      <c r="L5" s="2">
        <f t="shared" si="0"/>
        <v>7.8272604588394051E-2</v>
      </c>
      <c r="M5">
        <v>0.61</v>
      </c>
      <c r="N5" s="2">
        <f t="shared" si="1"/>
        <v>7.7411167512690351E-2</v>
      </c>
      <c r="O5">
        <v>1.18</v>
      </c>
      <c r="P5" s="2">
        <f t="shared" si="2"/>
        <v>0.10460992907801418</v>
      </c>
      <c r="Q5">
        <f t="shared" si="3"/>
        <v>1.9507547169811319</v>
      </c>
      <c r="R5" s="2">
        <f t="shared" si="4"/>
        <v>0.10016830123706942</v>
      </c>
      <c r="V5" t="s">
        <v>33</v>
      </c>
      <c r="W5">
        <v>0.57999999999999996</v>
      </c>
      <c r="X5" s="2">
        <v>7.8272604588394051E-2</v>
      </c>
      <c r="Y5">
        <v>0.61</v>
      </c>
      <c r="Z5" s="2">
        <v>7.7411167512690351E-2</v>
      </c>
      <c r="AA5">
        <v>1.18</v>
      </c>
      <c r="AB5" s="2">
        <v>0.10460992907801418</v>
      </c>
      <c r="AC5">
        <v>1.9507547169811319</v>
      </c>
      <c r="AD5" s="2">
        <v>0.10016830123706942</v>
      </c>
    </row>
    <row r="6" spans="1:30" x14ac:dyDescent="0.35">
      <c r="A6" s="7" t="s">
        <v>30</v>
      </c>
      <c r="B6">
        <v>0.71</v>
      </c>
      <c r="C6">
        <v>0.84</v>
      </c>
      <c r="D6">
        <v>1.44</v>
      </c>
      <c r="E6">
        <v>2.4900000000000002</v>
      </c>
      <c r="F6">
        <v>3.96</v>
      </c>
      <c r="I6" s="9"/>
      <c r="J6" s="7" t="s">
        <v>34</v>
      </c>
      <c r="K6">
        <v>0.44</v>
      </c>
      <c r="L6" s="2">
        <f t="shared" si="0"/>
        <v>5.9379217273954107E-2</v>
      </c>
      <c r="M6">
        <v>0.61</v>
      </c>
      <c r="N6" s="2">
        <f t="shared" si="1"/>
        <v>7.7411167512690351E-2</v>
      </c>
      <c r="O6">
        <v>0.93</v>
      </c>
      <c r="P6" s="2">
        <f t="shared" si="2"/>
        <v>8.2446808510638306E-2</v>
      </c>
      <c r="Q6">
        <f t="shared" si="3"/>
        <v>1.8996226415094342</v>
      </c>
      <c r="R6" s="2">
        <f t="shared" si="4"/>
        <v>9.7542746576536915E-2</v>
      </c>
      <c r="V6" t="s">
        <v>34</v>
      </c>
      <c r="W6">
        <v>0.44</v>
      </c>
      <c r="X6" s="2">
        <v>5.9379217273954107E-2</v>
      </c>
      <c r="Y6">
        <v>0.61</v>
      </c>
      <c r="Z6" s="2">
        <v>7.7411167512690351E-2</v>
      </c>
      <c r="AA6">
        <v>0.93</v>
      </c>
      <c r="AB6" s="2">
        <v>8.2446808510638306E-2</v>
      </c>
      <c r="AC6">
        <v>1.8996226415094342</v>
      </c>
      <c r="AD6" s="2">
        <v>9.7542746576536915E-2</v>
      </c>
    </row>
    <row r="7" spans="1:30" x14ac:dyDescent="0.35">
      <c r="A7" s="7" t="s">
        <v>31</v>
      </c>
      <c r="B7">
        <v>1.65</v>
      </c>
      <c r="C7">
        <v>1.74</v>
      </c>
      <c r="D7">
        <v>2.48</v>
      </c>
      <c r="E7">
        <v>3.92</v>
      </c>
      <c r="F7">
        <v>5.01</v>
      </c>
      <c r="I7" s="9"/>
      <c r="J7" s="7" t="s">
        <v>35</v>
      </c>
      <c r="K7">
        <v>1.61</v>
      </c>
      <c r="L7" s="2">
        <f t="shared" si="0"/>
        <v>0.21727395411605938</v>
      </c>
      <c r="M7">
        <v>1.21</v>
      </c>
      <c r="N7" s="2">
        <f t="shared" si="1"/>
        <v>0.15355329949238578</v>
      </c>
      <c r="O7">
        <v>1.1399999999999999</v>
      </c>
      <c r="P7" s="2">
        <f t="shared" si="2"/>
        <v>0.10106382978723404</v>
      </c>
      <c r="Q7">
        <f t="shared" si="3"/>
        <v>1.6921563342318062</v>
      </c>
      <c r="R7" s="2">
        <f t="shared" si="4"/>
        <v>8.6889665805783695E-2</v>
      </c>
      <c r="V7" t="s">
        <v>35</v>
      </c>
      <c r="W7">
        <v>1.61</v>
      </c>
      <c r="X7" s="2">
        <v>0.21727395411605938</v>
      </c>
      <c r="Y7">
        <v>1.21</v>
      </c>
      <c r="Z7" s="2">
        <v>0.15355329949238578</v>
      </c>
      <c r="AA7">
        <v>1.1399999999999999</v>
      </c>
      <c r="AB7" s="2">
        <v>0.10106382978723404</v>
      </c>
      <c r="AC7">
        <v>1.6921563342318062</v>
      </c>
      <c r="AD7" s="2">
        <v>8.6889665805783695E-2</v>
      </c>
    </row>
    <row r="8" spans="1:30" x14ac:dyDescent="0.35">
      <c r="A8" s="7" t="s">
        <v>32</v>
      </c>
      <c r="B8">
        <v>1.39</v>
      </c>
      <c r="C8">
        <v>1.74</v>
      </c>
      <c r="D8">
        <v>3.03</v>
      </c>
      <c r="E8">
        <v>4.07</v>
      </c>
      <c r="F8">
        <v>4.97</v>
      </c>
      <c r="I8" s="10"/>
      <c r="J8" s="7" t="s">
        <v>36</v>
      </c>
      <c r="K8">
        <v>0.8</v>
      </c>
      <c r="L8" s="2">
        <f t="shared" si="0"/>
        <v>0.10796221322537111</v>
      </c>
      <c r="M8">
        <v>0.75</v>
      </c>
      <c r="N8" s="2">
        <f t="shared" si="1"/>
        <v>9.5177664974619283E-2</v>
      </c>
      <c r="O8">
        <v>0.75</v>
      </c>
      <c r="P8" s="2">
        <f t="shared" si="2"/>
        <v>6.6489361702127658E-2</v>
      </c>
      <c r="Q8">
        <f t="shared" si="3"/>
        <v>1.537466307277628</v>
      </c>
      <c r="R8" s="2">
        <f t="shared" si="4"/>
        <v>7.8946567125342884E-2</v>
      </c>
      <c r="V8" t="s">
        <v>36</v>
      </c>
      <c r="W8">
        <v>0.8</v>
      </c>
      <c r="X8" s="2">
        <v>0.10796221322537111</v>
      </c>
      <c r="Y8">
        <v>0.75</v>
      </c>
      <c r="Z8" s="2">
        <v>9.5177664974619283E-2</v>
      </c>
      <c r="AA8">
        <v>0.75</v>
      </c>
      <c r="AB8" s="2">
        <v>6.6489361702127658E-2</v>
      </c>
      <c r="AC8">
        <v>1.537466307277628</v>
      </c>
      <c r="AD8" s="2">
        <v>7.8946567125342884E-2</v>
      </c>
    </row>
    <row r="9" spans="1:30" x14ac:dyDescent="0.35">
      <c r="A9" s="7" t="s">
        <v>33</v>
      </c>
      <c r="B9">
        <v>0.57999999999999996</v>
      </c>
      <c r="C9">
        <v>0.61</v>
      </c>
      <c r="D9">
        <v>1.18</v>
      </c>
      <c r="E9">
        <v>1.63</v>
      </c>
      <c r="F9">
        <v>2.82</v>
      </c>
      <c r="I9" s="9"/>
      <c r="J9" s="7" t="s">
        <v>37</v>
      </c>
      <c r="K9">
        <v>0.23</v>
      </c>
      <c r="L9" s="2">
        <f t="shared" si="0"/>
        <v>3.1039136302294195E-2</v>
      </c>
      <c r="M9">
        <v>0.38</v>
      </c>
      <c r="N9" s="2">
        <f t="shared" si="1"/>
        <v>4.8223350253807105E-2</v>
      </c>
      <c r="O9">
        <v>0.33</v>
      </c>
      <c r="P9" s="2">
        <f t="shared" si="2"/>
        <v>2.9255319148936174E-2</v>
      </c>
      <c r="Q9">
        <f t="shared" si="3"/>
        <v>0.98215633423180593</v>
      </c>
      <c r="R9" s="2">
        <f t="shared" si="4"/>
        <v>5.0432240759348594E-2</v>
      </c>
      <c r="V9" t="s">
        <v>37</v>
      </c>
      <c r="W9">
        <v>0.23</v>
      </c>
      <c r="X9" s="2">
        <v>3.1039136302294195E-2</v>
      </c>
      <c r="Y9">
        <v>0.38</v>
      </c>
      <c r="Z9" s="2">
        <v>4.8223350253807105E-2</v>
      </c>
      <c r="AA9">
        <v>0.33</v>
      </c>
      <c r="AB9" s="2">
        <v>2.9255319148936174E-2</v>
      </c>
      <c r="AC9">
        <v>0.98215633423180593</v>
      </c>
      <c r="AD9" s="2">
        <v>5.0432240759348594E-2</v>
      </c>
    </row>
    <row r="10" spans="1:30" x14ac:dyDescent="0.35">
      <c r="A10" s="7" t="s">
        <v>34</v>
      </c>
      <c r="B10">
        <v>0.44</v>
      </c>
      <c r="C10">
        <v>0.61</v>
      </c>
      <c r="D10">
        <v>0.93</v>
      </c>
      <c r="E10">
        <v>1.56</v>
      </c>
      <c r="F10">
        <v>2.82</v>
      </c>
    </row>
    <row r="11" spans="1:30" x14ac:dyDescent="0.35">
      <c r="A11" s="7" t="s">
        <v>35</v>
      </c>
      <c r="B11">
        <v>1.61</v>
      </c>
      <c r="C11">
        <v>1.21</v>
      </c>
      <c r="D11">
        <v>1.1399999999999999</v>
      </c>
      <c r="E11">
        <v>1.49</v>
      </c>
      <c r="F11">
        <v>2.2400000000000002</v>
      </c>
      <c r="J11" s="4" t="s">
        <v>38</v>
      </c>
      <c r="L11" s="12">
        <f t="shared" ref="L11:R11" si="5">L6+L7+L9</f>
        <v>0.30769230769230771</v>
      </c>
      <c r="M11" s="12"/>
      <c r="N11" s="12">
        <f t="shared" si="5"/>
        <v>0.2791878172588832</v>
      </c>
      <c r="O11" s="12"/>
      <c r="P11" s="12">
        <f t="shared" si="5"/>
        <v>0.21276595744680851</v>
      </c>
      <c r="Q11" s="12"/>
      <c r="R11" s="12">
        <f t="shared" si="5"/>
        <v>0.23486465314166921</v>
      </c>
      <c r="V11" t="s">
        <v>41</v>
      </c>
      <c r="W11" s="2"/>
    </row>
    <row r="12" spans="1:30" x14ac:dyDescent="0.35">
      <c r="A12" s="7" t="s">
        <v>36</v>
      </c>
      <c r="B12">
        <v>0.8</v>
      </c>
      <c r="C12">
        <v>0.75</v>
      </c>
      <c r="D12">
        <v>0.75</v>
      </c>
      <c r="E12">
        <v>1.4</v>
      </c>
      <c r="F12">
        <v>1.91</v>
      </c>
      <c r="J12" s="7" t="s">
        <v>39</v>
      </c>
      <c r="L12" s="12">
        <f>SUM(L9+L6)</f>
        <v>9.0418353576248306E-2</v>
      </c>
      <c r="M12" s="12"/>
      <c r="N12" s="12">
        <f t="shared" ref="N12:R12" si="6">SUM(N9+N6)</f>
        <v>0.12563451776649745</v>
      </c>
      <c r="O12" s="12"/>
      <c r="P12" s="12">
        <f t="shared" si="6"/>
        <v>0.11170212765957448</v>
      </c>
      <c r="Q12" s="12"/>
      <c r="R12" s="12">
        <f t="shared" si="6"/>
        <v>0.14797498733588552</v>
      </c>
    </row>
    <row r="13" spans="1:30" x14ac:dyDescent="0.35">
      <c r="A13" s="7" t="s">
        <v>37</v>
      </c>
      <c r="B13">
        <v>0.23</v>
      </c>
      <c r="C13">
        <v>0.38</v>
      </c>
      <c r="D13">
        <v>0.33</v>
      </c>
      <c r="E13">
        <v>0.78</v>
      </c>
      <c r="F13">
        <v>1.53</v>
      </c>
    </row>
    <row r="14" spans="1:30" x14ac:dyDescent="0.35">
      <c r="J14" t="s">
        <v>40</v>
      </c>
      <c r="L14" s="12"/>
      <c r="M14" s="12"/>
      <c r="N14" s="12"/>
      <c r="O14" s="12"/>
      <c r="P14" s="12"/>
      <c r="Q14" s="12"/>
      <c r="R14" s="12"/>
    </row>
    <row r="18" spans="10:26" x14ac:dyDescent="0.35">
      <c r="J18" s="6" t="s">
        <v>16</v>
      </c>
      <c r="K18" s="6" t="s">
        <v>17</v>
      </c>
      <c r="L18" s="6" t="s">
        <v>18</v>
      </c>
      <c r="M18" s="6" t="s">
        <v>28</v>
      </c>
      <c r="Q18" s="13"/>
      <c r="V18" s="15" t="s">
        <v>16</v>
      </c>
      <c r="W18" s="15" t="s">
        <v>17</v>
      </c>
      <c r="X18" s="15" t="s">
        <v>18</v>
      </c>
      <c r="Y18" s="15" t="s">
        <v>28</v>
      </c>
      <c r="Z18" s="15"/>
    </row>
    <row r="19" spans="10:26" x14ac:dyDescent="0.35">
      <c r="J19" s="2">
        <v>9.0418353576248306E-2</v>
      </c>
      <c r="K19" s="2">
        <v>0.12563451776649745</v>
      </c>
      <c r="L19" s="2">
        <v>0.11170212765957448</v>
      </c>
      <c r="M19" s="2">
        <v>0.14797498733588552</v>
      </c>
      <c r="V19" s="2">
        <f>X4+X5</f>
        <v>0.26585695006747634</v>
      </c>
      <c r="W19" s="2">
        <f>Z4+Z5</f>
        <v>0.29822335025380708</v>
      </c>
      <c r="X19" s="2">
        <f>AB4+AB5</f>
        <v>0.37322695035460995</v>
      </c>
      <c r="Y19" s="2">
        <f>AD4+AD5</f>
        <v>0.32161314521241102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126-21FD-40BE-B1B2-D0512E5DE615}">
  <dimension ref="A1:K28"/>
  <sheetViews>
    <sheetView zoomScaleNormal="100" workbookViewId="0">
      <selection activeCell="H27" sqref="H27"/>
    </sheetView>
  </sheetViews>
  <sheetFormatPr defaultRowHeight="14.5" x14ac:dyDescent="0.35"/>
  <cols>
    <col min="1" max="1" width="24.7265625" customWidth="1"/>
    <col min="2" max="2" width="16.90625" customWidth="1"/>
    <col min="3" max="4" width="17.453125" customWidth="1"/>
    <col min="5" max="5" width="14.6328125" customWidth="1"/>
    <col min="6" max="7" width="16.81640625" customWidth="1"/>
    <col min="9" max="10" width="21.36328125" customWidth="1"/>
  </cols>
  <sheetData>
    <row r="1" spans="1:11" x14ac:dyDescent="0.35">
      <c r="B1" t="s">
        <v>16</v>
      </c>
      <c r="C1" t="s">
        <v>17</v>
      </c>
      <c r="E1" t="s">
        <v>18</v>
      </c>
      <c r="F1" t="s">
        <v>47</v>
      </c>
      <c r="I1" t="s">
        <v>50</v>
      </c>
      <c r="K1" t="s">
        <v>49</v>
      </c>
    </row>
    <row r="2" spans="1:11" x14ac:dyDescent="0.35">
      <c r="A2" t="s">
        <v>42</v>
      </c>
      <c r="B2">
        <v>0.9</v>
      </c>
      <c r="C2">
        <v>0.8</v>
      </c>
      <c r="E2">
        <v>0.7</v>
      </c>
      <c r="F2">
        <v>0.5</v>
      </c>
    </row>
    <row r="3" spans="1:11" x14ac:dyDescent="0.35">
      <c r="A3" t="s">
        <v>43</v>
      </c>
      <c r="B3">
        <v>0.3</v>
      </c>
      <c r="C3">
        <v>0.45</v>
      </c>
      <c r="E3">
        <v>0.45</v>
      </c>
      <c r="F3">
        <v>0.6</v>
      </c>
    </row>
    <row r="4" spans="1:11" x14ac:dyDescent="0.35">
      <c r="A4" t="s">
        <v>44</v>
      </c>
      <c r="B4" s="6">
        <v>0.4</v>
      </c>
      <c r="C4" s="6">
        <v>0.55000000000000004</v>
      </c>
      <c r="D4" s="6"/>
      <c r="E4" s="6">
        <v>0.55000000000000004</v>
      </c>
      <c r="F4" s="6">
        <v>0.6</v>
      </c>
    </row>
    <row r="5" spans="1:11" x14ac:dyDescent="0.35">
      <c r="A5" t="s">
        <v>45</v>
      </c>
      <c r="B5">
        <v>0.4</v>
      </c>
      <c r="C5">
        <v>0.65</v>
      </c>
      <c r="E5">
        <v>0.7</v>
      </c>
      <c r="F5">
        <v>0.65</v>
      </c>
    </row>
    <row r="6" spans="1:11" x14ac:dyDescent="0.35">
      <c r="A6" t="s">
        <v>46</v>
      </c>
      <c r="B6" s="16">
        <v>0.4</v>
      </c>
      <c r="C6" s="16">
        <v>0.4</v>
      </c>
      <c r="D6" s="16"/>
      <c r="E6" s="16">
        <v>0.4</v>
      </c>
      <c r="F6" s="16">
        <v>0.4</v>
      </c>
      <c r="G6" s="16"/>
    </row>
    <row r="8" spans="1:11" x14ac:dyDescent="0.35">
      <c r="A8" t="s">
        <v>48</v>
      </c>
      <c r="B8">
        <f>B2+B3+B4-B5</f>
        <v>1.2000000000000002</v>
      </c>
      <c r="C8">
        <f t="shared" ref="C8:F8" si="0">C2+C3+C4-C5</f>
        <v>1.1499999999999999</v>
      </c>
      <c r="E8">
        <f>E2+E3+E4-E5</f>
        <v>1</v>
      </c>
      <c r="F8">
        <f t="shared" si="0"/>
        <v>1.0500000000000003</v>
      </c>
    </row>
    <row r="9" spans="1:11" x14ac:dyDescent="0.35">
      <c r="B9">
        <f>B8-0.4</f>
        <v>0.80000000000000016</v>
      </c>
      <c r="C9">
        <f t="shared" ref="C9:F9" si="1">C8-0.4</f>
        <v>0.74999999999999989</v>
      </c>
      <c r="E9">
        <f t="shared" si="1"/>
        <v>0.6</v>
      </c>
      <c r="F9">
        <f t="shared" si="1"/>
        <v>0.65000000000000024</v>
      </c>
    </row>
    <row r="10" spans="1:11" x14ac:dyDescent="0.35">
      <c r="B10">
        <f>B8-0.7</f>
        <v>0.50000000000000022</v>
      </c>
      <c r="C10">
        <f t="shared" ref="C10:F10" si="2">C8-0.7</f>
        <v>0.44999999999999996</v>
      </c>
      <c r="E10">
        <f t="shared" si="2"/>
        <v>0.30000000000000004</v>
      </c>
      <c r="F10">
        <f t="shared" si="2"/>
        <v>0.35000000000000031</v>
      </c>
    </row>
    <row r="11" spans="1:11" x14ac:dyDescent="0.35">
      <c r="B11" s="17">
        <f>B8-B6</f>
        <v>0.80000000000000016</v>
      </c>
      <c r="C11" s="17">
        <f t="shared" ref="C11:F11" si="3">C8-C6</f>
        <v>0.74999999999999989</v>
      </c>
      <c r="D11" s="17"/>
      <c r="E11" s="17">
        <f>E8-E6</f>
        <v>0.6</v>
      </c>
      <c r="F11" s="17">
        <f t="shared" si="3"/>
        <v>0.65000000000000024</v>
      </c>
      <c r="G11" s="17"/>
    </row>
    <row r="13" spans="1:11" x14ac:dyDescent="0.35">
      <c r="B13" s="2">
        <v>0.43</v>
      </c>
      <c r="C13" s="2">
        <v>0.27</v>
      </c>
      <c r="D13" s="2"/>
      <c r="E13" s="2">
        <v>0.21</v>
      </c>
      <c r="F13" s="2">
        <v>0.09</v>
      </c>
      <c r="G13" s="2"/>
    </row>
    <row r="14" spans="1:11" x14ac:dyDescent="0.35">
      <c r="B14">
        <f>B13*B11</f>
        <v>0.34400000000000008</v>
      </c>
      <c r="C14">
        <f t="shared" ref="C14:F14" si="4">C13*C11</f>
        <v>0.20249999999999999</v>
      </c>
      <c r="E14">
        <f t="shared" si="4"/>
        <v>0.126</v>
      </c>
      <c r="F14">
        <f t="shared" si="4"/>
        <v>5.8500000000000017E-2</v>
      </c>
      <c r="H14">
        <f>SUM(B14:F14)</f>
        <v>0.73100000000000009</v>
      </c>
    </row>
    <row r="17" spans="1:11" x14ac:dyDescent="0.35">
      <c r="B17" t="s">
        <v>16</v>
      </c>
      <c r="C17" t="s">
        <v>53</v>
      </c>
      <c r="D17" t="s">
        <v>54</v>
      </c>
      <c r="E17" t="s">
        <v>17</v>
      </c>
      <c r="H17" t="s">
        <v>18</v>
      </c>
      <c r="K17" t="s">
        <v>47</v>
      </c>
    </row>
    <row r="18" spans="1:11" x14ac:dyDescent="0.35">
      <c r="A18" t="s">
        <v>42</v>
      </c>
      <c r="B18">
        <v>0.9</v>
      </c>
      <c r="C18">
        <f>B18-B28</f>
        <v>0.8</v>
      </c>
      <c r="D18">
        <f>B18+$B$28</f>
        <v>1</v>
      </c>
      <c r="E18">
        <v>0.8</v>
      </c>
      <c r="H18">
        <v>0.7</v>
      </c>
      <c r="K18">
        <v>0.5</v>
      </c>
    </row>
    <row r="19" spans="1:11" x14ac:dyDescent="0.35">
      <c r="A19" t="s">
        <v>43</v>
      </c>
      <c r="B19">
        <v>0.3</v>
      </c>
      <c r="C19">
        <f t="shared" ref="C19:C22" si="5">B19-B29</f>
        <v>0.3</v>
      </c>
      <c r="D19">
        <f t="shared" ref="D19:D22" si="6">B19+$B$28</f>
        <v>0.4</v>
      </c>
      <c r="E19">
        <v>0.45</v>
      </c>
      <c r="H19">
        <v>0.45</v>
      </c>
      <c r="K19">
        <v>0.6</v>
      </c>
    </row>
    <row r="20" spans="1:11" x14ac:dyDescent="0.35">
      <c r="A20" t="s">
        <v>44</v>
      </c>
      <c r="B20">
        <v>0.4</v>
      </c>
      <c r="C20">
        <f t="shared" si="5"/>
        <v>0.4</v>
      </c>
      <c r="D20">
        <f t="shared" si="6"/>
        <v>0.5</v>
      </c>
      <c r="E20">
        <v>0.6</v>
      </c>
      <c r="H20">
        <v>0.5</v>
      </c>
      <c r="K20">
        <v>0.6</v>
      </c>
    </row>
    <row r="21" spans="1:11" x14ac:dyDescent="0.35">
      <c r="A21" t="s">
        <v>45</v>
      </c>
      <c r="B21">
        <v>0.4</v>
      </c>
      <c r="C21">
        <f t="shared" si="5"/>
        <v>0.4</v>
      </c>
      <c r="D21">
        <f t="shared" si="6"/>
        <v>0.5</v>
      </c>
      <c r="E21">
        <v>0.55000000000000004</v>
      </c>
      <c r="H21">
        <v>0.9</v>
      </c>
      <c r="K21">
        <v>0.65</v>
      </c>
    </row>
    <row r="22" spans="1:11" x14ac:dyDescent="0.35">
      <c r="A22" t="s">
        <v>46</v>
      </c>
      <c r="B22" s="16">
        <v>0.2</v>
      </c>
      <c r="C22">
        <f t="shared" si="5"/>
        <v>0.2</v>
      </c>
      <c r="D22">
        <f t="shared" si="6"/>
        <v>0.30000000000000004</v>
      </c>
      <c r="E22" s="16">
        <v>0.4</v>
      </c>
      <c r="H22" s="16">
        <v>0.6</v>
      </c>
      <c r="K22" s="16">
        <v>0.7</v>
      </c>
    </row>
    <row r="24" spans="1:11" x14ac:dyDescent="0.35">
      <c r="A24" t="s">
        <v>26</v>
      </c>
      <c r="C24">
        <f>C18+C19+C20-C21-C22</f>
        <v>0.90000000000000013</v>
      </c>
      <c r="D24">
        <f>D18+D19+D20-D21-D22</f>
        <v>1.0999999999999999</v>
      </c>
    </row>
    <row r="25" spans="1:11" x14ac:dyDescent="0.35">
      <c r="A25" t="s">
        <v>51</v>
      </c>
    </row>
    <row r="28" spans="1:11" x14ac:dyDescent="0.35">
      <c r="A28" t="s">
        <v>52</v>
      </c>
      <c r="B28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Average scores per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 Zandbergen</dc:creator>
  <cp:lastModifiedBy>Britt Zandbergen</cp:lastModifiedBy>
  <dcterms:created xsi:type="dcterms:W3CDTF">2022-02-03T15:41:59Z</dcterms:created>
  <dcterms:modified xsi:type="dcterms:W3CDTF">2022-06-24T12:33:52Z</dcterms:modified>
</cp:coreProperties>
</file>