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i/Documents/UCSD/Junior Year/Winter/MAE 119/MAE 119 Code/HW 4/"/>
    </mc:Choice>
  </mc:AlternateContent>
  <bookViews>
    <workbookView xWindow="0" yWindow="0" windowWidth="28800" windowHeight="18000"/>
  </bookViews>
  <sheets>
    <sheet name="Reference values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1" i="1"/>
  <c r="B120" i="1"/>
  <c r="B119" i="1"/>
  <c r="B117" i="1"/>
  <c r="B6" i="1"/>
  <c r="B68" i="1"/>
  <c r="F68" i="1"/>
  <c r="G68" i="1"/>
  <c r="B22" i="1"/>
  <c r="D69" i="1"/>
  <c r="B17" i="1"/>
  <c r="E69" i="1"/>
  <c r="F69" i="1"/>
  <c r="G69" i="1"/>
  <c r="D40" i="1"/>
  <c r="A40" i="1"/>
  <c r="A41" i="1"/>
  <c r="D41" i="1"/>
  <c r="D70" i="1"/>
  <c r="E40" i="1"/>
  <c r="E41" i="1"/>
  <c r="E70" i="1"/>
  <c r="F70" i="1"/>
  <c r="G70" i="1"/>
  <c r="A42" i="1"/>
  <c r="D42" i="1"/>
  <c r="D71" i="1"/>
  <c r="E42" i="1"/>
  <c r="E71" i="1"/>
  <c r="F71" i="1"/>
  <c r="G71" i="1"/>
  <c r="A43" i="1"/>
  <c r="D43" i="1"/>
  <c r="D72" i="1"/>
  <c r="E43" i="1"/>
  <c r="E72" i="1"/>
  <c r="F72" i="1"/>
  <c r="G72" i="1"/>
  <c r="A44" i="1"/>
  <c r="D44" i="1"/>
  <c r="D73" i="1"/>
  <c r="E44" i="1"/>
  <c r="E73" i="1"/>
  <c r="F73" i="1"/>
  <c r="G73" i="1"/>
  <c r="A45" i="1"/>
  <c r="D45" i="1"/>
  <c r="D74" i="1"/>
  <c r="E45" i="1"/>
  <c r="E74" i="1"/>
  <c r="F74" i="1"/>
  <c r="G74" i="1"/>
  <c r="A46" i="1"/>
  <c r="D46" i="1"/>
  <c r="D75" i="1"/>
  <c r="E46" i="1"/>
  <c r="E75" i="1"/>
  <c r="F75" i="1"/>
  <c r="G75" i="1"/>
  <c r="A47" i="1"/>
  <c r="D47" i="1"/>
  <c r="D76" i="1"/>
  <c r="E47" i="1"/>
  <c r="E76" i="1"/>
  <c r="F76" i="1"/>
  <c r="G76" i="1"/>
  <c r="A48" i="1"/>
  <c r="D48" i="1"/>
  <c r="D77" i="1"/>
  <c r="E48" i="1"/>
  <c r="E77" i="1"/>
  <c r="F77" i="1"/>
  <c r="G77" i="1"/>
  <c r="A49" i="1"/>
  <c r="D49" i="1"/>
  <c r="D78" i="1"/>
  <c r="E49" i="1"/>
  <c r="E78" i="1"/>
  <c r="F78" i="1"/>
  <c r="G78" i="1"/>
  <c r="A50" i="1"/>
  <c r="D50" i="1"/>
  <c r="D79" i="1"/>
  <c r="E50" i="1"/>
  <c r="E79" i="1"/>
  <c r="F79" i="1"/>
  <c r="G79" i="1"/>
  <c r="A51" i="1"/>
  <c r="D51" i="1"/>
  <c r="D80" i="1"/>
  <c r="E51" i="1"/>
  <c r="E80" i="1"/>
  <c r="F80" i="1"/>
  <c r="G80" i="1"/>
  <c r="A52" i="1"/>
  <c r="D52" i="1"/>
  <c r="D81" i="1"/>
  <c r="E52" i="1"/>
  <c r="E81" i="1"/>
  <c r="F81" i="1"/>
  <c r="G81" i="1"/>
  <c r="A53" i="1"/>
  <c r="D53" i="1"/>
  <c r="D82" i="1"/>
  <c r="E53" i="1"/>
  <c r="E82" i="1"/>
  <c r="F82" i="1"/>
  <c r="G82" i="1"/>
  <c r="A54" i="1"/>
  <c r="D54" i="1"/>
  <c r="D83" i="1"/>
  <c r="E54" i="1"/>
  <c r="E83" i="1"/>
  <c r="F83" i="1"/>
  <c r="G83" i="1"/>
  <c r="A55" i="1"/>
  <c r="D55" i="1"/>
  <c r="D84" i="1"/>
  <c r="E55" i="1"/>
  <c r="E84" i="1"/>
  <c r="F84" i="1"/>
  <c r="G84" i="1"/>
  <c r="A56" i="1"/>
  <c r="D56" i="1"/>
  <c r="D85" i="1"/>
  <c r="E56" i="1"/>
  <c r="E85" i="1"/>
  <c r="F85" i="1"/>
  <c r="G85" i="1"/>
  <c r="A57" i="1"/>
  <c r="D57" i="1"/>
  <c r="D86" i="1"/>
  <c r="E57" i="1"/>
  <c r="E86" i="1"/>
  <c r="F86" i="1"/>
  <c r="G86" i="1"/>
  <c r="A58" i="1"/>
  <c r="D58" i="1"/>
  <c r="D87" i="1"/>
  <c r="E58" i="1"/>
  <c r="E87" i="1"/>
  <c r="F87" i="1"/>
  <c r="G87" i="1"/>
  <c r="A59" i="1"/>
  <c r="D59" i="1"/>
  <c r="D88" i="1"/>
  <c r="E59" i="1"/>
  <c r="E88" i="1"/>
  <c r="F88" i="1"/>
  <c r="G88" i="1"/>
  <c r="G89" i="1"/>
  <c r="C97" i="1"/>
  <c r="B104" i="1"/>
  <c r="G97" i="1"/>
  <c r="G6" i="1"/>
  <c r="G7" i="1"/>
  <c r="G12" i="1"/>
  <c r="J39" i="1"/>
  <c r="I7" i="1"/>
  <c r="I11" i="1"/>
  <c r="K39" i="1"/>
  <c r="O39" i="1"/>
  <c r="P39" i="1"/>
  <c r="Q39" i="1"/>
  <c r="G13" i="1"/>
  <c r="G14" i="1"/>
  <c r="L40" i="1"/>
  <c r="I12" i="1"/>
  <c r="I13" i="1"/>
  <c r="M40" i="1"/>
  <c r="G18" i="1"/>
  <c r="N40" i="1"/>
  <c r="P40" i="1"/>
  <c r="I40" i="1"/>
  <c r="Q40" i="1"/>
  <c r="L41" i="1"/>
  <c r="M41" i="1"/>
  <c r="I41" i="1"/>
  <c r="N41" i="1"/>
  <c r="P41" i="1"/>
  <c r="Q41" i="1"/>
  <c r="L42" i="1"/>
  <c r="M42" i="1"/>
  <c r="I42" i="1"/>
  <c r="N42" i="1"/>
  <c r="P42" i="1"/>
  <c r="Q42" i="1"/>
  <c r="L43" i="1"/>
  <c r="M43" i="1"/>
  <c r="I43" i="1"/>
  <c r="N43" i="1"/>
  <c r="P43" i="1"/>
  <c r="Q43" i="1"/>
  <c r="L44" i="1"/>
  <c r="M44" i="1"/>
  <c r="I44" i="1"/>
  <c r="N44" i="1"/>
  <c r="P44" i="1"/>
  <c r="Q44" i="1"/>
  <c r="L45" i="1"/>
  <c r="M45" i="1"/>
  <c r="I45" i="1"/>
  <c r="N45" i="1"/>
  <c r="P45" i="1"/>
  <c r="Q45" i="1"/>
  <c r="L46" i="1"/>
  <c r="M46" i="1"/>
  <c r="I46" i="1"/>
  <c r="N46" i="1"/>
  <c r="P46" i="1"/>
  <c r="Q46" i="1"/>
  <c r="L47" i="1"/>
  <c r="M47" i="1"/>
  <c r="I47" i="1"/>
  <c r="N47" i="1"/>
  <c r="P47" i="1"/>
  <c r="Q47" i="1"/>
  <c r="L48" i="1"/>
  <c r="M48" i="1"/>
  <c r="I48" i="1"/>
  <c r="N48" i="1"/>
  <c r="P48" i="1"/>
  <c r="Q48" i="1"/>
  <c r="K49" i="1"/>
  <c r="L49" i="1"/>
  <c r="M49" i="1"/>
  <c r="I49" i="1"/>
  <c r="N49" i="1"/>
  <c r="P49" i="1"/>
  <c r="Q49" i="1"/>
  <c r="L50" i="1"/>
  <c r="M50" i="1"/>
  <c r="I50" i="1"/>
  <c r="N50" i="1"/>
  <c r="P50" i="1"/>
  <c r="Q50" i="1"/>
  <c r="L51" i="1"/>
  <c r="M51" i="1"/>
  <c r="I51" i="1"/>
  <c r="N51" i="1"/>
  <c r="P51" i="1"/>
  <c r="Q51" i="1"/>
  <c r="L52" i="1"/>
  <c r="M52" i="1"/>
  <c r="I52" i="1"/>
  <c r="N52" i="1"/>
  <c r="P52" i="1"/>
  <c r="Q52" i="1"/>
  <c r="L53" i="1"/>
  <c r="M53" i="1"/>
  <c r="I53" i="1"/>
  <c r="N53" i="1"/>
  <c r="P53" i="1"/>
  <c r="Q53" i="1"/>
  <c r="L54" i="1"/>
  <c r="M54" i="1"/>
  <c r="I54" i="1"/>
  <c r="N54" i="1"/>
  <c r="P54" i="1"/>
  <c r="Q54" i="1"/>
  <c r="L55" i="1"/>
  <c r="M55" i="1"/>
  <c r="I55" i="1"/>
  <c r="N55" i="1"/>
  <c r="P55" i="1"/>
  <c r="Q55" i="1"/>
  <c r="L56" i="1"/>
  <c r="M56" i="1"/>
  <c r="I56" i="1"/>
  <c r="N56" i="1"/>
  <c r="P56" i="1"/>
  <c r="Q56" i="1"/>
  <c r="L57" i="1"/>
  <c r="M57" i="1"/>
  <c r="I57" i="1"/>
  <c r="N57" i="1"/>
  <c r="P57" i="1"/>
  <c r="Q57" i="1"/>
  <c r="L58" i="1"/>
  <c r="M58" i="1"/>
  <c r="I58" i="1"/>
  <c r="N58" i="1"/>
  <c r="P58" i="1"/>
  <c r="Q58" i="1"/>
  <c r="L59" i="1"/>
  <c r="M59" i="1"/>
  <c r="I59" i="1"/>
  <c r="N59" i="1"/>
  <c r="P59" i="1"/>
  <c r="Q59" i="1"/>
  <c r="Q60" i="1"/>
  <c r="C98" i="1"/>
  <c r="G98" i="1"/>
  <c r="J68" i="1"/>
  <c r="K68" i="1"/>
  <c r="O68" i="1"/>
  <c r="P68" i="1"/>
  <c r="Q68" i="1"/>
  <c r="N69" i="1"/>
  <c r="P69" i="1"/>
  <c r="I69" i="1"/>
  <c r="Q69" i="1"/>
  <c r="N70" i="1"/>
  <c r="P70" i="1"/>
  <c r="I70" i="1"/>
  <c r="Q70" i="1"/>
  <c r="N71" i="1"/>
  <c r="P71" i="1"/>
  <c r="I71" i="1"/>
  <c r="Q71" i="1"/>
  <c r="N72" i="1"/>
  <c r="P72" i="1"/>
  <c r="I72" i="1"/>
  <c r="Q72" i="1"/>
  <c r="N73" i="1"/>
  <c r="P73" i="1"/>
  <c r="I73" i="1"/>
  <c r="Q73" i="1"/>
  <c r="N74" i="1"/>
  <c r="P74" i="1"/>
  <c r="I74" i="1"/>
  <c r="Q74" i="1"/>
  <c r="N75" i="1"/>
  <c r="P75" i="1"/>
  <c r="I75" i="1"/>
  <c r="Q75" i="1"/>
  <c r="N76" i="1"/>
  <c r="P76" i="1"/>
  <c r="I76" i="1"/>
  <c r="Q76" i="1"/>
  <c r="N77" i="1"/>
  <c r="P77" i="1"/>
  <c r="I77" i="1"/>
  <c r="Q77" i="1"/>
  <c r="K78" i="1"/>
  <c r="N78" i="1"/>
  <c r="P78" i="1"/>
  <c r="I78" i="1"/>
  <c r="Q78" i="1"/>
  <c r="N79" i="1"/>
  <c r="P79" i="1"/>
  <c r="I79" i="1"/>
  <c r="Q79" i="1"/>
  <c r="N80" i="1"/>
  <c r="P80" i="1"/>
  <c r="I80" i="1"/>
  <c r="Q80" i="1"/>
  <c r="N81" i="1"/>
  <c r="P81" i="1"/>
  <c r="I81" i="1"/>
  <c r="Q81" i="1"/>
  <c r="N82" i="1"/>
  <c r="P82" i="1"/>
  <c r="I82" i="1"/>
  <c r="Q82" i="1"/>
  <c r="N83" i="1"/>
  <c r="P83" i="1"/>
  <c r="I83" i="1"/>
  <c r="Q83" i="1"/>
  <c r="N84" i="1"/>
  <c r="P84" i="1"/>
  <c r="I84" i="1"/>
  <c r="Q84" i="1"/>
  <c r="N85" i="1"/>
  <c r="P85" i="1"/>
  <c r="I85" i="1"/>
  <c r="Q85" i="1"/>
  <c r="N86" i="1"/>
  <c r="P86" i="1"/>
  <c r="I86" i="1"/>
  <c r="Q86" i="1"/>
  <c r="N87" i="1"/>
  <c r="P87" i="1"/>
  <c r="I87" i="1"/>
  <c r="Q87" i="1"/>
  <c r="N88" i="1"/>
  <c r="P88" i="1"/>
  <c r="I88" i="1"/>
  <c r="Q88" i="1"/>
  <c r="Q89" i="1"/>
  <c r="C99" i="1"/>
  <c r="G99" i="1"/>
  <c r="N6" i="1"/>
  <c r="N8" i="1"/>
  <c r="U39" i="1"/>
  <c r="M5" i="1"/>
  <c r="M6" i="1"/>
  <c r="M8" i="1"/>
  <c r="V39" i="1"/>
  <c r="M17" i="1"/>
  <c r="AB39" i="1"/>
  <c r="AC39" i="1"/>
  <c r="AD39" i="1"/>
  <c r="V40" i="1"/>
  <c r="N9" i="1"/>
  <c r="N10" i="1"/>
  <c r="W40" i="1"/>
  <c r="M9" i="1"/>
  <c r="M10" i="1"/>
  <c r="X40" i="1"/>
  <c r="M12" i="1"/>
  <c r="Y40" i="1"/>
  <c r="N12" i="1"/>
  <c r="Z40" i="1"/>
  <c r="N15" i="1"/>
  <c r="AA40" i="1"/>
  <c r="AC40" i="1"/>
  <c r="T40" i="1"/>
  <c r="AD40" i="1"/>
  <c r="V41" i="1"/>
  <c r="W41" i="1"/>
  <c r="X41" i="1"/>
  <c r="T41" i="1"/>
  <c r="Y41" i="1"/>
  <c r="Z41" i="1"/>
  <c r="AA41" i="1"/>
  <c r="AC41" i="1"/>
  <c r="AD41" i="1"/>
  <c r="V42" i="1"/>
  <c r="W42" i="1"/>
  <c r="X42" i="1"/>
  <c r="T42" i="1"/>
  <c r="Y42" i="1"/>
  <c r="Z42" i="1"/>
  <c r="AA42" i="1"/>
  <c r="AC42" i="1"/>
  <c r="AD42" i="1"/>
  <c r="V43" i="1"/>
  <c r="W43" i="1"/>
  <c r="X43" i="1"/>
  <c r="T43" i="1"/>
  <c r="Y43" i="1"/>
  <c r="Z43" i="1"/>
  <c r="AA43" i="1"/>
  <c r="AC43" i="1"/>
  <c r="AD43" i="1"/>
  <c r="V44" i="1"/>
  <c r="W44" i="1"/>
  <c r="X44" i="1"/>
  <c r="T44" i="1"/>
  <c r="Y44" i="1"/>
  <c r="Z44" i="1"/>
  <c r="AA44" i="1"/>
  <c r="AC44" i="1"/>
  <c r="AD44" i="1"/>
  <c r="V45" i="1"/>
  <c r="W45" i="1"/>
  <c r="X45" i="1"/>
  <c r="T45" i="1"/>
  <c r="Y45" i="1"/>
  <c r="Z45" i="1"/>
  <c r="AA45" i="1"/>
  <c r="AC45" i="1"/>
  <c r="AD45" i="1"/>
  <c r="V46" i="1"/>
  <c r="W46" i="1"/>
  <c r="X46" i="1"/>
  <c r="T46" i="1"/>
  <c r="Y46" i="1"/>
  <c r="Z46" i="1"/>
  <c r="AA46" i="1"/>
  <c r="AC46" i="1"/>
  <c r="AD46" i="1"/>
  <c r="V47" i="1"/>
  <c r="W47" i="1"/>
  <c r="X47" i="1"/>
  <c r="T47" i="1"/>
  <c r="Y47" i="1"/>
  <c r="Z47" i="1"/>
  <c r="AA47" i="1"/>
  <c r="AC47" i="1"/>
  <c r="AD47" i="1"/>
  <c r="V48" i="1"/>
  <c r="W48" i="1"/>
  <c r="X48" i="1"/>
  <c r="T48" i="1"/>
  <c r="Y48" i="1"/>
  <c r="Z48" i="1"/>
  <c r="AA48" i="1"/>
  <c r="AC48" i="1"/>
  <c r="AD48" i="1"/>
  <c r="V49" i="1"/>
  <c r="W49" i="1"/>
  <c r="X49" i="1"/>
  <c r="T49" i="1"/>
  <c r="Y49" i="1"/>
  <c r="Z49" i="1"/>
  <c r="AA49" i="1"/>
  <c r="AC49" i="1"/>
  <c r="AD49" i="1"/>
  <c r="V50" i="1"/>
  <c r="W50" i="1"/>
  <c r="X50" i="1"/>
  <c r="T50" i="1"/>
  <c r="Y50" i="1"/>
  <c r="Z50" i="1"/>
  <c r="AA50" i="1"/>
  <c r="AC50" i="1"/>
  <c r="AD50" i="1"/>
  <c r="V51" i="1"/>
  <c r="W51" i="1"/>
  <c r="X51" i="1"/>
  <c r="T51" i="1"/>
  <c r="Y51" i="1"/>
  <c r="Z51" i="1"/>
  <c r="AA51" i="1"/>
  <c r="AC51" i="1"/>
  <c r="AD51" i="1"/>
  <c r="V52" i="1"/>
  <c r="W52" i="1"/>
  <c r="X52" i="1"/>
  <c r="T52" i="1"/>
  <c r="Y52" i="1"/>
  <c r="Z52" i="1"/>
  <c r="AA52" i="1"/>
  <c r="AC52" i="1"/>
  <c r="AD52" i="1"/>
  <c r="V53" i="1"/>
  <c r="W53" i="1"/>
  <c r="X53" i="1"/>
  <c r="T53" i="1"/>
  <c r="Y53" i="1"/>
  <c r="Z53" i="1"/>
  <c r="AA53" i="1"/>
  <c r="AC53" i="1"/>
  <c r="AD53" i="1"/>
  <c r="V54" i="1"/>
  <c r="W54" i="1"/>
  <c r="X54" i="1"/>
  <c r="T54" i="1"/>
  <c r="Y54" i="1"/>
  <c r="Z54" i="1"/>
  <c r="AA54" i="1"/>
  <c r="AC54" i="1"/>
  <c r="AD54" i="1"/>
  <c r="V55" i="1"/>
  <c r="W55" i="1"/>
  <c r="X55" i="1"/>
  <c r="T55" i="1"/>
  <c r="Y55" i="1"/>
  <c r="Z55" i="1"/>
  <c r="AA55" i="1"/>
  <c r="AC55" i="1"/>
  <c r="AD55" i="1"/>
  <c r="V56" i="1"/>
  <c r="W56" i="1"/>
  <c r="X56" i="1"/>
  <c r="T56" i="1"/>
  <c r="Y56" i="1"/>
  <c r="Z56" i="1"/>
  <c r="AA56" i="1"/>
  <c r="AC56" i="1"/>
  <c r="AD56" i="1"/>
  <c r="V57" i="1"/>
  <c r="W57" i="1"/>
  <c r="X57" i="1"/>
  <c r="T57" i="1"/>
  <c r="Y57" i="1"/>
  <c r="Z57" i="1"/>
  <c r="AA57" i="1"/>
  <c r="AC57" i="1"/>
  <c r="AD57" i="1"/>
  <c r="V58" i="1"/>
  <c r="W58" i="1"/>
  <c r="X58" i="1"/>
  <c r="T58" i="1"/>
  <c r="Y58" i="1"/>
  <c r="Z58" i="1"/>
  <c r="AA58" i="1"/>
  <c r="AC58" i="1"/>
  <c r="AD58" i="1"/>
  <c r="V59" i="1"/>
  <c r="W59" i="1"/>
  <c r="X59" i="1"/>
  <c r="T59" i="1"/>
  <c r="Y59" i="1"/>
  <c r="Z59" i="1"/>
  <c r="AA59" i="1"/>
  <c r="AC59" i="1"/>
  <c r="AD59" i="1"/>
  <c r="AD60" i="1"/>
  <c r="C100" i="1"/>
  <c r="G100" i="1"/>
  <c r="U68" i="1"/>
  <c r="V68" i="1"/>
  <c r="AC68" i="1"/>
  <c r="AD68" i="1"/>
  <c r="Y69" i="1"/>
  <c r="Z69" i="1"/>
  <c r="AA69" i="1"/>
  <c r="AC69" i="1"/>
  <c r="T69" i="1"/>
  <c r="AD69" i="1"/>
  <c r="Y70" i="1"/>
  <c r="Z70" i="1"/>
  <c r="AA70" i="1"/>
  <c r="AC70" i="1"/>
  <c r="T70" i="1"/>
  <c r="AD70" i="1"/>
  <c r="Y71" i="1"/>
  <c r="Z71" i="1"/>
  <c r="AA71" i="1"/>
  <c r="AC71" i="1"/>
  <c r="T71" i="1"/>
  <c r="AD71" i="1"/>
  <c r="Y72" i="1"/>
  <c r="Z72" i="1"/>
  <c r="AA72" i="1"/>
  <c r="AC72" i="1"/>
  <c r="T72" i="1"/>
  <c r="AD72" i="1"/>
  <c r="Y73" i="1"/>
  <c r="Z73" i="1"/>
  <c r="AA73" i="1"/>
  <c r="AC73" i="1"/>
  <c r="T73" i="1"/>
  <c r="AD73" i="1"/>
  <c r="Y74" i="1"/>
  <c r="Z74" i="1"/>
  <c r="AA74" i="1"/>
  <c r="AC74" i="1"/>
  <c r="T74" i="1"/>
  <c r="AD74" i="1"/>
  <c r="Y75" i="1"/>
  <c r="Z75" i="1"/>
  <c r="AA75" i="1"/>
  <c r="AC75" i="1"/>
  <c r="T75" i="1"/>
  <c r="AD75" i="1"/>
  <c r="Y76" i="1"/>
  <c r="Z76" i="1"/>
  <c r="AA76" i="1"/>
  <c r="AC76" i="1"/>
  <c r="T76" i="1"/>
  <c r="AD76" i="1"/>
  <c r="Y77" i="1"/>
  <c r="Z77" i="1"/>
  <c r="AA77" i="1"/>
  <c r="AC77" i="1"/>
  <c r="T77" i="1"/>
  <c r="AD77" i="1"/>
  <c r="Y78" i="1"/>
  <c r="Z78" i="1"/>
  <c r="AA78" i="1"/>
  <c r="AC78" i="1"/>
  <c r="T78" i="1"/>
  <c r="AD78" i="1"/>
  <c r="Y79" i="1"/>
  <c r="Z79" i="1"/>
  <c r="AA79" i="1"/>
  <c r="AC79" i="1"/>
  <c r="T79" i="1"/>
  <c r="AD79" i="1"/>
  <c r="Y80" i="1"/>
  <c r="Z80" i="1"/>
  <c r="AA80" i="1"/>
  <c r="AC80" i="1"/>
  <c r="T80" i="1"/>
  <c r="AD80" i="1"/>
  <c r="Y81" i="1"/>
  <c r="Z81" i="1"/>
  <c r="AA81" i="1"/>
  <c r="AC81" i="1"/>
  <c r="T81" i="1"/>
  <c r="AD81" i="1"/>
  <c r="Y82" i="1"/>
  <c r="Z82" i="1"/>
  <c r="AA82" i="1"/>
  <c r="AC82" i="1"/>
  <c r="T82" i="1"/>
  <c r="AD82" i="1"/>
  <c r="Y83" i="1"/>
  <c r="Z83" i="1"/>
  <c r="AA83" i="1"/>
  <c r="AC83" i="1"/>
  <c r="T83" i="1"/>
  <c r="AD83" i="1"/>
  <c r="Y84" i="1"/>
  <c r="Z84" i="1"/>
  <c r="AA84" i="1"/>
  <c r="AC84" i="1"/>
  <c r="T84" i="1"/>
  <c r="AD84" i="1"/>
  <c r="Y85" i="1"/>
  <c r="Z85" i="1"/>
  <c r="AA85" i="1"/>
  <c r="AC85" i="1"/>
  <c r="T85" i="1"/>
  <c r="AD85" i="1"/>
  <c r="Y86" i="1"/>
  <c r="Z86" i="1"/>
  <c r="AA86" i="1"/>
  <c r="AC86" i="1"/>
  <c r="T86" i="1"/>
  <c r="AD86" i="1"/>
  <c r="Y87" i="1"/>
  <c r="Z87" i="1"/>
  <c r="AA87" i="1"/>
  <c r="AC87" i="1"/>
  <c r="T87" i="1"/>
  <c r="AD87" i="1"/>
  <c r="Y88" i="1"/>
  <c r="Z88" i="1"/>
  <c r="AA88" i="1"/>
  <c r="AC88" i="1"/>
  <c r="T88" i="1"/>
  <c r="AD88" i="1"/>
  <c r="AD89" i="1"/>
  <c r="C101" i="1"/>
  <c r="G101" i="1"/>
  <c r="B8" i="1"/>
  <c r="B39" i="1"/>
  <c r="F39" i="1"/>
  <c r="G39" i="1"/>
  <c r="B11" i="1"/>
  <c r="B13" i="1"/>
  <c r="C40" i="1"/>
  <c r="F40" i="1"/>
  <c r="G40" i="1"/>
  <c r="C41" i="1"/>
  <c r="F41" i="1"/>
  <c r="G41" i="1"/>
  <c r="C42" i="1"/>
  <c r="F42" i="1"/>
  <c r="G42" i="1"/>
  <c r="C43" i="1"/>
  <c r="F43" i="1"/>
  <c r="G43" i="1"/>
  <c r="C44" i="1"/>
  <c r="F44" i="1"/>
  <c r="G44" i="1"/>
  <c r="C45" i="1"/>
  <c r="F45" i="1"/>
  <c r="G45" i="1"/>
  <c r="C46" i="1"/>
  <c r="F46" i="1"/>
  <c r="G46" i="1"/>
  <c r="C47" i="1"/>
  <c r="F47" i="1"/>
  <c r="G47" i="1"/>
  <c r="C48" i="1"/>
  <c r="F48" i="1"/>
  <c r="G48" i="1"/>
  <c r="C49" i="1"/>
  <c r="F49" i="1"/>
  <c r="G49" i="1"/>
  <c r="C50" i="1"/>
  <c r="F50" i="1"/>
  <c r="G50" i="1"/>
  <c r="C51" i="1"/>
  <c r="F51" i="1"/>
  <c r="G51" i="1"/>
  <c r="C52" i="1"/>
  <c r="F52" i="1"/>
  <c r="G52" i="1"/>
  <c r="C53" i="1"/>
  <c r="F53" i="1"/>
  <c r="G53" i="1"/>
  <c r="C54" i="1"/>
  <c r="F54" i="1"/>
  <c r="G54" i="1"/>
  <c r="C55" i="1"/>
  <c r="F55" i="1"/>
  <c r="G55" i="1"/>
  <c r="C56" i="1"/>
  <c r="F56" i="1"/>
  <c r="G56" i="1"/>
  <c r="C57" i="1"/>
  <c r="F57" i="1"/>
  <c r="G57" i="1"/>
  <c r="C58" i="1"/>
  <c r="F58" i="1"/>
  <c r="G58" i="1"/>
  <c r="C59" i="1"/>
  <c r="F59" i="1"/>
  <c r="G59" i="1"/>
  <c r="G60" i="1"/>
  <c r="C96" i="1"/>
  <c r="G96" i="1"/>
  <c r="B105" i="1"/>
  <c r="B106" i="1"/>
  <c r="E101" i="1"/>
  <c r="E100" i="1"/>
  <c r="E99" i="1"/>
  <c r="E98" i="1"/>
  <c r="P89" i="1"/>
  <c r="P60" i="1"/>
  <c r="AC89" i="1"/>
  <c r="AB68" i="1"/>
  <c r="AC60" i="1"/>
  <c r="F89" i="1"/>
  <c r="F60" i="1"/>
</calcChain>
</file>

<file path=xl/sharedStrings.xml><?xml version="1.0" encoding="utf-8"?>
<sst xmlns="http://schemas.openxmlformats.org/spreadsheetml/2006/main" count="138" uniqueCount="95">
  <si>
    <t>Size of system (kW)</t>
  </si>
  <si>
    <t>Down payment</t>
  </si>
  <si>
    <t>Principal for loan</t>
  </si>
  <si>
    <t>Interest rate</t>
  </si>
  <si>
    <t>Solar</t>
  </si>
  <si>
    <t>Battery</t>
  </si>
  <si>
    <t>kWh for battery</t>
  </si>
  <si>
    <t>Total investment</t>
  </si>
  <si>
    <t>loan interest rate</t>
  </si>
  <si>
    <t>principal for loan</t>
  </si>
  <si>
    <t>yearly loan payment</t>
  </si>
  <si>
    <t>Tax incentive</t>
  </si>
  <si>
    <t>kWh needed for 20 days</t>
  </si>
  <si>
    <t>INVESTMENT</t>
  </si>
  <si>
    <t>LOAN</t>
  </si>
  <si>
    <t>FUEL</t>
  </si>
  <si>
    <t>O&amp;M</t>
  </si>
  <si>
    <t>TOTAL</t>
  </si>
  <si>
    <t>DISCOUNTED</t>
  </si>
  <si>
    <t>Year</t>
  </si>
  <si>
    <t>YEAR</t>
  </si>
  <si>
    <t>SOLAR INVEST</t>
  </si>
  <si>
    <t>BATTERY INVEST</t>
  </si>
  <si>
    <t>SOLAR LOAN</t>
  </si>
  <si>
    <t>BATTERY LOAN</t>
  </si>
  <si>
    <t>INCENTIVES</t>
  </si>
  <si>
    <t>SOLAR O&amp;M</t>
  </si>
  <si>
    <t>DIESEL INVEST</t>
  </si>
  <si>
    <t>DIESEL LOAN</t>
  </si>
  <si>
    <t>DIESEL O&amp;M</t>
  </si>
  <si>
    <t>DIESEL WITH LOAN</t>
  </si>
  <si>
    <t>DIESEL WITHOUT LOAN</t>
  </si>
  <si>
    <t>SOLAR + BATTERY WITH LOAN</t>
  </si>
  <si>
    <t>SOLAR + BATTERY WITHOUT LOAN</t>
  </si>
  <si>
    <t>CALCULATION REFERENCE VALUES</t>
  </si>
  <si>
    <t>Diesel Without Loan</t>
  </si>
  <si>
    <t>Cost [$/kW]</t>
  </si>
  <si>
    <t>Size of system [KW]</t>
  </si>
  <si>
    <t>Total cost [$]</t>
  </si>
  <si>
    <t>Consumption [gal/kWh]</t>
  </si>
  <si>
    <t>Inflation Rate</t>
  </si>
  <si>
    <t>Market Discount rate</t>
  </si>
  <si>
    <t>Fuel cost/gal [$/gallon]</t>
  </si>
  <si>
    <t>Power  for 20days [kW]</t>
  </si>
  <si>
    <t>DIESEL</t>
  </si>
  <si>
    <t xml:space="preserve">For All </t>
  </si>
  <si>
    <t>SOLAR + BATTERY</t>
  </si>
  <si>
    <t>SOLAR + DIESEL</t>
  </si>
  <si>
    <t>FOR LOAN</t>
  </si>
  <si>
    <t>Fixed rate Loan Formula</t>
  </si>
  <si>
    <t>O&amp;M cost [$/kW]</t>
  </si>
  <si>
    <t>Diesel</t>
  </si>
  <si>
    <t>Total Investment</t>
  </si>
  <si>
    <t>Investment cost/kW [$/kW]</t>
  </si>
  <si>
    <t>Investment cost/kWh [$/kW]</t>
  </si>
  <si>
    <t>Size of system [kW]</t>
  </si>
  <si>
    <t>Yearly loan payment [$]</t>
  </si>
  <si>
    <t>Principal for loan [$]</t>
  </si>
  <si>
    <t>Down payment [$]</t>
  </si>
  <si>
    <t>Fuel cost/yr for Y1 [$]</t>
  </si>
  <si>
    <t>O&amp;M cost/yr for Y1 [$]</t>
  </si>
  <si>
    <t>O&amp;M cost/kW [$/KW]</t>
  </si>
  <si>
    <t>O&amp;M Y1 cost [$]</t>
  </si>
  <si>
    <t>% Down payment</t>
  </si>
  <si>
    <t>total investment cost [$]</t>
  </si>
  <si>
    <t>SOLAR + DIESEL WITH LOAN</t>
  </si>
  <si>
    <t>SOLAR + DIESEL WITHOUT LOAN</t>
  </si>
  <si>
    <t>down payment [$]</t>
  </si>
  <si>
    <t>principal for loan [$]</t>
  </si>
  <si>
    <t>yearly loan payment [$]</t>
  </si>
  <si>
    <t>O&amp;M Y1 [$]</t>
  </si>
  <si>
    <t>fuel cost Y1 [$]</t>
  </si>
  <si>
    <t>incentives [$]</t>
  </si>
  <si>
    <t>REPORT</t>
  </si>
  <si>
    <t>LLC</t>
  </si>
  <si>
    <t xml:space="preserve">Microgrid </t>
  </si>
  <si>
    <t>Diesel With Loan</t>
  </si>
  <si>
    <t>Solar + Battery With Loan</t>
  </si>
  <si>
    <t>Solar + Battery Without Loan</t>
  </si>
  <si>
    <t>Solar + Diesel Without Loan</t>
  </si>
  <si>
    <t>Solar + Diesel With Loan</t>
  </si>
  <si>
    <t>LCS</t>
  </si>
  <si>
    <t>LCOE</t>
  </si>
  <si>
    <t>Solar + Battery</t>
  </si>
  <si>
    <t>Solar + Diesel</t>
  </si>
  <si>
    <t>Lifetime Energy [KWh]</t>
  </si>
  <si>
    <t xml:space="preserve">So Far, we haven't taken into account the fact that you can sell unused solar back to the grid. In other words, we are currently underreporting the value of solar energy. </t>
  </si>
  <si>
    <t xml:space="preserve">For Sellng Solar: </t>
  </si>
  <si>
    <t>kWh unused</t>
  </si>
  <si>
    <t>Total Gain from Selling [$]</t>
  </si>
  <si>
    <t>cost/kWh to sell [$/KWh]</t>
  </si>
  <si>
    <t>LLC from Selling (Without Loan)[$]</t>
  </si>
  <si>
    <t>LCS from Selling (With Loan)[$]</t>
  </si>
  <si>
    <t>LLC from Selling (With Loan)[$]</t>
  </si>
  <si>
    <t>LCS from Selling (Without Loan)[$]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</si>
</sst>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Roman"/>
    </font>
    <font>
      <b/>
      <sz val="14"/>
      <color theme="1"/>
      <name val="Times Roman"/>
    </font>
    <font>
      <sz val="13"/>
      <color theme="1"/>
      <name val="Times Roman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3"/>
      <color theme="1"/>
      <name val="Times Roman"/>
    </font>
    <font>
      <b/>
      <sz val="16"/>
      <color theme="0"/>
      <name val="Calibri"/>
      <family val="2"/>
      <scheme val="minor"/>
    </font>
    <font>
      <b/>
      <sz val="14"/>
      <color theme="1"/>
      <name val="TimeS"/>
      <family val="1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/>
    <xf numFmtId="164" fontId="0" fillId="0" borderId="0" xfId="0" applyNumberFormat="1"/>
    <xf numFmtId="0" fontId="5" fillId="0" borderId="1" xfId="0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164" fontId="0" fillId="5" borderId="1" xfId="1" applyNumberFormat="1" applyFont="1" applyFill="1" applyBorder="1"/>
    <xf numFmtId="164" fontId="0" fillId="5" borderId="0" xfId="1" applyNumberFormat="1" applyFont="1" applyFill="1"/>
    <xf numFmtId="164" fontId="0" fillId="5" borderId="0" xfId="0" applyNumberFormat="1" applyFill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5" fillId="0" borderId="1" xfId="0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  <xf numFmtId="0" fontId="0" fillId="6" borderId="0" xfId="0" applyFill="1" applyAlignment="1">
      <alignment horizontal="center" vertical="center"/>
    </xf>
    <xf numFmtId="0" fontId="4" fillId="0" borderId="0" xfId="0" applyFont="1"/>
    <xf numFmtId="0" fontId="1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2"/>
  <sheetViews>
    <sheetView tabSelected="1" topLeftCell="A92" zoomScale="119" workbookViewId="0">
      <selection activeCell="E118" sqref="E118"/>
    </sheetView>
  </sheetViews>
  <sheetFormatPr baseColWidth="10" defaultRowHeight="16"/>
  <cols>
    <col min="1" max="1" width="31.1640625" bestFit="1" customWidth="1"/>
    <col min="2" max="2" width="20.1640625" bestFit="1" customWidth="1"/>
    <col min="3" max="3" width="13.6640625" bestFit="1" customWidth="1"/>
    <col min="4" max="4" width="12.83203125" bestFit="1" customWidth="1"/>
    <col min="5" max="5" width="13.6640625" bestFit="1" customWidth="1"/>
    <col min="6" max="6" width="24.83203125" bestFit="1" customWidth="1"/>
    <col min="7" max="7" width="13.6640625" bestFit="1" customWidth="1"/>
    <col min="8" max="8" width="25.33203125" bestFit="1" customWidth="1"/>
    <col min="9" max="9" width="12.1640625" bestFit="1" customWidth="1"/>
    <col min="10" max="10" width="16.33203125" bestFit="1" customWidth="1"/>
    <col min="11" max="11" width="19.33203125" bestFit="1" customWidth="1"/>
    <col min="12" max="12" width="21.83203125" bestFit="1" customWidth="1"/>
    <col min="13" max="13" width="17.6640625" bestFit="1" customWidth="1"/>
    <col min="14" max="14" width="13.83203125" bestFit="1" customWidth="1"/>
    <col min="15" max="15" width="14.33203125" bestFit="1" customWidth="1"/>
    <col min="16" max="16" width="14.83203125" bestFit="1" customWidth="1"/>
    <col min="17" max="17" width="15.1640625" bestFit="1" customWidth="1"/>
    <col min="21" max="21" width="17.1640625" bestFit="1" customWidth="1"/>
    <col min="22" max="22" width="16.83203125" bestFit="1" customWidth="1"/>
    <col min="23" max="23" width="15.33203125" bestFit="1" customWidth="1"/>
    <col min="24" max="24" width="15" bestFit="1" customWidth="1"/>
    <col min="25" max="25" width="14.1640625" bestFit="1" customWidth="1"/>
    <col min="26" max="26" width="14.5" bestFit="1" customWidth="1"/>
    <col min="27" max="27" width="12.83203125" bestFit="1" customWidth="1"/>
    <col min="28" max="28" width="14.5" bestFit="1" customWidth="1"/>
    <col min="29" max="29" width="14.83203125" bestFit="1" customWidth="1"/>
    <col min="30" max="30" width="15.1640625" bestFit="1" customWidth="1"/>
  </cols>
  <sheetData>
    <row r="1" spans="1:14" ht="21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19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17">
      <c r="A3" s="23" t="s">
        <v>44</v>
      </c>
      <c r="B3" s="23"/>
      <c r="F3" s="23" t="s">
        <v>46</v>
      </c>
      <c r="G3" s="23"/>
      <c r="H3" s="23"/>
      <c r="I3" s="23"/>
      <c r="L3" s="23" t="s">
        <v>47</v>
      </c>
      <c r="M3" s="23"/>
      <c r="N3" s="23"/>
    </row>
    <row r="4" spans="1:14" ht="17">
      <c r="A4" s="8" t="s">
        <v>36</v>
      </c>
      <c r="B4" s="7">
        <v>550</v>
      </c>
      <c r="F4" s="21" t="s">
        <v>4</v>
      </c>
      <c r="G4" s="21"/>
      <c r="H4" s="21" t="s">
        <v>5</v>
      </c>
      <c r="I4" s="21"/>
      <c r="L4" s="7"/>
      <c r="M4" s="11" t="s">
        <v>4</v>
      </c>
      <c r="N4" s="11" t="s">
        <v>51</v>
      </c>
    </row>
    <row r="5" spans="1:14">
      <c r="A5" s="8" t="s">
        <v>37</v>
      </c>
      <c r="B5" s="7">
        <v>8600</v>
      </c>
      <c r="F5" s="8" t="s">
        <v>53</v>
      </c>
      <c r="G5" s="7">
        <v>1800</v>
      </c>
      <c r="H5" s="8" t="s">
        <v>54</v>
      </c>
      <c r="I5" s="7">
        <v>600</v>
      </c>
      <c r="L5" s="8" t="s">
        <v>0</v>
      </c>
      <c r="M5" s="7">
        <f>30*1000</f>
        <v>30000</v>
      </c>
      <c r="N5" s="7">
        <v>8100</v>
      </c>
    </row>
    <row r="6" spans="1:14">
      <c r="A6" s="8" t="s">
        <v>38</v>
      </c>
      <c r="B6" s="7">
        <f>B4*B5</f>
        <v>4730000</v>
      </c>
      <c r="F6" s="8" t="s">
        <v>55</v>
      </c>
      <c r="G6" s="7">
        <f>22*1000</f>
        <v>22000</v>
      </c>
      <c r="H6" s="8" t="s">
        <v>6</v>
      </c>
      <c r="I6" s="7">
        <v>49300</v>
      </c>
      <c r="L6" s="8" t="s">
        <v>64</v>
      </c>
      <c r="M6" s="7">
        <f>G5*M5</f>
        <v>54000000</v>
      </c>
      <c r="N6" s="7">
        <f>N5*B4</f>
        <v>4455000</v>
      </c>
    </row>
    <row r="7" spans="1:14">
      <c r="A7" s="8" t="s">
        <v>63</v>
      </c>
      <c r="B7" s="7">
        <v>0.1</v>
      </c>
      <c r="F7" s="8" t="s">
        <v>52</v>
      </c>
      <c r="G7" s="7">
        <f>G5*G6</f>
        <v>39600000</v>
      </c>
      <c r="H7" s="8" t="s">
        <v>7</v>
      </c>
      <c r="I7" s="7">
        <f>I5*I6</f>
        <v>29580000</v>
      </c>
      <c r="L7" s="7"/>
      <c r="M7" s="7"/>
      <c r="N7" s="7"/>
    </row>
    <row r="8" spans="1:14">
      <c r="A8" s="8" t="s">
        <v>58</v>
      </c>
      <c r="B8" s="7">
        <f>B6*B7</f>
        <v>473000</v>
      </c>
      <c r="F8" s="8" t="s">
        <v>63</v>
      </c>
      <c r="G8" s="7">
        <v>0.1</v>
      </c>
      <c r="L8" s="8" t="s">
        <v>67</v>
      </c>
      <c r="M8" s="7">
        <f>0.1*M6</f>
        <v>5400000</v>
      </c>
      <c r="N8" s="7">
        <f>N6*B7</f>
        <v>445500</v>
      </c>
    </row>
    <row r="9" spans="1:14">
      <c r="F9" s="7"/>
      <c r="G9" s="7"/>
      <c r="L9" s="8" t="s">
        <v>68</v>
      </c>
      <c r="M9" s="7">
        <f>M6-M8</f>
        <v>48600000</v>
      </c>
      <c r="N9" s="7">
        <f>N6-N8</f>
        <v>4009500</v>
      </c>
    </row>
    <row r="10" spans="1:14">
      <c r="A10" s="20" t="s">
        <v>48</v>
      </c>
      <c r="B10" s="20"/>
      <c r="F10" s="20" t="s">
        <v>48</v>
      </c>
      <c r="G10" s="20"/>
      <c r="H10" s="20"/>
      <c r="I10" s="20"/>
      <c r="L10" s="8" t="s">
        <v>69</v>
      </c>
      <c r="M10" s="7">
        <f>M9*G11/(1-(1+G11)^-20)</f>
        <v>3899789.7374675977</v>
      </c>
      <c r="N10" s="7">
        <f>N9*G11/(1-(1+G11)^-20)</f>
        <v>321732.6533410768</v>
      </c>
    </row>
    <row r="11" spans="1:14">
      <c r="A11" s="8" t="s">
        <v>2</v>
      </c>
      <c r="B11" s="7">
        <f>B6-B8</f>
        <v>4257000</v>
      </c>
      <c r="F11" s="8" t="s">
        <v>8</v>
      </c>
      <c r="G11" s="7">
        <v>0.05</v>
      </c>
      <c r="H11" s="8" t="s">
        <v>1</v>
      </c>
      <c r="I11" s="7">
        <f>I7*G8</f>
        <v>2958000</v>
      </c>
      <c r="L11" s="7"/>
      <c r="M11" s="7"/>
      <c r="N11" s="7"/>
    </row>
    <row r="12" spans="1:14">
      <c r="A12" s="8" t="s">
        <v>3</v>
      </c>
      <c r="B12" s="7">
        <v>0.05</v>
      </c>
      <c r="F12" s="8" t="s">
        <v>58</v>
      </c>
      <c r="G12" s="7">
        <f>G8*G7</f>
        <v>3960000</v>
      </c>
      <c r="H12" s="8" t="s">
        <v>9</v>
      </c>
      <c r="I12" s="7">
        <f>I7-I11</f>
        <v>26622000</v>
      </c>
      <c r="L12" s="8" t="s">
        <v>70</v>
      </c>
      <c r="M12" s="7">
        <f>M5*G17</f>
        <v>270000</v>
      </c>
      <c r="N12" s="7">
        <f>N5*B16</f>
        <v>97.2</v>
      </c>
    </row>
    <row r="13" spans="1:14">
      <c r="A13" s="8" t="s">
        <v>56</v>
      </c>
      <c r="B13" s="7">
        <f>B11*B12/(1-(1+B12)^-20)</f>
        <v>341592.69367077289</v>
      </c>
      <c r="C13" s="19" t="s">
        <v>49</v>
      </c>
      <c r="D13" s="19"/>
      <c r="F13" s="8" t="s">
        <v>57</v>
      </c>
      <c r="G13" s="7">
        <f>G7-G12</f>
        <v>35640000</v>
      </c>
      <c r="H13" s="8" t="s">
        <v>10</v>
      </c>
      <c r="I13" s="7">
        <f>I12*G11/(1-(1+G11)^-10)</f>
        <v>3447670.7947303876</v>
      </c>
      <c r="L13" s="7"/>
      <c r="M13" s="7"/>
      <c r="N13" s="7"/>
    </row>
    <row r="14" spans="1:14">
      <c r="F14" s="8" t="s">
        <v>56</v>
      </c>
      <c r="G14" s="7">
        <f>G13*G11/(1-(1+G11)^-20)</f>
        <v>2859845.8074762383</v>
      </c>
      <c r="L14" s="8" t="s">
        <v>12</v>
      </c>
      <c r="M14" s="7"/>
      <c r="N14" s="7">
        <v>1797900</v>
      </c>
    </row>
    <row r="15" spans="1:14">
      <c r="L15" s="8" t="s">
        <v>71</v>
      </c>
      <c r="M15" s="7"/>
      <c r="N15" s="7">
        <f>N14*B19*B20</f>
        <v>711968.4</v>
      </c>
    </row>
    <row r="16" spans="1:14">
      <c r="A16" s="8" t="s">
        <v>50</v>
      </c>
      <c r="B16" s="7">
        <v>1.2E-2</v>
      </c>
      <c r="L16" s="7"/>
      <c r="M16" s="7"/>
      <c r="N16" s="7"/>
    </row>
    <row r="17" spans="1:14">
      <c r="A17" s="8" t="s">
        <v>60</v>
      </c>
      <c r="B17" s="7">
        <f>B16*B5</f>
        <v>103.2</v>
      </c>
      <c r="F17" s="8" t="s">
        <v>61</v>
      </c>
      <c r="G17" s="7">
        <v>9</v>
      </c>
      <c r="L17" s="8" t="s">
        <v>72</v>
      </c>
      <c r="M17" s="7">
        <f>0.3*M6</f>
        <v>16200000</v>
      </c>
      <c r="N17" s="7"/>
    </row>
    <row r="18" spans="1:14">
      <c r="A18" s="7"/>
      <c r="B18" s="7"/>
      <c r="F18" s="8" t="s">
        <v>62</v>
      </c>
      <c r="G18" s="7">
        <f>G6*G17</f>
        <v>198000</v>
      </c>
    </row>
    <row r="19" spans="1:14">
      <c r="A19" s="8" t="s">
        <v>42</v>
      </c>
      <c r="B19" s="7">
        <v>3.96</v>
      </c>
    </row>
    <row r="20" spans="1:14">
      <c r="A20" s="8" t="s">
        <v>39</v>
      </c>
      <c r="B20" s="7">
        <v>0.1</v>
      </c>
      <c r="F20" s="8" t="s">
        <v>11</v>
      </c>
      <c r="G20" s="7">
        <v>0.3</v>
      </c>
    </row>
    <row r="21" spans="1:14">
      <c r="A21" s="8" t="s">
        <v>43</v>
      </c>
      <c r="B21" s="7">
        <v>3204000</v>
      </c>
    </row>
    <row r="22" spans="1:14">
      <c r="A22" s="8" t="s">
        <v>59</v>
      </c>
      <c r="B22" s="7">
        <f>B19*B20*B21</f>
        <v>1268784</v>
      </c>
    </row>
    <row r="31" spans="1:14">
      <c r="A31" s="3" t="s">
        <v>45</v>
      </c>
    </row>
    <row r="32" spans="1:14">
      <c r="A32" s="3" t="s">
        <v>40</v>
      </c>
      <c r="B32">
        <v>0.05</v>
      </c>
    </row>
    <row r="33" spans="1:30">
      <c r="A33" s="3" t="s">
        <v>41</v>
      </c>
      <c r="B33">
        <v>0.06</v>
      </c>
    </row>
    <row r="37" spans="1:30" ht="19">
      <c r="A37" s="18" t="s">
        <v>30</v>
      </c>
      <c r="B37" s="18"/>
      <c r="C37" s="18"/>
      <c r="D37" s="18"/>
      <c r="E37" s="18"/>
      <c r="I37" s="18" t="s">
        <v>32</v>
      </c>
      <c r="J37" s="18"/>
      <c r="K37" s="18"/>
      <c r="L37" s="18"/>
      <c r="M37" s="18"/>
      <c r="T37" s="18" t="s">
        <v>65</v>
      </c>
      <c r="U37" s="18"/>
      <c r="V37" s="18"/>
      <c r="W37" s="18"/>
      <c r="X37" s="18"/>
    </row>
    <row r="38" spans="1:30" ht="17">
      <c r="A38" s="7" t="s">
        <v>20</v>
      </c>
      <c r="B38" s="7" t="s">
        <v>13</v>
      </c>
      <c r="C38" s="7" t="s">
        <v>14</v>
      </c>
      <c r="D38" s="7" t="s">
        <v>15</v>
      </c>
      <c r="E38" s="7" t="s">
        <v>16</v>
      </c>
      <c r="F38" s="7" t="s">
        <v>17</v>
      </c>
      <c r="G38" s="7" t="s">
        <v>18</v>
      </c>
      <c r="I38" s="5" t="s">
        <v>19</v>
      </c>
      <c r="J38" s="5" t="s">
        <v>21</v>
      </c>
      <c r="K38" s="5" t="s">
        <v>22</v>
      </c>
      <c r="L38" s="5" t="s">
        <v>23</v>
      </c>
      <c r="M38" s="5" t="s">
        <v>24</v>
      </c>
      <c r="N38" s="5" t="s">
        <v>16</v>
      </c>
      <c r="O38" s="5" t="s">
        <v>25</v>
      </c>
      <c r="P38" s="5" t="s">
        <v>17</v>
      </c>
      <c r="Q38" s="5" t="s">
        <v>18</v>
      </c>
      <c r="T38" s="5" t="s">
        <v>19</v>
      </c>
      <c r="U38" s="5" t="s">
        <v>27</v>
      </c>
      <c r="V38" s="5" t="s">
        <v>21</v>
      </c>
      <c r="W38" s="5" t="s">
        <v>28</v>
      </c>
      <c r="X38" s="5" t="s">
        <v>23</v>
      </c>
      <c r="Y38" s="5" t="s">
        <v>26</v>
      </c>
      <c r="Z38" s="5" t="s">
        <v>29</v>
      </c>
      <c r="AA38" s="5" t="s">
        <v>15</v>
      </c>
      <c r="AB38" s="5" t="s">
        <v>25</v>
      </c>
      <c r="AC38" s="5" t="s">
        <v>17</v>
      </c>
      <c r="AD38" s="5" t="s">
        <v>18</v>
      </c>
    </row>
    <row r="39" spans="1:30">
      <c r="A39" s="7">
        <v>0</v>
      </c>
      <c r="B39" s="12">
        <f>B8</f>
        <v>473000</v>
      </c>
      <c r="C39" s="12">
        <v>0</v>
      </c>
      <c r="D39" s="12">
        <v>0</v>
      </c>
      <c r="E39" s="12">
        <v>0</v>
      </c>
      <c r="F39" s="12">
        <f>SUM(B39:E39)</f>
        <v>473000</v>
      </c>
      <c r="G39" s="13">
        <f>F39/((1+B$33)^A39)</f>
        <v>473000</v>
      </c>
      <c r="I39">
        <v>0</v>
      </c>
      <c r="J39" s="9">
        <f>G12</f>
        <v>3960000</v>
      </c>
      <c r="K39" s="9">
        <f>I11</f>
        <v>2958000</v>
      </c>
      <c r="L39" s="9">
        <v>0</v>
      </c>
      <c r="M39" s="9">
        <v>0</v>
      </c>
      <c r="N39" s="9">
        <v>0</v>
      </c>
      <c r="O39" s="9">
        <f>G7*G20*-1</f>
        <v>-11880000</v>
      </c>
      <c r="P39" s="9">
        <f>SUM(J39:O39)</f>
        <v>-4962000</v>
      </c>
      <c r="Q39" s="9">
        <f>P39/(1+B$33)^I39</f>
        <v>-4962000</v>
      </c>
      <c r="T39">
        <v>0</v>
      </c>
      <c r="U39" s="9">
        <f>N8</f>
        <v>445500</v>
      </c>
      <c r="V39" s="9">
        <f>M8</f>
        <v>5400000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f>-M17</f>
        <v>-16200000</v>
      </c>
      <c r="AC39" s="9">
        <f>SUM(U39:AB39)</f>
        <v>-10354500</v>
      </c>
      <c r="AD39" s="10">
        <f>AC39/(1+B$33)^T39</f>
        <v>-10354500</v>
      </c>
    </row>
    <row r="40" spans="1:30">
      <c r="A40" s="7">
        <f>A39+1</f>
        <v>1</v>
      </c>
      <c r="B40" s="12">
        <v>0</v>
      </c>
      <c r="C40" s="12">
        <f>B$13</f>
        <v>341592.69367077289</v>
      </c>
      <c r="D40" s="12">
        <f>B22</f>
        <v>1268784</v>
      </c>
      <c r="E40" s="12">
        <f>B17</f>
        <v>103.2</v>
      </c>
      <c r="F40" s="12">
        <f t="shared" ref="F40:F59" si="0">SUM(B40:E40)</f>
        <v>1610479.8936707729</v>
      </c>
      <c r="G40" s="13">
        <f>F40/((1+B$33)^A40)</f>
        <v>1519320.6544063895</v>
      </c>
      <c r="I40">
        <f>I39+1</f>
        <v>1</v>
      </c>
      <c r="J40" s="9">
        <v>0</v>
      </c>
      <c r="K40" s="9">
        <v>0</v>
      </c>
      <c r="L40" s="9">
        <f>G$14</f>
        <v>2859845.8074762383</v>
      </c>
      <c r="M40" s="9">
        <f>I$13</f>
        <v>3447670.7947303876</v>
      </c>
      <c r="N40" s="9">
        <f xml:space="preserve"> G18</f>
        <v>198000</v>
      </c>
      <c r="O40" s="9">
        <v>0</v>
      </c>
      <c r="P40" s="9">
        <f t="shared" ref="P40:P59" si="1">SUM(J40:O40)</f>
        <v>6505516.602206626</v>
      </c>
      <c r="Q40" s="9">
        <f t="shared" ref="Q40:Q59" si="2">P40/(1+B$33)^I40</f>
        <v>6137279.8134024767</v>
      </c>
      <c r="T40">
        <f>T39+1</f>
        <v>1</v>
      </c>
      <c r="U40" s="9">
        <v>0</v>
      </c>
      <c r="V40" s="9">
        <f>0</f>
        <v>0</v>
      </c>
      <c r="W40" s="9">
        <f>N$10</f>
        <v>321732.6533410768</v>
      </c>
      <c r="X40" s="9">
        <f>M$10</f>
        <v>3899789.7374675977</v>
      </c>
      <c r="Y40" s="9">
        <f>M12</f>
        <v>270000</v>
      </c>
      <c r="Z40" s="9">
        <f>N12</f>
        <v>97.2</v>
      </c>
      <c r="AA40" s="9">
        <f>N15</f>
        <v>711968.4</v>
      </c>
      <c r="AB40" s="9">
        <v>0</v>
      </c>
      <c r="AC40" s="9">
        <f t="shared" ref="AC40:AC59" si="3">SUM(U40:AB40)</f>
        <v>5203587.9908086751</v>
      </c>
      <c r="AD40" s="10">
        <f>AC40/(1+B$33)^T40</f>
        <v>4909045.2743478063</v>
      </c>
    </row>
    <row r="41" spans="1:30">
      <c r="A41" s="7">
        <f>A40+1</f>
        <v>2</v>
      </c>
      <c r="B41" s="12">
        <v>0</v>
      </c>
      <c r="C41" s="12">
        <f t="shared" ref="C41:C59" si="4">B$13</f>
        <v>341592.69367077289</v>
      </c>
      <c r="D41" s="12">
        <f>D$40*(1+B$32)^(A41-1)</f>
        <v>1332223.2</v>
      </c>
      <c r="E41" s="12">
        <f>E$40*(1+B$32)^(A41-1)</f>
        <v>108.36000000000001</v>
      </c>
      <c r="F41" s="12">
        <f t="shared" si="0"/>
        <v>1673924.253670773</v>
      </c>
      <c r="G41" s="13">
        <f t="shared" ref="G41:G59" si="5">F41/((1+B$33)^A41)</f>
        <v>1489786.6266204813</v>
      </c>
      <c r="I41">
        <f t="shared" ref="I41:I59" si="6">I40+1</f>
        <v>2</v>
      </c>
      <c r="J41" s="9">
        <v>0</v>
      </c>
      <c r="K41" s="9">
        <v>0</v>
      </c>
      <c r="L41" s="9">
        <f t="shared" ref="L41:L59" si="7">G$14</f>
        <v>2859845.8074762383</v>
      </c>
      <c r="M41" s="9">
        <f t="shared" ref="M41:M59" si="8">I$13</f>
        <v>3447670.7947303876</v>
      </c>
      <c r="N41" s="9">
        <f>N$40*(1+B$32)^(I41-1)</f>
        <v>207900</v>
      </c>
      <c r="O41" s="9">
        <v>0</v>
      </c>
      <c r="P41" s="9">
        <f t="shared" si="1"/>
        <v>6515416.602206626</v>
      </c>
      <c r="Q41" s="9">
        <f t="shared" si="2"/>
        <v>5798697.5811735718</v>
      </c>
      <c r="T41">
        <f t="shared" ref="T41:T59" si="9">T40+1</f>
        <v>2</v>
      </c>
      <c r="U41" s="9">
        <v>0</v>
      </c>
      <c r="V41" s="9">
        <f>0</f>
        <v>0</v>
      </c>
      <c r="W41" s="9">
        <f t="shared" ref="W41:W59" si="10">N$10</f>
        <v>321732.6533410768</v>
      </c>
      <c r="X41" s="9">
        <f t="shared" ref="X41:X59" si="11">M$10</f>
        <v>3899789.7374675977</v>
      </c>
      <c r="Y41" s="9">
        <f>Y$40*(1+B$32)^(T41-1)</f>
        <v>283500</v>
      </c>
      <c r="Z41" s="9">
        <f>Z$40*(1+B$32)^(T41-1)</f>
        <v>102.06</v>
      </c>
      <c r="AA41" s="9">
        <f>AA$40*(1+B$32)^(T41-1)</f>
        <v>747566.82000000007</v>
      </c>
      <c r="AB41" s="9">
        <v>0</v>
      </c>
      <c r="AC41" s="9">
        <f t="shared" si="3"/>
        <v>5252691.2708086744</v>
      </c>
      <c r="AD41" s="10">
        <f t="shared" ref="AD41:AD59" si="12">AC41/(1+B$33)^T41</f>
        <v>4674876.5315135932</v>
      </c>
    </row>
    <row r="42" spans="1:30">
      <c r="A42" s="7">
        <f t="shared" ref="A42:A59" si="13">A41+1</f>
        <v>3</v>
      </c>
      <c r="B42" s="12">
        <v>0</v>
      </c>
      <c r="C42" s="12">
        <f t="shared" si="4"/>
        <v>341592.69367077289</v>
      </c>
      <c r="D42" s="12">
        <f t="shared" ref="D42:D59" si="14">D$40*(1+B$32)^(A42-1)</f>
        <v>1398834.36</v>
      </c>
      <c r="E42" s="12">
        <f t="shared" ref="E42:E59" si="15">E$40*(1+B$32)^(A42-1)</f>
        <v>113.77800000000001</v>
      </c>
      <c r="F42" s="12">
        <f t="shared" si="0"/>
        <v>1740540.831670773</v>
      </c>
      <c r="G42" s="13">
        <f t="shared" si="5"/>
        <v>1461391.6451758605</v>
      </c>
      <c r="I42">
        <f t="shared" si="6"/>
        <v>3</v>
      </c>
      <c r="J42" s="9">
        <v>0</v>
      </c>
      <c r="K42" s="9">
        <v>0</v>
      </c>
      <c r="L42" s="9">
        <f t="shared" si="7"/>
        <v>2859845.8074762383</v>
      </c>
      <c r="M42" s="9">
        <f t="shared" si="8"/>
        <v>3447670.7947303876</v>
      </c>
      <c r="N42" s="9">
        <f t="shared" ref="N42:N59" si="16">N$40*(1+B$32)^(I42-1)</f>
        <v>218295</v>
      </c>
      <c r="O42" s="9">
        <v>0</v>
      </c>
      <c r="P42" s="9">
        <f t="shared" si="1"/>
        <v>6525811.602206626</v>
      </c>
      <c r="Q42" s="9">
        <f t="shared" si="2"/>
        <v>5479197.2586486032</v>
      </c>
      <c r="T42">
        <f t="shared" si="9"/>
        <v>3</v>
      </c>
      <c r="U42" s="9">
        <v>0</v>
      </c>
      <c r="V42" s="9">
        <f>0</f>
        <v>0</v>
      </c>
      <c r="W42" s="9">
        <f t="shared" si="10"/>
        <v>321732.6533410768</v>
      </c>
      <c r="X42" s="9">
        <f t="shared" si="11"/>
        <v>3899789.7374675977</v>
      </c>
      <c r="Y42" s="9">
        <f t="shared" ref="Y42:Y59" si="17">Y$40*(1+B$32)^(T42-1)</f>
        <v>297675</v>
      </c>
      <c r="Z42" s="9">
        <f t="shared" ref="Z42:Z59" si="18">Z$40*(1+B$32)^(T42-1)</f>
        <v>107.16300000000001</v>
      </c>
      <c r="AA42" s="9">
        <f t="shared" ref="AA42:AA59" si="19">AA$40*(1+B$32)^(T42-1)</f>
        <v>784945.16100000008</v>
      </c>
      <c r="AB42" s="9">
        <v>0</v>
      </c>
      <c r="AC42" s="9">
        <f t="shared" si="3"/>
        <v>5304249.7148086745</v>
      </c>
      <c r="AD42" s="10">
        <f t="shared" si="12"/>
        <v>4453550.3425719496</v>
      </c>
    </row>
    <row r="43" spans="1:30">
      <c r="A43" s="7">
        <f t="shared" si="13"/>
        <v>4</v>
      </c>
      <c r="B43" s="12">
        <v>0</v>
      </c>
      <c r="C43" s="12">
        <f t="shared" si="4"/>
        <v>341592.69367077289</v>
      </c>
      <c r="D43" s="12">
        <f t="shared" si="14"/>
        <v>1468776.0780000002</v>
      </c>
      <c r="E43" s="12">
        <f t="shared" si="15"/>
        <v>119.46690000000001</v>
      </c>
      <c r="F43" s="12">
        <f t="shared" si="0"/>
        <v>1810488.2385707733</v>
      </c>
      <c r="G43" s="13">
        <f t="shared" si="5"/>
        <v>1434076.2611388748</v>
      </c>
      <c r="I43">
        <f t="shared" si="6"/>
        <v>4</v>
      </c>
      <c r="J43" s="9">
        <v>0</v>
      </c>
      <c r="K43" s="9">
        <v>0</v>
      </c>
      <c r="L43" s="9">
        <f t="shared" si="7"/>
        <v>2859845.8074762383</v>
      </c>
      <c r="M43" s="9">
        <f t="shared" si="8"/>
        <v>3447670.7947303876</v>
      </c>
      <c r="N43" s="9">
        <f t="shared" si="16"/>
        <v>229209.75000000003</v>
      </c>
      <c r="O43" s="9">
        <v>0</v>
      </c>
      <c r="P43" s="9">
        <f t="shared" si="1"/>
        <v>6536726.352206626</v>
      </c>
      <c r="Q43" s="9">
        <f t="shared" si="2"/>
        <v>5177699.5219038483</v>
      </c>
      <c r="T43">
        <f t="shared" si="9"/>
        <v>4</v>
      </c>
      <c r="U43" s="9">
        <v>0</v>
      </c>
      <c r="V43" s="9">
        <f>0</f>
        <v>0</v>
      </c>
      <c r="W43" s="9">
        <f t="shared" si="10"/>
        <v>321732.6533410768</v>
      </c>
      <c r="X43" s="9">
        <f t="shared" si="11"/>
        <v>3899789.7374675977</v>
      </c>
      <c r="Y43" s="9">
        <f t="shared" si="17"/>
        <v>312558.75000000006</v>
      </c>
      <c r="Z43" s="9">
        <f t="shared" si="18"/>
        <v>112.52115000000002</v>
      </c>
      <c r="AA43" s="9">
        <f t="shared" si="19"/>
        <v>824192.41905000014</v>
      </c>
      <c r="AB43" s="9">
        <v>0</v>
      </c>
      <c r="AC43" s="9">
        <f t="shared" si="3"/>
        <v>5358386.0810086746</v>
      </c>
      <c r="AD43" s="10">
        <f t="shared" si="12"/>
        <v>4244343.6599497814</v>
      </c>
    </row>
    <row r="44" spans="1:30">
      <c r="A44" s="7">
        <f t="shared" si="13"/>
        <v>5</v>
      </c>
      <c r="B44" s="12">
        <v>0</v>
      </c>
      <c r="C44" s="12">
        <f t="shared" si="4"/>
        <v>341592.69367077289</v>
      </c>
      <c r="D44" s="12">
        <f t="shared" si="14"/>
        <v>1542214.8818999999</v>
      </c>
      <c r="E44" s="12">
        <f t="shared" si="15"/>
        <v>125.440245</v>
      </c>
      <c r="F44" s="12">
        <f t="shared" si="0"/>
        <v>1883933.0158157728</v>
      </c>
      <c r="G44" s="13">
        <f t="shared" si="5"/>
        <v>1407784.3432005346</v>
      </c>
      <c r="I44">
        <f t="shared" si="6"/>
        <v>5</v>
      </c>
      <c r="J44" s="9">
        <v>0</v>
      </c>
      <c r="K44" s="9">
        <v>0</v>
      </c>
      <c r="L44" s="9">
        <f t="shared" si="7"/>
        <v>2859845.8074762383</v>
      </c>
      <c r="M44" s="9">
        <f t="shared" si="8"/>
        <v>3447670.7947303876</v>
      </c>
      <c r="N44" s="9">
        <f t="shared" si="16"/>
        <v>240670.23749999999</v>
      </c>
      <c r="O44" s="9">
        <v>0</v>
      </c>
      <c r="P44" s="9">
        <f t="shared" si="1"/>
        <v>6548186.8397066258</v>
      </c>
      <c r="Q44" s="9">
        <f t="shared" si="2"/>
        <v>4893186.1334247328</v>
      </c>
      <c r="T44">
        <f t="shared" si="9"/>
        <v>5</v>
      </c>
      <c r="U44" s="9">
        <v>0</v>
      </c>
      <c r="V44" s="9">
        <f>0</f>
        <v>0</v>
      </c>
      <c r="W44" s="9">
        <f t="shared" si="10"/>
        <v>321732.6533410768</v>
      </c>
      <c r="X44" s="9">
        <f t="shared" si="11"/>
        <v>3899789.7374675977</v>
      </c>
      <c r="Y44" s="9">
        <f t="shared" si="17"/>
        <v>328186.6875</v>
      </c>
      <c r="Z44" s="9">
        <f t="shared" si="18"/>
        <v>118.14720750000001</v>
      </c>
      <c r="AA44" s="9">
        <f t="shared" si="19"/>
        <v>865402.04000250006</v>
      </c>
      <c r="AB44" s="9">
        <v>0</v>
      </c>
      <c r="AC44" s="9">
        <f t="shared" si="3"/>
        <v>5415229.2655186746</v>
      </c>
      <c r="AD44" s="10">
        <f t="shared" si="12"/>
        <v>4046574.3266022839</v>
      </c>
    </row>
    <row r="45" spans="1:30">
      <c r="A45" s="7">
        <f t="shared" si="13"/>
        <v>6</v>
      </c>
      <c r="B45" s="12">
        <v>0</v>
      </c>
      <c r="C45" s="12">
        <f t="shared" si="4"/>
        <v>341592.69367077289</v>
      </c>
      <c r="D45" s="12">
        <f t="shared" si="14"/>
        <v>1619325.6259950001</v>
      </c>
      <c r="E45" s="12">
        <f t="shared" si="15"/>
        <v>131.71225725000002</v>
      </c>
      <c r="F45" s="12">
        <f t="shared" si="0"/>
        <v>1961050.0319230231</v>
      </c>
      <c r="G45" s="13">
        <f t="shared" si="5"/>
        <v>1382462.8903336988</v>
      </c>
      <c r="I45">
        <f t="shared" si="6"/>
        <v>6</v>
      </c>
      <c r="J45" s="9">
        <v>0</v>
      </c>
      <c r="K45" s="9">
        <v>0</v>
      </c>
      <c r="L45" s="9">
        <f t="shared" si="7"/>
        <v>2859845.8074762383</v>
      </c>
      <c r="M45" s="9">
        <f t="shared" si="8"/>
        <v>3447670.7947303876</v>
      </c>
      <c r="N45" s="9">
        <f t="shared" si="16"/>
        <v>252703.74937500001</v>
      </c>
      <c r="O45" s="9">
        <v>0</v>
      </c>
      <c r="P45" s="9">
        <f t="shared" si="1"/>
        <v>6560220.3515816256</v>
      </c>
      <c r="Q45" s="9">
        <f t="shared" si="2"/>
        <v>4624696.4844543459</v>
      </c>
      <c r="T45">
        <f t="shared" si="9"/>
        <v>6</v>
      </c>
      <c r="U45" s="9">
        <v>0</v>
      </c>
      <c r="V45" s="9">
        <f>0</f>
        <v>0</v>
      </c>
      <c r="W45" s="9">
        <f t="shared" si="10"/>
        <v>321732.6533410768</v>
      </c>
      <c r="X45" s="9">
        <f t="shared" si="11"/>
        <v>3899789.7374675977</v>
      </c>
      <c r="Y45" s="9">
        <f t="shared" si="17"/>
        <v>344596.02187500003</v>
      </c>
      <c r="Z45" s="9">
        <f t="shared" si="18"/>
        <v>124.05456787500002</v>
      </c>
      <c r="AA45" s="9">
        <f t="shared" si="19"/>
        <v>908672.14200262516</v>
      </c>
      <c r="AB45" s="9">
        <v>0</v>
      </c>
      <c r="AC45" s="9">
        <f t="shared" si="3"/>
        <v>5474914.6092541749</v>
      </c>
      <c r="AD45" s="10">
        <f t="shared" si="12"/>
        <v>3859598.7618009024</v>
      </c>
    </row>
    <row r="46" spans="1:30">
      <c r="A46" s="7">
        <f t="shared" si="13"/>
        <v>7</v>
      </c>
      <c r="B46" s="12">
        <v>0</v>
      </c>
      <c r="C46" s="12">
        <f t="shared" si="4"/>
        <v>341592.69367077289</v>
      </c>
      <c r="D46" s="12">
        <f t="shared" si="14"/>
        <v>1700291.90729475</v>
      </c>
      <c r="E46" s="12">
        <f t="shared" si="15"/>
        <v>138.29787011249999</v>
      </c>
      <c r="F46" s="12">
        <f t="shared" si="0"/>
        <v>2042022.8988356355</v>
      </c>
      <c r="G46" s="13">
        <f t="shared" si="5"/>
        <v>1358061.8550503433</v>
      </c>
      <c r="I46">
        <f t="shared" si="6"/>
        <v>7</v>
      </c>
      <c r="J46" s="9">
        <v>0</v>
      </c>
      <c r="K46" s="9">
        <v>0</v>
      </c>
      <c r="L46" s="9">
        <f t="shared" si="7"/>
        <v>2859845.8074762383</v>
      </c>
      <c r="M46" s="9">
        <f t="shared" si="8"/>
        <v>3447670.7947303876</v>
      </c>
      <c r="N46" s="9">
        <f t="shared" si="16"/>
        <v>265338.93684375001</v>
      </c>
      <c r="O46" s="9">
        <v>0</v>
      </c>
      <c r="P46" s="9">
        <f t="shared" si="1"/>
        <v>6572855.539050376</v>
      </c>
      <c r="Q46" s="9">
        <f t="shared" si="2"/>
        <v>4371324.3330574268</v>
      </c>
      <c r="T46">
        <f t="shared" si="9"/>
        <v>7</v>
      </c>
      <c r="U46" s="9">
        <v>0</v>
      </c>
      <c r="V46" s="9">
        <f>0</f>
        <v>0</v>
      </c>
      <c r="W46" s="9">
        <f t="shared" si="10"/>
        <v>321732.6533410768</v>
      </c>
      <c r="X46" s="9">
        <f t="shared" si="11"/>
        <v>3899789.7374675977</v>
      </c>
      <c r="Y46" s="9">
        <f t="shared" si="17"/>
        <v>361825.82296874997</v>
      </c>
      <c r="Z46" s="9">
        <f t="shared" si="18"/>
        <v>130.25729626875</v>
      </c>
      <c r="AA46" s="9">
        <f t="shared" si="19"/>
        <v>954105.74910275626</v>
      </c>
      <c r="AB46" s="9">
        <v>0</v>
      </c>
      <c r="AC46" s="9">
        <f t="shared" si="3"/>
        <v>5537584.22017645</v>
      </c>
      <c r="AD46" s="10">
        <f t="shared" si="12"/>
        <v>3682809.7779111443</v>
      </c>
    </row>
    <row r="47" spans="1:30">
      <c r="A47" s="7">
        <f t="shared" si="13"/>
        <v>8</v>
      </c>
      <c r="B47" s="12">
        <v>0</v>
      </c>
      <c r="C47" s="12">
        <f t="shared" si="4"/>
        <v>341592.69367077289</v>
      </c>
      <c r="D47" s="12">
        <f t="shared" si="14"/>
        <v>1785306.5026594878</v>
      </c>
      <c r="E47" s="12">
        <f t="shared" si="15"/>
        <v>145.21276361812502</v>
      </c>
      <c r="F47" s="12">
        <f t="shared" si="0"/>
        <v>2127044.4090938787</v>
      </c>
      <c r="G47" s="13">
        <f t="shared" si="5"/>
        <v>1334533.9766589645</v>
      </c>
      <c r="I47">
        <f t="shared" si="6"/>
        <v>8</v>
      </c>
      <c r="J47" s="9">
        <v>0</v>
      </c>
      <c r="K47" s="9">
        <v>0</v>
      </c>
      <c r="L47" s="9">
        <f t="shared" si="7"/>
        <v>2859845.8074762383</v>
      </c>
      <c r="M47" s="9">
        <f t="shared" si="8"/>
        <v>3447670.7947303876</v>
      </c>
      <c r="N47" s="9">
        <f t="shared" si="16"/>
        <v>278605.88368593756</v>
      </c>
      <c r="O47" s="9">
        <v>0</v>
      </c>
      <c r="P47" s="9">
        <f t="shared" si="1"/>
        <v>6586122.4858925631</v>
      </c>
      <c r="Q47" s="9">
        <f t="shared" si="2"/>
        <v>4132214.7268215781</v>
      </c>
      <c r="T47">
        <f t="shared" si="9"/>
        <v>8</v>
      </c>
      <c r="U47" s="9">
        <v>0</v>
      </c>
      <c r="V47" s="9">
        <f>0</f>
        <v>0</v>
      </c>
      <c r="W47" s="9">
        <f t="shared" si="10"/>
        <v>321732.6533410768</v>
      </c>
      <c r="X47" s="9">
        <f t="shared" si="11"/>
        <v>3899789.7374675977</v>
      </c>
      <c r="Y47" s="9">
        <f t="shared" si="17"/>
        <v>379917.11411718756</v>
      </c>
      <c r="Z47" s="9">
        <f t="shared" si="18"/>
        <v>136.77016108218751</v>
      </c>
      <c r="AA47" s="9">
        <f t="shared" si="19"/>
        <v>1001811.0365578943</v>
      </c>
      <c r="AB47" s="9">
        <v>0</v>
      </c>
      <c r="AC47" s="9">
        <f t="shared" si="3"/>
        <v>5603387.3116448382</v>
      </c>
      <c r="AD47" s="10">
        <f t="shared" si="12"/>
        <v>3515634.5207457901</v>
      </c>
    </row>
    <row r="48" spans="1:30">
      <c r="A48" s="7">
        <f t="shared" si="13"/>
        <v>9</v>
      </c>
      <c r="B48" s="12">
        <v>0</v>
      </c>
      <c r="C48" s="12">
        <f t="shared" si="4"/>
        <v>341592.69367077289</v>
      </c>
      <c r="D48" s="12">
        <f t="shared" si="14"/>
        <v>1874571.827792462</v>
      </c>
      <c r="E48" s="12">
        <f t="shared" si="15"/>
        <v>152.47340179903125</v>
      </c>
      <c r="F48" s="12">
        <f t="shared" si="0"/>
        <v>2216316.9948650338</v>
      </c>
      <c r="G48" s="13">
        <f t="shared" si="5"/>
        <v>1311834.6239560959</v>
      </c>
      <c r="I48">
        <f t="shared" si="6"/>
        <v>9</v>
      </c>
      <c r="J48" s="9">
        <v>0</v>
      </c>
      <c r="K48" s="9">
        <v>0</v>
      </c>
      <c r="L48" s="9">
        <f t="shared" si="7"/>
        <v>2859845.8074762383</v>
      </c>
      <c r="M48" s="9">
        <f t="shared" si="8"/>
        <v>3447670.7947303876</v>
      </c>
      <c r="N48" s="9">
        <f t="shared" si="16"/>
        <v>292536.17787023442</v>
      </c>
      <c r="O48" s="9">
        <v>0</v>
      </c>
      <c r="P48" s="9">
        <f t="shared" si="1"/>
        <v>6600052.7800768605</v>
      </c>
      <c r="Q48" s="9">
        <f t="shared" si="2"/>
        <v>3906561.0997445639</v>
      </c>
      <c r="T48">
        <f t="shared" si="9"/>
        <v>9</v>
      </c>
      <c r="U48" s="9">
        <v>0</v>
      </c>
      <c r="V48" s="9">
        <f>0</f>
        <v>0</v>
      </c>
      <c r="W48" s="9">
        <f t="shared" si="10"/>
        <v>321732.6533410768</v>
      </c>
      <c r="X48" s="9">
        <f t="shared" si="11"/>
        <v>3899789.7374675977</v>
      </c>
      <c r="Y48" s="9">
        <f t="shared" si="17"/>
        <v>398912.96982304688</v>
      </c>
      <c r="Z48" s="9">
        <f t="shared" si="18"/>
        <v>143.6086691362969</v>
      </c>
      <c r="AA48" s="9">
        <f t="shared" si="19"/>
        <v>1051901.588385789</v>
      </c>
      <c r="AB48" s="9">
        <v>0</v>
      </c>
      <c r="AC48" s="9">
        <f t="shared" si="3"/>
        <v>5672480.5576866465</v>
      </c>
      <c r="AD48" s="10">
        <f t="shared" si="12"/>
        <v>3357532.5264986656</v>
      </c>
    </row>
    <row r="49" spans="1:30">
      <c r="A49" s="7">
        <f t="shared" si="13"/>
        <v>10</v>
      </c>
      <c r="B49" s="12">
        <v>0</v>
      </c>
      <c r="C49" s="12">
        <f t="shared" si="4"/>
        <v>341592.69367077289</v>
      </c>
      <c r="D49" s="12">
        <f t="shared" si="14"/>
        <v>1968300.4191820852</v>
      </c>
      <c r="E49" s="12">
        <f t="shared" si="15"/>
        <v>160.09707188898284</v>
      </c>
      <c r="F49" s="12">
        <f t="shared" si="0"/>
        <v>2310053.2099247468</v>
      </c>
      <c r="G49" s="13">
        <f t="shared" si="5"/>
        <v>1289921.646817981</v>
      </c>
      <c r="I49">
        <f t="shared" si="6"/>
        <v>10</v>
      </c>
      <c r="J49" s="9">
        <v>0</v>
      </c>
      <c r="K49" s="9">
        <f>K39</f>
        <v>2958000</v>
      </c>
      <c r="L49" s="9">
        <f t="shared" si="7"/>
        <v>2859845.8074762383</v>
      </c>
      <c r="M49" s="9">
        <f t="shared" si="8"/>
        <v>3447670.7947303876</v>
      </c>
      <c r="N49" s="9">
        <f t="shared" si="16"/>
        <v>307162.98676374613</v>
      </c>
      <c r="O49" s="9">
        <v>0</v>
      </c>
      <c r="P49" s="9">
        <f t="shared" si="1"/>
        <v>9572679.5889703706</v>
      </c>
      <c r="Q49" s="9">
        <f t="shared" si="2"/>
        <v>5345334.2835630123</v>
      </c>
      <c r="T49">
        <f t="shared" si="9"/>
        <v>10</v>
      </c>
      <c r="U49" s="9">
        <v>0</v>
      </c>
      <c r="V49" s="9">
        <f>0</f>
        <v>0</v>
      </c>
      <c r="W49" s="9">
        <f t="shared" si="10"/>
        <v>321732.6533410768</v>
      </c>
      <c r="X49" s="9">
        <f t="shared" si="11"/>
        <v>3899789.7374675977</v>
      </c>
      <c r="Y49" s="9">
        <f t="shared" si="17"/>
        <v>418858.61831419927</v>
      </c>
      <c r="Z49" s="9">
        <f t="shared" si="18"/>
        <v>150.78910259311175</v>
      </c>
      <c r="AA49" s="9">
        <f t="shared" si="19"/>
        <v>1104496.6678050784</v>
      </c>
      <c r="AB49" s="9">
        <v>0</v>
      </c>
      <c r="AC49" s="9">
        <f t="shared" si="3"/>
        <v>5745028.4660305455</v>
      </c>
      <c r="AD49" s="10">
        <f t="shared" si="12"/>
        <v>3207993.8886601282</v>
      </c>
    </row>
    <row r="50" spans="1:30">
      <c r="A50" s="7">
        <f t="shared" si="13"/>
        <v>11</v>
      </c>
      <c r="B50" s="12">
        <v>0</v>
      </c>
      <c r="C50" s="12">
        <f t="shared" si="4"/>
        <v>341592.69367077289</v>
      </c>
      <c r="D50" s="12">
        <f t="shared" si="14"/>
        <v>2066715.4401411894</v>
      </c>
      <c r="E50" s="12">
        <f t="shared" si="15"/>
        <v>168.10192548343198</v>
      </c>
      <c r="F50" s="12">
        <f t="shared" si="0"/>
        <v>2408476.2357374458</v>
      </c>
      <c r="G50" s="13">
        <f t="shared" si="5"/>
        <v>1268755.2361886543</v>
      </c>
      <c r="I50">
        <f t="shared" si="6"/>
        <v>11</v>
      </c>
      <c r="J50" s="9">
        <v>0</v>
      </c>
      <c r="K50" s="9">
        <v>0</v>
      </c>
      <c r="L50" s="9">
        <f t="shared" si="7"/>
        <v>2859845.8074762383</v>
      </c>
      <c r="M50" s="9">
        <f t="shared" si="8"/>
        <v>3447670.7947303876</v>
      </c>
      <c r="N50" s="9">
        <f t="shared" si="16"/>
        <v>322521.13610193343</v>
      </c>
      <c r="O50" s="9">
        <v>0</v>
      </c>
      <c r="P50" s="9">
        <f t="shared" si="1"/>
        <v>6630037.7383085592</v>
      </c>
      <c r="Q50" s="9">
        <f t="shared" si="2"/>
        <v>3492621.1734166224</v>
      </c>
      <c r="T50">
        <f t="shared" si="9"/>
        <v>11</v>
      </c>
      <c r="U50" s="9">
        <v>0</v>
      </c>
      <c r="V50" s="9">
        <f>0</f>
        <v>0</v>
      </c>
      <c r="W50" s="9">
        <f t="shared" si="10"/>
        <v>321732.6533410768</v>
      </c>
      <c r="X50" s="9">
        <f t="shared" si="11"/>
        <v>3899789.7374675977</v>
      </c>
      <c r="Y50" s="9">
        <f t="shared" si="17"/>
        <v>439801.5492299092</v>
      </c>
      <c r="Z50" s="9">
        <f t="shared" si="18"/>
        <v>158.32855772276733</v>
      </c>
      <c r="AA50" s="9">
        <f t="shared" si="19"/>
        <v>1159721.5011953323</v>
      </c>
      <c r="AB50" s="9">
        <v>0</v>
      </c>
      <c r="AC50" s="9">
        <f t="shared" si="3"/>
        <v>5821203.7697916394</v>
      </c>
      <c r="AD50" s="10">
        <f t="shared" si="12"/>
        <v>3066537.5286889104</v>
      </c>
    </row>
    <row r="51" spans="1:30">
      <c r="A51" s="7">
        <f t="shared" si="13"/>
        <v>12</v>
      </c>
      <c r="B51" s="12">
        <v>0</v>
      </c>
      <c r="C51" s="12">
        <f t="shared" si="4"/>
        <v>341592.69367077289</v>
      </c>
      <c r="D51" s="12">
        <f t="shared" si="14"/>
        <v>2170051.2121482491</v>
      </c>
      <c r="E51" s="12">
        <f t="shared" si="15"/>
        <v>176.50702175760358</v>
      </c>
      <c r="F51" s="12">
        <f t="shared" si="0"/>
        <v>2511820.4128407799</v>
      </c>
      <c r="G51" s="13">
        <f t="shared" si="5"/>
        <v>1248297.791989201</v>
      </c>
      <c r="I51">
        <f t="shared" si="6"/>
        <v>12</v>
      </c>
      <c r="J51" s="9">
        <v>0</v>
      </c>
      <c r="K51" s="9">
        <v>0</v>
      </c>
      <c r="L51" s="9">
        <f t="shared" si="7"/>
        <v>2859845.8074762383</v>
      </c>
      <c r="M51" s="9">
        <f t="shared" si="8"/>
        <v>3447670.7947303876</v>
      </c>
      <c r="N51" s="9">
        <f t="shared" si="16"/>
        <v>338647.19290703011</v>
      </c>
      <c r="O51" s="9">
        <v>0</v>
      </c>
      <c r="P51" s="9">
        <f t="shared" si="1"/>
        <v>6646163.7951136557</v>
      </c>
      <c r="Q51" s="9">
        <f t="shared" si="2"/>
        <v>3302939.7914861357</v>
      </c>
      <c r="T51">
        <f t="shared" si="9"/>
        <v>12</v>
      </c>
      <c r="U51" s="9">
        <v>0</v>
      </c>
      <c r="V51" s="9">
        <f>0</f>
        <v>0</v>
      </c>
      <c r="W51" s="9">
        <f t="shared" si="10"/>
        <v>321732.6533410768</v>
      </c>
      <c r="X51" s="9">
        <f t="shared" si="11"/>
        <v>3899789.7374675977</v>
      </c>
      <c r="Y51" s="9">
        <f t="shared" si="17"/>
        <v>461791.62669140473</v>
      </c>
      <c r="Z51" s="9">
        <f t="shared" si="18"/>
        <v>166.24498560890569</v>
      </c>
      <c r="AA51" s="9">
        <f t="shared" si="19"/>
        <v>1217707.5762550989</v>
      </c>
      <c r="AB51" s="9">
        <v>0</v>
      </c>
      <c r="AC51" s="9">
        <f t="shared" si="3"/>
        <v>5901187.8387407875</v>
      </c>
      <c r="AD51" s="10">
        <f t="shared" si="12"/>
        <v>2932709.5645673443</v>
      </c>
    </row>
    <row r="52" spans="1:30">
      <c r="A52" s="7">
        <f t="shared" si="13"/>
        <v>13</v>
      </c>
      <c r="B52" s="12">
        <v>0</v>
      </c>
      <c r="C52" s="12">
        <f t="shared" si="4"/>
        <v>341592.69367077289</v>
      </c>
      <c r="D52" s="12">
        <f t="shared" si="14"/>
        <v>2278553.772755661</v>
      </c>
      <c r="E52" s="12">
        <f t="shared" si="15"/>
        <v>185.33237284548375</v>
      </c>
      <c r="F52" s="12">
        <f t="shared" si="0"/>
        <v>2620331.7987992796</v>
      </c>
      <c r="G52" s="13">
        <f t="shared" si="5"/>
        <v>1228513.7984998629</v>
      </c>
      <c r="I52">
        <f t="shared" si="6"/>
        <v>13</v>
      </c>
      <c r="J52" s="9">
        <v>0</v>
      </c>
      <c r="K52" s="9">
        <v>0</v>
      </c>
      <c r="L52" s="9">
        <f t="shared" si="7"/>
        <v>2859845.8074762383</v>
      </c>
      <c r="M52" s="9">
        <f t="shared" si="8"/>
        <v>3447670.7947303876</v>
      </c>
      <c r="N52" s="9">
        <f t="shared" si="16"/>
        <v>355579.55255238159</v>
      </c>
      <c r="O52" s="9">
        <v>0</v>
      </c>
      <c r="P52" s="9">
        <f t="shared" si="1"/>
        <v>6663096.1547590075</v>
      </c>
      <c r="Q52" s="9">
        <f t="shared" si="2"/>
        <v>3123919.4863046631</v>
      </c>
      <c r="T52">
        <f t="shared" si="9"/>
        <v>13</v>
      </c>
      <c r="U52" s="9">
        <v>0</v>
      </c>
      <c r="V52" s="9">
        <f>0</f>
        <v>0</v>
      </c>
      <c r="W52" s="9">
        <f t="shared" si="10"/>
        <v>321732.6533410768</v>
      </c>
      <c r="X52" s="9">
        <f t="shared" si="11"/>
        <v>3899789.7374675977</v>
      </c>
      <c r="Y52" s="9">
        <f t="shared" si="17"/>
        <v>484881.20802597486</v>
      </c>
      <c r="Z52" s="9">
        <f t="shared" si="18"/>
        <v>174.55723488935095</v>
      </c>
      <c r="AA52" s="9">
        <f t="shared" si="19"/>
        <v>1278592.9550678537</v>
      </c>
      <c r="AB52" s="9">
        <v>0</v>
      </c>
      <c r="AC52" s="9">
        <f t="shared" si="3"/>
        <v>5985171.111137392</v>
      </c>
      <c r="AD52" s="10">
        <f t="shared" si="12"/>
        <v>2806081.7716994323</v>
      </c>
    </row>
    <row r="53" spans="1:30">
      <c r="A53" s="7">
        <f t="shared" si="13"/>
        <v>14</v>
      </c>
      <c r="B53" s="12">
        <v>0</v>
      </c>
      <c r="C53" s="12">
        <f t="shared" si="4"/>
        <v>341592.69367077289</v>
      </c>
      <c r="D53" s="12">
        <f t="shared" si="14"/>
        <v>2392481.4613934448</v>
      </c>
      <c r="E53" s="12">
        <f t="shared" si="15"/>
        <v>194.59899148775796</v>
      </c>
      <c r="F53" s="12">
        <f t="shared" si="0"/>
        <v>2734268.7540557054</v>
      </c>
      <c r="G53" s="13">
        <f t="shared" si="5"/>
        <v>1209369.7067920452</v>
      </c>
      <c r="I53">
        <f t="shared" si="6"/>
        <v>14</v>
      </c>
      <c r="J53" s="9">
        <v>0</v>
      </c>
      <c r="K53" s="9">
        <v>0</v>
      </c>
      <c r="L53" s="9">
        <f t="shared" si="7"/>
        <v>2859845.8074762383</v>
      </c>
      <c r="M53" s="9">
        <f t="shared" si="8"/>
        <v>3447670.7947303876</v>
      </c>
      <c r="N53" s="9">
        <f t="shared" si="16"/>
        <v>373358.5301800007</v>
      </c>
      <c r="O53" s="9">
        <v>0</v>
      </c>
      <c r="P53" s="9">
        <f t="shared" si="1"/>
        <v>6680875.1323866267</v>
      </c>
      <c r="Q53" s="9">
        <f t="shared" si="2"/>
        <v>2954957.5139547801</v>
      </c>
      <c r="T53">
        <f t="shared" si="9"/>
        <v>14</v>
      </c>
      <c r="U53" s="9">
        <v>0</v>
      </c>
      <c r="V53" s="9">
        <f>0</f>
        <v>0</v>
      </c>
      <c r="W53" s="9">
        <f t="shared" si="10"/>
        <v>321732.6533410768</v>
      </c>
      <c r="X53" s="9">
        <f t="shared" si="11"/>
        <v>3899789.7374675977</v>
      </c>
      <c r="Y53" s="9">
        <f t="shared" si="17"/>
        <v>509125.26842727372</v>
      </c>
      <c r="Z53" s="9">
        <f t="shared" si="18"/>
        <v>183.28509663381854</v>
      </c>
      <c r="AA53" s="9">
        <f t="shared" si="19"/>
        <v>1342522.6028212467</v>
      </c>
      <c r="AB53" s="9">
        <v>0</v>
      </c>
      <c r="AC53" s="9">
        <f t="shared" si="3"/>
        <v>6073353.5471538296</v>
      </c>
      <c r="AD53" s="10">
        <f t="shared" si="12"/>
        <v>2686250.130924846</v>
      </c>
    </row>
    <row r="54" spans="1:30">
      <c r="A54" s="7">
        <f t="shared" si="13"/>
        <v>15</v>
      </c>
      <c r="B54" s="12">
        <v>0</v>
      </c>
      <c r="C54" s="12">
        <f t="shared" si="4"/>
        <v>341592.69367077289</v>
      </c>
      <c r="D54" s="12">
        <f t="shared" si="14"/>
        <v>2512105.5344631164</v>
      </c>
      <c r="E54" s="12">
        <f t="shared" si="15"/>
        <v>204.32894106214582</v>
      </c>
      <c r="F54" s="12">
        <f t="shared" si="0"/>
        <v>2853902.5570749515</v>
      </c>
      <c r="G54" s="13">
        <f t="shared" si="5"/>
        <v>1190833.8238111935</v>
      </c>
      <c r="I54">
        <f t="shared" si="6"/>
        <v>15</v>
      </c>
      <c r="J54" s="9">
        <v>0</v>
      </c>
      <c r="K54" s="9">
        <v>0</v>
      </c>
      <c r="L54" s="9">
        <f t="shared" si="7"/>
        <v>2859845.8074762383</v>
      </c>
      <c r="M54" s="9">
        <f t="shared" si="8"/>
        <v>3447670.7947303876</v>
      </c>
      <c r="N54" s="9">
        <f t="shared" si="16"/>
        <v>392026.45668900065</v>
      </c>
      <c r="O54" s="9">
        <v>0</v>
      </c>
      <c r="P54" s="9">
        <f t="shared" si="1"/>
        <v>6699543.058895627</v>
      </c>
      <c r="Q54" s="9">
        <f t="shared" si="2"/>
        <v>2795485.2413704516</v>
      </c>
      <c r="T54">
        <f t="shared" si="9"/>
        <v>15</v>
      </c>
      <c r="U54" s="9">
        <v>0</v>
      </c>
      <c r="V54" s="9">
        <f>0</f>
        <v>0</v>
      </c>
      <c r="W54" s="9">
        <f t="shared" si="10"/>
        <v>321732.6533410768</v>
      </c>
      <c r="X54" s="9">
        <f t="shared" si="11"/>
        <v>3899789.7374675977</v>
      </c>
      <c r="Y54" s="9">
        <f t="shared" si="17"/>
        <v>534581.53184863727</v>
      </c>
      <c r="Z54" s="9">
        <f t="shared" si="18"/>
        <v>192.44935146550944</v>
      </c>
      <c r="AA54" s="9">
        <f t="shared" si="19"/>
        <v>1409648.7329623087</v>
      </c>
      <c r="AB54" s="9">
        <v>0</v>
      </c>
      <c r="AC54" s="9">
        <f t="shared" si="3"/>
        <v>6165945.1049710857</v>
      </c>
      <c r="AD54" s="10">
        <f t="shared" si="12"/>
        <v>2572833.4587177676</v>
      </c>
    </row>
    <row r="55" spans="1:30">
      <c r="A55" s="7">
        <f t="shared" si="13"/>
        <v>16</v>
      </c>
      <c r="B55" s="12">
        <v>0</v>
      </c>
      <c r="C55" s="12">
        <f t="shared" si="4"/>
        <v>341592.69367077289</v>
      </c>
      <c r="D55" s="12">
        <f t="shared" si="14"/>
        <v>2637710.8111862731</v>
      </c>
      <c r="E55" s="12">
        <f t="shared" si="15"/>
        <v>214.54538811525316</v>
      </c>
      <c r="F55" s="12">
        <f t="shared" si="0"/>
        <v>2979518.0502451612</v>
      </c>
      <c r="G55" s="13">
        <f t="shared" si="5"/>
        <v>1172876.207734138</v>
      </c>
      <c r="I55">
        <f t="shared" si="6"/>
        <v>16</v>
      </c>
      <c r="J55" s="9">
        <v>0</v>
      </c>
      <c r="K55" s="9">
        <v>0</v>
      </c>
      <c r="L55" s="9">
        <f t="shared" si="7"/>
        <v>2859845.8074762383</v>
      </c>
      <c r="M55" s="9">
        <f t="shared" si="8"/>
        <v>3447670.7947303876</v>
      </c>
      <c r="N55" s="9">
        <f t="shared" si="16"/>
        <v>411627.77952345082</v>
      </c>
      <c r="O55" s="9">
        <v>0</v>
      </c>
      <c r="P55" s="9">
        <f t="shared" si="1"/>
        <v>6719144.3817300769</v>
      </c>
      <c r="Q55" s="9">
        <f t="shared" si="2"/>
        <v>2644966.2155976095</v>
      </c>
      <c r="T55">
        <f t="shared" si="9"/>
        <v>16</v>
      </c>
      <c r="U55" s="9">
        <v>0</v>
      </c>
      <c r="V55" s="9">
        <f>0</f>
        <v>0</v>
      </c>
      <c r="W55" s="9">
        <f t="shared" si="10"/>
        <v>321732.6533410768</v>
      </c>
      <c r="X55" s="9">
        <f t="shared" si="11"/>
        <v>3899789.7374675977</v>
      </c>
      <c r="Y55" s="9">
        <f t="shared" si="17"/>
        <v>561310.60844106937</v>
      </c>
      <c r="Z55" s="9">
        <f t="shared" si="18"/>
        <v>202.07181903878495</v>
      </c>
      <c r="AA55" s="9">
        <f t="shared" si="19"/>
        <v>1480131.1696104247</v>
      </c>
      <c r="AB55" s="9">
        <v>0</v>
      </c>
      <c r="AC55" s="9">
        <f t="shared" si="3"/>
        <v>6263166.2406792082</v>
      </c>
      <c r="AD55" s="10">
        <f t="shared" si="12"/>
        <v>2465472.1149186757</v>
      </c>
    </row>
    <row r="56" spans="1:30">
      <c r="A56" s="7">
        <f t="shared" si="13"/>
        <v>17</v>
      </c>
      <c r="B56" s="12">
        <v>0</v>
      </c>
      <c r="C56" s="12">
        <f t="shared" si="4"/>
        <v>341592.69367077289</v>
      </c>
      <c r="D56" s="12">
        <f t="shared" si="14"/>
        <v>2769596.3517455864</v>
      </c>
      <c r="E56" s="12">
        <f t="shared" si="15"/>
        <v>225.27265752101582</v>
      </c>
      <c r="F56" s="12">
        <f t="shared" si="0"/>
        <v>3111414.3180738804</v>
      </c>
      <c r="G56" s="13">
        <f t="shared" si="5"/>
        <v>1155468.5692457526</v>
      </c>
      <c r="I56">
        <f t="shared" si="6"/>
        <v>17</v>
      </c>
      <c r="J56" s="9">
        <v>0</v>
      </c>
      <c r="K56" s="9">
        <v>0</v>
      </c>
      <c r="L56" s="9">
        <f t="shared" si="7"/>
        <v>2859845.8074762383</v>
      </c>
      <c r="M56" s="9">
        <f t="shared" si="8"/>
        <v>3447670.7947303876</v>
      </c>
      <c r="N56" s="9">
        <f t="shared" si="16"/>
        <v>432209.16849962331</v>
      </c>
      <c r="O56" s="9">
        <v>0</v>
      </c>
      <c r="P56" s="9">
        <f t="shared" si="1"/>
        <v>6739725.7707062494</v>
      </c>
      <c r="Q56" s="9">
        <f t="shared" si="2"/>
        <v>2502894.3423412512</v>
      </c>
      <c r="T56">
        <f t="shared" si="9"/>
        <v>17</v>
      </c>
      <c r="U56" s="9">
        <v>0</v>
      </c>
      <c r="V56" s="9">
        <f>0</f>
        <v>0</v>
      </c>
      <c r="W56" s="9">
        <f t="shared" si="10"/>
        <v>321732.6533410768</v>
      </c>
      <c r="X56" s="9">
        <f t="shared" si="11"/>
        <v>3899789.7374675977</v>
      </c>
      <c r="Y56" s="9">
        <f t="shared" si="17"/>
        <v>589376.13886312279</v>
      </c>
      <c r="Z56" s="9">
        <f t="shared" si="18"/>
        <v>212.17540999072418</v>
      </c>
      <c r="AA56" s="9">
        <f t="shared" si="19"/>
        <v>1554137.7280909456</v>
      </c>
      <c r="AB56" s="9">
        <v>0</v>
      </c>
      <c r="AC56" s="9">
        <f t="shared" si="3"/>
        <v>6365248.4331727335</v>
      </c>
      <c r="AD56" s="10">
        <f t="shared" si="12"/>
        <v>2363826.7836103812</v>
      </c>
    </row>
    <row r="57" spans="1:30">
      <c r="A57" s="7">
        <f t="shared" si="13"/>
        <v>18</v>
      </c>
      <c r="B57" s="12">
        <v>0</v>
      </c>
      <c r="C57" s="12">
        <f t="shared" si="4"/>
        <v>341592.69367077289</v>
      </c>
      <c r="D57" s="12">
        <f t="shared" si="14"/>
        <v>2908076.1693328661</v>
      </c>
      <c r="E57" s="12">
        <f t="shared" si="15"/>
        <v>236.53629039706664</v>
      </c>
      <c r="F57" s="12">
        <f t="shared" si="0"/>
        <v>3249905.399294036</v>
      </c>
      <c r="G57" s="13">
        <f t="shared" si="5"/>
        <v>1138584.178399943</v>
      </c>
      <c r="I57">
        <f t="shared" si="6"/>
        <v>18</v>
      </c>
      <c r="J57" s="9">
        <v>0</v>
      </c>
      <c r="K57" s="9">
        <v>0</v>
      </c>
      <c r="L57" s="9">
        <f t="shared" si="7"/>
        <v>2859845.8074762383</v>
      </c>
      <c r="M57" s="9">
        <f t="shared" si="8"/>
        <v>3447670.7947303876</v>
      </c>
      <c r="N57" s="9">
        <f t="shared" si="16"/>
        <v>453819.62692460458</v>
      </c>
      <c r="O57" s="9">
        <v>0</v>
      </c>
      <c r="P57" s="9">
        <f t="shared" si="1"/>
        <v>6761336.2291312302</v>
      </c>
      <c r="Q57" s="9">
        <f t="shared" si="2"/>
        <v>2368792.1676130737</v>
      </c>
      <c r="T57">
        <f t="shared" si="9"/>
        <v>18</v>
      </c>
      <c r="U57" s="9">
        <v>0</v>
      </c>
      <c r="V57" s="9">
        <f>0</f>
        <v>0</v>
      </c>
      <c r="W57" s="9">
        <f t="shared" si="10"/>
        <v>321732.6533410768</v>
      </c>
      <c r="X57" s="9">
        <f t="shared" si="11"/>
        <v>3899789.7374675977</v>
      </c>
      <c r="Y57" s="9">
        <f t="shared" si="17"/>
        <v>618844.94580627896</v>
      </c>
      <c r="Z57" s="9">
        <f t="shared" si="18"/>
        <v>222.78418049026044</v>
      </c>
      <c r="AA57" s="9">
        <f t="shared" si="19"/>
        <v>1631844.6144954932</v>
      </c>
      <c r="AB57" s="9">
        <v>0</v>
      </c>
      <c r="AC57" s="9">
        <f t="shared" si="3"/>
        <v>6472434.7352909371</v>
      </c>
      <c r="AD57" s="10">
        <f t="shared" si="12"/>
        <v>2267577.3229981749</v>
      </c>
    </row>
    <row r="58" spans="1:30">
      <c r="A58" s="7">
        <f t="shared" si="13"/>
        <v>19</v>
      </c>
      <c r="B58" s="12">
        <v>0</v>
      </c>
      <c r="C58" s="12">
        <f t="shared" si="4"/>
        <v>341592.69367077289</v>
      </c>
      <c r="D58" s="12">
        <f t="shared" si="14"/>
        <v>3053479.9777995092</v>
      </c>
      <c r="E58" s="12">
        <f t="shared" si="15"/>
        <v>248.36310491691995</v>
      </c>
      <c r="F58" s="12">
        <f t="shared" si="0"/>
        <v>3395321.0345751992</v>
      </c>
      <c r="G58" s="13">
        <f t="shared" si="5"/>
        <v>1122197.7767488749</v>
      </c>
      <c r="I58">
        <f t="shared" si="6"/>
        <v>19</v>
      </c>
      <c r="J58" s="9">
        <v>0</v>
      </c>
      <c r="K58" s="9">
        <v>0</v>
      </c>
      <c r="L58" s="9">
        <f t="shared" si="7"/>
        <v>2859845.8074762383</v>
      </c>
      <c r="M58" s="9">
        <f t="shared" si="8"/>
        <v>3447670.7947303876</v>
      </c>
      <c r="N58" s="9">
        <f t="shared" si="16"/>
        <v>476510.60827083478</v>
      </c>
      <c r="O58" s="9">
        <v>0</v>
      </c>
      <c r="P58" s="9">
        <f t="shared" si="1"/>
        <v>6784027.2104774611</v>
      </c>
      <c r="Q58" s="9">
        <f t="shared" si="2"/>
        <v>2242209.2566437302</v>
      </c>
      <c r="T58">
        <f t="shared" si="9"/>
        <v>19</v>
      </c>
      <c r="U58" s="9">
        <v>0</v>
      </c>
      <c r="V58" s="9">
        <f>0</f>
        <v>0</v>
      </c>
      <c r="W58" s="9">
        <f t="shared" si="10"/>
        <v>321732.6533410768</v>
      </c>
      <c r="X58" s="9">
        <f t="shared" si="11"/>
        <v>3899789.7374675977</v>
      </c>
      <c r="Y58" s="9">
        <f t="shared" si="17"/>
        <v>649787.19309659291</v>
      </c>
      <c r="Z58" s="9">
        <f t="shared" si="18"/>
        <v>233.92338951477345</v>
      </c>
      <c r="AA58" s="9">
        <f t="shared" si="19"/>
        <v>1713436.8452202678</v>
      </c>
      <c r="AB58" s="9">
        <v>0</v>
      </c>
      <c r="AC58" s="9">
        <f t="shared" si="3"/>
        <v>6584980.3525150502</v>
      </c>
      <c r="AD58" s="10">
        <f t="shared" si="12"/>
        <v>2176421.6803881573</v>
      </c>
    </row>
    <row r="59" spans="1:30">
      <c r="A59" s="7">
        <f t="shared" si="13"/>
        <v>20</v>
      </c>
      <c r="B59" s="12">
        <v>0</v>
      </c>
      <c r="C59" s="12">
        <f t="shared" si="4"/>
        <v>341592.69367077289</v>
      </c>
      <c r="D59" s="12">
        <f t="shared" si="14"/>
        <v>3206153.9766894849</v>
      </c>
      <c r="E59" s="12">
        <f t="shared" si="15"/>
        <v>260.78126016276593</v>
      </c>
      <c r="F59" s="12">
        <f t="shared" si="0"/>
        <v>3548007.4516204204</v>
      </c>
      <c r="G59" s="13">
        <f t="shared" si="5"/>
        <v>1106285.4944422971</v>
      </c>
      <c r="I59">
        <f t="shared" si="6"/>
        <v>20</v>
      </c>
      <c r="J59" s="9">
        <v>0</v>
      </c>
      <c r="K59" s="9">
        <v>0</v>
      </c>
      <c r="L59" s="9">
        <f t="shared" si="7"/>
        <v>2859845.8074762383</v>
      </c>
      <c r="M59" s="9">
        <f t="shared" si="8"/>
        <v>3447670.7947303876</v>
      </c>
      <c r="N59" s="9">
        <f t="shared" si="16"/>
        <v>500336.13868437655</v>
      </c>
      <c r="O59" s="9">
        <v>0</v>
      </c>
      <c r="P59" s="9">
        <f t="shared" si="1"/>
        <v>6807852.7408910021</v>
      </c>
      <c r="Q59" s="9">
        <f t="shared" si="2"/>
        <v>2122720.6645541992</v>
      </c>
      <c r="T59">
        <f t="shared" si="9"/>
        <v>20</v>
      </c>
      <c r="U59" s="9">
        <v>0</v>
      </c>
      <c r="V59" s="9">
        <f>0</f>
        <v>0</v>
      </c>
      <c r="W59" s="9">
        <f t="shared" si="10"/>
        <v>321732.6533410768</v>
      </c>
      <c r="X59" s="9">
        <f t="shared" si="11"/>
        <v>3899789.7374675977</v>
      </c>
      <c r="Y59" s="9">
        <f t="shared" si="17"/>
        <v>682276.55275142251</v>
      </c>
      <c r="Z59" s="9">
        <f t="shared" si="18"/>
        <v>245.61955899051213</v>
      </c>
      <c r="AA59" s="9">
        <f t="shared" si="19"/>
        <v>1799108.6874812811</v>
      </c>
      <c r="AB59" s="9">
        <v>0</v>
      </c>
      <c r="AC59" s="9">
        <f t="shared" si="3"/>
        <v>6703153.2506003696</v>
      </c>
      <c r="AD59" s="10">
        <f t="shared" si="12"/>
        <v>2090074.8685790163</v>
      </c>
    </row>
    <row r="60" spans="1:30">
      <c r="A60" s="7"/>
      <c r="B60" s="13"/>
      <c r="C60" s="13"/>
      <c r="D60" s="13"/>
      <c r="E60" s="13"/>
      <c r="F60" s="12">
        <f>SUM(F39:F59)</f>
        <v>49261819.790358044</v>
      </c>
      <c r="G60" s="14">
        <f>SUM(G39:G59)</f>
        <v>26303357.10721118</v>
      </c>
      <c r="L60" s="2"/>
      <c r="O60" s="10"/>
      <c r="P60" s="10">
        <f>SUM(P39:P59)</f>
        <v>130693390.95650443</v>
      </c>
      <c r="Q60" s="16">
        <f>SUM(Q39:Q59)</f>
        <v>72455697.08947666</v>
      </c>
      <c r="U60" s="9"/>
      <c r="V60" s="9"/>
      <c r="W60" s="9"/>
      <c r="X60" s="9"/>
      <c r="Y60" s="9"/>
      <c r="Z60" s="9"/>
      <c r="AA60" s="9"/>
      <c r="AB60" s="9"/>
      <c r="AC60" s="9">
        <f>SUM(AC39:AC59)</f>
        <v>106548883.87179907</v>
      </c>
      <c r="AD60" s="16">
        <f>SUM(AD39:AD59)</f>
        <v>55025244.835694753</v>
      </c>
    </row>
    <row r="61" spans="1:30">
      <c r="L61" s="2"/>
      <c r="P61" s="2"/>
      <c r="Q61" s="2"/>
      <c r="U61" s="1"/>
      <c r="V61" s="1"/>
      <c r="W61" s="1"/>
      <c r="X61" s="1"/>
      <c r="Y61" s="1"/>
      <c r="Z61" s="1"/>
      <c r="AA61" s="1"/>
      <c r="AB61" s="1"/>
      <c r="AC61" s="1"/>
    </row>
    <row r="62" spans="1:30">
      <c r="U62" s="1"/>
      <c r="V62" s="1"/>
      <c r="W62" s="1"/>
      <c r="X62" s="1"/>
      <c r="Y62" s="1"/>
      <c r="Z62" s="1"/>
      <c r="AA62" s="1"/>
      <c r="AB62" s="1"/>
      <c r="AC62" s="1"/>
    </row>
    <row r="63" spans="1:30">
      <c r="U63" s="1"/>
      <c r="V63" s="1"/>
      <c r="W63" s="1"/>
      <c r="X63" s="1"/>
      <c r="Y63" s="1"/>
      <c r="Z63" s="1"/>
      <c r="AA63" s="1"/>
      <c r="AB63" s="1"/>
      <c r="AC63" s="1"/>
    </row>
    <row r="64" spans="1:30">
      <c r="U64" s="1"/>
      <c r="V64" s="1"/>
      <c r="W64" s="1"/>
      <c r="X64" s="1"/>
      <c r="Y64" s="1"/>
      <c r="Z64" s="1"/>
      <c r="AA64" s="1"/>
      <c r="AB64" s="1"/>
      <c r="AC64" s="1"/>
    </row>
    <row r="65" spans="1:30">
      <c r="U65" s="1"/>
      <c r="V65" s="1"/>
      <c r="W65" s="1"/>
      <c r="X65" s="1"/>
      <c r="Y65" s="1"/>
      <c r="Z65" s="1"/>
      <c r="AA65" s="1"/>
      <c r="AB65" s="1"/>
      <c r="AC65" s="1"/>
    </row>
    <row r="66" spans="1:30" ht="19">
      <c r="A66" s="18" t="s">
        <v>31</v>
      </c>
      <c r="B66" s="18"/>
      <c r="C66" s="18"/>
      <c r="D66" s="18"/>
      <c r="E66" s="18"/>
      <c r="I66" s="18" t="s">
        <v>33</v>
      </c>
      <c r="J66" s="18"/>
      <c r="K66" s="18"/>
      <c r="L66" s="18"/>
      <c r="M66" s="18"/>
      <c r="T66" s="18" t="s">
        <v>66</v>
      </c>
      <c r="U66" s="18"/>
      <c r="V66" s="18"/>
      <c r="W66" s="18"/>
      <c r="X66" s="18"/>
    </row>
    <row r="67" spans="1:30" ht="17">
      <c r="A67" t="s">
        <v>20</v>
      </c>
      <c r="B67" t="s">
        <v>13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I67" s="5" t="s">
        <v>19</v>
      </c>
      <c r="J67" s="5" t="s">
        <v>21</v>
      </c>
      <c r="K67" s="5" t="s">
        <v>22</v>
      </c>
      <c r="L67" s="5" t="s">
        <v>23</v>
      </c>
      <c r="M67" s="5" t="s">
        <v>24</v>
      </c>
      <c r="N67" s="5" t="s">
        <v>26</v>
      </c>
      <c r="O67" s="5" t="s">
        <v>25</v>
      </c>
      <c r="P67" s="5" t="s">
        <v>17</v>
      </c>
      <c r="Q67" s="5" t="s">
        <v>18</v>
      </c>
      <c r="T67" s="5" t="s">
        <v>19</v>
      </c>
      <c r="U67" s="5" t="s">
        <v>27</v>
      </c>
      <c r="V67" s="5" t="s">
        <v>21</v>
      </c>
      <c r="W67" s="5" t="s">
        <v>28</v>
      </c>
      <c r="X67" s="5" t="s">
        <v>23</v>
      </c>
      <c r="Y67" s="5" t="s">
        <v>26</v>
      </c>
      <c r="Z67" s="5" t="s">
        <v>29</v>
      </c>
      <c r="AA67" s="5" t="s">
        <v>15</v>
      </c>
      <c r="AB67" s="5" t="s">
        <v>25</v>
      </c>
      <c r="AC67" s="5" t="s">
        <v>17</v>
      </c>
      <c r="AD67" s="5" t="s">
        <v>18</v>
      </c>
    </row>
    <row r="68" spans="1:30">
      <c r="A68">
        <v>0</v>
      </c>
      <c r="B68" s="9">
        <f xml:space="preserve"> B6</f>
        <v>4730000</v>
      </c>
      <c r="C68" s="9">
        <v>0</v>
      </c>
      <c r="D68" s="9">
        <v>0</v>
      </c>
      <c r="E68" s="9">
        <v>0</v>
      </c>
      <c r="F68" s="9">
        <f>SUM(B68:E68)</f>
        <v>4730000</v>
      </c>
      <c r="G68" s="9">
        <f t="shared" ref="G68" si="20">F68/(1+B$71)^A68</f>
        <v>4730000</v>
      </c>
      <c r="I68">
        <v>0</v>
      </c>
      <c r="J68" s="9">
        <f>G7</f>
        <v>39600000</v>
      </c>
      <c r="K68" s="9">
        <f>I7</f>
        <v>29580000</v>
      </c>
      <c r="L68" s="9">
        <v>0</v>
      </c>
      <c r="M68" s="9">
        <v>0</v>
      </c>
      <c r="N68" s="9">
        <v>0</v>
      </c>
      <c r="O68" s="9">
        <f>O39</f>
        <v>-11880000</v>
      </c>
      <c r="P68" s="9">
        <f>SUM(J68:O68)</f>
        <v>57300000</v>
      </c>
      <c r="Q68" s="9">
        <f t="shared" ref="Q68:Q88" si="21">P68/(1+B$33)^I68</f>
        <v>57300000</v>
      </c>
      <c r="T68">
        <v>0</v>
      </c>
      <c r="U68" s="9">
        <f>N6</f>
        <v>4455000</v>
      </c>
      <c r="V68" s="9">
        <f>M6</f>
        <v>54000000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f>AB39</f>
        <v>-16200000</v>
      </c>
      <c r="AC68" s="9">
        <f>SUM(U68:AA68)</f>
        <v>58455000</v>
      </c>
      <c r="AD68" s="9">
        <f>AC68/(1+B$33)^T68</f>
        <v>58455000</v>
      </c>
    </row>
    <row r="69" spans="1:30">
      <c r="A69">
        <v>1</v>
      </c>
      <c r="B69" s="9">
        <v>0</v>
      </c>
      <c r="C69" s="9">
        <v>0</v>
      </c>
      <c r="D69" s="9">
        <f>B22</f>
        <v>1268784</v>
      </c>
      <c r="E69" s="9">
        <f>B17</f>
        <v>103.2</v>
      </c>
      <c r="F69" s="9">
        <f t="shared" ref="F69:F88" si="22">SUM(B69:E69)</f>
        <v>1268887.2</v>
      </c>
      <c r="G69" s="9">
        <f>F69/(1+B$33)^A69</f>
        <v>1197063.3962264149</v>
      </c>
      <c r="I69">
        <f>I68+1</f>
        <v>1</v>
      </c>
      <c r="J69" s="9">
        <v>0</v>
      </c>
      <c r="K69" s="9">
        <v>0</v>
      </c>
      <c r="L69" s="9">
        <v>0</v>
      </c>
      <c r="M69" s="9">
        <v>0</v>
      </c>
      <c r="N69" s="9">
        <f>N40</f>
        <v>198000</v>
      </c>
      <c r="O69" s="9">
        <v>0</v>
      </c>
      <c r="P69" s="9">
        <f t="shared" ref="P69:P88" si="23">SUM(J69:O69)</f>
        <v>198000</v>
      </c>
      <c r="Q69" s="9">
        <f t="shared" si="21"/>
        <v>186792.45283018867</v>
      </c>
      <c r="T69">
        <f>T68+1</f>
        <v>1</v>
      </c>
      <c r="U69" s="9">
        <v>0</v>
      </c>
      <c r="V69" s="9">
        <v>0</v>
      </c>
      <c r="W69" s="9">
        <v>0</v>
      </c>
      <c r="X69" s="9">
        <v>0</v>
      </c>
      <c r="Y69" s="9">
        <f xml:space="preserve"> Y40</f>
        <v>270000</v>
      </c>
      <c r="Z69" s="9">
        <f xml:space="preserve"> Z40</f>
        <v>97.2</v>
      </c>
      <c r="AA69" s="9">
        <f>AA40</f>
        <v>711968.4</v>
      </c>
      <c r="AB69" s="9">
        <v>0</v>
      </c>
      <c r="AC69" s="9">
        <f t="shared" ref="AC69:AC88" si="24">SUM(U69:AA69)</f>
        <v>982065.60000000009</v>
      </c>
      <c r="AD69" s="9">
        <f t="shared" ref="AD69:AD88" si="25">AC69/(1+B$33)^T69</f>
        <v>926476.98113207554</v>
      </c>
    </row>
    <row r="70" spans="1:30">
      <c r="A70">
        <v>2</v>
      </c>
      <c r="B70" s="9">
        <v>0</v>
      </c>
      <c r="C70" s="9">
        <v>0</v>
      </c>
      <c r="D70" s="9">
        <f>D41</f>
        <v>1332223.2</v>
      </c>
      <c r="E70" s="9">
        <f>E41</f>
        <v>108.36000000000001</v>
      </c>
      <c r="F70" s="9">
        <f t="shared" si="22"/>
        <v>1332331.56</v>
      </c>
      <c r="G70" s="9">
        <f t="shared" ref="G70:G88" si="26">F70/(1+B$33)^A70</f>
        <v>1185770.3453186187</v>
      </c>
      <c r="I70">
        <f t="shared" ref="I70:I88" si="27">I69+1</f>
        <v>2</v>
      </c>
      <c r="J70" s="9">
        <v>0</v>
      </c>
      <c r="K70" s="9">
        <v>0</v>
      </c>
      <c r="L70" s="9">
        <v>0</v>
      </c>
      <c r="M70" s="9">
        <v>0</v>
      </c>
      <c r="N70" s="9">
        <f t="shared" ref="N70:N88" si="28">N41</f>
        <v>207900</v>
      </c>
      <c r="O70" s="9">
        <v>0</v>
      </c>
      <c r="P70" s="9">
        <f t="shared" si="23"/>
        <v>207900</v>
      </c>
      <c r="Q70" s="9">
        <f t="shared" si="21"/>
        <v>185030.25987896047</v>
      </c>
      <c r="T70">
        <f t="shared" ref="T70:T88" si="29">T69+1</f>
        <v>2</v>
      </c>
      <c r="U70" s="9">
        <v>0</v>
      </c>
      <c r="V70" s="9">
        <v>0</v>
      </c>
      <c r="W70" s="9">
        <v>0</v>
      </c>
      <c r="X70" s="9">
        <v>0</v>
      </c>
      <c r="Y70" s="9">
        <f t="shared" ref="Y70:Z88" si="30" xml:space="preserve"> Y41</f>
        <v>283500</v>
      </c>
      <c r="Z70" s="9">
        <f t="shared" si="30"/>
        <v>102.06</v>
      </c>
      <c r="AA70" s="9">
        <f t="shared" ref="AA70:AA88" si="31">AA41</f>
        <v>747566.82000000007</v>
      </c>
      <c r="AB70" s="9">
        <v>0</v>
      </c>
      <c r="AC70" s="9">
        <f t="shared" si="24"/>
        <v>1031168.8800000001</v>
      </c>
      <c r="AD70" s="9">
        <f t="shared" si="25"/>
        <v>917736.63225347095</v>
      </c>
    </row>
    <row r="71" spans="1:30">
      <c r="A71">
        <v>3</v>
      </c>
      <c r="B71" s="9">
        <v>0</v>
      </c>
      <c r="C71" s="9">
        <v>0</v>
      </c>
      <c r="D71" s="9">
        <f t="shared" ref="D71:E88" si="32">D42</f>
        <v>1398834.36</v>
      </c>
      <c r="E71" s="9">
        <f t="shared" si="32"/>
        <v>113.77800000000001</v>
      </c>
      <c r="F71" s="9">
        <f t="shared" si="22"/>
        <v>1398948.138</v>
      </c>
      <c r="G71" s="9">
        <f t="shared" si="26"/>
        <v>1174583.8326269335</v>
      </c>
      <c r="I71">
        <f t="shared" si="27"/>
        <v>3</v>
      </c>
      <c r="J71" s="9">
        <v>0</v>
      </c>
      <c r="K71" s="9">
        <v>0</v>
      </c>
      <c r="L71" s="9">
        <v>0</v>
      </c>
      <c r="M71" s="9">
        <v>0</v>
      </c>
      <c r="N71" s="9">
        <f t="shared" si="28"/>
        <v>218295</v>
      </c>
      <c r="O71" s="9">
        <v>0</v>
      </c>
      <c r="P71" s="9">
        <f t="shared" si="23"/>
        <v>218295</v>
      </c>
      <c r="Q71" s="9">
        <f t="shared" si="21"/>
        <v>183284.69138953628</v>
      </c>
      <c r="T71">
        <f t="shared" si="29"/>
        <v>3</v>
      </c>
      <c r="U71" s="9">
        <v>0</v>
      </c>
      <c r="V71" s="9">
        <v>0</v>
      </c>
      <c r="W71" s="9">
        <v>0</v>
      </c>
      <c r="X71" s="9">
        <v>0</v>
      </c>
      <c r="Y71" s="9">
        <f t="shared" si="30"/>
        <v>297675</v>
      </c>
      <c r="Z71" s="9">
        <f t="shared" si="30"/>
        <v>107.16300000000001</v>
      </c>
      <c r="AA71" s="9">
        <f t="shared" si="31"/>
        <v>784945.16100000008</v>
      </c>
      <c r="AB71" s="9">
        <v>0</v>
      </c>
      <c r="AC71" s="9">
        <f t="shared" si="24"/>
        <v>1082727.324</v>
      </c>
      <c r="AD71" s="9">
        <f t="shared" si="25"/>
        <v>909078.73949636251</v>
      </c>
    </row>
    <row r="72" spans="1:30">
      <c r="A72">
        <v>4</v>
      </c>
      <c r="B72" s="9">
        <v>0</v>
      </c>
      <c r="C72" s="9">
        <v>0</v>
      </c>
      <c r="D72" s="9">
        <f t="shared" si="32"/>
        <v>1468776.0780000002</v>
      </c>
      <c r="E72" s="9">
        <f t="shared" si="32"/>
        <v>119.46690000000001</v>
      </c>
      <c r="F72" s="9">
        <f t="shared" si="22"/>
        <v>1468895.5449000003</v>
      </c>
      <c r="G72" s="9">
        <f t="shared" si="26"/>
        <v>1163502.8530738493</v>
      </c>
      <c r="I72">
        <f t="shared" si="27"/>
        <v>4</v>
      </c>
      <c r="J72" s="9">
        <v>0</v>
      </c>
      <c r="K72" s="9">
        <v>0</v>
      </c>
      <c r="L72" s="9">
        <v>0</v>
      </c>
      <c r="M72" s="9">
        <v>0</v>
      </c>
      <c r="N72" s="9">
        <f t="shared" si="28"/>
        <v>229209.75000000003</v>
      </c>
      <c r="O72" s="9">
        <v>0</v>
      </c>
      <c r="P72" s="9">
        <f t="shared" si="23"/>
        <v>229209.75000000003</v>
      </c>
      <c r="Q72" s="9">
        <f t="shared" si="21"/>
        <v>181555.59052737086</v>
      </c>
      <c r="T72">
        <f t="shared" si="29"/>
        <v>4</v>
      </c>
      <c r="U72" s="9">
        <v>0</v>
      </c>
      <c r="V72" s="9">
        <v>0</v>
      </c>
      <c r="W72" s="9">
        <v>0</v>
      </c>
      <c r="X72" s="9">
        <v>0</v>
      </c>
      <c r="Y72" s="9">
        <f t="shared" si="30"/>
        <v>312558.75000000006</v>
      </c>
      <c r="Z72" s="9">
        <f t="shared" si="30"/>
        <v>112.52115000000002</v>
      </c>
      <c r="AA72" s="9">
        <f t="shared" si="31"/>
        <v>824192.41905000014</v>
      </c>
      <c r="AB72" s="9">
        <v>0</v>
      </c>
      <c r="AC72" s="9">
        <f t="shared" si="24"/>
        <v>1136863.6902000001</v>
      </c>
      <c r="AD72" s="9">
        <f t="shared" si="25"/>
        <v>900502.52497281204</v>
      </c>
    </row>
    <row r="73" spans="1:30">
      <c r="A73">
        <v>5</v>
      </c>
      <c r="B73" s="9">
        <v>0</v>
      </c>
      <c r="C73" s="9">
        <v>0</v>
      </c>
      <c r="D73" s="9">
        <f t="shared" si="32"/>
        <v>1542214.8818999999</v>
      </c>
      <c r="E73" s="9">
        <f t="shared" si="32"/>
        <v>125.440245</v>
      </c>
      <c r="F73" s="9">
        <f t="shared" si="22"/>
        <v>1542340.3221449999</v>
      </c>
      <c r="G73" s="9">
        <f t="shared" si="26"/>
        <v>1152526.4110637181</v>
      </c>
      <c r="I73">
        <f t="shared" si="27"/>
        <v>5</v>
      </c>
      <c r="J73" s="9">
        <v>0</v>
      </c>
      <c r="K73" s="9">
        <v>0</v>
      </c>
      <c r="L73" s="9">
        <v>0</v>
      </c>
      <c r="M73" s="9">
        <v>0</v>
      </c>
      <c r="N73" s="9">
        <f t="shared" si="28"/>
        <v>240670.23749999999</v>
      </c>
      <c r="O73" s="9">
        <v>0</v>
      </c>
      <c r="P73" s="9">
        <f t="shared" si="23"/>
        <v>240670.23749999999</v>
      </c>
      <c r="Q73" s="9">
        <f t="shared" si="21"/>
        <v>179842.80193748994</v>
      </c>
      <c r="T73">
        <f t="shared" si="29"/>
        <v>5</v>
      </c>
      <c r="U73" s="9">
        <v>0</v>
      </c>
      <c r="V73" s="9">
        <v>0</v>
      </c>
      <c r="W73" s="9">
        <v>0</v>
      </c>
      <c r="X73" s="9">
        <v>0</v>
      </c>
      <c r="Y73" s="9">
        <f t="shared" si="30"/>
        <v>328186.6875</v>
      </c>
      <c r="Z73" s="9">
        <f t="shared" si="30"/>
        <v>118.14720750000001</v>
      </c>
      <c r="AA73" s="9">
        <f t="shared" si="31"/>
        <v>865402.04000250006</v>
      </c>
      <c r="AB73" s="9">
        <v>0</v>
      </c>
      <c r="AC73" s="9">
        <f t="shared" si="24"/>
        <v>1193706.8747100001</v>
      </c>
      <c r="AD73" s="9">
        <f t="shared" si="25"/>
        <v>892007.21813344583</v>
      </c>
    </row>
    <row r="74" spans="1:30">
      <c r="A74">
        <v>6</v>
      </c>
      <c r="B74" s="9">
        <v>0</v>
      </c>
      <c r="C74" s="9">
        <v>0</v>
      </c>
      <c r="D74" s="9">
        <f t="shared" si="32"/>
        <v>1619325.6259950001</v>
      </c>
      <c r="E74" s="9">
        <f t="shared" si="32"/>
        <v>131.71225725000002</v>
      </c>
      <c r="F74" s="9">
        <f t="shared" si="22"/>
        <v>1619457.3382522501</v>
      </c>
      <c r="G74" s="9">
        <f t="shared" si="26"/>
        <v>1141653.5203933059</v>
      </c>
      <c r="I74">
        <f t="shared" si="27"/>
        <v>6</v>
      </c>
      <c r="J74" s="9">
        <v>0</v>
      </c>
      <c r="K74" s="9">
        <v>0</v>
      </c>
      <c r="L74" s="9">
        <v>0</v>
      </c>
      <c r="M74" s="9">
        <v>0</v>
      </c>
      <c r="N74" s="9">
        <f t="shared" si="28"/>
        <v>252703.74937500001</v>
      </c>
      <c r="O74" s="9">
        <v>0</v>
      </c>
      <c r="P74" s="9">
        <f t="shared" si="23"/>
        <v>252703.74937500001</v>
      </c>
      <c r="Q74" s="9">
        <f t="shared" si="21"/>
        <v>178146.17173053251</v>
      </c>
      <c r="T74">
        <f t="shared" si="29"/>
        <v>6</v>
      </c>
      <c r="U74" s="9">
        <v>0</v>
      </c>
      <c r="V74" s="9">
        <v>0</v>
      </c>
      <c r="W74" s="9">
        <v>0</v>
      </c>
      <c r="X74" s="9">
        <v>0</v>
      </c>
      <c r="Y74" s="9">
        <f t="shared" si="30"/>
        <v>344596.02187500003</v>
      </c>
      <c r="Z74" s="9">
        <f t="shared" si="30"/>
        <v>124.05456787500002</v>
      </c>
      <c r="AA74" s="9">
        <f t="shared" si="31"/>
        <v>908672.14200262516</v>
      </c>
      <c r="AB74" s="9">
        <v>0</v>
      </c>
      <c r="AC74" s="9">
        <f t="shared" si="24"/>
        <v>1253392.2184455001</v>
      </c>
      <c r="AD74" s="9">
        <f t="shared" si="25"/>
        <v>883592.05569822458</v>
      </c>
    </row>
    <row r="75" spans="1:30">
      <c r="A75">
        <v>7</v>
      </c>
      <c r="B75" s="9">
        <v>0</v>
      </c>
      <c r="C75" s="9">
        <v>0</v>
      </c>
      <c r="D75" s="9">
        <f t="shared" si="32"/>
        <v>1700291.90729475</v>
      </c>
      <c r="E75" s="9">
        <f t="shared" si="32"/>
        <v>138.29787011249999</v>
      </c>
      <c r="F75" s="9">
        <f t="shared" si="22"/>
        <v>1700430.2051648626</v>
      </c>
      <c r="G75" s="9">
        <f t="shared" si="26"/>
        <v>1130883.2041631802</v>
      </c>
      <c r="I75">
        <f t="shared" si="27"/>
        <v>7</v>
      </c>
      <c r="J75" s="9">
        <v>0</v>
      </c>
      <c r="K75" s="9">
        <v>0</v>
      </c>
      <c r="L75" s="9">
        <v>0</v>
      </c>
      <c r="M75" s="9">
        <v>0</v>
      </c>
      <c r="N75" s="9">
        <f t="shared" si="28"/>
        <v>265338.93684375001</v>
      </c>
      <c r="O75" s="9">
        <v>0</v>
      </c>
      <c r="P75" s="9">
        <f t="shared" si="23"/>
        <v>265338.93684375001</v>
      </c>
      <c r="Q75" s="9">
        <f t="shared" si="21"/>
        <v>176465.5474689237</v>
      </c>
      <c r="T75">
        <f t="shared" si="29"/>
        <v>7</v>
      </c>
      <c r="U75" s="9">
        <v>0</v>
      </c>
      <c r="V75" s="9">
        <v>0</v>
      </c>
      <c r="W75" s="9">
        <v>0</v>
      </c>
      <c r="X75" s="9">
        <v>0</v>
      </c>
      <c r="Y75" s="9">
        <f t="shared" si="30"/>
        <v>361825.82296874997</v>
      </c>
      <c r="Z75" s="9">
        <f t="shared" si="30"/>
        <v>130.25729626875</v>
      </c>
      <c r="AA75" s="9">
        <f t="shared" si="31"/>
        <v>954105.74910275626</v>
      </c>
      <c r="AB75" s="9">
        <v>0</v>
      </c>
      <c r="AC75" s="9">
        <f t="shared" si="24"/>
        <v>1316061.829367775</v>
      </c>
      <c r="AD75" s="9">
        <f t="shared" si="25"/>
        <v>875256.28158786369</v>
      </c>
    </row>
    <row r="76" spans="1:30">
      <c r="A76">
        <v>8</v>
      </c>
      <c r="B76" s="9">
        <v>0</v>
      </c>
      <c r="C76" s="9">
        <v>0</v>
      </c>
      <c r="D76" s="9">
        <f t="shared" si="32"/>
        <v>1785306.5026594878</v>
      </c>
      <c r="E76" s="9">
        <f t="shared" si="32"/>
        <v>145.21276361812502</v>
      </c>
      <c r="F76" s="9">
        <f t="shared" si="22"/>
        <v>1785451.715423106</v>
      </c>
      <c r="G76" s="9">
        <f t="shared" si="26"/>
        <v>1120214.4946899428</v>
      </c>
      <c r="I76">
        <f t="shared" si="27"/>
        <v>8</v>
      </c>
      <c r="J76" s="9">
        <v>0</v>
      </c>
      <c r="K76" s="9">
        <v>0</v>
      </c>
      <c r="L76" s="9">
        <v>0</v>
      </c>
      <c r="M76" s="9">
        <v>0</v>
      </c>
      <c r="N76" s="9">
        <f t="shared" si="28"/>
        <v>278605.88368593756</v>
      </c>
      <c r="O76" s="9">
        <v>0</v>
      </c>
      <c r="P76" s="9">
        <f t="shared" si="23"/>
        <v>278605.88368593756</v>
      </c>
      <c r="Q76" s="9">
        <f t="shared" si="21"/>
        <v>174800.77815317918</v>
      </c>
      <c r="T76">
        <f t="shared" si="29"/>
        <v>8</v>
      </c>
      <c r="U76" s="9">
        <v>0</v>
      </c>
      <c r="V76" s="9">
        <v>0</v>
      </c>
      <c r="W76" s="9">
        <v>0</v>
      </c>
      <c r="X76" s="9">
        <v>0</v>
      </c>
      <c r="Y76" s="9">
        <f t="shared" si="30"/>
        <v>379917.11411718756</v>
      </c>
      <c r="Z76" s="9">
        <f t="shared" si="30"/>
        <v>136.77016108218751</v>
      </c>
      <c r="AA76" s="9">
        <f t="shared" si="31"/>
        <v>1001811.0365578943</v>
      </c>
      <c r="AB76" s="9">
        <v>0</v>
      </c>
      <c r="AC76" s="9">
        <f t="shared" si="24"/>
        <v>1381864.9208361642</v>
      </c>
      <c r="AD76" s="9">
        <f t="shared" si="25"/>
        <v>866999.14685590309</v>
      </c>
    </row>
    <row r="77" spans="1:30">
      <c r="A77">
        <v>9</v>
      </c>
      <c r="B77" s="9">
        <v>0</v>
      </c>
      <c r="C77" s="9">
        <v>0</v>
      </c>
      <c r="D77" s="9">
        <f t="shared" si="32"/>
        <v>1874571.827792462</v>
      </c>
      <c r="E77" s="9">
        <f t="shared" si="32"/>
        <v>152.47340179903125</v>
      </c>
      <c r="F77" s="9">
        <f t="shared" si="22"/>
        <v>1874724.3011942611</v>
      </c>
      <c r="G77" s="9">
        <f t="shared" si="26"/>
        <v>1109646.433419283</v>
      </c>
      <c r="I77">
        <f t="shared" si="27"/>
        <v>9</v>
      </c>
      <c r="J77" s="9">
        <v>0</v>
      </c>
      <c r="K77" s="9">
        <v>0</v>
      </c>
      <c r="L77" s="9">
        <v>0</v>
      </c>
      <c r="M77" s="9">
        <v>0</v>
      </c>
      <c r="N77" s="9">
        <f t="shared" si="28"/>
        <v>292536.17787023442</v>
      </c>
      <c r="O77" s="9">
        <v>0</v>
      </c>
      <c r="P77" s="9">
        <f t="shared" si="23"/>
        <v>292536.17787023442</v>
      </c>
      <c r="Q77" s="9">
        <f t="shared" si="21"/>
        <v>173151.71420833786</v>
      </c>
      <c r="T77">
        <f t="shared" si="29"/>
        <v>9</v>
      </c>
      <c r="U77" s="9">
        <v>0</v>
      </c>
      <c r="V77" s="9">
        <v>0</v>
      </c>
      <c r="W77" s="9">
        <v>0</v>
      </c>
      <c r="X77" s="9">
        <v>0</v>
      </c>
      <c r="Y77" s="9">
        <f t="shared" si="30"/>
        <v>398912.96982304688</v>
      </c>
      <c r="Z77" s="9">
        <f t="shared" si="30"/>
        <v>143.6086691362969</v>
      </c>
      <c r="AA77" s="9">
        <f t="shared" si="31"/>
        <v>1051901.588385789</v>
      </c>
      <c r="AB77" s="9">
        <v>0</v>
      </c>
      <c r="AC77" s="9">
        <f t="shared" si="24"/>
        <v>1450958.1668779722</v>
      </c>
      <c r="AD77" s="9">
        <f t="shared" si="25"/>
        <v>858819.90962141333</v>
      </c>
    </row>
    <row r="78" spans="1:30">
      <c r="A78">
        <v>10</v>
      </c>
      <c r="B78" s="9">
        <v>0</v>
      </c>
      <c r="C78" s="9">
        <v>0</v>
      </c>
      <c r="D78" s="9">
        <f t="shared" si="32"/>
        <v>1968300.4191820852</v>
      </c>
      <c r="E78" s="9">
        <f t="shared" si="32"/>
        <v>160.09707188898284</v>
      </c>
      <c r="F78" s="9">
        <f t="shared" si="22"/>
        <v>1968460.5162539743</v>
      </c>
      <c r="G78" s="9">
        <f t="shared" si="26"/>
        <v>1099178.0708398558</v>
      </c>
      <c r="I78">
        <f t="shared" si="27"/>
        <v>10</v>
      </c>
      <c r="J78" s="9">
        <v>0</v>
      </c>
      <c r="K78" s="9">
        <f>K68</f>
        <v>29580000</v>
      </c>
      <c r="L78" s="9">
        <v>0</v>
      </c>
      <c r="M78" s="9">
        <v>0</v>
      </c>
      <c r="N78" s="9">
        <f t="shared" si="28"/>
        <v>307162.98676374613</v>
      </c>
      <c r="O78" s="9">
        <v>0</v>
      </c>
      <c r="P78" s="9">
        <f t="shared" si="23"/>
        <v>29887162.986763746</v>
      </c>
      <c r="Q78" s="9">
        <f t="shared" si="21"/>
        <v>16688835.70861971</v>
      </c>
      <c r="T78">
        <f t="shared" si="29"/>
        <v>10</v>
      </c>
      <c r="U78" s="9">
        <v>0</v>
      </c>
      <c r="V78" s="9">
        <v>0</v>
      </c>
      <c r="W78" s="9">
        <v>0</v>
      </c>
      <c r="X78" s="9">
        <v>0</v>
      </c>
      <c r="Y78" s="9">
        <f t="shared" si="30"/>
        <v>418858.61831419927</v>
      </c>
      <c r="Z78" s="9">
        <f t="shared" si="30"/>
        <v>150.78910259311175</v>
      </c>
      <c r="AA78" s="9">
        <f t="shared" si="31"/>
        <v>1104496.6678050784</v>
      </c>
      <c r="AB78" s="9">
        <v>0</v>
      </c>
      <c r="AC78" s="9">
        <f t="shared" si="24"/>
        <v>1523506.0752218708</v>
      </c>
      <c r="AD78" s="9">
        <f t="shared" si="25"/>
        <v>850717.83500234329</v>
      </c>
    </row>
    <row r="79" spans="1:30">
      <c r="A79">
        <v>11</v>
      </c>
      <c r="B79" s="9">
        <v>0</v>
      </c>
      <c r="C79" s="9">
        <v>0</v>
      </c>
      <c r="D79" s="9">
        <f t="shared" si="32"/>
        <v>2066715.4401411894</v>
      </c>
      <c r="E79" s="9">
        <f t="shared" si="32"/>
        <v>168.10192548343198</v>
      </c>
      <c r="F79" s="9">
        <f t="shared" si="22"/>
        <v>2066883.5420666728</v>
      </c>
      <c r="G79" s="9">
        <f t="shared" si="26"/>
        <v>1088808.46639797</v>
      </c>
      <c r="I79">
        <f t="shared" si="27"/>
        <v>11</v>
      </c>
      <c r="J79" s="9">
        <v>0</v>
      </c>
      <c r="K79" s="9">
        <v>0</v>
      </c>
      <c r="L79" s="9">
        <v>0</v>
      </c>
      <c r="M79" s="9">
        <v>0</v>
      </c>
      <c r="N79" s="9">
        <f t="shared" si="28"/>
        <v>322521.13610193343</v>
      </c>
      <c r="O79" s="9">
        <v>0</v>
      </c>
      <c r="P79" s="9">
        <f t="shared" si="23"/>
        <v>322521.13610193343</v>
      </c>
      <c r="Q79" s="9">
        <f t="shared" si="21"/>
        <v>169900.11117363157</v>
      </c>
      <c r="T79">
        <f t="shared" si="29"/>
        <v>11</v>
      </c>
      <c r="U79" s="9">
        <v>0</v>
      </c>
      <c r="V79" s="9">
        <v>0</v>
      </c>
      <c r="W79" s="9">
        <v>0</v>
      </c>
      <c r="X79" s="9">
        <v>0</v>
      </c>
      <c r="Y79" s="9">
        <f t="shared" si="30"/>
        <v>439801.5492299092</v>
      </c>
      <c r="Z79" s="9">
        <f t="shared" si="30"/>
        <v>158.32855772276733</v>
      </c>
      <c r="AA79" s="9">
        <f t="shared" si="31"/>
        <v>1159721.5011953323</v>
      </c>
      <c r="AB79" s="9">
        <v>0</v>
      </c>
      <c r="AC79" s="9">
        <f t="shared" si="24"/>
        <v>1599681.3789829642</v>
      </c>
      <c r="AD79" s="9">
        <f t="shared" si="25"/>
        <v>842692.1950494909</v>
      </c>
    </row>
    <row r="80" spans="1:30">
      <c r="A80">
        <v>12</v>
      </c>
      <c r="B80" s="9">
        <v>0</v>
      </c>
      <c r="C80" s="9">
        <v>0</v>
      </c>
      <c r="D80" s="9">
        <f t="shared" si="32"/>
        <v>2170051.2121482491</v>
      </c>
      <c r="E80" s="9">
        <f t="shared" si="32"/>
        <v>176.50702175760358</v>
      </c>
      <c r="F80" s="9">
        <f t="shared" si="22"/>
        <v>2170227.7191700069</v>
      </c>
      <c r="G80" s="9">
        <f t="shared" si="26"/>
        <v>1078536.6884130838</v>
      </c>
      <c r="I80">
        <f t="shared" si="27"/>
        <v>12</v>
      </c>
      <c r="J80" s="9">
        <v>0</v>
      </c>
      <c r="K80" s="9">
        <v>0</v>
      </c>
      <c r="L80" s="9">
        <v>0</v>
      </c>
      <c r="M80" s="9">
        <v>0</v>
      </c>
      <c r="N80" s="9">
        <f t="shared" si="28"/>
        <v>338647.19290703011</v>
      </c>
      <c r="O80" s="9">
        <v>0</v>
      </c>
      <c r="P80" s="9">
        <f t="shared" si="23"/>
        <v>338647.19290703011</v>
      </c>
      <c r="Q80" s="9">
        <f t="shared" si="21"/>
        <v>168297.27993614448</v>
      </c>
      <c r="T80">
        <f t="shared" si="29"/>
        <v>12</v>
      </c>
      <c r="U80" s="9">
        <v>0</v>
      </c>
      <c r="V80" s="9">
        <v>0</v>
      </c>
      <c r="W80" s="9">
        <v>0</v>
      </c>
      <c r="X80" s="9">
        <v>0</v>
      </c>
      <c r="Y80" s="9">
        <f t="shared" si="30"/>
        <v>461791.62669140473</v>
      </c>
      <c r="Z80" s="9">
        <f t="shared" si="30"/>
        <v>166.24498560890569</v>
      </c>
      <c r="AA80" s="9">
        <f t="shared" si="31"/>
        <v>1217707.5762550989</v>
      </c>
      <c r="AB80" s="9">
        <v>0</v>
      </c>
      <c r="AC80" s="9">
        <f t="shared" si="24"/>
        <v>1679665.4479321125</v>
      </c>
      <c r="AD80" s="9">
        <f t="shared" si="25"/>
        <v>834742.26868109941</v>
      </c>
    </row>
    <row r="81" spans="1:30">
      <c r="A81">
        <v>13</v>
      </c>
      <c r="B81" s="9">
        <v>0</v>
      </c>
      <c r="C81" s="9">
        <v>0</v>
      </c>
      <c r="D81" s="9">
        <f t="shared" si="32"/>
        <v>2278553.772755661</v>
      </c>
      <c r="E81" s="9">
        <f t="shared" si="32"/>
        <v>185.33237284548375</v>
      </c>
      <c r="F81" s="9">
        <f t="shared" si="22"/>
        <v>2278739.1051285067</v>
      </c>
      <c r="G81" s="9">
        <f t="shared" si="26"/>
        <v>1068361.8139940919</v>
      </c>
      <c r="I81">
        <f t="shared" si="27"/>
        <v>13</v>
      </c>
      <c r="J81" s="9">
        <v>0</v>
      </c>
      <c r="K81" s="9">
        <v>0</v>
      </c>
      <c r="L81" s="9">
        <v>0</v>
      </c>
      <c r="M81" s="9">
        <v>0</v>
      </c>
      <c r="N81" s="9">
        <f t="shared" si="28"/>
        <v>355579.55255238159</v>
      </c>
      <c r="O81" s="9">
        <v>0</v>
      </c>
      <c r="P81" s="9">
        <f t="shared" si="23"/>
        <v>355579.55255238159</v>
      </c>
      <c r="Q81" s="9">
        <f t="shared" si="21"/>
        <v>166709.56974806762</v>
      </c>
      <c r="T81">
        <f t="shared" si="29"/>
        <v>13</v>
      </c>
      <c r="U81" s="9">
        <v>0</v>
      </c>
      <c r="V81" s="9">
        <v>0</v>
      </c>
      <c r="W81" s="9">
        <v>0</v>
      </c>
      <c r="X81" s="9">
        <v>0</v>
      </c>
      <c r="Y81" s="9">
        <f t="shared" si="30"/>
        <v>484881.20802597486</v>
      </c>
      <c r="Z81" s="9">
        <f t="shared" si="30"/>
        <v>174.55723488935095</v>
      </c>
      <c r="AA81" s="9">
        <f t="shared" si="31"/>
        <v>1278592.9550678537</v>
      </c>
      <c r="AB81" s="9">
        <v>0</v>
      </c>
      <c r="AC81" s="9">
        <f t="shared" si="24"/>
        <v>1763648.720328718</v>
      </c>
      <c r="AD81" s="9">
        <f t="shared" si="25"/>
        <v>826867.34161807003</v>
      </c>
    </row>
    <row r="82" spans="1:30">
      <c r="A82">
        <v>14</v>
      </c>
      <c r="B82" s="9">
        <v>0</v>
      </c>
      <c r="C82" s="9">
        <v>0</v>
      </c>
      <c r="D82" s="9">
        <f t="shared" si="32"/>
        <v>2392481.4613934448</v>
      </c>
      <c r="E82" s="9">
        <f t="shared" si="32"/>
        <v>194.59899148775796</v>
      </c>
      <c r="F82" s="9">
        <f t="shared" si="22"/>
        <v>2392676.0603849324</v>
      </c>
      <c r="G82" s="9">
        <f t="shared" si="26"/>
        <v>1058282.928956412</v>
      </c>
      <c r="I82">
        <f t="shared" si="27"/>
        <v>14</v>
      </c>
      <c r="J82" s="9">
        <v>0</v>
      </c>
      <c r="K82" s="9">
        <v>0</v>
      </c>
      <c r="L82" s="9">
        <v>0</v>
      </c>
      <c r="M82" s="9">
        <v>0</v>
      </c>
      <c r="N82" s="9">
        <f t="shared" si="28"/>
        <v>373358.5301800007</v>
      </c>
      <c r="O82" s="9">
        <v>0</v>
      </c>
      <c r="P82" s="9">
        <f t="shared" si="23"/>
        <v>373358.5301800007</v>
      </c>
      <c r="Q82" s="9">
        <f t="shared" si="21"/>
        <v>165136.83795799152</v>
      </c>
      <c r="T82">
        <f t="shared" si="29"/>
        <v>14</v>
      </c>
      <c r="U82" s="9">
        <v>0</v>
      </c>
      <c r="V82" s="9">
        <v>0</v>
      </c>
      <c r="W82" s="9">
        <v>0</v>
      </c>
      <c r="X82" s="9">
        <v>0</v>
      </c>
      <c r="Y82" s="9">
        <f t="shared" si="30"/>
        <v>509125.26842727372</v>
      </c>
      <c r="Z82" s="9">
        <f t="shared" si="30"/>
        <v>183.28509663381854</v>
      </c>
      <c r="AA82" s="9">
        <f t="shared" si="31"/>
        <v>1342522.6028212467</v>
      </c>
      <c r="AB82" s="9">
        <v>0</v>
      </c>
      <c r="AC82" s="9">
        <f t="shared" si="24"/>
        <v>1851831.1563451542</v>
      </c>
      <c r="AD82" s="9">
        <f t="shared" si="25"/>
        <v>819066.70631978649</v>
      </c>
    </row>
    <row r="83" spans="1:30">
      <c r="A83">
        <v>15</v>
      </c>
      <c r="B83" s="9">
        <v>0</v>
      </c>
      <c r="C83" s="9">
        <v>0</v>
      </c>
      <c r="D83" s="9">
        <f t="shared" si="32"/>
        <v>2512105.5344631164</v>
      </c>
      <c r="E83" s="9">
        <f t="shared" si="32"/>
        <v>204.32894106214582</v>
      </c>
      <c r="F83" s="9">
        <f t="shared" si="22"/>
        <v>2512309.8634041785</v>
      </c>
      <c r="G83" s="9">
        <f t="shared" si="26"/>
        <v>1048299.1277398416</v>
      </c>
      <c r="I83">
        <f t="shared" si="27"/>
        <v>15</v>
      </c>
      <c r="J83" s="9">
        <v>0</v>
      </c>
      <c r="K83" s="9">
        <v>0</v>
      </c>
      <c r="L83" s="9">
        <v>0</v>
      </c>
      <c r="M83" s="9">
        <v>0</v>
      </c>
      <c r="N83" s="9">
        <f t="shared" si="28"/>
        <v>392026.45668900065</v>
      </c>
      <c r="O83" s="9">
        <v>0</v>
      </c>
      <c r="P83" s="9">
        <f t="shared" si="23"/>
        <v>392026.45668900065</v>
      </c>
      <c r="Q83" s="9">
        <f t="shared" si="21"/>
        <v>163578.94326027454</v>
      </c>
      <c r="T83">
        <f t="shared" si="29"/>
        <v>15</v>
      </c>
      <c r="U83" s="9">
        <v>0</v>
      </c>
      <c r="V83" s="9">
        <v>0</v>
      </c>
      <c r="W83" s="9">
        <v>0</v>
      </c>
      <c r="X83" s="9">
        <v>0</v>
      </c>
      <c r="Y83" s="9">
        <f t="shared" si="30"/>
        <v>534581.53184863727</v>
      </c>
      <c r="Z83" s="9">
        <f t="shared" si="30"/>
        <v>192.44935146550944</v>
      </c>
      <c r="AA83" s="9">
        <f t="shared" si="31"/>
        <v>1409648.7329623087</v>
      </c>
      <c r="AB83" s="9">
        <v>0</v>
      </c>
      <c r="AC83" s="9">
        <f t="shared" si="24"/>
        <v>1944422.7141624116</v>
      </c>
      <c r="AD83" s="9">
        <f t="shared" si="25"/>
        <v>811339.66192054295</v>
      </c>
    </row>
    <row r="84" spans="1:30">
      <c r="A84">
        <v>16</v>
      </c>
      <c r="B84" s="9">
        <v>0</v>
      </c>
      <c r="C84" s="9">
        <v>0</v>
      </c>
      <c r="D84" s="9">
        <f t="shared" si="32"/>
        <v>2637710.8111862731</v>
      </c>
      <c r="E84" s="9">
        <f t="shared" si="32"/>
        <v>214.54538811525316</v>
      </c>
      <c r="F84" s="9">
        <f t="shared" si="22"/>
        <v>2637925.3565743882</v>
      </c>
      <c r="G84" s="9">
        <f t="shared" si="26"/>
        <v>1038409.5133272022</v>
      </c>
      <c r="I84">
        <f t="shared" si="27"/>
        <v>16</v>
      </c>
      <c r="J84" s="9">
        <v>0</v>
      </c>
      <c r="K84" s="9">
        <v>0</v>
      </c>
      <c r="L84" s="9">
        <v>0</v>
      </c>
      <c r="M84" s="9">
        <v>0</v>
      </c>
      <c r="N84" s="9">
        <f t="shared" si="28"/>
        <v>411627.77952345082</v>
      </c>
      <c r="O84" s="9">
        <v>0</v>
      </c>
      <c r="P84" s="9">
        <f t="shared" si="23"/>
        <v>411627.77952345082</v>
      </c>
      <c r="Q84" s="9">
        <f t="shared" si="21"/>
        <v>162035.74568234751</v>
      </c>
      <c r="T84">
        <f t="shared" si="29"/>
        <v>16</v>
      </c>
      <c r="U84" s="9">
        <v>0</v>
      </c>
      <c r="V84" s="9">
        <v>0</v>
      </c>
      <c r="W84" s="9">
        <v>0</v>
      </c>
      <c r="X84" s="9">
        <v>0</v>
      </c>
      <c r="Y84" s="9">
        <f t="shared" si="30"/>
        <v>561310.60844106937</v>
      </c>
      <c r="Z84" s="9">
        <f t="shared" si="30"/>
        <v>202.07181903878495</v>
      </c>
      <c r="AA84" s="9">
        <f t="shared" si="31"/>
        <v>1480131.1696104247</v>
      </c>
      <c r="AB84" s="9">
        <v>0</v>
      </c>
      <c r="AC84" s="9">
        <f t="shared" si="24"/>
        <v>2041643.8498705328</v>
      </c>
      <c r="AD84" s="9">
        <f t="shared" si="25"/>
        <v>803685.51416657597</v>
      </c>
    </row>
    <row r="85" spans="1:30">
      <c r="A85">
        <v>17</v>
      </c>
      <c r="B85" s="9">
        <v>0</v>
      </c>
      <c r="C85" s="9">
        <v>0</v>
      </c>
      <c r="D85" s="9">
        <f t="shared" si="32"/>
        <v>2769596.3517455864</v>
      </c>
      <c r="E85" s="9">
        <f t="shared" si="32"/>
        <v>225.27265752101582</v>
      </c>
      <c r="F85" s="9">
        <f t="shared" si="22"/>
        <v>2769821.6244031074</v>
      </c>
      <c r="G85" s="9">
        <f t="shared" si="26"/>
        <v>1028613.1971637378</v>
      </c>
      <c r="I85">
        <f t="shared" si="27"/>
        <v>17</v>
      </c>
      <c r="J85" s="9">
        <v>0</v>
      </c>
      <c r="K85" s="9">
        <v>0</v>
      </c>
      <c r="L85" s="9">
        <v>0</v>
      </c>
      <c r="M85" s="9">
        <v>0</v>
      </c>
      <c r="N85" s="9">
        <f t="shared" si="28"/>
        <v>432209.16849962331</v>
      </c>
      <c r="O85" s="9">
        <v>0</v>
      </c>
      <c r="P85" s="9">
        <f t="shared" si="23"/>
        <v>432209.16849962331</v>
      </c>
      <c r="Q85" s="9">
        <f t="shared" si="21"/>
        <v>160507.10657213666</v>
      </c>
      <c r="T85">
        <f t="shared" si="29"/>
        <v>17</v>
      </c>
      <c r="U85" s="9">
        <v>0</v>
      </c>
      <c r="V85" s="9">
        <v>0</v>
      </c>
      <c r="W85" s="9">
        <v>0</v>
      </c>
      <c r="X85" s="9">
        <v>0</v>
      </c>
      <c r="Y85" s="9">
        <f t="shared" si="30"/>
        <v>589376.13886312279</v>
      </c>
      <c r="Z85" s="9">
        <f t="shared" si="30"/>
        <v>212.17540999072418</v>
      </c>
      <c r="AA85" s="9">
        <f t="shared" si="31"/>
        <v>1554137.7280909456</v>
      </c>
      <c r="AB85" s="9">
        <v>0</v>
      </c>
      <c r="AC85" s="9">
        <f t="shared" si="24"/>
        <v>2143726.042364059</v>
      </c>
      <c r="AD85" s="9">
        <f t="shared" si="25"/>
        <v>796103.57535368344</v>
      </c>
    </row>
    <row r="86" spans="1:30">
      <c r="A86">
        <v>18</v>
      </c>
      <c r="B86" s="9">
        <v>0</v>
      </c>
      <c r="C86" s="9">
        <v>0</v>
      </c>
      <c r="D86" s="9">
        <f t="shared" si="32"/>
        <v>2908076.1693328661</v>
      </c>
      <c r="E86" s="9">
        <f t="shared" si="32"/>
        <v>236.53629039706664</v>
      </c>
      <c r="F86" s="9">
        <f t="shared" si="22"/>
        <v>2908312.705623263</v>
      </c>
      <c r="G86" s="9">
        <f t="shared" si="26"/>
        <v>1018909.2990772875</v>
      </c>
      <c r="I86">
        <f t="shared" si="27"/>
        <v>18</v>
      </c>
      <c r="J86" s="9">
        <v>0</v>
      </c>
      <c r="K86" s="9">
        <v>0</v>
      </c>
      <c r="L86" s="9">
        <v>0</v>
      </c>
      <c r="M86" s="9">
        <v>0</v>
      </c>
      <c r="N86" s="9">
        <f t="shared" si="28"/>
        <v>453819.62692460458</v>
      </c>
      <c r="O86" s="9">
        <v>0</v>
      </c>
      <c r="P86" s="9">
        <f t="shared" si="23"/>
        <v>453819.62692460458</v>
      </c>
      <c r="Q86" s="9">
        <f t="shared" si="21"/>
        <v>158992.88858560711</v>
      </c>
      <c r="T86">
        <f t="shared" si="29"/>
        <v>18</v>
      </c>
      <c r="U86" s="9">
        <v>0</v>
      </c>
      <c r="V86" s="9">
        <v>0</v>
      </c>
      <c r="W86" s="9">
        <v>0</v>
      </c>
      <c r="X86" s="9">
        <v>0</v>
      </c>
      <c r="Y86" s="9">
        <f t="shared" si="30"/>
        <v>618844.94580627896</v>
      </c>
      <c r="Z86" s="9">
        <f t="shared" si="30"/>
        <v>222.78418049026044</v>
      </c>
      <c r="AA86" s="9">
        <f t="shared" si="31"/>
        <v>1631844.6144954932</v>
      </c>
      <c r="AB86" s="9">
        <v>0</v>
      </c>
      <c r="AC86" s="9">
        <f t="shared" si="24"/>
        <v>2250912.3444822626</v>
      </c>
      <c r="AD86" s="9">
        <f t="shared" si="25"/>
        <v>788593.16426544148</v>
      </c>
    </row>
    <row r="87" spans="1:30">
      <c r="A87">
        <v>19</v>
      </c>
      <c r="B87" s="9">
        <v>0</v>
      </c>
      <c r="C87" s="9">
        <v>0</v>
      </c>
      <c r="D87" s="9">
        <f t="shared" si="32"/>
        <v>3053479.9777995092</v>
      </c>
      <c r="E87" s="9">
        <f t="shared" si="32"/>
        <v>248.36310491691995</v>
      </c>
      <c r="F87" s="9">
        <f t="shared" si="22"/>
        <v>3053728.3409044263</v>
      </c>
      <c r="G87" s="9">
        <f t="shared" si="26"/>
        <v>1009296.9471991998</v>
      </c>
      <c r="I87">
        <f t="shared" si="27"/>
        <v>19</v>
      </c>
      <c r="J87" s="9">
        <v>0</v>
      </c>
      <c r="K87" s="9">
        <v>0</v>
      </c>
      <c r="L87" s="9">
        <v>0</v>
      </c>
      <c r="M87" s="9">
        <v>0</v>
      </c>
      <c r="N87" s="9">
        <f t="shared" si="28"/>
        <v>476510.60827083478</v>
      </c>
      <c r="O87" s="9">
        <v>0</v>
      </c>
      <c r="P87" s="9">
        <f t="shared" si="23"/>
        <v>476510.60827083478</v>
      </c>
      <c r="Q87" s="9">
        <f t="shared" si="21"/>
        <v>157492.95567442209</v>
      </c>
      <c r="T87">
        <f t="shared" si="29"/>
        <v>19</v>
      </c>
      <c r="U87" s="9">
        <v>0</v>
      </c>
      <c r="V87" s="9">
        <v>0</v>
      </c>
      <c r="W87" s="9">
        <v>0</v>
      </c>
      <c r="X87" s="9">
        <v>0</v>
      </c>
      <c r="Y87" s="9">
        <f t="shared" si="30"/>
        <v>649787.19309659291</v>
      </c>
      <c r="Z87" s="9">
        <f t="shared" si="30"/>
        <v>233.92338951477345</v>
      </c>
      <c r="AA87" s="9">
        <f t="shared" si="31"/>
        <v>1713436.8452202678</v>
      </c>
      <c r="AB87" s="9">
        <v>0</v>
      </c>
      <c r="AC87" s="9">
        <f t="shared" si="24"/>
        <v>2363457.9617063757</v>
      </c>
      <c r="AD87" s="9">
        <f t="shared" si="25"/>
        <v>781153.60611199378</v>
      </c>
    </row>
    <row r="88" spans="1:30">
      <c r="A88">
        <v>20</v>
      </c>
      <c r="B88" s="9">
        <v>0</v>
      </c>
      <c r="C88" s="9">
        <v>0</v>
      </c>
      <c r="D88" s="9">
        <f t="shared" si="32"/>
        <v>3206153.9766894849</v>
      </c>
      <c r="E88" s="9">
        <f t="shared" si="32"/>
        <v>260.78126016276593</v>
      </c>
      <c r="F88" s="9">
        <f t="shared" si="22"/>
        <v>3206414.7579496475</v>
      </c>
      <c r="G88" s="9">
        <f t="shared" si="26"/>
        <v>999775.27788599988</v>
      </c>
      <c r="I88">
        <f t="shared" si="27"/>
        <v>20</v>
      </c>
      <c r="J88" s="9">
        <v>0</v>
      </c>
      <c r="K88" s="9">
        <v>0</v>
      </c>
      <c r="L88" s="9">
        <v>0</v>
      </c>
      <c r="M88" s="9">
        <v>0</v>
      </c>
      <c r="N88" s="9">
        <f t="shared" si="28"/>
        <v>500336.13868437655</v>
      </c>
      <c r="O88" s="9">
        <v>0</v>
      </c>
      <c r="P88" s="9">
        <f t="shared" si="23"/>
        <v>500336.13868437655</v>
      </c>
      <c r="Q88" s="9">
        <f t="shared" si="21"/>
        <v>156007.17307372001</v>
      </c>
      <c r="T88">
        <f t="shared" si="29"/>
        <v>20</v>
      </c>
      <c r="U88" s="9">
        <v>0</v>
      </c>
      <c r="V88" s="9">
        <v>0</v>
      </c>
      <c r="W88" s="9">
        <v>0</v>
      </c>
      <c r="X88" s="9">
        <v>0</v>
      </c>
      <c r="Y88" s="9">
        <f t="shared" si="30"/>
        <v>682276.55275142251</v>
      </c>
      <c r="Z88" s="9">
        <f t="shared" si="30"/>
        <v>245.61955899051213</v>
      </c>
      <c r="AA88" s="9">
        <f t="shared" si="31"/>
        <v>1799108.6874812811</v>
      </c>
      <c r="AB88" s="9">
        <v>0</v>
      </c>
      <c r="AC88" s="9">
        <f t="shared" si="24"/>
        <v>2481630.8597916942</v>
      </c>
      <c r="AD88" s="9">
        <f t="shared" si="25"/>
        <v>773784.23246942775</v>
      </c>
    </row>
    <row r="89" spans="1:30">
      <c r="B89" s="10"/>
      <c r="C89" s="10"/>
      <c r="D89" s="10"/>
      <c r="E89" s="10"/>
      <c r="F89" s="10">
        <f>SUM(F68:F88)</f>
        <v>46686965.916942589</v>
      </c>
      <c r="G89" s="15">
        <f>SUM(G68:G88)</f>
        <v>26642315.821969934</v>
      </c>
      <c r="P89" s="10">
        <f>SUM(P68:P88)</f>
        <v>93427058.912371919</v>
      </c>
      <c r="Q89" s="15">
        <f>SUM(Q68:Q88)</f>
        <v>77236564.328408584</v>
      </c>
      <c r="U89" s="9"/>
      <c r="V89" s="9"/>
      <c r="W89" s="9"/>
      <c r="X89" s="9"/>
      <c r="Y89" s="9"/>
      <c r="Z89" s="9"/>
      <c r="AA89" s="9"/>
      <c r="AB89" s="9"/>
      <c r="AC89" s="9">
        <f>SUM(AC68:AC88)</f>
        <v>90927936.055625558</v>
      </c>
      <c r="AD89" s="15">
        <f>SUM(AD68:AD88)</f>
        <v>75414215.590710014</v>
      </c>
    </row>
    <row r="93" spans="1:30" ht="19">
      <c r="A93" s="17" t="s">
        <v>73</v>
      </c>
      <c r="B93" s="17"/>
      <c r="C93" s="17"/>
    </row>
    <row r="95" spans="1:30">
      <c r="A95" s="4" t="s">
        <v>75</v>
      </c>
      <c r="B95" s="4"/>
      <c r="C95" s="4" t="s">
        <v>74</v>
      </c>
      <c r="E95" s="4" t="s">
        <v>81</v>
      </c>
      <c r="G95" s="4" t="s">
        <v>82</v>
      </c>
    </row>
    <row r="96" spans="1:30">
      <c r="A96" t="s">
        <v>76</v>
      </c>
      <c r="C96" s="10">
        <f xml:space="preserve"> G60</f>
        <v>26303357.10721118</v>
      </c>
      <c r="G96" s="24">
        <f xml:space="preserve"> C96/B$104</f>
        <v>0.4104768587267662</v>
      </c>
    </row>
    <row r="97" spans="1:8">
      <c r="A97" t="s">
        <v>35</v>
      </c>
      <c r="C97" s="10">
        <f xml:space="preserve"> G89</f>
        <v>26642315.821969934</v>
      </c>
      <c r="G97" s="24">
        <f t="shared" ref="G97:G101" si="33" xml:space="preserve"> C97/B$104</f>
        <v>0.4157664766225021</v>
      </c>
    </row>
    <row r="98" spans="1:8">
      <c r="A98" t="s">
        <v>77</v>
      </c>
      <c r="C98" s="10">
        <f xml:space="preserve"> Q60</f>
        <v>72455697.08947666</v>
      </c>
      <c r="E98" s="10">
        <f>C98-C96</f>
        <v>46152339.98226548</v>
      </c>
      <c r="G98" s="24">
        <f t="shared" si="33"/>
        <v>1.1307068834187992</v>
      </c>
    </row>
    <row r="99" spans="1:8">
      <c r="A99" t="s">
        <v>78</v>
      </c>
      <c r="C99" s="10">
        <f>Q89</f>
        <v>77236564.328408584</v>
      </c>
      <c r="E99" s="10">
        <f>C99-C97</f>
        <v>50594248.50643865</v>
      </c>
      <c r="G99" s="24">
        <f t="shared" si="33"/>
        <v>1.2053146742885235</v>
      </c>
    </row>
    <row r="100" spans="1:8">
      <c r="A100" t="s">
        <v>80</v>
      </c>
      <c r="C100" s="10">
        <f>AD60</f>
        <v>55025244.835694753</v>
      </c>
      <c r="E100" s="10">
        <f>C100-C96</f>
        <v>28721887.728483573</v>
      </c>
      <c r="G100" s="24">
        <f t="shared" si="33"/>
        <v>0.85869608045715906</v>
      </c>
    </row>
    <row r="101" spans="1:8">
      <c r="A101" t="s">
        <v>79</v>
      </c>
      <c r="C101" s="10">
        <f>AD89</f>
        <v>75414215.590710014</v>
      </c>
      <c r="E101" s="10">
        <f>C101-C97</f>
        <v>48771899.76874008</v>
      </c>
      <c r="G101" s="24">
        <f t="shared" si="33"/>
        <v>1.1768760235753748</v>
      </c>
    </row>
    <row r="103" spans="1:8">
      <c r="B103" s="3" t="s">
        <v>85</v>
      </c>
    </row>
    <row r="104" spans="1:8">
      <c r="A104" s="3" t="s">
        <v>51</v>
      </c>
      <c r="B104">
        <f>20*3204000</f>
        <v>64080000</v>
      </c>
    </row>
    <row r="105" spans="1:8">
      <c r="A105" s="3" t="s">
        <v>83</v>
      </c>
      <c r="B105">
        <f t="shared" ref="B105:B106" si="34">20*3204000</f>
        <v>64080000</v>
      </c>
    </row>
    <row r="106" spans="1:8">
      <c r="A106" s="3" t="s">
        <v>84</v>
      </c>
      <c r="B106">
        <f t="shared" si="34"/>
        <v>64080000</v>
      </c>
    </row>
    <row r="108" spans="1:8">
      <c r="A108" s="25" t="s">
        <v>86</v>
      </c>
      <c r="B108" s="25"/>
      <c r="C108" s="25"/>
      <c r="D108" s="25"/>
      <c r="E108" s="25"/>
      <c r="F108" s="25"/>
      <c r="G108" s="25"/>
      <c r="H108" s="25"/>
    </row>
    <row r="109" spans="1:8">
      <c r="A109" s="25"/>
      <c r="B109" s="25"/>
      <c r="C109" s="25"/>
      <c r="D109" s="25"/>
      <c r="E109" s="25"/>
      <c r="F109" s="25"/>
      <c r="G109" s="25"/>
      <c r="H109" s="25"/>
    </row>
    <row r="110" spans="1:8">
      <c r="A110" s="25"/>
      <c r="B110" s="25"/>
      <c r="C110" s="25"/>
      <c r="D110" s="25"/>
      <c r="E110" s="25"/>
      <c r="F110" s="25"/>
      <c r="G110" s="25"/>
      <c r="H110" s="25"/>
    </row>
    <row r="111" spans="1:8">
      <c r="A111" s="25"/>
      <c r="B111" s="25"/>
      <c r="C111" s="25"/>
      <c r="D111" s="25"/>
      <c r="E111" s="25"/>
      <c r="F111" s="25"/>
      <c r="G111" s="25"/>
      <c r="H111" s="25"/>
    </row>
    <row r="113" spans="1:2" ht="19">
      <c r="A113" s="26" t="s">
        <v>87</v>
      </c>
    </row>
    <row r="114" spans="1:2" ht="19">
      <c r="A114" s="26"/>
    </row>
    <row r="115" spans="1:2" ht="17">
      <c r="A115" s="27" t="s">
        <v>90</v>
      </c>
      <c r="B115">
        <v>0.15</v>
      </c>
    </row>
    <row r="116" spans="1:2" ht="17">
      <c r="A116" s="27" t="s">
        <v>88</v>
      </c>
      <c r="B116">
        <v>2554500</v>
      </c>
    </row>
    <row r="117" spans="1:2" ht="17">
      <c r="A117" s="27" t="s">
        <v>89</v>
      </c>
      <c r="B117">
        <f>B116*B115</f>
        <v>383175</v>
      </c>
    </row>
    <row r="118" spans="1:2" ht="17">
      <c r="A118" s="27"/>
    </row>
    <row r="119" spans="1:2" ht="17">
      <c r="A119" s="27" t="s">
        <v>91</v>
      </c>
      <c r="B119" s="10">
        <f>C101-B117</f>
        <v>75031040.590710014</v>
      </c>
    </row>
    <row r="120" spans="1:2" ht="17">
      <c r="A120" s="27" t="s">
        <v>93</v>
      </c>
      <c r="B120" s="10">
        <f>C100-B117</f>
        <v>54642069.835694753</v>
      </c>
    </row>
    <row r="121" spans="1:2" ht="17">
      <c r="A121" s="27" t="s">
        <v>94</v>
      </c>
      <c r="B121" s="10">
        <f>B119-C97</f>
        <v>48388724.76874008</v>
      </c>
    </row>
    <row r="122" spans="1:2" ht="17">
      <c r="A122" s="27" t="s">
        <v>92</v>
      </c>
      <c r="B122" s="10">
        <f>B120-C96</f>
        <v>28338712.728483573</v>
      </c>
    </row>
  </sheetData>
  <mergeCells count="17">
    <mergeCell ref="A108:H111"/>
    <mergeCell ref="A1:N1"/>
    <mergeCell ref="A3:B3"/>
    <mergeCell ref="F3:I3"/>
    <mergeCell ref="L3:N3"/>
    <mergeCell ref="A10:B10"/>
    <mergeCell ref="C13:D13"/>
    <mergeCell ref="F10:I10"/>
    <mergeCell ref="F4:G4"/>
    <mergeCell ref="H4:I4"/>
    <mergeCell ref="A37:E37"/>
    <mergeCell ref="A93:C93"/>
    <mergeCell ref="A66:E66"/>
    <mergeCell ref="I66:M66"/>
    <mergeCell ref="T37:X37"/>
    <mergeCell ref="T66:X66"/>
    <mergeCell ref="I37:M3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Omamuyovwhi E Ikuku</dc:creator>
  <cp:lastModifiedBy>Omamuyovwhi E Ikuku</cp:lastModifiedBy>
  <dcterms:created xsi:type="dcterms:W3CDTF">2020-02-28T23:42:52Z</dcterms:created>
  <dcterms:modified xsi:type="dcterms:W3CDTF">2020-02-29T06:54:54Z</dcterms:modified>
</cp:coreProperties>
</file>