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u\Downloads\"/>
    </mc:Choice>
  </mc:AlternateContent>
  <xr:revisionPtr revIDLastSave="0" documentId="13_ncr:1_{4898A0F9-689E-4658-B65C-7918BE3E26C1}" xr6:coauthVersionLast="45" xr6:coauthVersionMax="45" xr10:uidLastSave="{00000000-0000-0000-0000-000000000000}"/>
  <bookViews>
    <workbookView xWindow="-120" yWindow="-120" windowWidth="29040" windowHeight="15840" xr2:uid="{5DD6A7E3-AF55-C440-9FBC-1D723ADF9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43" i="1"/>
  <c r="G69" i="1" l="1"/>
  <c r="G70" i="1"/>
  <c r="G71" i="1"/>
  <c r="G72" i="1"/>
  <c r="G81" i="1"/>
  <c r="G82" i="1"/>
  <c r="G63" i="1"/>
  <c r="B63" i="1"/>
  <c r="B94" i="1"/>
  <c r="B3" i="1"/>
  <c r="B4" i="1" s="1"/>
  <c r="B8" i="1"/>
  <c r="G5" i="1" s="1"/>
  <c r="B71" i="1"/>
  <c r="G64" i="1" s="1"/>
  <c r="B90" i="1"/>
  <c r="B91" i="1" s="1"/>
  <c r="B92" i="1" s="1"/>
  <c r="B60" i="1"/>
  <c r="B67" i="1" s="1"/>
  <c r="P65" i="1" s="1"/>
  <c r="B7" i="1"/>
  <c r="O5" i="1" s="1"/>
  <c r="B6" i="1"/>
  <c r="B10" i="1" s="1"/>
  <c r="B39" i="1"/>
  <c r="B46" i="1" s="1"/>
  <c r="B31" i="1"/>
  <c r="B37" i="1" s="1"/>
  <c r="N44" i="1" s="1"/>
  <c r="B12" i="1"/>
  <c r="B33" i="1"/>
  <c r="B34" i="1" s="1"/>
  <c r="B70" i="1"/>
  <c r="P71" i="1" s="1"/>
  <c r="B69" i="1"/>
  <c r="B74" i="1" s="1"/>
  <c r="H77" i="1" l="1"/>
  <c r="H65" i="1"/>
  <c r="P82" i="1"/>
  <c r="P70" i="1"/>
  <c r="N36" i="1"/>
  <c r="G80" i="1"/>
  <c r="H76" i="1"/>
  <c r="P69" i="1"/>
  <c r="G51" i="1"/>
  <c r="N43" i="1"/>
  <c r="H63" i="1"/>
  <c r="H71" i="1"/>
  <c r="P76" i="1"/>
  <c r="P64" i="1"/>
  <c r="G44" i="1"/>
  <c r="N48" i="1"/>
  <c r="G68" i="1"/>
  <c r="H64" i="1"/>
  <c r="P81" i="1"/>
  <c r="G39" i="1"/>
  <c r="G75" i="1"/>
  <c r="G50" i="1"/>
  <c r="G38" i="1"/>
  <c r="N42" i="1"/>
  <c r="G74" i="1"/>
  <c r="H82" i="1"/>
  <c r="H70" i="1"/>
  <c r="P75" i="1"/>
  <c r="G45" i="1"/>
  <c r="N49" i="1"/>
  <c r="N37" i="1"/>
  <c r="G49" i="1"/>
  <c r="G37" i="1"/>
  <c r="N53" i="1"/>
  <c r="N41" i="1"/>
  <c r="G73" i="1"/>
  <c r="H81" i="1"/>
  <c r="H69" i="1"/>
  <c r="P74" i="1"/>
  <c r="H80" i="1"/>
  <c r="H68" i="1"/>
  <c r="P73" i="1"/>
  <c r="H79" i="1"/>
  <c r="H67" i="1"/>
  <c r="P72" i="1"/>
  <c r="H78" i="1"/>
  <c r="H66" i="1"/>
  <c r="P63" i="1"/>
  <c r="G46" i="1"/>
  <c r="N50" i="1"/>
  <c r="N38" i="1"/>
  <c r="G48" i="1"/>
  <c r="G36" i="1"/>
  <c r="N52" i="1"/>
  <c r="N40" i="1"/>
  <c r="G47" i="1"/>
  <c r="G35" i="1"/>
  <c r="N51" i="1"/>
  <c r="N39" i="1"/>
  <c r="G34" i="1"/>
  <c r="G42" i="1"/>
  <c r="N46" i="1"/>
  <c r="G78" i="1"/>
  <c r="G66" i="1"/>
  <c r="H74" i="1"/>
  <c r="P79" i="1"/>
  <c r="P67" i="1"/>
  <c r="B66" i="1"/>
  <c r="G43" i="1"/>
  <c r="N47" i="1"/>
  <c r="N35" i="1"/>
  <c r="G79" i="1"/>
  <c r="G67" i="1"/>
  <c r="H75" i="1"/>
  <c r="P80" i="1"/>
  <c r="P68" i="1"/>
  <c r="G53" i="1"/>
  <c r="G41" i="1"/>
  <c r="N45" i="1"/>
  <c r="G77" i="1"/>
  <c r="G65" i="1"/>
  <c r="H73" i="1"/>
  <c r="P78" i="1"/>
  <c r="P66" i="1"/>
  <c r="N34" i="1"/>
  <c r="G52" i="1"/>
  <c r="G40" i="1"/>
  <c r="G76" i="1"/>
  <c r="H72" i="1"/>
  <c r="P77" i="1"/>
  <c r="B95" i="1"/>
  <c r="B64" i="1"/>
  <c r="G8" i="1"/>
  <c r="M43" i="1"/>
  <c r="B43" i="1"/>
  <c r="P40" i="1"/>
  <c r="Q40" i="1" s="1"/>
  <c r="N62" i="1"/>
  <c r="B36" i="1"/>
  <c r="P48" i="1"/>
  <c r="Q48" i="1" s="1"/>
  <c r="B77" i="1"/>
  <c r="F14" i="1"/>
  <c r="O23" i="1"/>
  <c r="H19" i="1"/>
  <c r="N5" i="1"/>
  <c r="P5" i="1" s="1"/>
  <c r="Q5" i="1" s="1"/>
  <c r="H7" i="1"/>
  <c r="H23" i="1"/>
  <c r="H11" i="1"/>
  <c r="M4" i="1"/>
  <c r="P4" i="1" s="1"/>
  <c r="H15" i="1"/>
  <c r="E4" i="1"/>
  <c r="I4" i="1" s="1"/>
  <c r="J4" i="1" s="1"/>
  <c r="N9" i="1"/>
  <c r="O11" i="1"/>
  <c r="N14" i="1"/>
  <c r="N15" i="1"/>
  <c r="O16" i="1"/>
  <c r="N20" i="1"/>
  <c r="H22" i="1"/>
  <c r="H18" i="1"/>
  <c r="H14" i="1"/>
  <c r="H10" i="1"/>
  <c r="H6" i="1"/>
  <c r="N8" i="1"/>
  <c r="O9" i="1"/>
  <c r="N13" i="1"/>
  <c r="O14" i="1"/>
  <c r="O15" i="1"/>
  <c r="N18" i="1"/>
  <c r="N19" i="1"/>
  <c r="O20" i="1"/>
  <c r="N24" i="1"/>
  <c r="O10" i="1"/>
  <c r="O21" i="1"/>
  <c r="H5" i="1"/>
  <c r="H21" i="1"/>
  <c r="H17" i="1"/>
  <c r="H13" i="1"/>
  <c r="H9" i="1"/>
  <c r="N6" i="1"/>
  <c r="N7" i="1"/>
  <c r="O8" i="1"/>
  <c r="N12" i="1"/>
  <c r="O13" i="1"/>
  <c r="N17" i="1"/>
  <c r="O18" i="1"/>
  <c r="O19" i="1"/>
  <c r="N22" i="1"/>
  <c r="N23" i="1"/>
  <c r="O24" i="1"/>
  <c r="G6" i="1"/>
  <c r="H24" i="1"/>
  <c r="H20" i="1"/>
  <c r="H16" i="1"/>
  <c r="H12" i="1"/>
  <c r="H8" i="1"/>
  <c r="O6" i="1"/>
  <c r="O7" i="1"/>
  <c r="N10" i="1"/>
  <c r="N11" i="1"/>
  <c r="O12" i="1"/>
  <c r="N16" i="1"/>
  <c r="O17" i="1"/>
  <c r="N21" i="1"/>
  <c r="O22" i="1"/>
  <c r="G24" i="1"/>
  <c r="G20" i="1"/>
  <c r="G21" i="1"/>
  <c r="G17" i="1"/>
  <c r="G13" i="1"/>
  <c r="G16" i="1"/>
  <c r="G12" i="1"/>
  <c r="G23" i="1"/>
  <c r="G19" i="1"/>
  <c r="G15" i="1"/>
  <c r="G11" i="1"/>
  <c r="G7" i="1"/>
  <c r="G22" i="1"/>
  <c r="G18" i="1"/>
  <c r="G14" i="1"/>
  <c r="G10" i="1"/>
  <c r="G9" i="1"/>
  <c r="P43" i="1" l="1"/>
  <c r="Q43" i="1" s="1"/>
  <c r="M33" i="1"/>
  <c r="B38" i="1"/>
  <c r="B45" i="1"/>
  <c r="F47" i="1" s="1"/>
  <c r="F17" i="1"/>
  <c r="I17" i="1" s="1"/>
  <c r="J17" i="1" s="1"/>
  <c r="B76" i="1"/>
  <c r="B73" i="1"/>
  <c r="E62" i="1" s="1"/>
  <c r="P45" i="1"/>
  <c r="Q45" i="1" s="1"/>
  <c r="P47" i="1"/>
  <c r="Q47" i="1" s="1"/>
  <c r="P44" i="1"/>
  <c r="Q44" i="1" s="1"/>
  <c r="F12" i="1"/>
  <c r="I12" i="1" s="1"/>
  <c r="J12" i="1" s="1"/>
  <c r="P46" i="1"/>
  <c r="Q46" i="1" s="1"/>
  <c r="P38" i="1"/>
  <c r="Q38" i="1" s="1"/>
  <c r="P53" i="1"/>
  <c r="Q53" i="1" s="1"/>
  <c r="F7" i="1"/>
  <c r="I7" i="1" s="1"/>
  <c r="J7" i="1" s="1"/>
  <c r="F23" i="1"/>
  <c r="I23" i="1" s="1"/>
  <c r="J23" i="1" s="1"/>
  <c r="P37" i="1"/>
  <c r="Q37" i="1" s="1"/>
  <c r="P52" i="1"/>
  <c r="Q52" i="1" s="1"/>
  <c r="P41" i="1"/>
  <c r="Q41" i="1" s="1"/>
  <c r="P36" i="1"/>
  <c r="Q36" i="1" s="1"/>
  <c r="P34" i="1"/>
  <c r="Q34" i="1" s="1"/>
  <c r="P35" i="1"/>
  <c r="Q35" i="1" s="1"/>
  <c r="P50" i="1"/>
  <c r="Q50" i="1" s="1"/>
  <c r="P39" i="1"/>
  <c r="Q39" i="1" s="1"/>
  <c r="P49" i="1"/>
  <c r="Q49" i="1" s="1"/>
  <c r="P42" i="1"/>
  <c r="Q42" i="1" s="1"/>
  <c r="P51" i="1"/>
  <c r="Q51" i="1" s="1"/>
  <c r="B68" i="1"/>
  <c r="I62" i="1" s="1"/>
  <c r="B42" i="1"/>
  <c r="F19" i="1"/>
  <c r="I19" i="1" s="1"/>
  <c r="J19" i="1" s="1"/>
  <c r="F21" i="1"/>
  <c r="I21" i="1" s="1"/>
  <c r="J21" i="1" s="1"/>
  <c r="F20" i="1"/>
  <c r="I20" i="1" s="1"/>
  <c r="J20" i="1" s="1"/>
  <c r="F22" i="1"/>
  <c r="I22" i="1" s="1"/>
  <c r="J22" i="1" s="1"/>
  <c r="F6" i="1"/>
  <c r="I6" i="1" s="1"/>
  <c r="J6" i="1" s="1"/>
  <c r="F16" i="1"/>
  <c r="I16" i="1" s="1"/>
  <c r="J16" i="1" s="1"/>
  <c r="F15" i="1"/>
  <c r="I15" i="1" s="1"/>
  <c r="J15" i="1" s="1"/>
  <c r="F10" i="1"/>
  <c r="I10" i="1" s="1"/>
  <c r="J10" i="1" s="1"/>
  <c r="F9" i="1"/>
  <c r="I9" i="1" s="1"/>
  <c r="J9" i="1" s="1"/>
  <c r="F11" i="1"/>
  <c r="I11" i="1" s="1"/>
  <c r="J11" i="1" s="1"/>
  <c r="Q4" i="1"/>
  <c r="F18" i="1"/>
  <c r="I18" i="1" s="1"/>
  <c r="J18" i="1" s="1"/>
  <c r="F13" i="1"/>
  <c r="I13" i="1" s="1"/>
  <c r="J13" i="1" s="1"/>
  <c r="F24" i="1"/>
  <c r="I24" i="1" s="1"/>
  <c r="J24" i="1" s="1"/>
  <c r="F8" i="1"/>
  <c r="I8" i="1" s="1"/>
  <c r="J8" i="1" s="1"/>
  <c r="I14" i="1"/>
  <c r="J14" i="1" s="1"/>
  <c r="P20" i="1"/>
  <c r="Q20" i="1" s="1"/>
  <c r="P15" i="1"/>
  <c r="Q15" i="1" s="1"/>
  <c r="P14" i="1"/>
  <c r="Q14" i="1" s="1"/>
  <c r="P9" i="1"/>
  <c r="Q9" i="1" s="1"/>
  <c r="P21" i="1"/>
  <c r="Q21" i="1" s="1"/>
  <c r="P16" i="1"/>
  <c r="Q16" i="1" s="1"/>
  <c r="P11" i="1"/>
  <c r="Q11" i="1" s="1"/>
  <c r="P10" i="1"/>
  <c r="Q10" i="1" s="1"/>
  <c r="P13" i="1"/>
  <c r="Q13" i="1" s="1"/>
  <c r="P8" i="1"/>
  <c r="Q8" i="1" s="1"/>
  <c r="P23" i="1"/>
  <c r="Q23" i="1" s="1"/>
  <c r="P22" i="1"/>
  <c r="Q22" i="1" s="1"/>
  <c r="P17" i="1"/>
  <c r="Q17" i="1" s="1"/>
  <c r="P12" i="1"/>
  <c r="Q12" i="1" s="1"/>
  <c r="P7" i="1"/>
  <c r="Q7" i="1" s="1"/>
  <c r="P6" i="1"/>
  <c r="Q6" i="1" s="1"/>
  <c r="F5" i="1"/>
  <c r="P24" i="1"/>
  <c r="Q24" i="1" s="1"/>
  <c r="P19" i="1"/>
  <c r="Q19" i="1" s="1"/>
  <c r="P18" i="1"/>
  <c r="Q18" i="1" s="1"/>
  <c r="F42" i="1" l="1"/>
  <c r="F52" i="1"/>
  <c r="F45" i="1"/>
  <c r="F48" i="1"/>
  <c r="F50" i="1"/>
  <c r="F44" i="1"/>
  <c r="F38" i="1"/>
  <c r="F46" i="1"/>
  <c r="F34" i="1"/>
  <c r="I34" i="1" s="1"/>
  <c r="J34" i="1" s="1"/>
  <c r="O64" i="1"/>
  <c r="O68" i="1"/>
  <c r="R68" i="1" s="1"/>
  <c r="S68" i="1" s="1"/>
  <c r="O72" i="1"/>
  <c r="R72" i="1" s="1"/>
  <c r="S72" i="1" s="1"/>
  <c r="O76" i="1"/>
  <c r="R76" i="1" s="1"/>
  <c r="S76" i="1" s="1"/>
  <c r="O80" i="1"/>
  <c r="R80" i="1" s="1"/>
  <c r="S80" i="1" s="1"/>
  <c r="O65" i="1"/>
  <c r="R65" i="1" s="1"/>
  <c r="S65" i="1" s="1"/>
  <c r="O69" i="1"/>
  <c r="R69" i="1" s="1"/>
  <c r="S69" i="1" s="1"/>
  <c r="O73" i="1"/>
  <c r="R73" i="1" s="1"/>
  <c r="S73" i="1" s="1"/>
  <c r="O77" i="1"/>
  <c r="R77" i="1" s="1"/>
  <c r="S77" i="1" s="1"/>
  <c r="O81" i="1"/>
  <c r="O66" i="1"/>
  <c r="R66" i="1" s="1"/>
  <c r="S66" i="1" s="1"/>
  <c r="O70" i="1"/>
  <c r="R70" i="1" s="1"/>
  <c r="S70" i="1" s="1"/>
  <c r="O74" i="1"/>
  <c r="R74" i="1" s="1"/>
  <c r="S74" i="1" s="1"/>
  <c r="O78" i="1"/>
  <c r="R78" i="1" s="1"/>
  <c r="S78" i="1" s="1"/>
  <c r="O82" i="1"/>
  <c r="R82" i="1" s="1"/>
  <c r="S82" i="1" s="1"/>
  <c r="O67" i="1"/>
  <c r="R67" i="1" s="1"/>
  <c r="S67" i="1" s="1"/>
  <c r="O71" i="1"/>
  <c r="R71" i="1" s="1"/>
  <c r="S71" i="1" s="1"/>
  <c r="O75" i="1"/>
  <c r="R75" i="1" s="1"/>
  <c r="S75" i="1" s="1"/>
  <c r="O79" i="1"/>
  <c r="R79" i="1" s="1"/>
  <c r="S79" i="1" s="1"/>
  <c r="O63" i="1"/>
  <c r="R63" i="1" s="1"/>
  <c r="S63" i="1" s="1"/>
  <c r="F49" i="1"/>
  <c r="F36" i="1"/>
  <c r="F43" i="1"/>
  <c r="F41" i="1"/>
  <c r="F39" i="1"/>
  <c r="F51" i="1"/>
  <c r="F35" i="1"/>
  <c r="F37" i="1"/>
  <c r="F40" i="1"/>
  <c r="F53" i="1"/>
  <c r="F64" i="1"/>
  <c r="J64" i="1" s="1"/>
  <c r="K64" i="1" s="1"/>
  <c r="F68" i="1"/>
  <c r="J68" i="1" s="1"/>
  <c r="K68" i="1" s="1"/>
  <c r="F72" i="1"/>
  <c r="J72" i="1" s="1"/>
  <c r="K72" i="1" s="1"/>
  <c r="F76" i="1"/>
  <c r="J76" i="1" s="1"/>
  <c r="K76" i="1" s="1"/>
  <c r="F80" i="1"/>
  <c r="J80" i="1" s="1"/>
  <c r="K80" i="1" s="1"/>
  <c r="F65" i="1"/>
  <c r="J65" i="1" s="1"/>
  <c r="K65" i="1" s="1"/>
  <c r="F69" i="1"/>
  <c r="J69" i="1" s="1"/>
  <c r="K69" i="1" s="1"/>
  <c r="F73" i="1"/>
  <c r="J73" i="1" s="1"/>
  <c r="K73" i="1" s="1"/>
  <c r="F77" i="1"/>
  <c r="J77" i="1" s="1"/>
  <c r="K77" i="1" s="1"/>
  <c r="F81" i="1"/>
  <c r="J81" i="1" s="1"/>
  <c r="K81" i="1" s="1"/>
  <c r="F66" i="1"/>
  <c r="J66" i="1" s="1"/>
  <c r="K66" i="1" s="1"/>
  <c r="F70" i="1"/>
  <c r="J70" i="1" s="1"/>
  <c r="K70" i="1" s="1"/>
  <c r="F74" i="1"/>
  <c r="J74" i="1" s="1"/>
  <c r="K74" i="1" s="1"/>
  <c r="F78" i="1"/>
  <c r="J78" i="1" s="1"/>
  <c r="K78" i="1" s="1"/>
  <c r="F82" i="1"/>
  <c r="J82" i="1" s="1"/>
  <c r="K82" i="1" s="1"/>
  <c r="F67" i="1"/>
  <c r="J67" i="1" s="1"/>
  <c r="K67" i="1" s="1"/>
  <c r="F71" i="1"/>
  <c r="J71" i="1" s="1"/>
  <c r="K71" i="1" s="1"/>
  <c r="F75" i="1"/>
  <c r="J75" i="1" s="1"/>
  <c r="K75" i="1" s="1"/>
  <c r="F79" i="1"/>
  <c r="J79" i="1" s="1"/>
  <c r="K79" i="1" s="1"/>
  <c r="F63" i="1"/>
  <c r="J63" i="1" s="1"/>
  <c r="K63" i="1" s="1"/>
  <c r="R64" i="1"/>
  <c r="S64" i="1" s="1"/>
  <c r="R81" i="1"/>
  <c r="S81" i="1" s="1"/>
  <c r="J62" i="1"/>
  <c r="K62" i="1" s="1"/>
  <c r="H33" i="1"/>
  <c r="O33" i="1"/>
  <c r="P33" i="1" s="1"/>
  <c r="Q33" i="1" s="1"/>
  <c r="I5" i="1"/>
  <c r="J5" i="1" s="1"/>
  <c r="J25" i="1" s="1"/>
  <c r="I28" i="1" s="1"/>
  <c r="Q25" i="1"/>
  <c r="P28" i="1" s="1"/>
  <c r="P25" i="1"/>
  <c r="P27" i="1" l="1"/>
  <c r="I27" i="1"/>
  <c r="Q62" i="1"/>
  <c r="R62" i="1" s="1"/>
  <c r="S62" i="1" s="1"/>
  <c r="J83" i="1"/>
  <c r="I33" i="1"/>
  <c r="J33" i="1" s="1"/>
  <c r="P54" i="1"/>
  <c r="Q54" i="1" s="1"/>
  <c r="I25" i="1"/>
  <c r="P57" i="1" l="1"/>
  <c r="P56" i="1"/>
  <c r="S83" i="1"/>
  <c r="R85" i="1" s="1"/>
  <c r="R83" i="1"/>
  <c r="K83" i="1"/>
  <c r="I36" i="1"/>
  <c r="J36" i="1" s="1"/>
  <c r="I35" i="1"/>
  <c r="J35" i="1" s="1"/>
  <c r="I46" i="1"/>
  <c r="J46" i="1" s="1"/>
  <c r="I48" i="1"/>
  <c r="J48" i="1" s="1"/>
  <c r="I53" i="1"/>
  <c r="J53" i="1" s="1"/>
  <c r="I47" i="1"/>
  <c r="J47" i="1" s="1"/>
  <c r="I49" i="1"/>
  <c r="J49" i="1" s="1"/>
  <c r="I42" i="1"/>
  <c r="J42" i="1" s="1"/>
  <c r="I45" i="1"/>
  <c r="J45" i="1" s="1"/>
  <c r="I40" i="1"/>
  <c r="J40" i="1" s="1"/>
  <c r="I37" i="1"/>
  <c r="J37" i="1" s="1"/>
  <c r="I39" i="1"/>
  <c r="J39" i="1" s="1"/>
  <c r="I50" i="1"/>
  <c r="J50" i="1" s="1"/>
  <c r="I52" i="1"/>
  <c r="J52" i="1" s="1"/>
  <c r="I51" i="1"/>
  <c r="J51" i="1" s="1"/>
  <c r="I44" i="1"/>
  <c r="J44" i="1" s="1"/>
  <c r="I41" i="1"/>
  <c r="J41" i="1" s="1"/>
  <c r="I43" i="1"/>
  <c r="J43" i="1" s="1"/>
  <c r="I38" i="1"/>
  <c r="J38" i="1" s="1"/>
  <c r="J54" i="1" l="1"/>
  <c r="I57" i="1" s="1"/>
  <c r="J85" i="1"/>
  <c r="J88" i="1"/>
  <c r="R88" i="1"/>
  <c r="R86" i="1"/>
  <c r="R89" i="1" s="1"/>
  <c r="J86" i="1"/>
  <c r="J89" i="1" s="1"/>
  <c r="I54" i="1"/>
  <c r="I56" i="1" l="1"/>
</calcChain>
</file>

<file path=xl/sharedStrings.xml><?xml version="1.0" encoding="utf-8"?>
<sst xmlns="http://schemas.openxmlformats.org/spreadsheetml/2006/main" count="247" uniqueCount="82">
  <si>
    <t>Deisel</t>
  </si>
  <si>
    <t>investment:</t>
  </si>
  <si>
    <t>O&amp;M</t>
  </si>
  <si>
    <t>O&amp;M:</t>
  </si>
  <si>
    <t xml:space="preserve">fuel: </t>
  </si>
  <si>
    <t xml:space="preserve">Scenario #1: </t>
  </si>
  <si>
    <t xml:space="preserve">down payment: </t>
  </si>
  <si>
    <t xml:space="preserve">loan payment: </t>
  </si>
  <si>
    <t>interest rate: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</si>
  <si>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</si>
  <si>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</si>
  <si>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</si>
  <si>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</si>
  <si>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</si>
  <si>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</si>
  <si>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</si>
  <si>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</si>
  <si>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</si>
  <si>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</si>
  <si>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</si>
  <si>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</si>
  <si>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</si>
  <si>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</si>
  <si>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</si>
  <si>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</si>
  <si>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</si>
  <si>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</si>
  <si>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</si>
  <si>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</si>
  <si>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Inv</t>
  </si>
  <si>
    <t>Fuel</t>
  </si>
  <si>
    <t>O$M</t>
  </si>
  <si>
    <t xml:space="preserve">inflation: </t>
  </si>
  <si>
    <t>Y0</t>
  </si>
  <si>
    <t>Net Costs</t>
  </si>
  <si>
    <t>Discounted</t>
  </si>
  <si>
    <t>discount:</t>
  </si>
  <si>
    <t>$/kWh</t>
  </si>
  <si>
    <t>LCOE:</t>
  </si>
  <si>
    <t xml:space="preserve">Scenario #2: </t>
  </si>
  <si>
    <t xml:space="preserve">E_life: </t>
  </si>
  <si>
    <t>Solar + Battery</t>
  </si>
  <si>
    <t>size (kW):</t>
  </si>
  <si>
    <t>solar investment:</t>
  </si>
  <si>
    <t>battery investment:</t>
  </si>
  <si>
    <t>solar size (kW):</t>
  </si>
  <si>
    <t>battery size (kWh):</t>
  </si>
  <si>
    <t>solar O&amp;M:</t>
  </si>
  <si>
    <t>solar tax incentive:</t>
  </si>
  <si>
    <t>battery O&amp;M:</t>
  </si>
  <si>
    <t xml:space="preserve">solar down payment: </t>
  </si>
  <si>
    <t>bat down payment:</t>
  </si>
  <si>
    <t xml:space="preserve">solar loan payment: </t>
  </si>
  <si>
    <t>battery loan payment:</t>
  </si>
  <si>
    <t>Loan</t>
  </si>
  <si>
    <t>Solar + Deisel</t>
  </si>
  <si>
    <t>tax incentive</t>
  </si>
  <si>
    <t>tax incentives</t>
  </si>
  <si>
    <t>deisel investment:</t>
  </si>
  <si>
    <t>deisel O&amp;M:</t>
  </si>
  <si>
    <t>deisel size (kW):</t>
  </si>
  <si>
    <t xml:space="preserve">deisel fuel: </t>
  </si>
  <si>
    <t>deisel energy (kWh):</t>
  </si>
  <si>
    <t>deis down payment:</t>
  </si>
  <si>
    <t>deis loan payment:</t>
  </si>
  <si>
    <t>combined O&amp;M</t>
  </si>
  <si>
    <t>Investment</t>
  </si>
  <si>
    <t>Deisel Fuel</t>
  </si>
  <si>
    <t>20 day energy (kWh):</t>
  </si>
  <si>
    <t xml:space="preserve">solar resold: </t>
  </si>
  <si>
    <t>Oct energy (kWh):</t>
  </si>
  <si>
    <t>daily energy (kWh):</t>
  </si>
  <si>
    <t>345 days energy (kWh):</t>
  </si>
  <si>
    <t>solar life energy (kWh):</t>
  </si>
  <si>
    <t>LLC:</t>
  </si>
  <si>
    <t>Adjustment for annual solar</t>
  </si>
  <si>
    <t>Profit:</t>
  </si>
  <si>
    <t>E_life (kWh):</t>
  </si>
  <si>
    <t xml:space="preserve">adj E_life (kWh): </t>
  </si>
  <si>
    <t>adjusted LCOE:</t>
  </si>
  <si>
    <t>adjusted LCS:</t>
  </si>
  <si>
    <t>LCS: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</si>
</sst>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00_);_(&quot;$&quot;* \(#,##0.0000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44" fontId="0" fillId="0" borderId="2" xfId="1" applyFont="1" applyBorder="1"/>
    <xf numFmtId="0" fontId="0" fillId="0" borderId="5" xfId="0" applyBorder="1" applyAlignment="1">
      <alignment horizontal="center" vertical="center"/>
    </xf>
    <xf numFmtId="44" fontId="0" fillId="0" borderId="6" xfId="1" applyFont="1" applyBorder="1"/>
    <xf numFmtId="44" fontId="0" fillId="0" borderId="0" xfId="1" applyFont="1" applyBorder="1"/>
    <xf numFmtId="44" fontId="0" fillId="0" borderId="7" xfId="1" applyFont="1" applyBorder="1"/>
    <xf numFmtId="44" fontId="0" fillId="0" borderId="1" xfId="1" applyFont="1" applyBorder="1"/>
    <xf numFmtId="44" fontId="0" fillId="0" borderId="3" xfId="1" applyFont="1" applyBorder="1"/>
    <xf numFmtId="44" fontId="0" fillId="0" borderId="4" xfId="0" applyNumberFormat="1" applyBorder="1"/>
    <xf numFmtId="44" fontId="0" fillId="0" borderId="5" xfId="0" applyNumberFormat="1" applyBorder="1"/>
    <xf numFmtId="44" fontId="0" fillId="0" borderId="7" xfId="0" applyNumberFormat="1" applyBorder="1"/>
    <xf numFmtId="44" fontId="0" fillId="0" borderId="6" xfId="0" applyNumberFormat="1" applyBorder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44" fontId="0" fillId="0" borderId="0" xfId="0" applyNumberFormat="1" applyBorder="1"/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Fill="1"/>
    <xf numFmtId="0" fontId="0" fillId="0" borderId="0" xfId="0" quotePrefix="1"/>
    <xf numFmtId="165" fontId="0" fillId="2" borderId="8" xfId="0" applyNumberFormat="1" applyFill="1" applyBorder="1" applyAlignment="1">
      <alignment horizontal="right"/>
    </xf>
    <xf numFmtId="0" fontId="0" fillId="2" borderId="10" xfId="0" applyFill="1" applyBorder="1"/>
    <xf numFmtId="165" fontId="0" fillId="2" borderId="11" xfId="0" applyNumberFormat="1" applyFill="1" applyBorder="1" applyAlignment="1">
      <alignment horizontal="right"/>
    </xf>
    <xf numFmtId="44" fontId="0" fillId="2" borderId="12" xfId="0" applyNumberFormat="1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44" fontId="0" fillId="2" borderId="13" xfId="0" applyNumberFormat="1" applyFill="1" applyBorder="1"/>
    <xf numFmtId="44" fontId="2" fillId="0" borderId="0" xfId="1" applyFont="1"/>
    <xf numFmtId="164" fontId="0" fillId="2" borderId="9" xfId="0" applyNumberForma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B6AB-B999-3C42-A08E-4EEF6D7E7064}">
  <dimension ref="A1:S95"/>
  <sheetViews>
    <sheetView tabSelected="1" topLeftCell="A4" zoomScale="107" workbookViewId="0">
      <selection activeCell="G8" sqref="G8"/>
    </sheetView>
  </sheetViews>
  <sheetFormatPr defaultColWidth="11" defaultRowHeight="15.75" x14ac:dyDescent="0.25"/>
  <cols>
    <col min="1" max="1" width="22.625" customWidth="1"/>
    <col min="2" max="2" width="16.125" customWidth="1"/>
    <col min="3" max="3" width="4.375" customWidth="1"/>
    <col min="4" max="4" width="10.875" style="4"/>
    <col min="5" max="5" width="18.375" customWidth="1"/>
    <col min="6" max="6" width="16.625" customWidth="1"/>
    <col min="7" max="7" width="15" customWidth="1"/>
    <col min="8" max="8" width="17" customWidth="1"/>
    <col min="9" max="9" width="18.625" customWidth="1"/>
    <col min="10" max="10" width="18.125" customWidth="1"/>
    <col min="11" max="11" width="18" customWidth="1"/>
    <col min="12" max="12" width="16.625" customWidth="1"/>
    <col min="13" max="14" width="16.875" customWidth="1"/>
    <col min="15" max="15" width="18.5" customWidth="1"/>
    <col min="16" max="16" width="19.5" customWidth="1"/>
    <col min="17" max="18" width="17.625" customWidth="1"/>
    <col min="19" max="19" width="18" customWidth="1"/>
    <col min="20" max="20" width="16" customWidth="1"/>
    <col min="21" max="21" width="16.875" bestFit="1" customWidth="1"/>
    <col min="22" max="22" width="14.625" bestFit="1" customWidth="1"/>
  </cols>
  <sheetData>
    <row r="1" spans="1:17" s="41" customFormat="1" ht="24.95" customHeight="1" x14ac:dyDescent="0.35">
      <c r="A1" s="40" t="s">
        <v>0</v>
      </c>
      <c r="D1" s="42"/>
    </row>
    <row r="2" spans="1:17" x14ac:dyDescent="0.25">
      <c r="A2" s="4" t="s">
        <v>42</v>
      </c>
      <c r="B2">
        <v>8600</v>
      </c>
    </row>
    <row r="3" spans="1:17" x14ac:dyDescent="0.25">
      <c r="A3" s="4" t="s">
        <v>68</v>
      </c>
      <c r="B3" s="27">
        <f>160200*20</f>
        <v>3204000</v>
      </c>
      <c r="D3" s="7" t="s">
        <v>5</v>
      </c>
      <c r="E3" s="6" t="s">
        <v>29</v>
      </c>
      <c r="F3" s="6" t="s">
        <v>54</v>
      </c>
      <c r="G3" s="6" t="s">
        <v>30</v>
      </c>
      <c r="H3" s="9" t="s">
        <v>31</v>
      </c>
      <c r="I3" s="11" t="s">
        <v>34</v>
      </c>
      <c r="J3" s="11" t="s">
        <v>35</v>
      </c>
      <c r="L3" s="7" t="s">
        <v>39</v>
      </c>
      <c r="M3" s="6" t="s">
        <v>29</v>
      </c>
      <c r="N3" s="6" t="s">
        <v>30</v>
      </c>
      <c r="O3" s="9" t="s">
        <v>31</v>
      </c>
      <c r="P3" s="11" t="s">
        <v>34</v>
      </c>
      <c r="Q3" s="11" t="s">
        <v>35</v>
      </c>
    </row>
    <row r="4" spans="1:17" x14ac:dyDescent="0.25">
      <c r="A4" s="4" t="s">
        <v>77</v>
      </c>
      <c r="B4" s="27">
        <f>B3*20</f>
        <v>64080000</v>
      </c>
      <c r="D4" s="8" t="s">
        <v>33</v>
      </c>
      <c r="E4" s="3">
        <f>B10</f>
        <v>473000</v>
      </c>
      <c r="F4" s="3">
        <v>0</v>
      </c>
      <c r="G4" s="3">
        <v>0</v>
      </c>
      <c r="H4" s="10">
        <v>0</v>
      </c>
      <c r="I4" s="17">
        <f>SUM(E4:H4)</f>
        <v>473000</v>
      </c>
      <c r="J4" s="17">
        <f t="shared" ref="J4:J24" si="0">I4/(1+$B$15)^(ROW()-4)</f>
        <v>473000</v>
      </c>
      <c r="L4" s="8" t="s">
        <v>33</v>
      </c>
      <c r="M4" s="3">
        <f>B6</f>
        <v>4730000</v>
      </c>
      <c r="N4" s="3">
        <v>0</v>
      </c>
      <c r="O4" s="10">
        <v>0</v>
      </c>
      <c r="P4" s="17">
        <f t="shared" ref="P4:P24" si="1">SUM(M4:O4)</f>
        <v>4730000</v>
      </c>
      <c r="Q4" s="17">
        <f t="shared" ref="Q4:Q24" si="2">P4/(1+$B$15)^(ROW()-4)</f>
        <v>4730000</v>
      </c>
    </row>
    <row r="5" spans="1:17" x14ac:dyDescent="0.25">
      <c r="D5" s="8" t="s">
        <v>9</v>
      </c>
      <c r="E5" s="3">
        <v>0</v>
      </c>
      <c r="F5" s="3">
        <f>$B$12</f>
        <v>341592.69367077295</v>
      </c>
      <c r="G5" s="3">
        <f>$B$8*(1 + $B$14)^(ROW()-5)</f>
        <v>1268784</v>
      </c>
      <c r="H5" s="10">
        <f>$B$7*(1 + $B$14)^(ROW()-5)</f>
        <v>103.2</v>
      </c>
      <c r="I5" s="17">
        <f>SUM(E5:H5)</f>
        <v>1610479.8936707729</v>
      </c>
      <c r="J5" s="17">
        <f t="shared" si="0"/>
        <v>1519320.6544063895</v>
      </c>
      <c r="L5" s="8" t="s">
        <v>9</v>
      </c>
      <c r="M5" s="3">
        <v>0</v>
      </c>
      <c r="N5" s="3">
        <f>$B$8*(1 + $B$14)^(ROW()-5)</f>
        <v>1268784</v>
      </c>
      <c r="O5" s="10">
        <f>$B$7*(1 + $B$14)^(ROW()-5)</f>
        <v>103.2</v>
      </c>
      <c r="P5" s="17">
        <f t="shared" si="1"/>
        <v>1268887.2</v>
      </c>
      <c r="Q5" s="17">
        <f t="shared" si="2"/>
        <v>1197063.3962264149</v>
      </c>
    </row>
    <row r="6" spans="1:17" x14ac:dyDescent="0.25">
      <c r="A6" s="4" t="s">
        <v>1</v>
      </c>
      <c r="B6" s="3">
        <f>550*8.6*1000</f>
        <v>4730000</v>
      </c>
      <c r="D6" s="8" t="s">
        <v>10</v>
      </c>
      <c r="E6" s="3">
        <v>0</v>
      </c>
      <c r="F6" s="3">
        <f>$B$12</f>
        <v>341592.69367077295</v>
      </c>
      <c r="G6" s="3">
        <f>$B$8*(1 + $B$14)^(ROW()-5)</f>
        <v>1332223.2</v>
      </c>
      <c r="H6" s="10">
        <f t="shared" ref="H6:H24" si="3">$B$7*(1 + $B$14)^(ROW()-5)</f>
        <v>108.36000000000001</v>
      </c>
      <c r="I6" s="17">
        <f t="shared" ref="I6:I24" si="4">SUM(E6:H6)</f>
        <v>1673924.253670773</v>
      </c>
      <c r="J6" s="17">
        <f t="shared" si="0"/>
        <v>1489786.6266204813</v>
      </c>
      <c r="L6" s="8" t="s">
        <v>10</v>
      </c>
      <c r="M6" s="3">
        <v>0</v>
      </c>
      <c r="N6" s="3">
        <f>$B$8*(1 + $B$14)^(ROW()-5)</f>
        <v>1332223.2</v>
      </c>
      <c r="O6" s="10">
        <f t="shared" ref="O6:O24" si="5">$B$7*(1 + $B$14)^(ROW()-5)</f>
        <v>108.36000000000001</v>
      </c>
      <c r="P6" s="17">
        <f t="shared" si="1"/>
        <v>1332331.56</v>
      </c>
      <c r="Q6" s="17">
        <f t="shared" si="2"/>
        <v>1185770.3453186187</v>
      </c>
    </row>
    <row r="7" spans="1:17" x14ac:dyDescent="0.25">
      <c r="A7" s="4" t="s">
        <v>3</v>
      </c>
      <c r="B7" s="3">
        <f>0.012*8.6*1000</f>
        <v>103.2</v>
      </c>
      <c r="D7" s="8" t="s">
        <v>11</v>
      </c>
      <c r="E7" s="3">
        <v>0</v>
      </c>
      <c r="F7" s="3">
        <f t="shared" ref="F7:F24" si="6">$B$12</f>
        <v>341592.69367077295</v>
      </c>
      <c r="G7" s="3">
        <f t="shared" ref="G7:G24" si="7">$B$8*(1 + $B$14)^(ROW()-5)</f>
        <v>1398834.36</v>
      </c>
      <c r="H7" s="10">
        <f t="shared" si="3"/>
        <v>113.77800000000001</v>
      </c>
      <c r="I7" s="17">
        <f t="shared" si="4"/>
        <v>1740540.831670773</v>
      </c>
      <c r="J7" s="17">
        <f t="shared" si="0"/>
        <v>1461391.6451758605</v>
      </c>
      <c r="L7" s="8" t="s">
        <v>11</v>
      </c>
      <c r="M7" s="3">
        <v>0</v>
      </c>
      <c r="N7" s="3">
        <f t="shared" ref="N7:N24" si="8">$B$8*(1 + $B$14)^(ROW()-5)</f>
        <v>1398834.36</v>
      </c>
      <c r="O7" s="10">
        <f t="shared" si="5"/>
        <v>113.77800000000001</v>
      </c>
      <c r="P7" s="17">
        <f t="shared" si="1"/>
        <v>1398948.138</v>
      </c>
      <c r="Q7" s="17">
        <f t="shared" si="2"/>
        <v>1174583.8326269335</v>
      </c>
    </row>
    <row r="8" spans="1:17" x14ac:dyDescent="0.25">
      <c r="A8" s="4" t="s">
        <v>4</v>
      </c>
      <c r="B8" s="3">
        <f>3.96*0.1*B3</f>
        <v>1268784</v>
      </c>
      <c r="D8" s="8" t="s">
        <v>12</v>
      </c>
      <c r="E8" s="3">
        <v>0</v>
      </c>
      <c r="F8" s="3">
        <f t="shared" si="6"/>
        <v>341592.69367077295</v>
      </c>
      <c r="G8" s="3">
        <f t="shared" si="7"/>
        <v>1468776.0780000002</v>
      </c>
      <c r="H8" s="10">
        <f t="shared" si="3"/>
        <v>119.46690000000001</v>
      </c>
      <c r="I8" s="17">
        <f t="shared" si="4"/>
        <v>1810488.2385707733</v>
      </c>
      <c r="J8" s="17">
        <f t="shared" si="0"/>
        <v>1434076.2611388748</v>
      </c>
      <c r="L8" s="8" t="s">
        <v>12</v>
      </c>
      <c r="M8" s="3">
        <v>0</v>
      </c>
      <c r="N8" s="3">
        <f t="shared" si="8"/>
        <v>1468776.0780000002</v>
      </c>
      <c r="O8" s="10">
        <f t="shared" si="5"/>
        <v>119.46690000000001</v>
      </c>
      <c r="P8" s="17">
        <f t="shared" si="1"/>
        <v>1468895.5449000003</v>
      </c>
      <c r="Q8" s="17">
        <f t="shared" si="2"/>
        <v>1163502.8530738493</v>
      </c>
    </row>
    <row r="9" spans="1:17" x14ac:dyDescent="0.25">
      <c r="D9" s="8" t="s">
        <v>13</v>
      </c>
      <c r="E9" s="3">
        <v>0</v>
      </c>
      <c r="F9" s="3">
        <f t="shared" si="6"/>
        <v>341592.69367077295</v>
      </c>
      <c r="G9" s="3">
        <f t="shared" si="7"/>
        <v>1542214.8818999999</v>
      </c>
      <c r="H9" s="10">
        <f t="shared" si="3"/>
        <v>125.440245</v>
      </c>
      <c r="I9" s="17">
        <f t="shared" si="4"/>
        <v>1883933.0158157728</v>
      </c>
      <c r="J9" s="17">
        <f t="shared" si="0"/>
        <v>1407784.3432005346</v>
      </c>
      <c r="L9" s="8" t="s">
        <v>13</v>
      </c>
      <c r="M9" s="3">
        <v>0</v>
      </c>
      <c r="N9" s="3">
        <f t="shared" si="8"/>
        <v>1542214.8818999999</v>
      </c>
      <c r="O9" s="10">
        <f t="shared" si="5"/>
        <v>125.440245</v>
      </c>
      <c r="P9" s="17">
        <f t="shared" si="1"/>
        <v>1542340.3221449999</v>
      </c>
      <c r="Q9" s="17">
        <f t="shared" si="2"/>
        <v>1152526.4110637181</v>
      </c>
    </row>
    <row r="10" spans="1:17" x14ac:dyDescent="0.25">
      <c r="A10" s="4" t="s">
        <v>6</v>
      </c>
      <c r="B10" s="5">
        <f>0.1*B6</f>
        <v>473000</v>
      </c>
      <c r="D10" s="8" t="s">
        <v>14</v>
      </c>
      <c r="E10" s="3">
        <v>0</v>
      </c>
      <c r="F10" s="3">
        <f t="shared" si="6"/>
        <v>341592.69367077295</v>
      </c>
      <c r="G10" s="3">
        <f t="shared" si="7"/>
        <v>1619325.6259950001</v>
      </c>
      <c r="H10" s="10">
        <f t="shared" si="3"/>
        <v>131.71225725000002</v>
      </c>
      <c r="I10" s="17">
        <f t="shared" si="4"/>
        <v>1961050.0319230231</v>
      </c>
      <c r="J10" s="17">
        <f t="shared" si="0"/>
        <v>1382462.8903336988</v>
      </c>
      <c r="L10" s="8" t="s">
        <v>14</v>
      </c>
      <c r="M10" s="3">
        <v>0</v>
      </c>
      <c r="N10" s="3">
        <f t="shared" si="8"/>
        <v>1619325.6259950001</v>
      </c>
      <c r="O10" s="10">
        <f t="shared" si="5"/>
        <v>131.71225725000002</v>
      </c>
      <c r="P10" s="17">
        <f t="shared" si="1"/>
        <v>1619457.3382522501</v>
      </c>
      <c r="Q10" s="17">
        <f t="shared" si="2"/>
        <v>1141653.5203933059</v>
      </c>
    </row>
    <row r="11" spans="1:17" x14ac:dyDescent="0.25">
      <c r="A11" s="4" t="s">
        <v>8</v>
      </c>
      <c r="B11">
        <v>0.05</v>
      </c>
      <c r="D11" s="8" t="s">
        <v>15</v>
      </c>
      <c r="E11" s="3">
        <v>0</v>
      </c>
      <c r="F11" s="3">
        <f t="shared" si="6"/>
        <v>341592.69367077295</v>
      </c>
      <c r="G11" s="3">
        <f t="shared" si="7"/>
        <v>1700291.90729475</v>
      </c>
      <c r="H11" s="10">
        <f t="shared" si="3"/>
        <v>138.29787011249999</v>
      </c>
      <c r="I11" s="17">
        <f t="shared" si="4"/>
        <v>2042022.8988356355</v>
      </c>
      <c r="J11" s="17">
        <f t="shared" si="0"/>
        <v>1358061.8550503433</v>
      </c>
      <c r="L11" s="8" t="s">
        <v>15</v>
      </c>
      <c r="M11" s="3">
        <v>0</v>
      </c>
      <c r="N11" s="3">
        <f t="shared" si="8"/>
        <v>1700291.90729475</v>
      </c>
      <c r="O11" s="10">
        <f t="shared" si="5"/>
        <v>138.29787011249999</v>
      </c>
      <c r="P11" s="17">
        <f t="shared" si="1"/>
        <v>1700430.2051648626</v>
      </c>
      <c r="Q11" s="17">
        <f t="shared" si="2"/>
        <v>1130883.2041631802</v>
      </c>
    </row>
    <row r="12" spans="1:17" x14ac:dyDescent="0.25">
      <c r="A12" s="4" t="s">
        <v>7</v>
      </c>
      <c r="B12" s="5">
        <f>B11/(1-(1+B11)^-20)*0.9*B6</f>
        <v>341592.69367077295</v>
      </c>
      <c r="D12" s="8" t="s">
        <v>16</v>
      </c>
      <c r="E12" s="3">
        <v>0</v>
      </c>
      <c r="F12" s="3">
        <f t="shared" si="6"/>
        <v>341592.69367077295</v>
      </c>
      <c r="G12" s="3">
        <f t="shared" si="7"/>
        <v>1785306.5026594878</v>
      </c>
      <c r="H12" s="10">
        <f t="shared" si="3"/>
        <v>145.21276361812502</v>
      </c>
      <c r="I12" s="17">
        <f t="shared" si="4"/>
        <v>2127044.4090938787</v>
      </c>
      <c r="J12" s="17">
        <f t="shared" si="0"/>
        <v>1334533.9766589645</v>
      </c>
      <c r="L12" s="8" t="s">
        <v>16</v>
      </c>
      <c r="M12" s="3">
        <v>0</v>
      </c>
      <c r="N12" s="3">
        <f t="shared" si="8"/>
        <v>1785306.5026594878</v>
      </c>
      <c r="O12" s="10">
        <f t="shared" si="5"/>
        <v>145.21276361812502</v>
      </c>
      <c r="P12" s="17">
        <f t="shared" si="1"/>
        <v>1785451.715423106</v>
      </c>
      <c r="Q12" s="17">
        <f t="shared" si="2"/>
        <v>1120214.4946899428</v>
      </c>
    </row>
    <row r="13" spans="1:17" x14ac:dyDescent="0.25">
      <c r="D13" s="8" t="s">
        <v>17</v>
      </c>
      <c r="E13" s="3">
        <v>0</v>
      </c>
      <c r="F13" s="3">
        <f t="shared" si="6"/>
        <v>341592.69367077295</v>
      </c>
      <c r="G13" s="3">
        <f t="shared" si="7"/>
        <v>1874571.827792462</v>
      </c>
      <c r="H13" s="10">
        <f t="shared" si="3"/>
        <v>152.47340179903125</v>
      </c>
      <c r="I13" s="17">
        <f t="shared" si="4"/>
        <v>2216316.9948650338</v>
      </c>
      <c r="J13" s="17">
        <f t="shared" si="0"/>
        <v>1311834.6239560959</v>
      </c>
      <c r="L13" s="8" t="s">
        <v>17</v>
      </c>
      <c r="M13" s="3">
        <v>0</v>
      </c>
      <c r="N13" s="3">
        <f t="shared" si="8"/>
        <v>1874571.827792462</v>
      </c>
      <c r="O13" s="10">
        <f t="shared" si="5"/>
        <v>152.47340179903125</v>
      </c>
      <c r="P13" s="17">
        <f t="shared" si="1"/>
        <v>1874724.3011942611</v>
      </c>
      <c r="Q13" s="17">
        <f t="shared" si="2"/>
        <v>1109646.433419283</v>
      </c>
    </row>
    <row r="14" spans="1:17" x14ac:dyDescent="0.25">
      <c r="A14" s="4" t="s">
        <v>32</v>
      </c>
      <c r="B14">
        <v>0.05</v>
      </c>
      <c r="D14" s="8" t="s">
        <v>18</v>
      </c>
      <c r="E14" s="3">
        <v>0</v>
      </c>
      <c r="F14" s="3">
        <f t="shared" si="6"/>
        <v>341592.69367077295</v>
      </c>
      <c r="G14" s="3">
        <f t="shared" si="7"/>
        <v>1968300.4191820852</v>
      </c>
      <c r="H14" s="10">
        <f t="shared" si="3"/>
        <v>160.09707188898284</v>
      </c>
      <c r="I14" s="17">
        <f t="shared" si="4"/>
        <v>2310053.2099247472</v>
      </c>
      <c r="J14" s="17">
        <f t="shared" si="0"/>
        <v>1289921.6468179813</v>
      </c>
      <c r="L14" s="8" t="s">
        <v>18</v>
      </c>
      <c r="M14" s="3">
        <v>0</v>
      </c>
      <c r="N14" s="3">
        <f t="shared" si="8"/>
        <v>1968300.4191820852</v>
      </c>
      <c r="O14" s="10">
        <f t="shared" si="5"/>
        <v>160.09707188898284</v>
      </c>
      <c r="P14" s="17">
        <f t="shared" si="1"/>
        <v>1968460.5162539743</v>
      </c>
      <c r="Q14" s="17">
        <f t="shared" si="2"/>
        <v>1099178.0708398558</v>
      </c>
    </row>
    <row r="15" spans="1:17" x14ac:dyDescent="0.25">
      <c r="A15" s="4" t="s">
        <v>36</v>
      </c>
      <c r="B15">
        <v>0.06</v>
      </c>
      <c r="D15" s="8" t="s">
        <v>19</v>
      </c>
      <c r="E15" s="3">
        <v>0</v>
      </c>
      <c r="F15" s="3">
        <f t="shared" si="6"/>
        <v>341592.69367077295</v>
      </c>
      <c r="G15" s="3">
        <f t="shared" si="7"/>
        <v>2066715.4401411894</v>
      </c>
      <c r="H15" s="10">
        <f t="shared" si="3"/>
        <v>168.10192548343198</v>
      </c>
      <c r="I15" s="17">
        <f t="shared" si="4"/>
        <v>2408476.2357374458</v>
      </c>
      <c r="J15" s="17">
        <f t="shared" si="0"/>
        <v>1268755.2361886543</v>
      </c>
      <c r="L15" s="8" t="s">
        <v>19</v>
      </c>
      <c r="M15" s="3">
        <v>0</v>
      </c>
      <c r="N15" s="3">
        <f t="shared" si="8"/>
        <v>2066715.4401411894</v>
      </c>
      <c r="O15" s="10">
        <f t="shared" si="5"/>
        <v>168.10192548343198</v>
      </c>
      <c r="P15" s="17">
        <f t="shared" si="1"/>
        <v>2066883.5420666728</v>
      </c>
      <c r="Q15" s="17">
        <f t="shared" si="2"/>
        <v>1088808.46639797</v>
      </c>
    </row>
    <row r="16" spans="1:17" x14ac:dyDescent="0.25">
      <c r="D16" s="8" t="s">
        <v>20</v>
      </c>
      <c r="E16" s="3">
        <v>0</v>
      </c>
      <c r="F16" s="3">
        <f t="shared" si="6"/>
        <v>341592.69367077295</v>
      </c>
      <c r="G16" s="3">
        <f t="shared" si="7"/>
        <v>2170051.2121482491</v>
      </c>
      <c r="H16" s="10">
        <f t="shared" si="3"/>
        <v>176.50702175760358</v>
      </c>
      <c r="I16" s="17">
        <f t="shared" si="4"/>
        <v>2511820.4128407799</v>
      </c>
      <c r="J16" s="17">
        <f t="shared" si="0"/>
        <v>1248297.791989201</v>
      </c>
      <c r="L16" s="8" t="s">
        <v>20</v>
      </c>
      <c r="M16" s="3">
        <v>0</v>
      </c>
      <c r="N16" s="3">
        <f t="shared" si="8"/>
        <v>2170051.2121482491</v>
      </c>
      <c r="O16" s="10">
        <f t="shared" si="5"/>
        <v>176.50702175760358</v>
      </c>
      <c r="P16" s="17">
        <f t="shared" si="1"/>
        <v>2170227.7191700069</v>
      </c>
      <c r="Q16" s="17">
        <f t="shared" si="2"/>
        <v>1078536.6884130838</v>
      </c>
    </row>
    <row r="17" spans="1:18" x14ac:dyDescent="0.25">
      <c r="D17" s="8" t="s">
        <v>21</v>
      </c>
      <c r="E17" s="3">
        <v>0</v>
      </c>
      <c r="F17" s="3">
        <f t="shared" si="6"/>
        <v>341592.69367077295</v>
      </c>
      <c r="G17" s="3">
        <f t="shared" si="7"/>
        <v>2278553.772755661</v>
      </c>
      <c r="H17" s="10">
        <f t="shared" si="3"/>
        <v>185.33237284548375</v>
      </c>
      <c r="I17" s="17">
        <f t="shared" si="4"/>
        <v>2620331.7987992796</v>
      </c>
      <c r="J17" s="17">
        <f t="shared" si="0"/>
        <v>1228513.7984998629</v>
      </c>
      <c r="L17" s="8" t="s">
        <v>21</v>
      </c>
      <c r="M17" s="3">
        <v>0</v>
      </c>
      <c r="N17" s="3">
        <f t="shared" si="8"/>
        <v>2278553.772755661</v>
      </c>
      <c r="O17" s="10">
        <f t="shared" si="5"/>
        <v>185.33237284548375</v>
      </c>
      <c r="P17" s="17">
        <f t="shared" si="1"/>
        <v>2278739.1051285067</v>
      </c>
      <c r="Q17" s="17">
        <f t="shared" si="2"/>
        <v>1068361.8139940919</v>
      </c>
    </row>
    <row r="18" spans="1:18" x14ac:dyDescent="0.25">
      <c r="D18" s="8" t="s">
        <v>22</v>
      </c>
      <c r="E18" s="3">
        <v>0</v>
      </c>
      <c r="F18" s="3">
        <f t="shared" si="6"/>
        <v>341592.69367077295</v>
      </c>
      <c r="G18" s="3">
        <f t="shared" si="7"/>
        <v>2392481.4613934448</v>
      </c>
      <c r="H18" s="10">
        <f t="shared" si="3"/>
        <v>194.59899148775796</v>
      </c>
      <c r="I18" s="17">
        <f t="shared" si="4"/>
        <v>2734268.7540557054</v>
      </c>
      <c r="J18" s="17">
        <f t="shared" si="0"/>
        <v>1209369.7067920452</v>
      </c>
      <c r="L18" s="8" t="s">
        <v>22</v>
      </c>
      <c r="M18" s="3">
        <v>0</v>
      </c>
      <c r="N18" s="3">
        <f t="shared" si="8"/>
        <v>2392481.4613934448</v>
      </c>
      <c r="O18" s="10">
        <f t="shared" si="5"/>
        <v>194.59899148775796</v>
      </c>
      <c r="P18" s="17">
        <f t="shared" si="1"/>
        <v>2392676.0603849324</v>
      </c>
      <c r="Q18" s="17">
        <f t="shared" si="2"/>
        <v>1058282.928956412</v>
      </c>
    </row>
    <row r="19" spans="1:18" x14ac:dyDescent="0.25">
      <c r="D19" s="8" t="s">
        <v>23</v>
      </c>
      <c r="E19" s="3">
        <v>0</v>
      </c>
      <c r="F19" s="3">
        <f t="shared" si="6"/>
        <v>341592.69367077295</v>
      </c>
      <c r="G19" s="3">
        <f t="shared" si="7"/>
        <v>2512105.5344631164</v>
      </c>
      <c r="H19" s="10">
        <f t="shared" si="3"/>
        <v>204.32894106214582</v>
      </c>
      <c r="I19" s="17">
        <f t="shared" si="4"/>
        <v>2853902.5570749515</v>
      </c>
      <c r="J19" s="17">
        <f t="shared" si="0"/>
        <v>1190833.8238111935</v>
      </c>
      <c r="L19" s="8" t="s">
        <v>23</v>
      </c>
      <c r="M19" s="3">
        <v>0</v>
      </c>
      <c r="N19" s="3">
        <f t="shared" si="8"/>
        <v>2512105.5344631164</v>
      </c>
      <c r="O19" s="10">
        <f t="shared" si="5"/>
        <v>204.32894106214582</v>
      </c>
      <c r="P19" s="17">
        <f t="shared" si="1"/>
        <v>2512309.8634041785</v>
      </c>
      <c r="Q19" s="17">
        <f t="shared" si="2"/>
        <v>1048299.1277398416</v>
      </c>
    </row>
    <row r="20" spans="1:18" x14ac:dyDescent="0.25">
      <c r="D20" s="8" t="s">
        <v>24</v>
      </c>
      <c r="E20" s="3">
        <v>0</v>
      </c>
      <c r="F20" s="3">
        <f t="shared" si="6"/>
        <v>341592.69367077295</v>
      </c>
      <c r="G20" s="3">
        <f t="shared" si="7"/>
        <v>2637710.8111862731</v>
      </c>
      <c r="H20" s="10">
        <f t="shared" si="3"/>
        <v>214.54538811525316</v>
      </c>
      <c r="I20" s="17">
        <f t="shared" si="4"/>
        <v>2979518.0502451612</v>
      </c>
      <c r="J20" s="17">
        <f t="shared" si="0"/>
        <v>1172876.207734138</v>
      </c>
      <c r="L20" s="8" t="s">
        <v>24</v>
      </c>
      <c r="M20" s="3">
        <v>0</v>
      </c>
      <c r="N20" s="3">
        <f t="shared" si="8"/>
        <v>2637710.8111862731</v>
      </c>
      <c r="O20" s="10">
        <f t="shared" si="5"/>
        <v>214.54538811525316</v>
      </c>
      <c r="P20" s="17">
        <f t="shared" si="1"/>
        <v>2637925.3565743882</v>
      </c>
      <c r="Q20" s="17">
        <f t="shared" si="2"/>
        <v>1038409.5133272022</v>
      </c>
    </row>
    <row r="21" spans="1:18" x14ac:dyDescent="0.25">
      <c r="D21" s="8" t="s">
        <v>25</v>
      </c>
      <c r="E21" s="3">
        <v>0</v>
      </c>
      <c r="F21" s="3">
        <f t="shared" si="6"/>
        <v>341592.69367077295</v>
      </c>
      <c r="G21" s="3">
        <f t="shared" si="7"/>
        <v>2769596.3517455864</v>
      </c>
      <c r="H21" s="10">
        <f t="shared" si="3"/>
        <v>225.27265752101582</v>
      </c>
      <c r="I21" s="17">
        <f t="shared" si="4"/>
        <v>3111414.3180738804</v>
      </c>
      <c r="J21" s="17">
        <f t="shared" si="0"/>
        <v>1155468.5692457526</v>
      </c>
      <c r="L21" s="8" t="s">
        <v>25</v>
      </c>
      <c r="M21" s="3">
        <v>0</v>
      </c>
      <c r="N21" s="3">
        <f t="shared" si="8"/>
        <v>2769596.3517455864</v>
      </c>
      <c r="O21" s="10">
        <f t="shared" si="5"/>
        <v>225.27265752101582</v>
      </c>
      <c r="P21" s="17">
        <f t="shared" si="1"/>
        <v>2769821.6244031074</v>
      </c>
      <c r="Q21" s="17">
        <f t="shared" si="2"/>
        <v>1028613.1971637378</v>
      </c>
    </row>
    <row r="22" spans="1:18" x14ac:dyDescent="0.25">
      <c r="D22" s="8" t="s">
        <v>26</v>
      </c>
      <c r="E22" s="3">
        <v>0</v>
      </c>
      <c r="F22" s="3">
        <f t="shared" si="6"/>
        <v>341592.69367077295</v>
      </c>
      <c r="G22" s="3">
        <f t="shared" si="7"/>
        <v>2908076.1693328661</v>
      </c>
      <c r="H22" s="10">
        <f t="shared" si="3"/>
        <v>236.53629039706664</v>
      </c>
      <c r="I22" s="17">
        <f t="shared" si="4"/>
        <v>3249905.399294036</v>
      </c>
      <c r="J22" s="17">
        <f t="shared" si="0"/>
        <v>1138584.178399943</v>
      </c>
      <c r="L22" s="8" t="s">
        <v>26</v>
      </c>
      <c r="M22" s="3">
        <v>0</v>
      </c>
      <c r="N22" s="3">
        <f t="shared" si="8"/>
        <v>2908076.1693328661</v>
      </c>
      <c r="O22" s="10">
        <f t="shared" si="5"/>
        <v>236.53629039706664</v>
      </c>
      <c r="P22" s="17">
        <f t="shared" si="1"/>
        <v>2908312.705623263</v>
      </c>
      <c r="Q22" s="17">
        <f t="shared" si="2"/>
        <v>1018909.2990772875</v>
      </c>
    </row>
    <row r="23" spans="1:18" x14ac:dyDescent="0.25">
      <c r="D23" s="8" t="s">
        <v>27</v>
      </c>
      <c r="E23" s="12">
        <v>0</v>
      </c>
      <c r="F23" s="13">
        <f t="shared" si="6"/>
        <v>341592.69367077295</v>
      </c>
      <c r="G23" s="13">
        <f t="shared" si="7"/>
        <v>3053479.9777995092</v>
      </c>
      <c r="H23" s="10">
        <f t="shared" si="3"/>
        <v>248.36310491691995</v>
      </c>
      <c r="I23" s="17">
        <f t="shared" si="4"/>
        <v>3395321.0345751992</v>
      </c>
      <c r="J23" s="17">
        <f t="shared" si="0"/>
        <v>1122197.7767488749</v>
      </c>
      <c r="L23" s="8" t="s">
        <v>27</v>
      </c>
      <c r="M23" s="12">
        <v>0</v>
      </c>
      <c r="N23" s="13">
        <f t="shared" si="8"/>
        <v>3053479.9777995092</v>
      </c>
      <c r="O23" s="10">
        <f t="shared" si="5"/>
        <v>248.36310491691995</v>
      </c>
      <c r="P23" s="17">
        <f t="shared" si="1"/>
        <v>3053728.3409044263</v>
      </c>
      <c r="Q23" s="17">
        <f t="shared" si="2"/>
        <v>1009296.9471991998</v>
      </c>
    </row>
    <row r="24" spans="1:18" x14ac:dyDescent="0.25">
      <c r="D24" s="8" t="s">
        <v>28</v>
      </c>
      <c r="E24" s="14">
        <v>0</v>
      </c>
      <c r="F24" s="15">
        <f t="shared" si="6"/>
        <v>341592.69367077295</v>
      </c>
      <c r="G24" s="15">
        <f t="shared" si="7"/>
        <v>3206153.9766894849</v>
      </c>
      <c r="H24" s="15">
        <f t="shared" si="3"/>
        <v>260.78126016276593</v>
      </c>
      <c r="I24" s="19">
        <f t="shared" si="4"/>
        <v>3548007.4516204204</v>
      </c>
      <c r="J24" s="18">
        <f t="shared" si="0"/>
        <v>1106285.4944422971</v>
      </c>
      <c r="L24" s="8" t="s">
        <v>28</v>
      </c>
      <c r="M24" s="14">
        <v>0</v>
      </c>
      <c r="N24" s="15">
        <f t="shared" si="8"/>
        <v>3206153.9766894849</v>
      </c>
      <c r="O24" s="15">
        <f t="shared" si="5"/>
        <v>260.78126016276593</v>
      </c>
      <c r="P24" s="19">
        <f t="shared" si="1"/>
        <v>3206414.7579496475</v>
      </c>
      <c r="Q24" s="18">
        <f t="shared" si="2"/>
        <v>999775.27788599988</v>
      </c>
    </row>
    <row r="25" spans="1:18" x14ac:dyDescent="0.25">
      <c r="I25" s="20">
        <f>SUM(I4:I24)</f>
        <v>49261819.790358044</v>
      </c>
      <c r="J25" s="20">
        <f>SUM(J4:J24)</f>
        <v>26303357.10721118</v>
      </c>
      <c r="K25" s="28"/>
      <c r="L25" s="4"/>
      <c r="P25" s="5">
        <f>SUM(P4:P24)</f>
        <v>46686965.916942589</v>
      </c>
      <c r="Q25" s="5">
        <f>SUM(Q4:Q24)</f>
        <v>26642315.821969934</v>
      </c>
      <c r="R25" s="28"/>
    </row>
    <row r="26" spans="1:18" ht="16.5" thickBot="1" x14ac:dyDescent="0.3">
      <c r="E26" s="4"/>
      <c r="H26" s="4"/>
      <c r="L26" s="4"/>
      <c r="M26" s="4"/>
    </row>
    <row r="27" spans="1:18" x14ac:dyDescent="0.25">
      <c r="E27" s="4"/>
      <c r="H27" s="29" t="s">
        <v>38</v>
      </c>
      <c r="I27" s="38">
        <f>J25/B4</f>
        <v>0.4104768587267662</v>
      </c>
      <c r="J27" s="30" t="s">
        <v>37</v>
      </c>
      <c r="L27" s="4"/>
      <c r="M27" s="4"/>
      <c r="O27" s="34" t="s">
        <v>38</v>
      </c>
      <c r="P27" s="38">
        <f>Q25/B4</f>
        <v>0.4157664766225021</v>
      </c>
      <c r="Q27" s="30" t="s">
        <v>37</v>
      </c>
    </row>
    <row r="28" spans="1:18" ht="16.5" thickBot="1" x14ac:dyDescent="0.3">
      <c r="E28" s="4"/>
      <c r="H28" s="31" t="s">
        <v>74</v>
      </c>
      <c r="I28" s="32">
        <f>J25</f>
        <v>26303357.10721118</v>
      </c>
      <c r="J28" s="33"/>
      <c r="L28" s="4"/>
      <c r="M28" s="4"/>
      <c r="O28" s="31" t="s">
        <v>74</v>
      </c>
      <c r="P28" s="32">
        <f>Q25</f>
        <v>26642315.821969934</v>
      </c>
      <c r="Q28" s="33"/>
    </row>
    <row r="30" spans="1:18" s="41" customFormat="1" ht="24.95" customHeight="1" x14ac:dyDescent="0.35">
      <c r="A30" s="40" t="s">
        <v>41</v>
      </c>
      <c r="D30" s="42"/>
    </row>
    <row r="31" spans="1:18" x14ac:dyDescent="0.25">
      <c r="A31" s="4" t="s">
        <v>45</v>
      </c>
      <c r="B31">
        <f>34*10^3</f>
        <v>34000</v>
      </c>
    </row>
    <row r="32" spans="1:18" x14ac:dyDescent="0.25">
      <c r="A32" s="4" t="s">
        <v>46</v>
      </c>
      <c r="B32">
        <v>84900</v>
      </c>
      <c r="D32" s="7" t="s">
        <v>5</v>
      </c>
      <c r="E32" s="6" t="s">
        <v>66</v>
      </c>
      <c r="F32" s="6" t="s">
        <v>54</v>
      </c>
      <c r="G32" s="6" t="s">
        <v>2</v>
      </c>
      <c r="H32" s="9" t="s">
        <v>56</v>
      </c>
      <c r="I32" s="11" t="s">
        <v>34</v>
      </c>
      <c r="J32" s="11" t="s">
        <v>35</v>
      </c>
      <c r="L32" s="7" t="s">
        <v>5</v>
      </c>
      <c r="M32" s="6" t="s">
        <v>66</v>
      </c>
      <c r="N32" s="6" t="s">
        <v>31</v>
      </c>
      <c r="O32" s="21" t="s">
        <v>57</v>
      </c>
      <c r="P32" s="11" t="s">
        <v>34</v>
      </c>
      <c r="Q32" s="11" t="s">
        <v>35</v>
      </c>
    </row>
    <row r="33" spans="1:17" x14ac:dyDescent="0.25">
      <c r="A33" s="4" t="s">
        <v>68</v>
      </c>
      <c r="B33">
        <f>160200*20</f>
        <v>3204000</v>
      </c>
      <c r="D33" s="8" t="s">
        <v>33</v>
      </c>
      <c r="E33" s="3">
        <f>B42+B43</f>
        <v>11214000</v>
      </c>
      <c r="F33" s="3">
        <v>0</v>
      </c>
      <c r="G33" s="13">
        <v>0</v>
      </c>
      <c r="H33" s="10">
        <f>-B38</f>
        <v>-18360000</v>
      </c>
      <c r="I33" s="17">
        <f t="shared" ref="I33:I53" si="9">SUM(E33:H33)</f>
        <v>-7146000</v>
      </c>
      <c r="J33" s="17">
        <f>I33/(1+$B$15)^(ROW()-33)</f>
        <v>-7146000</v>
      </c>
      <c r="L33" s="8" t="s">
        <v>33</v>
      </c>
      <c r="M33" s="3">
        <f>B36+B39</f>
        <v>112140000</v>
      </c>
      <c r="N33" s="13">
        <v>0</v>
      </c>
      <c r="O33" s="5">
        <f>-B38</f>
        <v>-18360000</v>
      </c>
      <c r="P33" s="17">
        <f t="shared" ref="P33:P53" si="10">SUM(M33:O33)</f>
        <v>93780000</v>
      </c>
      <c r="Q33" s="17">
        <f>P33/(1+$B$15)^(ROW()-33)</f>
        <v>93780000</v>
      </c>
    </row>
    <row r="34" spans="1:17" x14ac:dyDescent="0.25">
      <c r="A34" s="4" t="s">
        <v>40</v>
      </c>
      <c r="B34">
        <f>B33*20</f>
        <v>64080000</v>
      </c>
      <c r="D34" s="8" t="s">
        <v>9</v>
      </c>
      <c r="E34" s="3">
        <v>0</v>
      </c>
      <c r="F34" s="3">
        <f>$B$45+$B$46</f>
        <v>10357028.446329605</v>
      </c>
      <c r="G34" s="13">
        <f>$B$37*(1 + $B$14)^(ROW()-34)</f>
        <v>306000</v>
      </c>
      <c r="H34" s="10">
        <v>0</v>
      </c>
      <c r="I34" s="17">
        <f t="shared" si="9"/>
        <v>10663028.446329605</v>
      </c>
      <c r="J34" s="17">
        <f t="shared" ref="J34:J53" si="11">I34/(1+$B$15)^(ROW()-33)</f>
        <v>10059460.798424155</v>
      </c>
      <c r="L34" s="8" t="s">
        <v>9</v>
      </c>
      <c r="M34" s="3">
        <v>0</v>
      </c>
      <c r="N34" s="13">
        <f>$B$37*(1 + $B$14)^(ROW()-34)</f>
        <v>306000</v>
      </c>
      <c r="O34" s="3">
        <v>0</v>
      </c>
      <c r="P34" s="17">
        <f t="shared" si="10"/>
        <v>306000</v>
      </c>
      <c r="Q34" s="17">
        <f t="shared" ref="Q34:Q53" si="12">P34/(1+$B$15)^(ROW()-33)</f>
        <v>288679.24528301886</v>
      </c>
    </row>
    <row r="35" spans="1:17" x14ac:dyDescent="0.25">
      <c r="D35" s="8" t="s">
        <v>10</v>
      </c>
      <c r="E35" s="3">
        <v>0</v>
      </c>
      <c r="F35" s="3">
        <f t="shared" ref="F35:F53" si="13">$B$45+$B$46</f>
        <v>10357028.446329605</v>
      </c>
      <c r="G35" s="13">
        <f t="shared" ref="G35:G53" si="14">$B$37*(1 + $B$14)^(ROW()-34)</f>
        <v>321300</v>
      </c>
      <c r="H35" s="10">
        <v>0</v>
      </c>
      <c r="I35" s="17">
        <f t="shared" si="9"/>
        <v>10678328.446329605</v>
      </c>
      <c r="J35" s="17">
        <f t="shared" si="11"/>
        <v>9503674.3025361374</v>
      </c>
      <c r="L35" s="8" t="s">
        <v>10</v>
      </c>
      <c r="M35" s="3">
        <v>0</v>
      </c>
      <c r="N35" s="13">
        <f t="shared" ref="N35:N53" si="15">$B$37*(1 + $B$14)^(ROW()-34)</f>
        <v>321300</v>
      </c>
      <c r="O35" s="3">
        <v>0</v>
      </c>
      <c r="P35" s="17">
        <f t="shared" si="10"/>
        <v>321300</v>
      </c>
      <c r="Q35" s="17">
        <f t="shared" si="12"/>
        <v>285955.85617657524</v>
      </c>
    </row>
    <row r="36" spans="1:17" x14ac:dyDescent="0.25">
      <c r="A36" s="4" t="s">
        <v>43</v>
      </c>
      <c r="B36" s="3">
        <f>1800*B31</f>
        <v>61200000</v>
      </c>
      <c r="D36" s="8" t="s">
        <v>11</v>
      </c>
      <c r="E36" s="3">
        <v>0</v>
      </c>
      <c r="F36" s="3">
        <f t="shared" si="13"/>
        <v>10357028.446329605</v>
      </c>
      <c r="G36" s="13">
        <f t="shared" si="14"/>
        <v>337365</v>
      </c>
      <c r="H36" s="10">
        <v>0</v>
      </c>
      <c r="I36" s="17">
        <f t="shared" si="9"/>
        <v>10694393.446329605</v>
      </c>
      <c r="J36" s="17">
        <f t="shared" si="11"/>
        <v>8979218.9578726087</v>
      </c>
      <c r="L36" s="8" t="s">
        <v>11</v>
      </c>
      <c r="M36" s="3">
        <v>0</v>
      </c>
      <c r="N36" s="13">
        <f t="shared" si="15"/>
        <v>337365</v>
      </c>
      <c r="O36" s="3">
        <v>0</v>
      </c>
      <c r="P36" s="17">
        <f t="shared" si="10"/>
        <v>337365</v>
      </c>
      <c r="Q36" s="17">
        <f t="shared" si="12"/>
        <v>283258.15942019242</v>
      </c>
    </row>
    <row r="37" spans="1:17" x14ac:dyDescent="0.25">
      <c r="A37" s="4" t="s">
        <v>47</v>
      </c>
      <c r="B37" s="3">
        <f>9*B31</f>
        <v>306000</v>
      </c>
      <c r="D37" s="8" t="s">
        <v>12</v>
      </c>
      <c r="E37" s="3">
        <v>0</v>
      </c>
      <c r="F37" s="3">
        <f t="shared" si="13"/>
        <v>10357028.446329605</v>
      </c>
      <c r="G37" s="13">
        <f t="shared" si="14"/>
        <v>354233.25000000006</v>
      </c>
      <c r="H37" s="10">
        <v>0</v>
      </c>
      <c r="I37" s="17">
        <f t="shared" si="9"/>
        <v>10711261.696329605</v>
      </c>
      <c r="J37" s="17">
        <f t="shared" si="11"/>
        <v>8484322.514946809</v>
      </c>
      <c r="L37" s="8" t="s">
        <v>12</v>
      </c>
      <c r="M37" s="3">
        <v>0</v>
      </c>
      <c r="N37" s="13">
        <f t="shared" si="15"/>
        <v>354233.25000000006</v>
      </c>
      <c r="O37" s="3">
        <v>0</v>
      </c>
      <c r="P37" s="17">
        <f t="shared" si="10"/>
        <v>354233.25000000006</v>
      </c>
      <c r="Q37" s="17">
        <f t="shared" si="12"/>
        <v>280585.91263320955</v>
      </c>
    </row>
    <row r="38" spans="1:17" x14ac:dyDescent="0.25">
      <c r="A38" s="4" t="s">
        <v>48</v>
      </c>
      <c r="B38" s="3">
        <f>0.3*B36</f>
        <v>18360000</v>
      </c>
      <c r="D38" s="8" t="s">
        <v>13</v>
      </c>
      <c r="E38" s="3">
        <v>0</v>
      </c>
      <c r="F38" s="3">
        <f t="shared" si="13"/>
        <v>10357028.446329605</v>
      </c>
      <c r="G38" s="13">
        <f t="shared" si="14"/>
        <v>371944.91249999998</v>
      </c>
      <c r="H38" s="10">
        <v>0</v>
      </c>
      <c r="I38" s="17">
        <f t="shared" si="9"/>
        <v>10728973.358829604</v>
      </c>
      <c r="J38" s="17">
        <f t="shared" si="11"/>
        <v>8017313.0288476115</v>
      </c>
      <c r="L38" s="8" t="s">
        <v>13</v>
      </c>
      <c r="M38" s="3">
        <v>0</v>
      </c>
      <c r="N38" s="13">
        <f t="shared" si="15"/>
        <v>371944.91249999998</v>
      </c>
      <c r="O38" s="3">
        <v>0</v>
      </c>
      <c r="P38" s="17">
        <f t="shared" si="10"/>
        <v>371944.91249999998</v>
      </c>
      <c r="Q38" s="17">
        <f>P38/(1+$B$15)^(ROW()-33)</f>
        <v>277938.8757215754</v>
      </c>
    </row>
    <row r="39" spans="1:17" x14ac:dyDescent="0.25">
      <c r="A39" s="4" t="s">
        <v>44</v>
      </c>
      <c r="B39" s="3">
        <f>600*B32</f>
        <v>50940000</v>
      </c>
      <c r="D39" s="8" t="s">
        <v>14</v>
      </c>
      <c r="E39" s="3">
        <v>0</v>
      </c>
      <c r="F39" s="3">
        <f t="shared" si="13"/>
        <v>10357028.446329605</v>
      </c>
      <c r="G39" s="13">
        <f t="shared" si="14"/>
        <v>390542.15812500002</v>
      </c>
      <c r="H39" s="10">
        <v>0</v>
      </c>
      <c r="I39" s="17">
        <f t="shared" si="9"/>
        <v>10747570.604454605</v>
      </c>
      <c r="J39" s="17">
        <f t="shared" si="11"/>
        <v>7576613.1817298969</v>
      </c>
      <c r="L39" s="8" t="s">
        <v>14</v>
      </c>
      <c r="M39" s="3">
        <v>0</v>
      </c>
      <c r="N39" s="13">
        <f t="shared" si="15"/>
        <v>390542.15812500002</v>
      </c>
      <c r="O39" s="3">
        <v>0</v>
      </c>
      <c r="P39" s="17">
        <f t="shared" si="10"/>
        <v>390542.15812500002</v>
      </c>
      <c r="Q39" s="17">
        <f t="shared" si="12"/>
        <v>275316.81085627753</v>
      </c>
    </row>
    <row r="40" spans="1:17" x14ac:dyDescent="0.25">
      <c r="A40" s="4" t="s">
        <v>49</v>
      </c>
      <c r="B40" s="3">
        <v>0</v>
      </c>
      <c r="D40" s="8" t="s">
        <v>15</v>
      </c>
      <c r="E40" s="3">
        <v>0</v>
      </c>
      <c r="F40" s="3">
        <f t="shared" si="13"/>
        <v>10357028.446329605</v>
      </c>
      <c r="G40" s="13">
        <f t="shared" si="14"/>
        <v>410069.26603125001</v>
      </c>
      <c r="H40" s="10">
        <v>0</v>
      </c>
      <c r="I40" s="17">
        <f t="shared" si="9"/>
        <v>10767097.712360855</v>
      </c>
      <c r="J40" s="17">
        <f t="shared" si="11"/>
        <v>7160734.9266723674</v>
      </c>
      <c r="L40" s="8" t="s">
        <v>15</v>
      </c>
      <c r="M40" s="3">
        <v>0</v>
      </c>
      <c r="N40" s="13">
        <f t="shared" si="15"/>
        <v>410069.26603125001</v>
      </c>
      <c r="O40" s="3">
        <v>0</v>
      </c>
      <c r="P40" s="17">
        <f t="shared" si="10"/>
        <v>410069.26603125001</v>
      </c>
      <c r="Q40" s="17">
        <f t="shared" si="12"/>
        <v>272719.48245197296</v>
      </c>
    </row>
    <row r="41" spans="1:17" x14ac:dyDescent="0.25">
      <c r="D41" s="8" t="s">
        <v>16</v>
      </c>
      <c r="E41" s="3">
        <v>0</v>
      </c>
      <c r="F41" s="3">
        <f t="shared" si="13"/>
        <v>10357028.446329605</v>
      </c>
      <c r="G41" s="13">
        <f t="shared" si="14"/>
        <v>430572.7293328126</v>
      </c>
      <c r="H41" s="10">
        <v>0</v>
      </c>
      <c r="I41" s="17">
        <f t="shared" si="9"/>
        <v>10787601.175662417</v>
      </c>
      <c r="J41" s="17">
        <f t="shared" si="11"/>
        <v>6768274.4347122321</v>
      </c>
      <c r="L41" s="8" t="s">
        <v>16</v>
      </c>
      <c r="M41" s="3">
        <v>0</v>
      </c>
      <c r="N41" s="13">
        <f t="shared" si="15"/>
        <v>430572.7293328126</v>
      </c>
      <c r="O41" s="3">
        <v>0</v>
      </c>
      <c r="P41" s="17">
        <f t="shared" si="10"/>
        <v>430572.7293328126</v>
      </c>
      <c r="Q41" s="17">
        <f t="shared" si="12"/>
        <v>270146.65714582236</v>
      </c>
    </row>
    <row r="42" spans="1:17" x14ac:dyDescent="0.25">
      <c r="A42" s="4" t="s">
        <v>50</v>
      </c>
      <c r="B42" s="5">
        <f>0.1*B36</f>
        <v>6120000</v>
      </c>
      <c r="D42" s="8" t="s">
        <v>17</v>
      </c>
      <c r="E42" s="3">
        <v>0</v>
      </c>
      <c r="F42" s="3">
        <f t="shared" si="13"/>
        <v>10357028.446329605</v>
      </c>
      <c r="G42" s="13">
        <f t="shared" si="14"/>
        <v>452101.36579945317</v>
      </c>
      <c r="H42" s="10">
        <v>0</v>
      </c>
      <c r="I42" s="17">
        <f t="shared" si="9"/>
        <v>10809129.812129058</v>
      </c>
      <c r="J42" s="17">
        <f t="shared" si="11"/>
        <v>6397907.3278957773</v>
      </c>
      <c r="L42" s="8" t="s">
        <v>17</v>
      </c>
      <c r="M42" s="3">
        <v>0</v>
      </c>
      <c r="N42" s="13">
        <f t="shared" si="15"/>
        <v>452101.36579945317</v>
      </c>
      <c r="O42" s="3">
        <v>0</v>
      </c>
      <c r="P42" s="17">
        <f t="shared" si="10"/>
        <v>452101.36579945317</v>
      </c>
      <c r="Q42" s="17">
        <f t="shared" si="12"/>
        <v>267598.1037765221</v>
      </c>
    </row>
    <row r="43" spans="1:17" x14ac:dyDescent="0.25">
      <c r="A43" s="4" t="s">
        <v>51</v>
      </c>
      <c r="B43" s="5">
        <f>B39*0.1</f>
        <v>5094000</v>
      </c>
      <c r="D43" s="8" t="s">
        <v>18</v>
      </c>
      <c r="E43" s="3">
        <f>B43</f>
        <v>5094000</v>
      </c>
      <c r="F43" s="3">
        <f t="shared" si="13"/>
        <v>10357028.446329605</v>
      </c>
      <c r="G43" s="13">
        <f t="shared" si="14"/>
        <v>474706.43408942583</v>
      </c>
      <c r="H43" s="10">
        <v>0</v>
      </c>
      <c r="I43" s="17">
        <f t="shared" si="9"/>
        <v>15925734.880419031</v>
      </c>
      <c r="J43" s="17">
        <f t="shared" si="11"/>
        <v>8892847.1757608969</v>
      </c>
      <c r="L43" s="8" t="s">
        <v>18</v>
      </c>
      <c r="M43" s="3">
        <f>B39</f>
        <v>50940000</v>
      </c>
      <c r="N43" s="13">
        <f t="shared" si="15"/>
        <v>474706.43408942583</v>
      </c>
      <c r="O43" s="3">
        <v>0</v>
      </c>
      <c r="P43" s="17">
        <f t="shared" si="10"/>
        <v>51414706.434089422</v>
      </c>
      <c r="Q43" s="17">
        <f t="shared" si="12"/>
        <v>28709703.529419638</v>
      </c>
    </row>
    <row r="44" spans="1:17" x14ac:dyDescent="0.25">
      <c r="A44" s="4" t="s">
        <v>8</v>
      </c>
      <c r="B44">
        <v>0.05</v>
      </c>
      <c r="D44" s="8" t="s">
        <v>19</v>
      </c>
      <c r="E44" s="3">
        <v>0</v>
      </c>
      <c r="F44" s="3">
        <f t="shared" si="13"/>
        <v>10357028.446329605</v>
      </c>
      <c r="G44" s="13">
        <f t="shared" si="14"/>
        <v>498441.75579389714</v>
      </c>
      <c r="H44" s="10">
        <v>0</v>
      </c>
      <c r="I44" s="17">
        <f t="shared" si="9"/>
        <v>10855470.202123502</v>
      </c>
      <c r="J44" s="17">
        <f t="shared" si="11"/>
        <v>5718526.2847391143</v>
      </c>
      <c r="L44" s="8" t="s">
        <v>19</v>
      </c>
      <c r="M44" s="3">
        <v>0</v>
      </c>
      <c r="N44" s="13">
        <f t="shared" si="15"/>
        <v>498441.75579389714</v>
      </c>
      <c r="O44" s="3">
        <v>0</v>
      </c>
      <c r="P44" s="17">
        <f t="shared" si="10"/>
        <v>498441.75579389714</v>
      </c>
      <c r="Q44" s="17">
        <f t="shared" si="12"/>
        <v>262572.89908652153</v>
      </c>
    </row>
    <row r="45" spans="1:17" x14ac:dyDescent="0.25">
      <c r="A45" s="4" t="s">
        <v>52</v>
      </c>
      <c r="B45" s="5">
        <f>B44/(1-(1+B44)^-20)*0.9*B36</f>
        <v>4419761.7024632776</v>
      </c>
      <c r="D45" s="8" t="s">
        <v>20</v>
      </c>
      <c r="E45" s="3">
        <v>0</v>
      </c>
      <c r="F45" s="3">
        <f t="shared" si="13"/>
        <v>10357028.446329605</v>
      </c>
      <c r="G45" s="13">
        <f t="shared" si="14"/>
        <v>523363.84358359204</v>
      </c>
      <c r="H45" s="10">
        <v>0</v>
      </c>
      <c r="I45" s="17">
        <f t="shared" si="9"/>
        <v>10880392.289913196</v>
      </c>
      <c r="J45" s="17">
        <f t="shared" si="11"/>
        <v>5407221.6317862645</v>
      </c>
      <c r="L45" s="8" t="s">
        <v>20</v>
      </c>
      <c r="M45" s="3">
        <v>0</v>
      </c>
      <c r="N45" s="13">
        <f t="shared" si="15"/>
        <v>523363.84358359204</v>
      </c>
      <c r="O45" s="3">
        <v>0</v>
      </c>
      <c r="P45" s="17">
        <f t="shared" si="10"/>
        <v>523363.84358359204</v>
      </c>
      <c r="Q45" s="17">
        <f t="shared" si="12"/>
        <v>260095.79626495056</v>
      </c>
    </row>
    <row r="46" spans="1:17" x14ac:dyDescent="0.25">
      <c r="A46" s="4" t="s">
        <v>53</v>
      </c>
      <c r="B46" s="5">
        <f>B44/(1-(1+B44)^-10)*0.9*B39</f>
        <v>5937266.7438663263</v>
      </c>
      <c r="D46" s="8" t="s">
        <v>21</v>
      </c>
      <c r="E46" s="3">
        <v>0</v>
      </c>
      <c r="F46" s="3">
        <f t="shared" si="13"/>
        <v>10357028.446329605</v>
      </c>
      <c r="G46" s="13">
        <f t="shared" si="14"/>
        <v>549532.0357627715</v>
      </c>
      <c r="H46" s="10">
        <v>0</v>
      </c>
      <c r="I46" s="17">
        <f t="shared" si="9"/>
        <v>10906560.482092377</v>
      </c>
      <c r="J46" s="17">
        <f t="shared" si="11"/>
        <v>5113421.1524523692</v>
      </c>
      <c r="L46" s="8" t="s">
        <v>21</v>
      </c>
      <c r="M46" s="3">
        <v>0</v>
      </c>
      <c r="N46" s="13">
        <f t="shared" si="15"/>
        <v>549532.0357627715</v>
      </c>
      <c r="O46" s="3">
        <v>0</v>
      </c>
      <c r="P46" s="17">
        <f t="shared" si="10"/>
        <v>549532.0357627715</v>
      </c>
      <c r="Q46" s="17">
        <f t="shared" si="12"/>
        <v>257642.06233792263</v>
      </c>
    </row>
    <row r="47" spans="1:17" x14ac:dyDescent="0.25">
      <c r="D47" s="8" t="s">
        <v>22</v>
      </c>
      <c r="E47" s="3">
        <v>0</v>
      </c>
      <c r="F47" s="3">
        <f t="shared" si="13"/>
        <v>10357028.446329605</v>
      </c>
      <c r="G47" s="13">
        <f t="shared" si="14"/>
        <v>577008.63755091024</v>
      </c>
      <c r="H47" s="10">
        <v>0</v>
      </c>
      <c r="I47" s="17">
        <f t="shared" si="9"/>
        <v>10934037.083880516</v>
      </c>
      <c r="J47" s="17">
        <f t="shared" si="11"/>
        <v>4836135.1467634588</v>
      </c>
      <c r="L47" s="8" t="s">
        <v>22</v>
      </c>
      <c r="M47" s="3">
        <v>0</v>
      </c>
      <c r="N47" s="13">
        <f t="shared" si="15"/>
        <v>577008.63755091024</v>
      </c>
      <c r="O47" s="3">
        <v>0</v>
      </c>
      <c r="P47" s="17">
        <f t="shared" si="10"/>
        <v>577008.63755091024</v>
      </c>
      <c r="Q47" s="17">
        <f t="shared" si="12"/>
        <v>255211.47684416873</v>
      </c>
    </row>
    <row r="48" spans="1:17" x14ac:dyDescent="0.25">
      <c r="A48" s="4" t="s">
        <v>32</v>
      </c>
      <c r="B48">
        <v>0.05</v>
      </c>
      <c r="D48" s="8" t="s">
        <v>23</v>
      </c>
      <c r="E48" s="3">
        <v>0</v>
      </c>
      <c r="F48" s="3">
        <f t="shared" si="13"/>
        <v>10357028.446329605</v>
      </c>
      <c r="G48" s="13">
        <f t="shared" si="14"/>
        <v>605859.06942845555</v>
      </c>
      <c r="H48" s="10">
        <v>0</v>
      </c>
      <c r="I48" s="17">
        <f t="shared" si="9"/>
        <v>10962887.51575806</v>
      </c>
      <c r="J48" s="17">
        <f t="shared" si="11"/>
        <v>4574429.9250996839</v>
      </c>
      <c r="L48" s="8" t="s">
        <v>23</v>
      </c>
      <c r="M48" s="3">
        <v>0</v>
      </c>
      <c r="N48" s="13">
        <f t="shared" si="15"/>
        <v>605859.06942845555</v>
      </c>
      <c r="O48" s="3">
        <v>0</v>
      </c>
      <c r="P48" s="17">
        <f t="shared" si="10"/>
        <v>605859.06942845555</v>
      </c>
      <c r="Q48" s="17">
        <f t="shared" si="12"/>
        <v>252803.82140224247</v>
      </c>
    </row>
    <row r="49" spans="1:19" x14ac:dyDescent="0.25">
      <c r="A49" s="4" t="s">
        <v>36</v>
      </c>
      <c r="B49">
        <v>0.06</v>
      </c>
      <c r="D49" s="8" t="s">
        <v>24</v>
      </c>
      <c r="E49" s="3">
        <v>0</v>
      </c>
      <c r="F49" s="3">
        <f t="shared" si="13"/>
        <v>10357028.446329605</v>
      </c>
      <c r="G49" s="13">
        <f t="shared" si="14"/>
        <v>636152.02289987856</v>
      </c>
      <c r="H49" s="10">
        <v>0</v>
      </c>
      <c r="I49" s="17">
        <f t="shared" si="9"/>
        <v>10993180.469229484</v>
      </c>
      <c r="J49" s="17">
        <f t="shared" si="11"/>
        <v>4327424.6378960358</v>
      </c>
      <c r="L49" s="8" t="s">
        <v>24</v>
      </c>
      <c r="M49" s="3">
        <v>0</v>
      </c>
      <c r="N49" s="13">
        <f t="shared" si="15"/>
        <v>636152.02289987856</v>
      </c>
      <c r="O49" s="3">
        <v>0</v>
      </c>
      <c r="P49" s="17">
        <f t="shared" si="10"/>
        <v>636152.02289987856</v>
      </c>
      <c r="Q49" s="17">
        <f t="shared" si="12"/>
        <v>250418.87969090071</v>
      </c>
    </row>
    <row r="50" spans="1:19" x14ac:dyDescent="0.25">
      <c r="D50" s="8" t="s">
        <v>25</v>
      </c>
      <c r="E50" s="3">
        <v>0</v>
      </c>
      <c r="F50" s="3">
        <f t="shared" si="13"/>
        <v>10357028.446329605</v>
      </c>
      <c r="G50" s="13">
        <f t="shared" si="14"/>
        <v>667959.62404487247</v>
      </c>
      <c r="H50" s="10">
        <v>0</v>
      </c>
      <c r="I50" s="17">
        <f t="shared" si="9"/>
        <v>11024988.070374478</v>
      </c>
      <c r="J50" s="17">
        <f t="shared" si="11"/>
        <v>4094288.2847930002</v>
      </c>
      <c r="L50" s="8" t="s">
        <v>25</v>
      </c>
      <c r="M50" s="3">
        <v>0</v>
      </c>
      <c r="N50" s="13">
        <f t="shared" si="15"/>
        <v>667959.62404487247</v>
      </c>
      <c r="O50" s="3">
        <v>0</v>
      </c>
      <c r="P50" s="17">
        <f t="shared" si="10"/>
        <v>667959.62404487247</v>
      </c>
      <c r="Q50" s="17">
        <f t="shared" si="12"/>
        <v>248056.43742966576</v>
      </c>
    </row>
    <row r="51" spans="1:19" x14ac:dyDescent="0.25">
      <c r="D51" s="8" t="s">
        <v>26</v>
      </c>
      <c r="E51" s="3">
        <v>0</v>
      </c>
      <c r="F51" s="3">
        <f t="shared" si="13"/>
        <v>10357028.446329605</v>
      </c>
      <c r="G51" s="13">
        <f t="shared" si="14"/>
        <v>701357.60524711618</v>
      </c>
      <c r="H51" s="10">
        <v>0</v>
      </c>
      <c r="I51" s="17">
        <f t="shared" si="9"/>
        <v>11058386.051576721</v>
      </c>
      <c r="J51" s="17">
        <f t="shared" si="11"/>
        <v>3874236.8930797013</v>
      </c>
      <c r="L51" s="8" t="s">
        <v>26</v>
      </c>
      <c r="M51" s="3">
        <v>0</v>
      </c>
      <c r="N51" s="13">
        <f t="shared" si="15"/>
        <v>701357.60524711618</v>
      </c>
      <c r="O51" s="3">
        <v>0</v>
      </c>
      <c r="P51" s="17">
        <f t="shared" si="10"/>
        <v>701357.60524711618</v>
      </c>
      <c r="Q51" s="17">
        <f t="shared" si="12"/>
        <v>245716.2823595746</v>
      </c>
    </row>
    <row r="52" spans="1:19" x14ac:dyDescent="0.25">
      <c r="D52" s="8" t="s">
        <v>27</v>
      </c>
      <c r="E52" s="12">
        <v>0</v>
      </c>
      <c r="F52" s="3">
        <f t="shared" si="13"/>
        <v>10357028.446329605</v>
      </c>
      <c r="G52" s="13">
        <f t="shared" si="14"/>
        <v>736425.48550947197</v>
      </c>
      <c r="H52" s="10">
        <v>0</v>
      </c>
      <c r="I52" s="17">
        <f t="shared" si="9"/>
        <v>11093453.931839077</v>
      </c>
      <c r="J52" s="17">
        <f t="shared" si="11"/>
        <v>3666530.8558468674</v>
      </c>
      <c r="L52" s="8" t="s">
        <v>27</v>
      </c>
      <c r="M52" s="12">
        <v>0</v>
      </c>
      <c r="N52" s="13">
        <f t="shared" si="15"/>
        <v>736425.48550947197</v>
      </c>
      <c r="O52" s="3">
        <v>0</v>
      </c>
      <c r="P52" s="17">
        <f t="shared" si="10"/>
        <v>736425.48550947197</v>
      </c>
      <c r="Q52" s="17">
        <f t="shared" si="12"/>
        <v>243398.20422410688</v>
      </c>
    </row>
    <row r="53" spans="1:19" x14ac:dyDescent="0.25">
      <c r="D53" s="8" t="s">
        <v>28</v>
      </c>
      <c r="E53" s="14">
        <v>0</v>
      </c>
      <c r="F53" s="15">
        <f t="shared" si="13"/>
        <v>10357028.446329605</v>
      </c>
      <c r="G53" s="15">
        <f t="shared" si="14"/>
        <v>773246.75978494552</v>
      </c>
      <c r="H53" s="16">
        <v>0</v>
      </c>
      <c r="I53" s="18">
        <f t="shared" si="9"/>
        <v>11130275.206114551</v>
      </c>
      <c r="J53" s="18">
        <f t="shared" si="11"/>
        <v>3470472.4208095032</v>
      </c>
      <c r="L53" s="8" t="s">
        <v>28</v>
      </c>
      <c r="M53" s="14">
        <v>0</v>
      </c>
      <c r="N53" s="15">
        <f t="shared" si="15"/>
        <v>773246.75978494552</v>
      </c>
      <c r="O53" s="16">
        <v>0</v>
      </c>
      <c r="P53" s="18">
        <f t="shared" si="10"/>
        <v>773246.75978494552</v>
      </c>
      <c r="Q53" s="18">
        <f t="shared" si="12"/>
        <v>241101.99475029454</v>
      </c>
    </row>
    <row r="54" spans="1:19" x14ac:dyDescent="0.25">
      <c r="I54" s="20">
        <f>SUM(I33:I53)</f>
        <v>215206750.882076</v>
      </c>
      <c r="J54" s="20">
        <f>SUM(J33:J53)</f>
        <v>119777053.88266449</v>
      </c>
      <c r="L54" s="4"/>
      <c r="M54" s="4"/>
      <c r="P54" s="20">
        <f>SUM(P33:P53)</f>
        <v>154838181.95548379</v>
      </c>
      <c r="Q54" s="17">
        <f>P54/(1+$B$15)^(ROW()-31)</f>
        <v>40536211.970424771</v>
      </c>
    </row>
    <row r="55" spans="1:19" ht="16.5" thickBot="1" x14ac:dyDescent="0.3">
      <c r="E55" s="4"/>
      <c r="L55" s="4"/>
      <c r="M55" s="4"/>
    </row>
    <row r="56" spans="1:19" x14ac:dyDescent="0.25">
      <c r="E56" s="4"/>
      <c r="G56" s="4"/>
      <c r="H56" s="34" t="s">
        <v>38</v>
      </c>
      <c r="I56" s="38">
        <f>J54/B34</f>
        <v>1.8691799919267242</v>
      </c>
      <c r="J56" s="30" t="s">
        <v>37</v>
      </c>
      <c r="L56" s="4"/>
      <c r="M56" s="4"/>
      <c r="N56" s="4"/>
      <c r="O56" s="34" t="s">
        <v>38</v>
      </c>
      <c r="P56" s="38">
        <f>Q54/B34</f>
        <v>0.63258757756592965</v>
      </c>
      <c r="Q56" s="30" t="s">
        <v>37</v>
      </c>
    </row>
    <row r="57" spans="1:19" ht="16.5" thickBot="1" x14ac:dyDescent="0.3">
      <c r="E57" s="4"/>
      <c r="G57" s="4"/>
      <c r="H57" s="35" t="s">
        <v>81</v>
      </c>
      <c r="I57" s="32">
        <f>J25-J54</f>
        <v>-93473696.775453299</v>
      </c>
      <c r="J57" s="36"/>
      <c r="L57" s="4"/>
      <c r="M57" s="4"/>
      <c r="N57" s="4"/>
      <c r="O57" s="35" t="s">
        <v>81</v>
      </c>
      <c r="P57" s="32">
        <f>Q25-Q54</f>
        <v>-13893896.148454838</v>
      </c>
      <c r="Q57" s="36"/>
    </row>
    <row r="59" spans="1:19" s="41" customFormat="1" ht="24.95" customHeight="1" x14ac:dyDescent="0.35">
      <c r="A59" s="40" t="s">
        <v>55</v>
      </c>
      <c r="D59" s="42"/>
    </row>
    <row r="60" spans="1:19" x14ac:dyDescent="0.25">
      <c r="A60" s="4" t="s">
        <v>45</v>
      </c>
      <c r="B60" s="27">
        <f>10*1000</f>
        <v>10000</v>
      </c>
    </row>
    <row r="61" spans="1:19" x14ac:dyDescent="0.25">
      <c r="A61" s="4" t="s">
        <v>60</v>
      </c>
      <c r="B61" s="27">
        <v>8436</v>
      </c>
      <c r="D61" s="7" t="s">
        <v>5</v>
      </c>
      <c r="E61" s="6" t="s">
        <v>66</v>
      </c>
      <c r="F61" s="6" t="s">
        <v>54</v>
      </c>
      <c r="G61" s="6" t="s">
        <v>67</v>
      </c>
      <c r="H61" s="6" t="s">
        <v>2</v>
      </c>
      <c r="I61" s="21" t="s">
        <v>56</v>
      </c>
      <c r="J61" s="11" t="s">
        <v>34</v>
      </c>
      <c r="K61" s="25" t="s">
        <v>35</v>
      </c>
      <c r="L61" s="26"/>
      <c r="M61" s="7" t="s">
        <v>5</v>
      </c>
      <c r="N61" s="6" t="s">
        <v>66</v>
      </c>
      <c r="O61" s="6" t="s">
        <v>54</v>
      </c>
      <c r="P61" s="6" t="s">
        <v>65</v>
      </c>
      <c r="Q61" s="21" t="s">
        <v>56</v>
      </c>
      <c r="R61" s="11" t="s">
        <v>34</v>
      </c>
      <c r="S61" s="25" t="s">
        <v>35</v>
      </c>
    </row>
    <row r="62" spans="1:19" x14ac:dyDescent="0.25">
      <c r="A62" s="4" t="s">
        <v>62</v>
      </c>
      <c r="B62" s="27">
        <v>153544</v>
      </c>
      <c r="D62" s="8" t="s">
        <v>33</v>
      </c>
      <c r="E62" s="3">
        <f>B73+B74</f>
        <v>2306160</v>
      </c>
      <c r="F62" s="3">
        <v>0</v>
      </c>
      <c r="G62" s="3">
        <v>0</v>
      </c>
      <c r="H62" s="13">
        <v>0</v>
      </c>
      <c r="I62" s="5">
        <f>-B68</f>
        <v>-5400000</v>
      </c>
      <c r="J62" s="17">
        <f t="shared" ref="J62:J82" si="16">SUM(E62:I62)</f>
        <v>-3093840</v>
      </c>
      <c r="K62" s="17">
        <f>J62/(1+$B$15)^(ROW()-62)</f>
        <v>-3093840</v>
      </c>
      <c r="L62" s="22"/>
      <c r="M62" s="8" t="s">
        <v>33</v>
      </c>
      <c r="N62" s="3">
        <f>B66+B69</f>
        <v>23061600</v>
      </c>
      <c r="O62" s="3">
        <v>0</v>
      </c>
      <c r="P62" s="13">
        <v>0</v>
      </c>
      <c r="Q62" s="5">
        <f>-K68</f>
        <v>-1468064.1562214068</v>
      </c>
      <c r="R62" s="17">
        <f t="shared" ref="R62:R82" si="17">SUM(N62:Q62)</f>
        <v>21593535.843778592</v>
      </c>
      <c r="S62" s="17">
        <f>R62/(1+$B$15)^(ROW()-62)</f>
        <v>21593535.843778592</v>
      </c>
    </row>
    <row r="63" spans="1:19" x14ac:dyDescent="0.25">
      <c r="A63" s="4" t="s">
        <v>68</v>
      </c>
      <c r="B63">
        <f>160200*20</f>
        <v>3204000</v>
      </c>
      <c r="D63" s="8" t="s">
        <v>9</v>
      </c>
      <c r="E63" s="3">
        <v>0</v>
      </c>
      <c r="F63" s="3">
        <f t="shared" ref="F63:F82" si="18">$B$76+$B$77</f>
        <v>1889880.2334698392</v>
      </c>
      <c r="G63" s="3">
        <f>$B$71*(1+$B$14)^(ROW()-63)</f>
        <v>60803.424000000006</v>
      </c>
      <c r="H63" s="13">
        <f>($B$67+$B$70)*(1 + $B$14)^(ROW()-63)</f>
        <v>90101.232000000004</v>
      </c>
      <c r="I63" s="3">
        <v>0</v>
      </c>
      <c r="J63" s="17">
        <f t="shared" si="16"/>
        <v>2040784.8894698394</v>
      </c>
      <c r="K63" s="17">
        <f t="shared" ref="K63:K82" si="19">J63/(1+$B$15)^(ROW()-62)</f>
        <v>1925268.7636507917</v>
      </c>
      <c r="L63" s="22"/>
      <c r="M63" s="8" t="s">
        <v>9</v>
      </c>
      <c r="N63" s="3">
        <v>0</v>
      </c>
      <c r="O63" s="3">
        <f t="shared" ref="O63:O82" si="20">$B$76+$B$77</f>
        <v>1889880.2334698392</v>
      </c>
      <c r="P63" s="13">
        <f>($B$67+$B$70)*(1 + $B$14)^(ROW()-63)</f>
        <v>90101.232000000004</v>
      </c>
      <c r="Q63" s="3">
        <v>0</v>
      </c>
      <c r="R63" s="17">
        <f t="shared" si="17"/>
        <v>1979981.4654698393</v>
      </c>
      <c r="S63" s="17">
        <f t="shared" ref="S63:S82" si="21">R63/(1+$B$15)^(ROW()-62)</f>
        <v>1867907.0428960747</v>
      </c>
    </row>
    <row r="64" spans="1:19" x14ac:dyDescent="0.25">
      <c r="A64" s="4" t="s">
        <v>77</v>
      </c>
      <c r="B64">
        <f>B63*20</f>
        <v>64080000</v>
      </c>
      <c r="D64" s="8" t="s">
        <v>10</v>
      </c>
      <c r="E64" s="3">
        <v>0</v>
      </c>
      <c r="F64" s="3">
        <f t="shared" si="18"/>
        <v>1889880.2334698392</v>
      </c>
      <c r="G64" s="3">
        <f t="shared" ref="G64:G82" si="22">$B$71*(1+$B$14)^(ROW()-63)</f>
        <v>63843.595200000011</v>
      </c>
      <c r="H64" s="13">
        <f t="shared" ref="H64:H82" si="23">($B$67+$B$70)*(1 + $B$14)^(ROW()-63)</f>
        <v>94606.293600000005</v>
      </c>
      <c r="I64" s="3">
        <v>0</v>
      </c>
      <c r="J64" s="17">
        <f t="shared" si="16"/>
        <v>2048330.1222698393</v>
      </c>
      <c r="K64" s="17">
        <f t="shared" si="19"/>
        <v>1823006.5167940895</v>
      </c>
      <c r="L64" s="22"/>
      <c r="M64" s="8" t="s">
        <v>10</v>
      </c>
      <c r="N64" s="3">
        <v>0</v>
      </c>
      <c r="O64" s="3">
        <f t="shared" si="20"/>
        <v>1889880.2334698392</v>
      </c>
      <c r="P64" s="13">
        <f t="shared" ref="P64:P82" si="24">($B$67+$B$70)*(1 + $B$14)^(ROW()-63)</f>
        <v>94606.293600000005</v>
      </c>
      <c r="Q64" s="3">
        <v>0</v>
      </c>
      <c r="R64" s="17">
        <f t="shared" si="17"/>
        <v>1984486.5270698392</v>
      </c>
      <c r="S64" s="17">
        <f t="shared" si="21"/>
        <v>1766185.9443483793</v>
      </c>
    </row>
    <row r="65" spans="1:19" x14ac:dyDescent="0.25">
      <c r="D65" s="8" t="s">
        <v>11</v>
      </c>
      <c r="E65" s="3">
        <v>0</v>
      </c>
      <c r="F65" s="3">
        <f t="shared" si="18"/>
        <v>1889880.2334698392</v>
      </c>
      <c r="G65" s="3">
        <f t="shared" si="22"/>
        <v>67035.77496000001</v>
      </c>
      <c r="H65" s="13">
        <f t="shared" si="23"/>
        <v>99336.60828</v>
      </c>
      <c r="I65" s="3">
        <v>0</v>
      </c>
      <c r="J65" s="17">
        <f t="shared" si="16"/>
        <v>2056252.6167098393</v>
      </c>
      <c r="K65" s="17">
        <f t="shared" si="19"/>
        <v>1726469.3477752095</v>
      </c>
      <c r="L65" s="22"/>
      <c r="M65" s="8" t="s">
        <v>11</v>
      </c>
      <c r="N65" s="3">
        <v>0</v>
      </c>
      <c r="O65" s="3">
        <f t="shared" si="20"/>
        <v>1889880.2334698392</v>
      </c>
      <c r="P65" s="13">
        <f t="shared" si="24"/>
        <v>99336.60828</v>
      </c>
      <c r="Q65" s="3">
        <v>0</v>
      </c>
      <c r="R65" s="17">
        <f t="shared" si="17"/>
        <v>1989216.8417498393</v>
      </c>
      <c r="S65" s="17">
        <f t="shared" si="21"/>
        <v>1670184.8184657795</v>
      </c>
    </row>
    <row r="66" spans="1:19" x14ac:dyDescent="0.25">
      <c r="A66" s="4" t="s">
        <v>43</v>
      </c>
      <c r="B66" s="3">
        <f>1800*B60</f>
        <v>18000000</v>
      </c>
      <c r="D66" s="8" t="s">
        <v>12</v>
      </c>
      <c r="E66" s="3">
        <v>0</v>
      </c>
      <c r="F66" s="3">
        <f t="shared" si="18"/>
        <v>1889880.2334698392</v>
      </c>
      <c r="G66" s="3">
        <f t="shared" si="22"/>
        <v>70387.563708000016</v>
      </c>
      <c r="H66" s="13">
        <f t="shared" si="23"/>
        <v>104303.43869400001</v>
      </c>
      <c r="I66" s="3">
        <v>0</v>
      </c>
      <c r="J66" s="17">
        <f t="shared" si="16"/>
        <v>2064571.2358718393</v>
      </c>
      <c r="K66" s="17">
        <f t="shared" si="19"/>
        <v>1635333.7932375723</v>
      </c>
      <c r="L66" s="22"/>
      <c r="M66" s="8" t="s">
        <v>12</v>
      </c>
      <c r="N66" s="3">
        <v>0</v>
      </c>
      <c r="O66" s="3">
        <f t="shared" si="20"/>
        <v>1889880.2334698392</v>
      </c>
      <c r="P66" s="13">
        <f t="shared" si="24"/>
        <v>104303.43869400001</v>
      </c>
      <c r="Q66" s="3">
        <v>0</v>
      </c>
      <c r="R66" s="17">
        <f t="shared" si="17"/>
        <v>1994183.6721638392</v>
      </c>
      <c r="S66" s="17">
        <f t="shared" si="21"/>
        <v>1579580.2500537029</v>
      </c>
    </row>
    <row r="67" spans="1:19" x14ac:dyDescent="0.25">
      <c r="A67" s="4" t="s">
        <v>47</v>
      </c>
      <c r="B67" s="3">
        <f>9*B60</f>
        <v>90000</v>
      </c>
      <c r="D67" s="8" t="s">
        <v>13</v>
      </c>
      <c r="E67" s="3">
        <v>0</v>
      </c>
      <c r="F67" s="3">
        <f t="shared" si="18"/>
        <v>1889880.2334698392</v>
      </c>
      <c r="G67" s="3">
        <f t="shared" si="22"/>
        <v>73906.941893400013</v>
      </c>
      <c r="H67" s="13">
        <f t="shared" si="23"/>
        <v>109518.6106287</v>
      </c>
      <c r="I67" s="3">
        <v>0</v>
      </c>
      <c r="J67" s="17">
        <f t="shared" si="16"/>
        <v>2073305.7859919393</v>
      </c>
      <c r="K67" s="17">
        <f t="shared" si="19"/>
        <v>1549294.6934329604</v>
      </c>
      <c r="L67" s="22"/>
      <c r="M67" s="8" t="s">
        <v>13</v>
      </c>
      <c r="N67" s="3">
        <v>0</v>
      </c>
      <c r="O67" s="3">
        <f t="shared" si="20"/>
        <v>1889880.2334698392</v>
      </c>
      <c r="P67" s="13">
        <f t="shared" si="24"/>
        <v>109518.6106287</v>
      </c>
      <c r="Q67" s="3">
        <v>0</v>
      </c>
      <c r="R67" s="17">
        <f t="shared" si="17"/>
        <v>1999398.8440985391</v>
      </c>
      <c r="S67" s="17">
        <f t="shared" si="21"/>
        <v>1494067.1270715804</v>
      </c>
    </row>
    <row r="68" spans="1:19" x14ac:dyDescent="0.25">
      <c r="A68" s="4" t="s">
        <v>48</v>
      </c>
      <c r="B68" s="3">
        <f>0.3*B66</f>
        <v>5400000</v>
      </c>
      <c r="D68" s="8" t="s">
        <v>14</v>
      </c>
      <c r="E68" s="3">
        <v>0</v>
      </c>
      <c r="F68" s="3">
        <f t="shared" si="18"/>
        <v>1889880.2334698392</v>
      </c>
      <c r="G68" s="3">
        <f t="shared" si="22"/>
        <v>77602.28898807001</v>
      </c>
      <c r="H68" s="13">
        <f t="shared" si="23"/>
        <v>114994.54116013502</v>
      </c>
      <c r="I68" s="3">
        <v>0</v>
      </c>
      <c r="J68" s="17">
        <f t="shared" si="16"/>
        <v>2082477.0636180444</v>
      </c>
      <c r="K68" s="17">
        <f t="shared" si="19"/>
        <v>1468064.1562214068</v>
      </c>
      <c r="L68" s="22"/>
      <c r="M68" s="8" t="s">
        <v>14</v>
      </c>
      <c r="N68" s="3">
        <v>0</v>
      </c>
      <c r="O68" s="3">
        <f t="shared" si="20"/>
        <v>1889880.2334698392</v>
      </c>
      <c r="P68" s="13">
        <f t="shared" si="24"/>
        <v>114994.54116013502</v>
      </c>
      <c r="Q68" s="3">
        <v>0</v>
      </c>
      <c r="R68" s="17">
        <f t="shared" si="17"/>
        <v>2004874.7746299743</v>
      </c>
      <c r="S68" s="17">
        <f t="shared" si="21"/>
        <v>1413357.604637021</v>
      </c>
    </row>
    <row r="69" spans="1:19" x14ac:dyDescent="0.25">
      <c r="A69" s="4" t="s">
        <v>58</v>
      </c>
      <c r="B69" s="3">
        <f>600*B61</f>
        <v>5061600</v>
      </c>
      <c r="D69" s="8" t="s">
        <v>15</v>
      </c>
      <c r="E69" s="3">
        <v>0</v>
      </c>
      <c r="F69" s="3">
        <f t="shared" si="18"/>
        <v>1889880.2334698392</v>
      </c>
      <c r="G69" s="3">
        <f t="shared" si="22"/>
        <v>81482.403437473506</v>
      </c>
      <c r="H69" s="13">
        <f t="shared" si="23"/>
        <v>120744.26821814175</v>
      </c>
      <c r="I69" s="3">
        <v>0</v>
      </c>
      <c r="J69" s="17">
        <f t="shared" si="16"/>
        <v>2092106.9051254545</v>
      </c>
      <c r="K69" s="17">
        <f t="shared" si="19"/>
        <v>1391370.5797120931</v>
      </c>
      <c r="L69" s="22"/>
      <c r="M69" s="8" t="s">
        <v>15</v>
      </c>
      <c r="N69" s="3">
        <v>0</v>
      </c>
      <c r="O69" s="3">
        <f t="shared" si="20"/>
        <v>1889880.2334698392</v>
      </c>
      <c r="P69" s="13">
        <f t="shared" si="24"/>
        <v>120744.26821814175</v>
      </c>
      <c r="Q69" s="3">
        <v>0</v>
      </c>
      <c r="R69" s="17">
        <f t="shared" si="17"/>
        <v>2010624.501687981</v>
      </c>
      <c r="S69" s="17">
        <f t="shared" si="21"/>
        <v>1337180.1276709563</v>
      </c>
    </row>
    <row r="70" spans="1:19" x14ac:dyDescent="0.25">
      <c r="A70" s="4" t="s">
        <v>59</v>
      </c>
      <c r="B70" s="3">
        <f>0.012*B61</f>
        <v>101.232</v>
      </c>
      <c r="D70" s="8" t="s">
        <v>16</v>
      </c>
      <c r="E70" s="3">
        <v>0</v>
      </c>
      <c r="F70" s="3">
        <f t="shared" si="18"/>
        <v>1889880.2334698392</v>
      </c>
      <c r="G70" s="3">
        <f t="shared" si="22"/>
        <v>85556.523609347205</v>
      </c>
      <c r="H70" s="13">
        <f t="shared" si="23"/>
        <v>126781.48162904887</v>
      </c>
      <c r="I70" s="3">
        <v>0</v>
      </c>
      <c r="J70" s="17">
        <f t="shared" si="16"/>
        <v>2102218.2387082353</v>
      </c>
      <c r="K70" s="17">
        <f t="shared" si="19"/>
        <v>1318957.7302259719</v>
      </c>
      <c r="L70" s="22"/>
      <c r="M70" s="8" t="s">
        <v>16</v>
      </c>
      <c r="N70" s="3">
        <v>0</v>
      </c>
      <c r="O70" s="3">
        <f t="shared" si="20"/>
        <v>1889880.2334698392</v>
      </c>
      <c r="P70" s="13">
        <f t="shared" si="24"/>
        <v>126781.48162904887</v>
      </c>
      <c r="Q70" s="3">
        <v>0</v>
      </c>
      <c r="R70" s="17">
        <f t="shared" si="17"/>
        <v>2016661.7150988881</v>
      </c>
      <c r="S70" s="17">
        <f t="shared" si="21"/>
        <v>1265278.5088644684</v>
      </c>
    </row>
    <row r="71" spans="1:19" x14ac:dyDescent="0.25">
      <c r="A71" s="4" t="s">
        <v>61</v>
      </c>
      <c r="B71" s="3">
        <f>3.96*0.1*B62</f>
        <v>60803.424000000006</v>
      </c>
      <c r="D71" s="8" t="s">
        <v>17</v>
      </c>
      <c r="E71" s="3">
        <v>0</v>
      </c>
      <c r="F71" s="3">
        <f t="shared" si="18"/>
        <v>1889880.2334698392</v>
      </c>
      <c r="G71" s="3">
        <f t="shared" si="22"/>
        <v>89834.349789814543</v>
      </c>
      <c r="H71" s="13">
        <f t="shared" si="23"/>
        <v>133120.5557105013</v>
      </c>
      <c r="I71" s="3">
        <v>0</v>
      </c>
      <c r="J71" s="17">
        <f t="shared" si="16"/>
        <v>2112835.1389701553</v>
      </c>
      <c r="K71" s="17">
        <f t="shared" si="19"/>
        <v>1250583.8724486819</v>
      </c>
      <c r="L71" s="22"/>
      <c r="M71" s="8" t="s">
        <v>17</v>
      </c>
      <c r="N71" s="3">
        <v>0</v>
      </c>
      <c r="O71" s="3">
        <f t="shared" si="20"/>
        <v>1889880.2334698392</v>
      </c>
      <c r="P71" s="13">
        <f t="shared" si="24"/>
        <v>133120.5557105013</v>
      </c>
      <c r="Q71" s="3">
        <v>0</v>
      </c>
      <c r="R71" s="17">
        <f t="shared" si="17"/>
        <v>2023000.7891803405</v>
      </c>
      <c r="S71" s="17">
        <f t="shared" si="21"/>
        <v>1197411.0588358715</v>
      </c>
    </row>
    <row r="72" spans="1:19" x14ac:dyDescent="0.25">
      <c r="D72" s="8" t="s">
        <v>18</v>
      </c>
      <c r="E72" s="3">
        <v>0</v>
      </c>
      <c r="F72" s="3">
        <f t="shared" si="18"/>
        <v>1889880.2334698392</v>
      </c>
      <c r="G72" s="3">
        <f t="shared" si="22"/>
        <v>94326.06727930528</v>
      </c>
      <c r="H72" s="13">
        <f t="shared" si="23"/>
        <v>139776.58349602637</v>
      </c>
      <c r="I72" s="3">
        <v>0</v>
      </c>
      <c r="J72" s="17">
        <f t="shared" si="16"/>
        <v>2123982.8842451707</v>
      </c>
      <c r="K72" s="17">
        <f t="shared" si="19"/>
        <v>1186020.9488196108</v>
      </c>
      <c r="L72" s="22"/>
      <c r="M72" s="8" t="s">
        <v>18</v>
      </c>
      <c r="N72" s="3">
        <v>0</v>
      </c>
      <c r="O72" s="3">
        <f t="shared" si="20"/>
        <v>1889880.2334698392</v>
      </c>
      <c r="P72" s="13">
        <f t="shared" si="24"/>
        <v>139776.58349602637</v>
      </c>
      <c r="Q72" s="3">
        <v>0</v>
      </c>
      <c r="R72" s="17">
        <f t="shared" si="17"/>
        <v>2029656.8169658657</v>
      </c>
      <c r="S72" s="17">
        <f t="shared" si="21"/>
        <v>1133349.7655239028</v>
      </c>
    </row>
    <row r="73" spans="1:19" x14ac:dyDescent="0.25">
      <c r="A73" s="4" t="s">
        <v>50</v>
      </c>
      <c r="B73" s="5">
        <f>0.1*B66</f>
        <v>1800000</v>
      </c>
      <c r="D73" s="8" t="s">
        <v>19</v>
      </c>
      <c r="E73" s="3">
        <v>0</v>
      </c>
      <c r="F73" s="3">
        <f t="shared" si="18"/>
        <v>1889880.2334698392</v>
      </c>
      <c r="G73" s="3">
        <f t="shared" si="22"/>
        <v>99042.370643270537</v>
      </c>
      <c r="H73" s="13">
        <f t="shared" si="23"/>
        <v>146765.41267082767</v>
      </c>
      <c r="I73" s="3">
        <v>0</v>
      </c>
      <c r="J73" s="17">
        <f t="shared" si="16"/>
        <v>2135688.0167839373</v>
      </c>
      <c r="K73" s="17">
        <f t="shared" si="19"/>
        <v>1125053.805370148</v>
      </c>
      <c r="L73" s="22"/>
      <c r="M73" s="8" t="s">
        <v>19</v>
      </c>
      <c r="N73" s="3">
        <v>0</v>
      </c>
      <c r="O73" s="3">
        <f t="shared" si="20"/>
        <v>1889880.2334698392</v>
      </c>
      <c r="P73" s="13">
        <f t="shared" si="24"/>
        <v>146765.41267082767</v>
      </c>
      <c r="Q73" s="3">
        <v>0</v>
      </c>
      <c r="R73" s="17">
        <f t="shared" si="17"/>
        <v>2036645.6461406669</v>
      </c>
      <c r="S73" s="17">
        <f t="shared" si="21"/>
        <v>1072879.5200300601</v>
      </c>
    </row>
    <row r="74" spans="1:19" x14ac:dyDescent="0.25">
      <c r="A74" s="4" t="s">
        <v>63</v>
      </c>
      <c r="B74" s="5">
        <f>B69*0.1</f>
        <v>506160</v>
      </c>
      <c r="D74" s="8" t="s">
        <v>20</v>
      </c>
      <c r="E74" s="3">
        <v>0</v>
      </c>
      <c r="F74" s="3">
        <f t="shared" si="18"/>
        <v>1889880.2334698392</v>
      </c>
      <c r="G74" s="3">
        <f t="shared" si="22"/>
        <v>103994.48917543408</v>
      </c>
      <c r="H74" s="13">
        <f t="shared" si="23"/>
        <v>154103.68330436907</v>
      </c>
      <c r="I74" s="3">
        <v>0</v>
      </c>
      <c r="J74" s="17">
        <f t="shared" si="16"/>
        <v>2147978.4059496424</v>
      </c>
      <c r="K74" s="17">
        <f t="shared" si="19"/>
        <v>1067479.4613819339</v>
      </c>
      <c r="L74" s="22"/>
      <c r="M74" s="8" t="s">
        <v>20</v>
      </c>
      <c r="N74" s="3">
        <v>0</v>
      </c>
      <c r="O74" s="3">
        <f t="shared" si="20"/>
        <v>1889880.2334698392</v>
      </c>
      <c r="P74" s="13">
        <f t="shared" si="24"/>
        <v>154103.68330436907</v>
      </c>
      <c r="Q74" s="3">
        <v>0</v>
      </c>
      <c r="R74" s="17">
        <f t="shared" si="17"/>
        <v>2043983.9167742082</v>
      </c>
      <c r="S74" s="17">
        <f t="shared" si="21"/>
        <v>1015797.386280903</v>
      </c>
    </row>
    <row r="75" spans="1:19" x14ac:dyDescent="0.25">
      <c r="A75" s="4" t="s">
        <v>8</v>
      </c>
      <c r="B75">
        <v>0.05</v>
      </c>
      <c r="D75" s="8" t="s">
        <v>21</v>
      </c>
      <c r="E75" s="3">
        <v>0</v>
      </c>
      <c r="F75" s="3">
        <f t="shared" si="18"/>
        <v>1889880.2334698392</v>
      </c>
      <c r="G75" s="3">
        <f t="shared" si="22"/>
        <v>109194.21363420576</v>
      </c>
      <c r="H75" s="13">
        <f t="shared" si="23"/>
        <v>161808.86746958751</v>
      </c>
      <c r="I75" s="3">
        <v>0</v>
      </c>
      <c r="J75" s="17">
        <f t="shared" si="16"/>
        <v>2160883.3145736326</v>
      </c>
      <c r="K75" s="17">
        <f t="shared" si="19"/>
        <v>1013106.4203847335</v>
      </c>
      <c r="L75" s="22"/>
      <c r="M75" s="8" t="s">
        <v>21</v>
      </c>
      <c r="N75" s="3">
        <v>0</v>
      </c>
      <c r="O75" s="3">
        <f t="shared" si="20"/>
        <v>1889880.2334698392</v>
      </c>
      <c r="P75" s="13">
        <f t="shared" si="24"/>
        <v>161808.86746958751</v>
      </c>
      <c r="Q75" s="3">
        <v>0</v>
      </c>
      <c r="R75" s="17">
        <f t="shared" si="17"/>
        <v>2051689.1009394268</v>
      </c>
      <c r="S75" s="17">
        <f t="shared" si="21"/>
        <v>961911.91202993889</v>
      </c>
    </row>
    <row r="76" spans="1:19" x14ac:dyDescent="0.25">
      <c r="A76" s="4" t="s">
        <v>52</v>
      </c>
      <c r="B76" s="5">
        <f>B75/(1-(1+B75)^-20)*0.9*B66</f>
        <v>1299929.9124891993</v>
      </c>
      <c r="D76" s="8" t="s">
        <v>22</v>
      </c>
      <c r="E76" s="3">
        <v>0</v>
      </c>
      <c r="F76" s="3">
        <f t="shared" si="18"/>
        <v>1889880.2334698392</v>
      </c>
      <c r="G76" s="3">
        <f t="shared" si="22"/>
        <v>114653.92431591607</v>
      </c>
      <c r="H76" s="13">
        <f t="shared" si="23"/>
        <v>169899.31084306692</v>
      </c>
      <c r="I76" s="3">
        <v>0</v>
      </c>
      <c r="J76" s="17">
        <f t="shared" si="16"/>
        <v>2174433.4686288224</v>
      </c>
      <c r="K76" s="17">
        <f t="shared" si="19"/>
        <v>961754.02015396534</v>
      </c>
      <c r="L76" s="22"/>
      <c r="M76" s="8" t="s">
        <v>22</v>
      </c>
      <c r="N76" s="3">
        <v>0</v>
      </c>
      <c r="O76" s="3">
        <f t="shared" si="20"/>
        <v>1889880.2334698392</v>
      </c>
      <c r="P76" s="13">
        <f t="shared" si="24"/>
        <v>169899.31084306692</v>
      </c>
      <c r="Q76" s="3">
        <v>0</v>
      </c>
      <c r="R76" s="17">
        <f t="shared" si="17"/>
        <v>2059779.5443129062</v>
      </c>
      <c r="S76" s="17">
        <f t="shared" si="21"/>
        <v>911042.47885912156</v>
      </c>
    </row>
    <row r="77" spans="1:19" x14ac:dyDescent="0.25">
      <c r="A77" s="4" t="s">
        <v>64</v>
      </c>
      <c r="B77" s="5">
        <f>B75/(1-(1+B75)^-10)*0.9*B69</f>
        <v>589950.3209806399</v>
      </c>
      <c r="D77" s="8" t="s">
        <v>23</v>
      </c>
      <c r="E77" s="3">
        <v>0</v>
      </c>
      <c r="F77" s="3">
        <f t="shared" si="18"/>
        <v>1889880.2334698392</v>
      </c>
      <c r="G77" s="3">
        <f t="shared" si="22"/>
        <v>120386.62053171186</v>
      </c>
      <c r="H77" s="13">
        <f t="shared" si="23"/>
        <v>178394.2763852202</v>
      </c>
      <c r="I77" s="3">
        <v>0</v>
      </c>
      <c r="J77" s="17">
        <f t="shared" si="16"/>
        <v>2188661.1303867712</v>
      </c>
      <c r="K77" s="17">
        <f t="shared" si="19"/>
        <v>913251.81950035249</v>
      </c>
      <c r="L77" s="22"/>
      <c r="M77" s="8" t="s">
        <v>23</v>
      </c>
      <c r="N77" s="3">
        <v>0</v>
      </c>
      <c r="O77" s="3">
        <f t="shared" si="20"/>
        <v>1889880.2334698392</v>
      </c>
      <c r="P77" s="13">
        <f t="shared" si="24"/>
        <v>178394.2763852202</v>
      </c>
      <c r="Q77" s="3">
        <v>0</v>
      </c>
      <c r="R77" s="17">
        <f t="shared" si="17"/>
        <v>2068274.5098550594</v>
      </c>
      <c r="S77" s="17">
        <f t="shared" si="21"/>
        <v>863018.68897244136</v>
      </c>
    </row>
    <row r="78" spans="1:19" x14ac:dyDescent="0.25">
      <c r="D78" s="8" t="s">
        <v>24</v>
      </c>
      <c r="E78" s="3">
        <v>0</v>
      </c>
      <c r="F78" s="3">
        <f t="shared" si="18"/>
        <v>1889880.2334698392</v>
      </c>
      <c r="G78" s="3">
        <f t="shared" si="22"/>
        <v>126405.95155829749</v>
      </c>
      <c r="H78" s="13">
        <f t="shared" si="23"/>
        <v>187313.99020448129</v>
      </c>
      <c r="I78" s="3">
        <v>0</v>
      </c>
      <c r="J78" s="17">
        <f t="shared" si="16"/>
        <v>2203600.1752326181</v>
      </c>
      <c r="K78" s="17">
        <f t="shared" si="19"/>
        <v>867439.01976913773</v>
      </c>
      <c r="L78" s="22"/>
      <c r="M78" s="8" t="s">
        <v>24</v>
      </c>
      <c r="N78" s="3">
        <v>0</v>
      </c>
      <c r="O78" s="3">
        <f t="shared" si="20"/>
        <v>1889880.2334698392</v>
      </c>
      <c r="P78" s="13">
        <f t="shared" si="24"/>
        <v>187313.99020448129</v>
      </c>
      <c r="Q78" s="3">
        <v>0</v>
      </c>
      <c r="R78" s="17">
        <f t="shared" si="17"/>
        <v>2077194.2236743206</v>
      </c>
      <c r="S78" s="17">
        <f t="shared" si="21"/>
        <v>817679.78669903695</v>
      </c>
    </row>
    <row r="79" spans="1:19" x14ac:dyDescent="0.25">
      <c r="A79" s="4" t="s">
        <v>32</v>
      </c>
      <c r="B79">
        <v>0.05</v>
      </c>
      <c r="D79" s="8" t="s">
        <v>25</v>
      </c>
      <c r="E79" s="3">
        <v>0</v>
      </c>
      <c r="F79" s="3">
        <f t="shared" si="18"/>
        <v>1889880.2334698392</v>
      </c>
      <c r="G79" s="3">
        <f t="shared" si="22"/>
        <v>132726.24913621234</v>
      </c>
      <c r="H79" s="13">
        <f t="shared" si="23"/>
        <v>196679.68971470534</v>
      </c>
      <c r="I79" s="3">
        <v>0</v>
      </c>
      <c r="J79" s="17">
        <f t="shared" si="16"/>
        <v>2219286.1723207571</v>
      </c>
      <c r="K79" s="17">
        <f t="shared" si="19"/>
        <v>824163.91908416315</v>
      </c>
      <c r="L79" s="22"/>
      <c r="M79" s="8" t="s">
        <v>25</v>
      </c>
      <c r="N79" s="3">
        <v>0</v>
      </c>
      <c r="O79" s="3">
        <f t="shared" si="20"/>
        <v>1889880.2334698392</v>
      </c>
      <c r="P79" s="13">
        <f t="shared" si="24"/>
        <v>196679.68971470534</v>
      </c>
      <c r="Q79" s="3">
        <v>0</v>
      </c>
      <c r="R79" s="17">
        <f t="shared" si="17"/>
        <v>2086559.9231845445</v>
      </c>
      <c r="S79" s="17">
        <f t="shared" si="21"/>
        <v>774874.11274113879</v>
      </c>
    </row>
    <row r="80" spans="1:19" x14ac:dyDescent="0.25">
      <c r="A80" s="4" t="s">
        <v>36</v>
      </c>
      <c r="B80">
        <v>0.06</v>
      </c>
      <c r="D80" s="8" t="s">
        <v>26</v>
      </c>
      <c r="E80" s="3">
        <v>0</v>
      </c>
      <c r="F80" s="3">
        <f t="shared" si="18"/>
        <v>1889880.2334698392</v>
      </c>
      <c r="G80" s="3">
        <f t="shared" si="22"/>
        <v>139362.56159302298</v>
      </c>
      <c r="H80" s="13">
        <f t="shared" si="23"/>
        <v>206513.67420044064</v>
      </c>
      <c r="I80" s="3">
        <v>0</v>
      </c>
      <c r="J80" s="17">
        <f t="shared" si="16"/>
        <v>2235756.4692633026</v>
      </c>
      <c r="K80" s="17">
        <f t="shared" si="19"/>
        <v>783283.39748334978</v>
      </c>
      <c r="L80" s="22"/>
      <c r="M80" s="8" t="s">
        <v>26</v>
      </c>
      <c r="N80" s="3">
        <v>0</v>
      </c>
      <c r="O80" s="3">
        <f t="shared" si="20"/>
        <v>1889880.2334698392</v>
      </c>
      <c r="P80" s="13">
        <f t="shared" si="24"/>
        <v>206513.67420044064</v>
      </c>
      <c r="Q80" s="3">
        <v>0</v>
      </c>
      <c r="R80" s="17">
        <f t="shared" si="17"/>
        <v>2096393.90767028</v>
      </c>
      <c r="S80" s="17">
        <f t="shared" si="21"/>
        <v>734458.58931337297</v>
      </c>
    </row>
    <row r="81" spans="1:19" x14ac:dyDescent="0.25">
      <c r="D81" s="8" t="s">
        <v>27</v>
      </c>
      <c r="E81" s="12">
        <v>0</v>
      </c>
      <c r="F81" s="3">
        <f t="shared" si="18"/>
        <v>1889880.2334698392</v>
      </c>
      <c r="G81" s="3">
        <f t="shared" si="22"/>
        <v>146330.68967267414</v>
      </c>
      <c r="H81" s="13">
        <f t="shared" si="23"/>
        <v>216839.35791046266</v>
      </c>
      <c r="I81" s="3">
        <v>0</v>
      </c>
      <c r="J81" s="17">
        <f t="shared" si="16"/>
        <v>2253050.2810529759</v>
      </c>
      <c r="K81" s="17">
        <f t="shared" si="19"/>
        <v>744662.43119699892</v>
      </c>
      <c r="L81" s="22"/>
      <c r="M81" s="8" t="s">
        <v>27</v>
      </c>
      <c r="N81" s="12">
        <v>0</v>
      </c>
      <c r="O81" s="3">
        <f t="shared" si="20"/>
        <v>1889880.2334698392</v>
      </c>
      <c r="P81" s="13">
        <f t="shared" si="24"/>
        <v>216839.35791046266</v>
      </c>
      <c r="Q81" s="13">
        <v>0</v>
      </c>
      <c r="R81" s="17">
        <f t="shared" si="17"/>
        <v>2106719.5913803019</v>
      </c>
      <c r="S81" s="17">
        <f t="shared" si="21"/>
        <v>696298.23442485195</v>
      </c>
    </row>
    <row r="82" spans="1:19" x14ac:dyDescent="0.25">
      <c r="D82" s="8" t="s">
        <v>28</v>
      </c>
      <c r="E82" s="14">
        <v>0</v>
      </c>
      <c r="F82" s="15">
        <f t="shared" si="18"/>
        <v>1889880.2334698392</v>
      </c>
      <c r="G82" s="15">
        <f t="shared" si="22"/>
        <v>153647.22415630784</v>
      </c>
      <c r="H82" s="15">
        <f t="shared" si="23"/>
        <v>227681.32580598578</v>
      </c>
      <c r="I82" s="16">
        <v>0</v>
      </c>
      <c r="J82" s="18">
        <f t="shared" si="16"/>
        <v>2271208.7834321326</v>
      </c>
      <c r="K82" s="18">
        <f t="shared" si="19"/>
        <v>708173.63441933179</v>
      </c>
      <c r="L82" s="22"/>
      <c r="M82" s="8" t="s">
        <v>28</v>
      </c>
      <c r="N82" s="14">
        <v>0</v>
      </c>
      <c r="O82" s="15">
        <f t="shared" si="20"/>
        <v>1889880.2334698392</v>
      </c>
      <c r="P82" s="15">
        <f t="shared" si="24"/>
        <v>227681.32580598578</v>
      </c>
      <c r="Q82" s="16">
        <v>0</v>
      </c>
      <c r="R82" s="18">
        <f t="shared" si="17"/>
        <v>2117561.559275825</v>
      </c>
      <c r="S82" s="18">
        <f t="shared" si="21"/>
        <v>660265.70365446934</v>
      </c>
    </row>
    <row r="83" spans="1:19" x14ac:dyDescent="0.25">
      <c r="J83" s="20">
        <f>SUM(J62:J82)</f>
        <v>39693571.098604955</v>
      </c>
      <c r="K83" s="20">
        <f>SUM(K62:K82)</f>
        <v>21188898.331062503</v>
      </c>
      <c r="M83" s="4"/>
      <c r="N83" s="4"/>
      <c r="R83" s="20">
        <f>SUM(R62:R82)</f>
        <v>62370423.715101086</v>
      </c>
      <c r="S83" s="20">
        <f>SUM(S62:S82)</f>
        <v>44826264.505151652</v>
      </c>
    </row>
    <row r="84" spans="1:19" ht="16.5" thickBot="1" x14ac:dyDescent="0.3">
      <c r="J84" s="23"/>
      <c r="K84" s="23"/>
      <c r="M84" s="4"/>
      <c r="N84" s="4"/>
      <c r="R84" s="23"/>
      <c r="S84" s="23"/>
    </row>
    <row r="85" spans="1:19" x14ac:dyDescent="0.25">
      <c r="I85" s="34" t="s">
        <v>38</v>
      </c>
      <c r="J85" s="38">
        <f>K83/B64</f>
        <v>0.33066320741358463</v>
      </c>
      <c r="K85" s="30" t="s">
        <v>37</v>
      </c>
      <c r="M85" s="4"/>
      <c r="N85" s="4"/>
      <c r="Q85" s="34" t="s">
        <v>38</v>
      </c>
      <c r="R85" s="38">
        <f>S83/B64</f>
        <v>0.69953596293932041</v>
      </c>
      <c r="S85" s="30" t="s">
        <v>37</v>
      </c>
    </row>
    <row r="86" spans="1:19" ht="16.5" thickBot="1" x14ac:dyDescent="0.3">
      <c r="E86" s="4"/>
      <c r="I86" s="35" t="s">
        <v>81</v>
      </c>
      <c r="J86" s="32">
        <f>J25-K83</f>
        <v>5114458.7761486769</v>
      </c>
      <c r="K86" s="33"/>
      <c r="M86" s="4"/>
      <c r="N86" s="4"/>
      <c r="Q86" s="35" t="s">
        <v>81</v>
      </c>
      <c r="R86" s="32">
        <f>Q25-S83</f>
        <v>-18183948.683181718</v>
      </c>
      <c r="S86" s="33"/>
    </row>
    <row r="87" spans="1:19" ht="32.1" customHeight="1" thickBot="1" x14ac:dyDescent="0.4">
      <c r="A87" s="39" t="s">
        <v>75</v>
      </c>
      <c r="B87" s="2"/>
      <c r="C87" s="2"/>
      <c r="D87" s="22"/>
      <c r="E87" s="24"/>
      <c r="N87" s="4"/>
    </row>
    <row r="88" spans="1:19" x14ac:dyDescent="0.25">
      <c r="A88" t="s">
        <v>69</v>
      </c>
      <c r="I88" s="34" t="s">
        <v>79</v>
      </c>
      <c r="J88" s="38">
        <f>K83/B95</f>
        <v>5.0961528157293351E-2</v>
      </c>
      <c r="K88" s="30" t="s">
        <v>37</v>
      </c>
      <c r="Q88" s="34" t="s">
        <v>79</v>
      </c>
      <c r="R88" s="38">
        <f>S83/B95</f>
        <v>0.10781187889398944</v>
      </c>
      <c r="S88" s="30" t="s">
        <v>37</v>
      </c>
    </row>
    <row r="89" spans="1:19" ht="16.5" thickBot="1" x14ac:dyDescent="0.3">
      <c r="A89" s="4" t="s">
        <v>70</v>
      </c>
      <c r="B89">
        <v>1465426</v>
      </c>
      <c r="I89" s="35" t="s">
        <v>80</v>
      </c>
      <c r="J89" s="32">
        <f>J86+B92</f>
        <v>7560774.7600196442</v>
      </c>
      <c r="K89" s="33"/>
      <c r="Q89" s="35" t="s">
        <v>80</v>
      </c>
      <c r="R89" s="32">
        <f>R86+B92</f>
        <v>-15737632.69931075</v>
      </c>
      <c r="S89" s="33"/>
    </row>
    <row r="90" spans="1:19" x14ac:dyDescent="0.25">
      <c r="A90" s="4" t="s">
        <v>71</v>
      </c>
      <c r="B90">
        <f>B89/31</f>
        <v>47271.806451612902</v>
      </c>
    </row>
    <row r="91" spans="1:19" x14ac:dyDescent="0.25">
      <c r="A91" s="4" t="s">
        <v>72</v>
      </c>
      <c r="B91">
        <f>B90*345</f>
        <v>16308773.22580645</v>
      </c>
    </row>
    <row r="92" spans="1:19" x14ac:dyDescent="0.25">
      <c r="A92" s="4" t="s">
        <v>76</v>
      </c>
      <c r="B92" s="37">
        <f>B91*0.15</f>
        <v>2446315.9838709673</v>
      </c>
    </row>
    <row r="94" spans="1:19" x14ac:dyDescent="0.25">
      <c r="A94" s="4" t="s">
        <v>73</v>
      </c>
      <c r="B94">
        <f>B89*12*20</f>
        <v>351702240</v>
      </c>
    </row>
    <row r="95" spans="1:19" x14ac:dyDescent="0.25">
      <c r="A95" s="4" t="s">
        <v>78</v>
      </c>
      <c r="B95" s="1">
        <f>B63*20 + B94</f>
        <v>415782240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wanju</cp:lastModifiedBy>
  <dcterms:created xsi:type="dcterms:W3CDTF">2020-02-26T01:14:36Z</dcterms:created>
  <dcterms:modified xsi:type="dcterms:W3CDTF">2020-02-29T22:10:00Z</dcterms:modified>
</cp:coreProperties>
</file>