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AEFD9383-9227-47D3-AB74-0EDE278E10CC}" xr6:coauthVersionLast="37" xr6:coauthVersionMax="37" xr10:uidLastSave="{00000000-0000-0000-0000-000000000000}"/>
  <bookViews>
    <workbookView xWindow="0" yWindow="0" windowWidth="19596" windowHeight="6876" xr2:uid="{99A690A1-DC36-4BE8-91E6-05B30DF3FF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" i="1" l="1"/>
  <c r="AH26" i="1"/>
  <c r="AO26" i="1" s="1"/>
  <c r="AJ26" i="1"/>
  <c r="AN26" i="1"/>
  <c r="AM25" i="1"/>
  <c r="AO25" i="1" s="1"/>
  <c r="AH25" i="1"/>
  <c r="AN25" i="1"/>
  <c r="AM24" i="1"/>
  <c r="AO24" i="1" s="1"/>
  <c r="AH24" i="1"/>
  <c r="AM23" i="1"/>
  <c r="AO23" i="1" s="1"/>
  <c r="AH23" i="1"/>
  <c r="AM22" i="1"/>
  <c r="AO22" i="1" s="1"/>
  <c r="AN24" i="1"/>
  <c r="AN23" i="1"/>
  <c r="AH22" i="1"/>
  <c r="AM21" i="1"/>
  <c r="AO21" i="1" s="1"/>
  <c r="AN22" i="1"/>
  <c r="AH21" i="1"/>
  <c r="AM20" i="1"/>
  <c r="AO20" i="1" s="1"/>
  <c r="AH20" i="1"/>
  <c r="AN21" i="1"/>
  <c r="AN20" i="1"/>
  <c r="AM19" i="1"/>
  <c r="AH19" i="1"/>
  <c r="AN19" i="1"/>
  <c r="AM18" i="1"/>
  <c r="AO18" i="1" s="1"/>
  <c r="AH18" i="1"/>
  <c r="AN18" i="1"/>
  <c r="AM17" i="1"/>
  <c r="AO17" i="1" s="1"/>
  <c r="AH17" i="1"/>
  <c r="AN17" i="1"/>
  <c r="AM16" i="1"/>
  <c r="AH16" i="1"/>
  <c r="AM15" i="1"/>
  <c r="AH15" i="1"/>
  <c r="AJ15" i="1"/>
  <c r="AN15" i="1"/>
  <c r="AJ16" i="1"/>
  <c r="AN16" i="1"/>
  <c r="AM14" i="1"/>
  <c r="AH14" i="1"/>
  <c r="AJ3" i="1"/>
  <c r="AJ4" i="1"/>
  <c r="AJ5" i="1"/>
  <c r="AJ6" i="1"/>
  <c r="AJ7" i="1"/>
  <c r="AJ8" i="1"/>
  <c r="AJ9" i="1"/>
  <c r="AJ10" i="1"/>
  <c r="AJ11" i="1"/>
  <c r="AJ12" i="1"/>
  <c r="AJ13" i="1"/>
  <c r="AJ14" i="1"/>
  <c r="AN14" i="1"/>
  <c r="AM13" i="1"/>
  <c r="AH13" i="1"/>
  <c r="AO19" i="1" l="1"/>
  <c r="AO15" i="1"/>
  <c r="AO14" i="1"/>
  <c r="AO16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3" i="1"/>
  <c r="BI3" i="1"/>
  <c r="BJ3" i="1"/>
  <c r="BG3" i="1"/>
  <c r="BG4" i="1"/>
  <c r="BG5" i="1"/>
  <c r="BG6" i="1"/>
  <c r="BG7" i="1"/>
  <c r="BG8" i="1"/>
  <c r="BG9" i="1"/>
  <c r="BG10" i="1"/>
  <c r="BG11" i="1"/>
  <c r="BG12" i="1"/>
  <c r="AM12" i="1" l="1"/>
  <c r="AH12" i="1"/>
  <c r="AN13" i="1"/>
  <c r="AO13" i="1"/>
  <c r="AN12" i="1" l="1"/>
  <c r="AO12" i="1"/>
  <c r="AM11" i="1"/>
  <c r="AM10" i="1"/>
  <c r="AH11" i="1"/>
  <c r="AH10" i="1"/>
  <c r="AM9" i="1"/>
  <c r="AN11" i="1"/>
  <c r="AN10" i="1"/>
  <c r="AH9" i="1"/>
  <c r="AN9" i="1"/>
  <c r="AM8" i="1"/>
  <c r="AH8" i="1"/>
  <c r="AN8" i="1"/>
  <c r="AO6" i="1"/>
  <c r="AO3" i="1"/>
  <c r="AO4" i="1"/>
  <c r="AO5" i="1"/>
  <c r="AO7" i="1"/>
  <c r="AN7" i="1"/>
  <c r="AN6" i="1"/>
  <c r="AN3" i="1"/>
  <c r="AN4" i="1"/>
  <c r="AN5" i="1"/>
  <c r="AO10" i="1" l="1"/>
  <c r="AO11" i="1"/>
  <c r="AO9" i="1"/>
  <c r="AO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29" i="1"/>
  <c r="P29" i="1"/>
  <c r="C30" i="1"/>
  <c r="P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6" i="1"/>
  <c r="P16" i="1"/>
  <c r="C17" i="1"/>
  <c r="P17" i="1"/>
  <c r="C18" i="1"/>
  <c r="P18" i="1"/>
  <c r="C19" i="1"/>
  <c r="P19" i="1"/>
  <c r="C9" i="1"/>
  <c r="P9" i="1"/>
  <c r="C10" i="1"/>
  <c r="P10" i="1"/>
  <c r="C11" i="1"/>
  <c r="P11" i="1"/>
  <c r="C12" i="1"/>
  <c r="P12" i="1"/>
  <c r="C13" i="1"/>
  <c r="P13" i="1"/>
  <c r="C14" i="1"/>
  <c r="P14" i="1"/>
  <c r="C15" i="1"/>
  <c r="P15" i="1"/>
  <c r="P8" i="1" l="1"/>
  <c r="C8" i="1"/>
  <c r="P7" i="1"/>
  <c r="C7" i="1"/>
  <c r="P4" i="1" l="1"/>
  <c r="P5" i="1"/>
  <c r="C5" i="1"/>
  <c r="C6" i="1"/>
  <c r="C3" i="1" l="1"/>
  <c r="C4" i="1"/>
</calcChain>
</file>

<file path=xl/sharedStrings.xml><?xml version="1.0" encoding="utf-8"?>
<sst xmlns="http://schemas.openxmlformats.org/spreadsheetml/2006/main" count="466" uniqueCount="89">
  <si>
    <t>Input (168x192)</t>
  </si>
  <si>
    <t>None</t>
  </si>
  <si>
    <t>whiten</t>
  </si>
  <si>
    <t>svd_solver</t>
  </si>
  <si>
    <t>alpha</t>
  </si>
  <si>
    <t>iter</t>
  </si>
  <si>
    <t>arpack</t>
  </si>
  <si>
    <t>Preprocess</t>
  </si>
  <si>
    <t>SSC Acc</t>
  </si>
  <si>
    <t>subjects</t>
  </si>
  <si>
    <t>per_each</t>
  </si>
  <si>
    <t>images</t>
  </si>
  <si>
    <t>hidden</t>
  </si>
  <si>
    <t>lambda1</t>
  </si>
  <si>
    <t>lambda2</t>
  </si>
  <si>
    <t>loss</t>
  </si>
  <si>
    <t>Accuracy</t>
  </si>
  <si>
    <t>NMI</t>
  </si>
  <si>
    <t>ARI</t>
  </si>
  <si>
    <t>Autoencoder</t>
  </si>
  <si>
    <t>[200, 150, 200]</t>
  </si>
  <si>
    <t>AE+SSC Performance</t>
  </si>
  <si>
    <t>alpha2</t>
  </si>
  <si>
    <t>iter2</t>
  </si>
  <si>
    <t>SSC</t>
  </si>
  <si>
    <t>epochs2</t>
  </si>
  <si>
    <t>lr2</t>
  </si>
  <si>
    <t>loss2</t>
  </si>
  <si>
    <t>Pretrain</t>
  </si>
  <si>
    <t>Train</t>
  </si>
  <si>
    <t>-</t>
  </si>
  <si>
    <t>method</t>
  </si>
  <si>
    <t>uniform</t>
  </si>
  <si>
    <t>sda</t>
  </si>
  <si>
    <t>time</t>
  </si>
  <si>
    <t>time2</t>
  </si>
  <si>
    <t>epochs3</t>
  </si>
  <si>
    <t>time3</t>
  </si>
  <si>
    <t>?</t>
  </si>
  <si>
    <t>Final</t>
  </si>
  <si>
    <t>sda-uniform</t>
  </si>
  <si>
    <t>learn_rate1</t>
  </si>
  <si>
    <t>loss1</t>
  </si>
  <si>
    <t>learn_rate2</t>
  </si>
  <si>
    <t>epochs1</t>
  </si>
  <si>
    <t>Goal:</t>
  </si>
  <si>
    <t>loss2 &lt; 1e-3</t>
  </si>
  <si>
    <t>&lt; For StructAE-L1L, μ=2^-11 for DSIFT</t>
  </si>
  <si>
    <t>lr1</t>
  </si>
  <si>
    <t>&lt; weight  initialization</t>
  </si>
  <si>
    <t>Normalization tests:</t>
  </si>
  <si>
    <t>Type</t>
  </si>
  <si>
    <t>Method</t>
  </si>
  <si>
    <t>All</t>
  </si>
  <si>
    <t>Image</t>
  </si>
  <si>
    <t>Feature</t>
  </si>
  <si>
    <t>standard</t>
  </si>
  <si>
    <t>[-1, 1]</t>
  </si>
  <si>
    <t>unit</t>
  </si>
  <si>
    <t>Average</t>
  </si>
  <si>
    <t>SSC acc-2</t>
  </si>
  <si>
    <t>SSC acc-1</t>
  </si>
  <si>
    <t>AE loss1-1</t>
  </si>
  <si>
    <t>AE loss2-1</t>
  </si>
  <si>
    <t>AE acc-1</t>
  </si>
  <si>
    <t>AE loss1-2</t>
  </si>
  <si>
    <t>AE loss2-2</t>
  </si>
  <si>
    <t>AE acc-2</t>
  </si>
  <si>
    <t>SSC acc3</t>
  </si>
  <si>
    <t>AE loss1-3</t>
  </si>
  <si>
    <t>AE loss2-3</t>
  </si>
  <si>
    <t>AE acc-3</t>
  </si>
  <si>
    <t>AE acc-a</t>
  </si>
  <si>
    <t>AE acc1-a</t>
  </si>
  <si>
    <t>AE acc2-a</t>
  </si>
  <si>
    <t>SSC acc-a</t>
  </si>
  <si>
    <t>Trial 1: alpha=20, iter=6 (Preproc tuned)</t>
  </si>
  <si>
    <t>Trial 2: alpha=18, iter=10 (AE tuned)</t>
  </si>
  <si>
    <t>Trial 3: alpha=13, iter=15 (Nether tuned)</t>
  </si>
  <si>
    <t>&lt; I avoid using these last two; their magnitudes are very small and could mess with tuned parameters</t>
  </si>
  <si>
    <t>&lt; Normalization</t>
  </si>
  <si>
    <t>&lt; Note: C-mats were not re-imported from SSC to AE</t>
  </si>
  <si>
    <t>d1</t>
  </si>
  <si>
    <t>d2</t>
  </si>
  <si>
    <t>none</t>
  </si>
  <si>
    <t>sqrt</t>
  </si>
  <si>
    <t>&lt; Note: loss1 affected by 1 epoch of training</t>
  </si>
  <si>
    <t>&lt; Learning rate decay</t>
  </si>
  <si>
    <t>&lt; Normalization, lr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</si>
</sst>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66FF33"/>
        <bgColor theme="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CF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4A2E6"/>
        <bgColor indexed="64"/>
      </patternFill>
    </fill>
    <fill>
      <patternFill patternType="solid">
        <fgColor rgb="FFF3D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FFB3B3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0" borderId="0" xfId="0" applyNumberFormat="1"/>
    <xf numFmtId="0" fontId="0" fillId="21" borderId="0" xfId="0" applyFill="1"/>
    <xf numFmtId="0" fontId="1" fillId="20" borderId="0" xfId="0" applyFont="1" applyFill="1" applyBorder="1" applyAlignment="1"/>
    <xf numFmtId="1" fontId="0" fillId="0" borderId="0" xfId="0" applyNumberFormat="1"/>
    <xf numFmtId="1" fontId="0" fillId="4" borderId="0" xfId="0" applyNumberFormat="1" applyFill="1"/>
    <xf numFmtId="0" fontId="0" fillId="0" borderId="0" xfId="0" applyFill="1" applyAlignment="1">
      <alignment horizontal="right"/>
    </xf>
    <xf numFmtId="0" fontId="0" fillId="22" borderId="0" xfId="0" applyFill="1"/>
    <xf numFmtId="0" fontId="0" fillId="26" borderId="0" xfId="0" applyFill="1"/>
    <xf numFmtId="11" fontId="0" fillId="0" borderId="0" xfId="0" applyNumberFormat="1"/>
    <xf numFmtId="0" fontId="0" fillId="28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8" borderId="8" xfId="0" applyFill="1" applyBorder="1" applyAlignment="1">
      <alignment horizontal="right"/>
    </xf>
    <xf numFmtId="0" fontId="0" fillId="18" borderId="10" xfId="0" applyFill="1" applyBorder="1" applyAlignment="1">
      <alignment horizontal="right"/>
    </xf>
    <xf numFmtId="0" fontId="0" fillId="19" borderId="11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0" fillId="4" borderId="0" xfId="0" applyNumberFormat="1" applyFill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18" borderId="13" xfId="0" applyFill="1" applyBorder="1" applyAlignment="1">
      <alignment horizontal="right"/>
    </xf>
    <xf numFmtId="0" fontId="0" fillId="18" borderId="15" xfId="0" applyFill="1" applyBorder="1" applyAlignment="1">
      <alignment horizontal="right"/>
    </xf>
    <xf numFmtId="0" fontId="0" fillId="0" borderId="0" xfId="0" applyAlignment="1">
      <alignment horizontal="center" wrapText="1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5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1" fillId="23" borderId="0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ill>
        <patternFill patternType="solid">
          <fgColor indexed="64"/>
          <bgColor rgb="FFFFDDDD"/>
        </patternFill>
      </fill>
    </dxf>
    <dxf>
      <fill>
        <patternFill patternType="solid">
          <fgColor indexed="64"/>
          <bgColor rgb="FFFFF9E7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FF9B9B"/>
      <color rgb="FFF8696B"/>
      <color rgb="FF63BE7B"/>
      <color rgb="FFFFC5C5"/>
      <color rgb="FFFFDDDD"/>
      <color rgb="FFF26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20431-2F3E-41C3-9AC7-159AD65B76C1}" name="Table1" displayName="Table1" ref="A2:X43" totalsRowShown="0">
  <autoFilter ref="A2:X43" xr:uid="{25EC06B5-7BE5-45AB-AB2D-042D27E65A83}"/>
  <tableColumns count="24">
    <tableColumn id="1" xr3:uid="{318840A2-746A-4FAB-83D3-41719547BE37}" name="subjects" dataDxfId="15"/>
    <tableColumn id="2" xr3:uid="{0E806CA2-B16E-4541-973E-8F727A98A57A}" name="per_each" dataDxfId="14"/>
    <tableColumn id="3" xr3:uid="{55481695-1E68-41EC-8202-E873FB38DB7E}" name="images" dataDxfId="13">
      <calculatedColumnFormula>MIN(Table1[[#This Row],[per_each]],64)*Table1[[#This Row],[subjects]]</calculatedColumnFormula>
    </tableColumn>
    <tableColumn id="4" xr3:uid="{64DE7F3C-8E50-49DC-AF01-BD92BFC9209D}" name="whiten"/>
    <tableColumn id="5" xr3:uid="{B3CB5C4F-26C5-4C1C-94D1-3671FAC10C2D}" name="svd_solver"/>
    <tableColumn id="6" xr3:uid="{55D9E1E6-EB1D-4314-8490-924735FADE54}" name="alpha"/>
    <tableColumn id="7" xr3:uid="{BE45C04C-78DF-4E16-9C12-28004DC902B0}" name="iter"/>
    <tableColumn id="8" xr3:uid="{596541AE-562E-4419-AA99-B15F9E9900C8}" name="SSC Acc"/>
    <tableColumn id="20" xr3:uid="{BAB8C652-6358-4796-AA6A-5ED9A8328907}" name="learn_rate1" dataDxfId="12"/>
    <tableColumn id="23" xr3:uid="{F3AC99DA-B61C-485B-AD6F-C78B3087B7B8}" name="d1" dataDxfId="11"/>
    <tableColumn id="21" xr3:uid="{6792B245-06EF-4465-85E5-6FE715F3AE6F}" name="epochs1" dataDxfId="10"/>
    <tableColumn id="22" xr3:uid="{C86B1628-954D-44F6-8499-F5E1CC215B9B}" name="loss1" dataDxfId="9"/>
    <tableColumn id="9" xr3:uid="{5B221FDE-32C9-433C-8073-B2E54BE084C9}" name="hidden"/>
    <tableColumn id="10" xr3:uid="{484E0556-F7A4-4874-B0C3-3998C55943CF}" name="lambda1"/>
    <tableColumn id="11" xr3:uid="{161FC12E-0E36-4F3D-84FF-A13256F74393}" name="lambda2"/>
    <tableColumn id="12" xr3:uid="{B0CCD08F-9C0F-49F7-862E-78E524A638BD}" name="learn_rate2"/>
    <tableColumn id="24" xr3:uid="{9BEBCDCE-F599-47CB-A699-26C78F6108A9}" name="d2" dataDxfId="8"/>
    <tableColumn id="13" xr3:uid="{C0797F9F-8168-4C8D-B16F-EF08CCDCA015}" name="epochs2"/>
    <tableColumn id="14" xr3:uid="{5009E3AF-D79C-45DE-9410-C507C73F5322}" name="loss2"/>
    <tableColumn id="18" xr3:uid="{D9F44485-D5F2-4ED0-B240-0903840B21E7}" name="alpha2"/>
    <tableColumn id="19" xr3:uid="{719C37B6-1658-4A68-9C95-2735EB7A987A}" name="iter2"/>
    <tableColumn id="15" xr3:uid="{4974193B-0A07-4AFC-8850-CA12AE8AA783}" name="Accuracy"/>
    <tableColumn id="16" xr3:uid="{94B88009-4D91-4564-9376-00A95E5CA792}" name="NMI"/>
    <tableColumn id="17" xr3:uid="{812500A4-FDC4-4438-9D19-5068E1EFD7DB}" name="A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01138-2045-4974-8C6C-7FFD5A4EC64B}" name="Table2" displayName="Table2" ref="AC2:AO26" totalsRowShown="0">
  <autoFilter ref="AC2:AO26" xr:uid="{CE91E60F-2176-42F5-866A-49C6B8A3F65E}"/>
  <tableColumns count="13">
    <tableColumn id="15" xr3:uid="{43CB27C8-5D94-4443-80F1-B54564AE9A10}" name="method"/>
    <tableColumn id="1" xr3:uid="{482CD8B1-9BD6-4840-9A67-E16B4022CEBD}" name="epochs1"/>
    <tableColumn id="2" xr3:uid="{1BEC02D6-44CB-4BE7-94FE-81A869C1E9B5}" name="lr1"/>
    <tableColumn id="9" xr3:uid="{9822811B-AE98-4447-BD21-0B1486AB998F}" name="d1"/>
    <tableColumn id="5" xr3:uid="{DDDC2269-AB15-4692-9B6F-68C9FBD2D91C}" name="loss" dataDxfId="7"/>
    <tableColumn id="16" xr3:uid="{51829734-B24A-4CF5-8940-7457CE3D8161}" name="time" dataDxfId="6"/>
    <tableColumn id="3" xr3:uid="{B95594B3-4434-43B6-80E7-C9835BB93A23}" name="epochs2"/>
    <tableColumn id="4" xr3:uid="{1AA55580-D314-4DB3-9895-96FA823E96B5}" name="lr2" dataDxfId="5">
      <calculatedColumnFormula>1/1024</calculatedColumnFormula>
    </tableColumn>
    <tableColumn id="10" xr3:uid="{9A76515F-980C-4CF8-988A-B1FFD61AA812}" name="d2" dataDxfId="4"/>
    <tableColumn id="6" xr3:uid="{1B957BBF-E56E-4A9C-A2A1-66108EBE32C6}" name="loss2"/>
    <tableColumn id="17" xr3:uid="{9173A85E-CAAE-4269-A988-901958920E25}" name="time2" dataDxfId="3"/>
    <tableColumn id="7" xr3:uid="{A6048F0A-C805-432D-A79E-3DFF3D10C0D5}" name="epochs3" dataDxfId="2">
      <calculatedColumnFormula>MAX(0, Table2[[#This Row],[epochs1]])+Table2[[#This Row],[epochs2]]</calculatedColumnFormula>
    </tableColumn>
    <tableColumn id="18" xr3:uid="{A378D8D5-1BC9-4094-8590-7974D55B6FDC}" name="time3" dataDxfId="1">
      <calculatedColumnFormula>IFERROR(Table2[[#This Row],[time]]+Table2[[#This Row],[time2]], "?")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65BE0-32C0-443C-AB1A-3FB2F32005CD}" name="Table3" displayName="Table3" ref="AS2:BJ12" totalsRowShown="0">
  <autoFilter ref="AS2:BJ12" xr:uid="{23B1DA7E-367C-40D2-B5FB-968B03B0C753}"/>
  <tableColumns count="18">
    <tableColumn id="1" xr3:uid="{2635D22B-4F02-4ABF-A60D-8D9C08006AC1}" name="Type"/>
    <tableColumn id="4" xr3:uid="{E58B84A4-9129-4B5C-997F-7530172E6626}" name="Method"/>
    <tableColumn id="2" xr3:uid="{16865CB0-CDF6-45BD-9F79-46A5C15FA61D}" name="SSC acc-1"/>
    <tableColumn id="3" xr3:uid="{8CF503C1-238D-4418-8B94-7FAD098B88B8}" name="AE loss1-1"/>
    <tableColumn id="5" xr3:uid="{C18D114A-E3D5-475E-9E2C-F9A2E5E14AC3}" name="AE loss2-1"/>
    <tableColumn id="6" xr3:uid="{846E66FB-E5F0-4360-A4EF-6CFE4F01253D}" name="AE acc-1"/>
    <tableColumn id="7" xr3:uid="{2CD899A0-3EAA-4423-80CE-EB60CE602C8B}" name="SSC acc-2"/>
    <tableColumn id="8" xr3:uid="{623A483E-77B0-4034-81CA-CB05C26435CF}" name="AE loss1-2"/>
    <tableColumn id="9" xr3:uid="{1C1F2477-F58C-4DF4-AF23-9988366189AB}" name="AE loss2-2"/>
    <tableColumn id="10" xr3:uid="{1B4AC44A-79F7-4B69-9B92-6E8F61C00AF1}" name="AE acc-2"/>
    <tableColumn id="11" xr3:uid="{0FAABF4D-E023-4F9D-B03E-93426C426ABB}" name="SSC acc3"/>
    <tableColumn id="12" xr3:uid="{44BCEF76-270C-47BF-ADFA-7F0D55B5249E}" name="AE loss1-3"/>
    <tableColumn id="13" xr3:uid="{721F8E67-D670-4C2F-BE89-A663DF391A5F}" name="AE loss2-3"/>
    <tableColumn id="14" xr3:uid="{B94D3346-5F73-47E3-9B20-CA92F3F28CA4}" name="AE acc-3"/>
    <tableColumn id="15" xr3:uid="{CCB6022A-1D3D-4803-8A50-023BB1DC67E9}" name="SSC acc-a" dataDxfId="0">
      <calculatedColumnFormula>AVERAGE(BC3,AY3,AU3)</calculatedColumnFormula>
    </tableColumn>
    <tableColumn id="16" xr3:uid="{1B126A4C-E690-48C0-B717-D551F399C15D}" name="AE acc1-a">
      <calculatedColumnFormula>AVERAGE(BD3,AZ3,AV3)</calculatedColumnFormula>
    </tableColumn>
    <tableColumn id="17" xr3:uid="{6D1C7425-06AF-402B-AB98-C1DC2060838F}" name="AE acc2-a">
      <calculatedColumnFormula>AVERAGE(BE3,BA3,AW3)</calculatedColumnFormula>
    </tableColumn>
    <tableColumn id="18" xr3:uid="{4128D318-80AD-48F5-B69E-5C9089562CCF}" name="AE acc-a">
      <calculatedColumnFormula>AVERAGE(BF3,BB3,AX3)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1B62-3CE9-4597-806B-508E76E74799}">
  <dimension ref="A1:BN50"/>
  <sheetViews>
    <sheetView tabSelected="1" topLeftCell="A30" workbookViewId="0">
      <selection activeCell="Q43" sqref="Q43"/>
    </sheetView>
  </sheetViews>
  <sheetFormatPr defaultRowHeight="14.4" x14ac:dyDescent="0.3"/>
  <cols>
    <col min="1" max="1" width="10.109375" bestFit="1" customWidth="1"/>
    <col min="2" max="2" width="11" bestFit="1" customWidth="1"/>
    <col min="3" max="3" width="9.109375" bestFit="1" customWidth="1"/>
    <col min="4" max="4" width="9" bestFit="1" customWidth="1"/>
    <col min="5" max="5" width="12.109375" bestFit="1" customWidth="1"/>
    <col min="6" max="6" width="7.88671875" bestFit="1" customWidth="1"/>
    <col min="7" max="7" width="6" bestFit="1" customWidth="1"/>
    <col min="8" max="8" width="12" bestFit="1" customWidth="1"/>
    <col min="9" max="9" width="12.77734375" bestFit="1" customWidth="1"/>
    <col min="10" max="10" width="5.33203125" bestFit="1" customWidth="1"/>
    <col min="11" max="11" width="10.21875" bestFit="1" customWidth="1"/>
    <col min="12" max="12" width="12" bestFit="1" customWidth="1"/>
    <col min="13" max="13" width="13.21875" bestFit="1" customWidth="1"/>
    <col min="14" max="15" width="10.5546875" bestFit="1" customWidth="1"/>
    <col min="16" max="16" width="12.77734375" bestFit="1" customWidth="1"/>
    <col min="17" max="17" width="5.33203125" bestFit="1" customWidth="1"/>
    <col min="18" max="18" width="10.21875" bestFit="1" customWidth="1"/>
    <col min="19" max="19" width="12" bestFit="1" customWidth="1"/>
    <col min="21" max="21" width="7" bestFit="1" customWidth="1"/>
    <col min="22" max="24" width="12" bestFit="1" customWidth="1"/>
    <col min="25" max="25" width="9.21875" bestFit="1" customWidth="1"/>
    <col min="26" max="26" width="9" customWidth="1"/>
    <col min="27" max="27" width="9.88671875" customWidth="1"/>
    <col min="28" max="28" width="10.21875" style="20" bestFit="1" customWidth="1"/>
    <col min="29" max="29" width="10.88671875" bestFit="1" customWidth="1"/>
    <col min="30" max="30" width="10.21875" bestFit="1" customWidth="1"/>
    <col min="31" max="31" width="7" bestFit="1" customWidth="1"/>
    <col min="32" max="32" width="5.33203125" style="20" bestFit="1" customWidth="1"/>
    <col min="33" max="33" width="12" customWidth="1"/>
    <col min="34" max="34" width="7" bestFit="1" customWidth="1"/>
    <col min="35" max="35" width="10.21875" bestFit="1" customWidth="1"/>
    <col min="36" max="36" width="12" bestFit="1" customWidth="1"/>
    <col min="37" max="37" width="5.33203125" bestFit="1" customWidth="1"/>
    <col min="38" max="38" width="12" bestFit="1" customWidth="1"/>
    <col min="39" max="39" width="8" bestFit="1" customWidth="1"/>
    <col min="40" max="40" width="10.21875" bestFit="1" customWidth="1"/>
    <col min="41" max="41" width="8" bestFit="1" customWidth="1"/>
    <col min="42" max="42" width="10" bestFit="1" customWidth="1"/>
    <col min="43" max="44" width="12" bestFit="1" customWidth="1"/>
    <col min="45" max="45" width="7.33203125" bestFit="1" customWidth="1"/>
    <col min="46" max="46" width="10" bestFit="1" customWidth="1"/>
    <col min="47" max="62" width="12" bestFit="1" customWidth="1"/>
  </cols>
  <sheetData>
    <row r="1" spans="1:66" x14ac:dyDescent="0.3">
      <c r="A1" s="71" t="s">
        <v>0</v>
      </c>
      <c r="B1" s="72"/>
      <c r="C1" s="72"/>
      <c r="D1" s="73" t="s">
        <v>7</v>
      </c>
      <c r="E1" s="73"/>
      <c r="F1" s="73"/>
      <c r="G1" s="73"/>
      <c r="H1" s="73"/>
      <c r="I1" s="61" t="s">
        <v>28</v>
      </c>
      <c r="J1" s="62"/>
      <c r="K1" s="62"/>
      <c r="L1" s="62"/>
      <c r="M1" s="63" t="s">
        <v>19</v>
      </c>
      <c r="N1" s="63"/>
      <c r="O1" s="63"/>
      <c r="P1" s="63"/>
      <c r="Q1" s="63"/>
      <c r="R1" s="63"/>
      <c r="S1" s="76"/>
      <c r="T1" s="74" t="s">
        <v>24</v>
      </c>
      <c r="U1" s="75"/>
      <c r="V1" s="69" t="s">
        <v>21</v>
      </c>
      <c r="W1" s="70"/>
      <c r="X1" s="70"/>
      <c r="AC1" s="61" t="s">
        <v>28</v>
      </c>
      <c r="AD1" s="62"/>
      <c r="AE1" s="62"/>
      <c r="AF1" s="62"/>
      <c r="AG1" s="62"/>
      <c r="AH1" s="62"/>
      <c r="AI1" s="63" t="s">
        <v>29</v>
      </c>
      <c r="AJ1" s="63"/>
      <c r="AK1" s="63"/>
      <c r="AL1" s="63"/>
      <c r="AM1" s="63"/>
      <c r="AN1" s="67" t="s">
        <v>39</v>
      </c>
      <c r="AO1" s="67"/>
      <c r="AP1" s="60" t="s">
        <v>86</v>
      </c>
      <c r="AQ1" s="60"/>
      <c r="AS1" s="61" t="s">
        <v>50</v>
      </c>
      <c r="AT1" s="62"/>
      <c r="AU1" s="68" t="s">
        <v>76</v>
      </c>
      <c r="AV1" s="68"/>
      <c r="AW1" s="68"/>
      <c r="AX1" s="68"/>
      <c r="AY1" s="64" t="s">
        <v>77</v>
      </c>
      <c r="AZ1" s="64"/>
      <c r="BA1" s="64"/>
      <c r="BB1" s="64"/>
      <c r="BC1" s="65" t="s">
        <v>78</v>
      </c>
      <c r="BD1" s="65"/>
      <c r="BE1" s="65"/>
      <c r="BF1" s="65"/>
      <c r="BG1" s="66" t="s">
        <v>59</v>
      </c>
      <c r="BH1" s="66"/>
      <c r="BI1" s="66"/>
      <c r="BJ1" s="66"/>
      <c r="BK1" t="s">
        <v>81</v>
      </c>
    </row>
    <row r="2" spans="1:66" ht="15" thickBot="1" x14ac:dyDescent="0.35">
      <c r="A2" s="1" t="s">
        <v>9</v>
      </c>
      <c r="B2" s="1" t="s">
        <v>10</v>
      </c>
      <c r="C2" s="2" t="s">
        <v>11</v>
      </c>
      <c r="D2" s="6" t="s">
        <v>2</v>
      </c>
      <c r="E2" s="6" t="s">
        <v>3</v>
      </c>
      <c r="F2" s="6" t="s">
        <v>4</v>
      </c>
      <c r="G2" s="6" t="s">
        <v>5</v>
      </c>
      <c r="H2" s="2" t="s">
        <v>8</v>
      </c>
      <c r="I2" s="19" t="s">
        <v>41</v>
      </c>
      <c r="J2" s="19" t="s">
        <v>82</v>
      </c>
      <c r="K2" s="19" t="s">
        <v>44</v>
      </c>
      <c r="L2" s="2" t="s">
        <v>42</v>
      </c>
      <c r="M2" s="9" t="s">
        <v>12</v>
      </c>
      <c r="N2" s="9" t="s">
        <v>13</v>
      </c>
      <c r="O2" s="9" t="s">
        <v>14</v>
      </c>
      <c r="P2" s="9" t="s">
        <v>43</v>
      </c>
      <c r="Q2" s="9" t="s">
        <v>83</v>
      </c>
      <c r="R2" s="9" t="s">
        <v>25</v>
      </c>
      <c r="S2" s="2" t="s">
        <v>27</v>
      </c>
      <c r="T2" s="14" t="s">
        <v>22</v>
      </c>
      <c r="U2" s="14" t="s">
        <v>23</v>
      </c>
      <c r="V2" s="5" t="s">
        <v>16</v>
      </c>
      <c r="W2" s="5" t="s">
        <v>17</v>
      </c>
      <c r="X2" s="5" t="s">
        <v>18</v>
      </c>
      <c r="AB2"/>
      <c r="AC2" t="s">
        <v>31</v>
      </c>
      <c r="AD2" t="s">
        <v>44</v>
      </c>
      <c r="AE2" t="s">
        <v>48</v>
      </c>
      <c r="AF2" s="28" t="s">
        <v>82</v>
      </c>
      <c r="AG2" s="49" t="s">
        <v>15</v>
      </c>
      <c r="AH2" s="21" t="s">
        <v>34</v>
      </c>
      <c r="AI2" s="9" t="s">
        <v>25</v>
      </c>
      <c r="AJ2" s="9" t="s">
        <v>26</v>
      </c>
      <c r="AK2" s="9" t="s">
        <v>83</v>
      </c>
      <c r="AL2" s="2" t="s">
        <v>27</v>
      </c>
      <c r="AM2" s="21" t="s">
        <v>35</v>
      </c>
      <c r="AN2" s="18" t="s">
        <v>36</v>
      </c>
      <c r="AO2" s="18" t="s">
        <v>37</v>
      </c>
      <c r="AP2" s="60"/>
      <c r="AQ2" s="60"/>
      <c r="AS2" t="s">
        <v>51</v>
      </c>
      <c r="AT2" t="s">
        <v>52</v>
      </c>
      <c r="AU2" s="9" t="s">
        <v>61</v>
      </c>
      <c r="AV2" s="9" t="s">
        <v>62</v>
      </c>
      <c r="AW2" s="9" t="s">
        <v>63</v>
      </c>
      <c r="AX2" s="9" t="s">
        <v>64</v>
      </c>
      <c r="AY2" s="24" t="s">
        <v>60</v>
      </c>
      <c r="AZ2" s="24" t="s">
        <v>65</v>
      </c>
      <c r="BA2" s="24" t="s">
        <v>66</v>
      </c>
      <c r="BB2" s="24" t="s">
        <v>67</v>
      </c>
      <c r="BC2" s="14" t="s">
        <v>68</v>
      </c>
      <c r="BD2" s="14" t="s">
        <v>69</v>
      </c>
      <c r="BE2" s="14" t="s">
        <v>70</v>
      </c>
      <c r="BF2" s="14" t="s">
        <v>71</v>
      </c>
      <c r="BG2" s="2" t="s">
        <v>75</v>
      </c>
      <c r="BH2" s="2" t="s">
        <v>73</v>
      </c>
      <c r="BI2" s="2" t="s">
        <v>74</v>
      </c>
      <c r="BJ2" s="2" t="s">
        <v>72</v>
      </c>
    </row>
    <row r="3" spans="1:66" x14ac:dyDescent="0.3">
      <c r="A3" s="3">
        <v>38</v>
      </c>
      <c r="B3" s="3" t="s">
        <v>1</v>
      </c>
      <c r="C3" s="4">
        <f>MIN(Table1[[#This Row],[per_each]],64)*Table1[[#This Row],[subjects]]</f>
        <v>2432</v>
      </c>
      <c r="D3" s="12" t="b">
        <v>0</v>
      </c>
      <c r="E3" s="12" t="s">
        <v>6</v>
      </c>
      <c r="F3" s="12">
        <v>18</v>
      </c>
      <c r="G3" s="12">
        <v>500</v>
      </c>
      <c r="H3" s="4">
        <v>0.83829787234042497</v>
      </c>
      <c r="I3" s="22" t="s">
        <v>30</v>
      </c>
      <c r="J3" s="22" t="s">
        <v>30</v>
      </c>
      <c r="K3" s="22" t="s">
        <v>30</v>
      </c>
      <c r="L3" s="4" t="s">
        <v>30</v>
      </c>
      <c r="M3" s="11" t="s">
        <v>20</v>
      </c>
      <c r="N3" s="11">
        <v>0.01</v>
      </c>
      <c r="O3" s="11">
        <v>1E-3</v>
      </c>
      <c r="P3" s="29">
        <v>2E-3</v>
      </c>
      <c r="Q3" s="30" t="s">
        <v>84</v>
      </c>
      <c r="R3" s="31">
        <v>5000</v>
      </c>
      <c r="S3" s="4">
        <v>9.6967078745365101E-2</v>
      </c>
      <c r="T3" s="15">
        <v>18</v>
      </c>
      <c r="U3" s="15">
        <v>500</v>
      </c>
      <c r="V3">
        <v>0.31234042553191399</v>
      </c>
      <c r="W3">
        <v>0.38409591526907999</v>
      </c>
      <c r="X3">
        <v>5.36113266224452E-2</v>
      </c>
      <c r="AB3"/>
      <c r="AC3" t="s">
        <v>32</v>
      </c>
      <c r="AD3" t="s">
        <v>30</v>
      </c>
      <c r="AE3" t="s">
        <v>30</v>
      </c>
      <c r="AF3" t="s">
        <v>84</v>
      </c>
      <c r="AG3" s="17">
        <v>1.06284415721893</v>
      </c>
      <c r="AH3" s="20" t="s">
        <v>38</v>
      </c>
      <c r="AI3">
        <v>101</v>
      </c>
      <c r="AJ3">
        <f t="shared" ref="AJ3:AJ7" si="0">1/1024</f>
        <v>9.765625E-4</v>
      </c>
      <c r="AK3" t="s">
        <v>84</v>
      </c>
      <c r="AL3">
        <v>0.61871170997619596</v>
      </c>
      <c r="AM3" s="20" t="s">
        <v>38</v>
      </c>
      <c r="AN3">
        <f>MAX(0, Table2[[#This Row],[epochs1]])+Table2[[#This Row],[epochs2]]</f>
        <v>101</v>
      </c>
      <c r="AO3" t="str">
        <f>IFERROR(Table2[[#This Row],[time]]+Table2[[#This Row],[time2]], "?")</f>
        <v>?</v>
      </c>
      <c r="AQ3" s="23" t="s">
        <v>45</v>
      </c>
      <c r="AS3" t="s">
        <v>30</v>
      </c>
      <c r="AT3" t="s">
        <v>30</v>
      </c>
      <c r="AU3">
        <v>0.99787234042553197</v>
      </c>
      <c r="AV3">
        <v>0.11651215702295301</v>
      </c>
      <c r="AW3">
        <v>8.8140211999416296E-2</v>
      </c>
      <c r="AX3">
        <v>0.977021276595744</v>
      </c>
      <c r="AY3">
        <v>0.95191489361702097</v>
      </c>
      <c r="AZ3">
        <v>0.116553507745265</v>
      </c>
      <c r="BA3">
        <v>8.8242016732692705E-2</v>
      </c>
      <c r="BB3">
        <v>0.99787234042553197</v>
      </c>
      <c r="BC3">
        <v>0.94553191489361699</v>
      </c>
      <c r="BD3">
        <v>0.11675040423870001</v>
      </c>
      <c r="BE3">
        <v>8.8310092687606798E-2</v>
      </c>
      <c r="BF3">
        <v>0.97276595744680805</v>
      </c>
      <c r="BG3">
        <f t="shared" ref="BG3:BG12" si="1">AVERAGE(BC3,AY3,AU3)</f>
        <v>0.96510638297872331</v>
      </c>
      <c r="BH3">
        <f t="shared" ref="BH3" si="2">AVERAGE(BD3,AZ3,AV3)</f>
        <v>0.11660535633563933</v>
      </c>
      <c r="BI3">
        <f t="shared" ref="BI3" si="3">AVERAGE(BE3,BA3,AW3)</f>
        <v>8.8230773806571919E-2</v>
      </c>
      <c r="BJ3">
        <f t="shared" ref="BJ3" si="4">AVERAGE(BF3,BB3,AX3)</f>
        <v>0.98255319148936138</v>
      </c>
    </row>
    <row r="4" spans="1:66" x14ac:dyDescent="0.3">
      <c r="A4" s="7">
        <v>38</v>
      </c>
      <c r="B4" s="7" t="s">
        <v>1</v>
      </c>
      <c r="C4" s="8">
        <f>MIN(Table1[[#This Row],[per_each]],64)*Table1[[#This Row],[subjects]]</f>
        <v>2432</v>
      </c>
      <c r="D4" s="13" t="b">
        <v>0</v>
      </c>
      <c r="E4" s="13" t="s">
        <v>6</v>
      </c>
      <c r="F4" s="13">
        <v>18</v>
      </c>
      <c r="G4" s="13">
        <v>500</v>
      </c>
      <c r="H4" s="8">
        <v>0.83829787234042497</v>
      </c>
      <c r="I4" s="22" t="s">
        <v>30</v>
      </c>
      <c r="J4" s="22" t="s">
        <v>30</v>
      </c>
      <c r="K4" s="22" t="s">
        <v>30</v>
      </c>
      <c r="L4" s="8" t="s">
        <v>30</v>
      </c>
      <c r="M4" s="10" t="s">
        <v>20</v>
      </c>
      <c r="N4" s="10">
        <v>1E-4</v>
      </c>
      <c r="O4" s="10">
        <v>1E-3</v>
      </c>
      <c r="P4" s="32">
        <f>1/1024</f>
        <v>9.765625E-4</v>
      </c>
      <c r="Q4" s="33" t="s">
        <v>84</v>
      </c>
      <c r="R4" s="34">
        <v>100</v>
      </c>
      <c r="S4" s="8">
        <v>0.63064175844192505</v>
      </c>
      <c r="T4" s="16">
        <v>18</v>
      </c>
      <c r="U4" s="16">
        <v>500</v>
      </c>
      <c r="V4">
        <v>0.329787234042553</v>
      </c>
      <c r="W4">
        <v>0.40982979013597798</v>
      </c>
      <c r="X4">
        <v>0.112281164471474</v>
      </c>
      <c r="AB4"/>
      <c r="AC4" t="s">
        <v>33</v>
      </c>
      <c r="AD4">
        <v>101</v>
      </c>
      <c r="AE4">
        <v>1E-4</v>
      </c>
      <c r="AF4" t="s">
        <v>84</v>
      </c>
      <c r="AG4" s="17">
        <v>0.97618174552917403</v>
      </c>
      <c r="AH4" s="20" t="s">
        <v>38</v>
      </c>
      <c r="AI4">
        <v>101</v>
      </c>
      <c r="AJ4">
        <f t="shared" si="0"/>
        <v>9.765625E-4</v>
      </c>
      <c r="AK4" t="s">
        <v>84</v>
      </c>
      <c r="AL4">
        <v>0.86546117067337003</v>
      </c>
      <c r="AM4" s="20" t="s">
        <v>38</v>
      </c>
      <c r="AN4">
        <f>MAX(0, Table2[[#This Row],[epochs1]])+Table2[[#This Row],[epochs2]]</f>
        <v>202</v>
      </c>
      <c r="AO4" t="str">
        <f>IFERROR(Table2[[#This Row],[time]]+Table2[[#This Row],[time2]], "?")</f>
        <v>?</v>
      </c>
      <c r="AQ4" t="s">
        <v>46</v>
      </c>
      <c r="AS4" s="26" t="s">
        <v>55</v>
      </c>
      <c r="AT4" s="26" t="s">
        <v>56</v>
      </c>
      <c r="AU4">
        <v>0.99787234042553197</v>
      </c>
      <c r="AV4">
        <v>0.59047609567642201</v>
      </c>
      <c r="AW4">
        <v>0.41728779673576299</v>
      </c>
      <c r="AX4">
        <v>0.97063829787234002</v>
      </c>
      <c r="AY4">
        <v>0.733617021276595</v>
      </c>
      <c r="AZ4">
        <v>0.59054219722747803</v>
      </c>
      <c r="BA4">
        <v>0.41658109426498402</v>
      </c>
      <c r="BB4">
        <v>0.94425531914893601</v>
      </c>
      <c r="BC4">
        <v>0.70212765957446799</v>
      </c>
      <c r="BD4">
        <v>0.59078180789947499</v>
      </c>
      <c r="BE4">
        <v>0.417547017335891</v>
      </c>
      <c r="BF4">
        <v>0.88553191489361704</v>
      </c>
      <c r="BG4">
        <f t="shared" si="1"/>
        <v>0.81120567375886499</v>
      </c>
      <c r="BH4">
        <f t="shared" ref="BH4:BH12" si="5">AVERAGE(BD4,AZ4,AV4)</f>
        <v>0.59060003360112512</v>
      </c>
      <c r="BI4">
        <f t="shared" ref="BI4:BI12" si="6">AVERAGE(BE4,BA4,AW4)</f>
        <v>0.41713863611221269</v>
      </c>
      <c r="BJ4">
        <f t="shared" ref="BJ4:BJ12" si="7">AVERAGE(BF4,BB4,AX4)</f>
        <v>0.93347517730496443</v>
      </c>
    </row>
    <row r="5" spans="1:66" x14ac:dyDescent="0.3">
      <c r="A5" s="3">
        <v>38</v>
      </c>
      <c r="B5" s="3" t="s">
        <v>1</v>
      </c>
      <c r="C5" s="4">
        <f>MIN(Table1[[#This Row],[per_each]],64)*Table1[[#This Row],[subjects]]</f>
        <v>2432</v>
      </c>
      <c r="D5" s="12" t="b">
        <v>0</v>
      </c>
      <c r="E5" s="12" t="s">
        <v>6</v>
      </c>
      <c r="F5" s="12">
        <v>18</v>
      </c>
      <c r="G5" s="12">
        <v>500</v>
      </c>
      <c r="H5" s="4">
        <v>0.83829787234042497</v>
      </c>
      <c r="I5" s="22" t="s">
        <v>30</v>
      </c>
      <c r="J5" s="22" t="s">
        <v>30</v>
      </c>
      <c r="K5" s="22" t="s">
        <v>30</v>
      </c>
      <c r="L5" s="4" t="s">
        <v>30</v>
      </c>
      <c r="M5" s="11" t="s">
        <v>20</v>
      </c>
      <c r="N5" s="11">
        <v>1E-4</v>
      </c>
      <c r="O5" s="11">
        <v>1E-3</v>
      </c>
      <c r="P5" s="35">
        <f>1/1024</f>
        <v>9.765625E-4</v>
      </c>
      <c r="Q5" s="36" t="s">
        <v>84</v>
      </c>
      <c r="R5" s="37">
        <v>1000</v>
      </c>
      <c r="S5" s="4">
        <v>0.12287052720785099</v>
      </c>
      <c r="T5" s="15">
        <v>18</v>
      </c>
      <c r="U5" s="15">
        <v>500</v>
      </c>
      <c r="V5">
        <v>0.354468085106382</v>
      </c>
      <c r="W5">
        <v>0.43078507213247702</v>
      </c>
      <c r="X5">
        <v>0.12496677416679</v>
      </c>
      <c r="AB5"/>
      <c r="AC5" t="s">
        <v>33</v>
      </c>
      <c r="AD5">
        <v>101</v>
      </c>
      <c r="AE5">
        <v>1E-3</v>
      </c>
      <c r="AF5" t="s">
        <v>84</v>
      </c>
      <c r="AG5" s="17">
        <v>0.94757336378097501</v>
      </c>
      <c r="AH5" s="20" t="s">
        <v>38</v>
      </c>
      <c r="AI5">
        <v>101</v>
      </c>
      <c r="AJ5">
        <f t="shared" si="0"/>
        <v>9.765625E-4</v>
      </c>
      <c r="AK5" t="s">
        <v>84</v>
      </c>
      <c r="AL5">
        <v>0.830566346645355</v>
      </c>
      <c r="AM5" s="20" t="s">
        <v>38</v>
      </c>
      <c r="AN5">
        <f>MAX(0, Table2[[#This Row],[epochs1]])+Table2[[#This Row],[epochs2]]</f>
        <v>202</v>
      </c>
      <c r="AO5" t="str">
        <f>IFERROR(Table2[[#This Row],[time]]+Table2[[#This Row],[time2]], "?")</f>
        <v>?</v>
      </c>
      <c r="AS5" t="s">
        <v>54</v>
      </c>
      <c r="AT5" t="s">
        <v>56</v>
      </c>
      <c r="AU5">
        <v>0.99787234042553197</v>
      </c>
      <c r="AV5">
        <v>0.51683855056762695</v>
      </c>
      <c r="AW5">
        <v>0.428229689598083</v>
      </c>
      <c r="AX5">
        <v>0.97617021276595695</v>
      </c>
      <c r="AY5">
        <v>0.92553191489361697</v>
      </c>
      <c r="AZ5">
        <v>0.51700741052627497</v>
      </c>
      <c r="BA5">
        <v>0.42804470658302302</v>
      </c>
      <c r="BB5">
        <v>0.99787234042553197</v>
      </c>
      <c r="BC5">
        <v>0.95829787234042496</v>
      </c>
      <c r="BD5">
        <v>0.51671761274337702</v>
      </c>
      <c r="BE5">
        <v>0.42824301123619002</v>
      </c>
      <c r="BF5">
        <v>0.916170212765957</v>
      </c>
      <c r="BG5">
        <f t="shared" si="1"/>
        <v>0.96056737588652463</v>
      </c>
      <c r="BH5">
        <f t="shared" si="5"/>
        <v>0.51685452461242631</v>
      </c>
      <c r="BI5">
        <f t="shared" si="6"/>
        <v>0.42817246913909868</v>
      </c>
      <c r="BJ5">
        <f t="shared" si="7"/>
        <v>0.96340425531914864</v>
      </c>
    </row>
    <row r="6" spans="1:66" ht="15" thickBot="1" x14ac:dyDescent="0.35">
      <c r="A6" s="7">
        <v>38</v>
      </c>
      <c r="B6" s="7" t="s">
        <v>1</v>
      </c>
      <c r="C6" s="8">
        <f>MIN(Table1[[#This Row],[per_each]],64)*Table1[[#This Row],[subjects]]</f>
        <v>2432</v>
      </c>
      <c r="D6" s="13" t="b">
        <v>0</v>
      </c>
      <c r="E6" s="13" t="s">
        <v>6</v>
      </c>
      <c r="F6" s="13">
        <v>18</v>
      </c>
      <c r="G6" s="13">
        <v>500</v>
      </c>
      <c r="H6" s="8">
        <v>0.83829787234042497</v>
      </c>
      <c r="I6" s="22" t="s">
        <v>30</v>
      </c>
      <c r="J6" s="22" t="s">
        <v>30</v>
      </c>
      <c r="K6" s="22" t="s">
        <v>30</v>
      </c>
      <c r="L6" s="8" t="s">
        <v>30</v>
      </c>
      <c r="M6" s="10" t="s">
        <v>20</v>
      </c>
      <c r="N6" s="10">
        <v>1E-4</v>
      </c>
      <c r="O6" s="10">
        <v>1E-3</v>
      </c>
      <c r="P6" s="38">
        <v>5.0000000000000001E-3</v>
      </c>
      <c r="Q6" s="39" t="s">
        <v>84</v>
      </c>
      <c r="R6" s="40">
        <v>250</v>
      </c>
      <c r="S6" s="8">
        <v>0.12429720908403299</v>
      </c>
      <c r="T6" s="16">
        <v>18</v>
      </c>
      <c r="U6" s="16">
        <v>500</v>
      </c>
      <c r="V6">
        <v>0.30936170212765901</v>
      </c>
      <c r="W6">
        <v>0.37048378663171</v>
      </c>
      <c r="X6">
        <v>5.04321211731616E-2</v>
      </c>
      <c r="AB6"/>
      <c r="AC6" t="s">
        <v>33</v>
      </c>
      <c r="AD6">
        <v>101</v>
      </c>
      <c r="AE6">
        <v>0.01</v>
      </c>
      <c r="AF6" t="s">
        <v>84</v>
      </c>
      <c r="AG6" s="17">
        <v>0.77622359991073597</v>
      </c>
      <c r="AH6" s="20" t="s">
        <v>38</v>
      </c>
      <c r="AI6">
        <v>101</v>
      </c>
      <c r="AJ6" s="17">
        <f t="shared" si="0"/>
        <v>9.765625E-4</v>
      </c>
      <c r="AK6" t="s">
        <v>84</v>
      </c>
      <c r="AL6">
        <v>0.54591566324233998</v>
      </c>
      <c r="AM6" s="20" t="s">
        <v>38</v>
      </c>
      <c r="AN6" s="17">
        <f>MAX(0, Table2[[#This Row],[epochs1]])+Table2[[#This Row],[epochs2]]</f>
        <v>202</v>
      </c>
      <c r="AO6" t="str">
        <f>IFERROR(Table2[[#This Row],[time]]+Table2[[#This Row],[time2]], "?")</f>
        <v>?</v>
      </c>
      <c r="AS6" t="s">
        <v>53</v>
      </c>
      <c r="AT6" t="s">
        <v>56</v>
      </c>
      <c r="AU6">
        <v>0.99787234042553197</v>
      </c>
      <c r="AV6">
        <v>0.51896452903747503</v>
      </c>
      <c r="AW6">
        <v>0.431134313344955</v>
      </c>
      <c r="AX6">
        <v>0.97617021276595695</v>
      </c>
      <c r="AY6">
        <v>0.99063829787234003</v>
      </c>
      <c r="AZ6">
        <v>0.51905614137649503</v>
      </c>
      <c r="BA6">
        <v>0.43133515119552601</v>
      </c>
      <c r="BB6">
        <v>0.98978723404255298</v>
      </c>
      <c r="BC6">
        <v>0.94936170212765902</v>
      </c>
      <c r="BD6">
        <v>0.51873654127120905</v>
      </c>
      <c r="BE6">
        <v>0.43133634328842102</v>
      </c>
      <c r="BF6">
        <v>0.91829787234042504</v>
      </c>
      <c r="BG6">
        <f t="shared" si="1"/>
        <v>0.97929078014184368</v>
      </c>
      <c r="BH6">
        <f t="shared" si="5"/>
        <v>0.51891907056172648</v>
      </c>
      <c r="BI6">
        <f t="shared" si="6"/>
        <v>0.43126860260963401</v>
      </c>
      <c r="BJ6">
        <f t="shared" si="7"/>
        <v>0.96141843971631158</v>
      </c>
    </row>
    <row r="7" spans="1:66" x14ac:dyDescent="0.3">
      <c r="A7" s="3">
        <v>38</v>
      </c>
      <c r="B7" s="3" t="s">
        <v>1</v>
      </c>
      <c r="C7" s="4">
        <f>MIN(Table1[[#This Row],[per_each]],64)*Table1[[#This Row],[subjects]]</f>
        <v>2432</v>
      </c>
      <c r="D7" s="12" t="b">
        <v>0</v>
      </c>
      <c r="E7" s="12" t="s">
        <v>6</v>
      </c>
      <c r="F7" s="12">
        <v>13</v>
      </c>
      <c r="G7" s="12">
        <v>5</v>
      </c>
      <c r="H7" s="4">
        <v>0.99617021276595696</v>
      </c>
      <c r="I7" s="22" t="s">
        <v>30</v>
      </c>
      <c r="J7" s="22" t="s">
        <v>30</v>
      </c>
      <c r="K7" s="22" t="s">
        <v>30</v>
      </c>
      <c r="L7" s="4" t="s">
        <v>30</v>
      </c>
      <c r="M7" s="11" t="s">
        <v>20</v>
      </c>
      <c r="N7" s="11">
        <v>1E-4</v>
      </c>
      <c r="O7" s="11">
        <v>1E-3</v>
      </c>
      <c r="P7" s="11">
        <f>1/1024</f>
        <v>9.765625E-4</v>
      </c>
      <c r="Q7" s="11" t="s">
        <v>84</v>
      </c>
      <c r="R7" s="11">
        <v>10000</v>
      </c>
      <c r="S7" s="4">
        <v>9.7085855901241302E-2</v>
      </c>
      <c r="T7" s="41">
        <v>13</v>
      </c>
      <c r="U7" s="42">
        <v>5</v>
      </c>
      <c r="V7">
        <v>0.75404255319148905</v>
      </c>
      <c r="W7">
        <v>0.93389601929940602</v>
      </c>
      <c r="X7">
        <v>0.74587165888228402</v>
      </c>
      <c r="AB7"/>
      <c r="AC7" t="s">
        <v>33</v>
      </c>
      <c r="AD7">
        <v>101</v>
      </c>
      <c r="AE7">
        <v>0.1</v>
      </c>
      <c r="AF7" t="s">
        <v>84</v>
      </c>
      <c r="AG7" s="17">
        <v>0.40574073791503901</v>
      </c>
      <c r="AH7" s="20" t="s">
        <v>38</v>
      </c>
      <c r="AI7">
        <v>101</v>
      </c>
      <c r="AJ7" s="17">
        <f t="shared" si="0"/>
        <v>9.765625E-4</v>
      </c>
      <c r="AK7" t="s">
        <v>84</v>
      </c>
      <c r="AL7">
        <v>0.21728764474391901</v>
      </c>
      <c r="AM7" s="20" t="s">
        <v>38</v>
      </c>
      <c r="AN7" s="17">
        <f>MAX(0, Table2[[#This Row],[epochs1]])+Table2[[#This Row],[epochs2]]</f>
        <v>202</v>
      </c>
      <c r="AO7" t="str">
        <f>IFERROR(Table2[[#This Row],[time]]+Table2[[#This Row],[time2]], "?")</f>
        <v>?</v>
      </c>
      <c r="AS7" s="26" t="s">
        <v>55</v>
      </c>
      <c r="AT7" s="26" t="s">
        <v>57</v>
      </c>
      <c r="AU7">
        <v>0.99787234042553197</v>
      </c>
      <c r="AV7">
        <v>4.1321821510791702E-2</v>
      </c>
      <c r="AW7">
        <v>3.4154444932937601E-2</v>
      </c>
      <c r="AX7">
        <v>0.96723404255319101</v>
      </c>
      <c r="AY7">
        <v>0.77361702127659504</v>
      </c>
      <c r="AZ7">
        <v>4.3370727449655498E-2</v>
      </c>
      <c r="BA7">
        <v>3.4074291586875902E-2</v>
      </c>
      <c r="BB7">
        <v>0.96510638297872298</v>
      </c>
      <c r="BC7">
        <v>0.75063829787234004</v>
      </c>
      <c r="BD7">
        <v>4.7859884798526701E-2</v>
      </c>
      <c r="BE7">
        <v>3.4833732992410597E-2</v>
      </c>
      <c r="BF7">
        <v>0.96127659574468005</v>
      </c>
      <c r="BG7">
        <f t="shared" si="1"/>
        <v>0.84070921985815561</v>
      </c>
      <c r="BH7">
        <f t="shared" si="5"/>
        <v>4.4184144586324636E-2</v>
      </c>
      <c r="BI7">
        <f t="shared" si="6"/>
        <v>3.4354156504074695E-2</v>
      </c>
      <c r="BJ7">
        <f t="shared" si="7"/>
        <v>0.96453900709219809</v>
      </c>
    </row>
    <row r="8" spans="1:66" x14ac:dyDescent="0.3">
      <c r="A8" s="7">
        <v>38</v>
      </c>
      <c r="B8" s="7" t="s">
        <v>1</v>
      </c>
      <c r="C8" s="8">
        <f>MIN(Table1[[#This Row],[per_each]],64)*Table1[[#This Row],[subjects]]</f>
        <v>2432</v>
      </c>
      <c r="D8" s="13" t="b">
        <v>0</v>
      </c>
      <c r="E8" s="13" t="s">
        <v>6</v>
      </c>
      <c r="F8" s="13">
        <v>13</v>
      </c>
      <c r="G8" s="13">
        <v>5</v>
      </c>
      <c r="H8" s="8">
        <v>0.99617021276595696</v>
      </c>
      <c r="I8" s="22" t="s">
        <v>30</v>
      </c>
      <c r="J8" s="22" t="s">
        <v>30</v>
      </c>
      <c r="K8" s="22" t="s">
        <v>30</v>
      </c>
      <c r="L8" s="8" t="s">
        <v>30</v>
      </c>
      <c r="M8" s="10" t="s">
        <v>20</v>
      </c>
      <c r="N8" s="10">
        <v>1E-4</v>
      </c>
      <c r="O8" s="10">
        <v>1E-3</v>
      </c>
      <c r="P8" s="10">
        <f>1/1024</f>
        <v>9.765625E-4</v>
      </c>
      <c r="Q8" s="10" t="s">
        <v>84</v>
      </c>
      <c r="R8" s="10">
        <v>10000</v>
      </c>
      <c r="S8" s="8">
        <v>9.7085855901241302E-2</v>
      </c>
      <c r="T8" s="43">
        <v>13</v>
      </c>
      <c r="U8" s="44">
        <v>10</v>
      </c>
      <c r="V8">
        <v>0.90510638297872303</v>
      </c>
      <c r="W8">
        <v>0.961651025138334</v>
      </c>
      <c r="X8">
        <v>0.89356050350277105</v>
      </c>
      <c r="AB8"/>
      <c r="AC8" t="s">
        <v>33</v>
      </c>
      <c r="AD8">
        <v>101</v>
      </c>
      <c r="AE8">
        <v>1</v>
      </c>
      <c r="AF8" t="s">
        <v>84</v>
      </c>
      <c r="AG8" s="17">
        <v>2.03567290306091</v>
      </c>
      <c r="AH8" s="20">
        <f>1*60+9</f>
        <v>69</v>
      </c>
      <c r="AI8">
        <v>101</v>
      </c>
      <c r="AJ8" s="17">
        <f t="shared" ref="AJ8:AJ15" si="8">1/1024</f>
        <v>9.765625E-4</v>
      </c>
      <c r="AK8" t="s">
        <v>84</v>
      </c>
      <c r="AL8">
        <v>1.2812139987945499</v>
      </c>
      <c r="AM8" s="20">
        <f>3*60+51</f>
        <v>231</v>
      </c>
      <c r="AN8" s="17">
        <f>MAX(0, Table2[[#This Row],[epochs1]])+Table2[[#This Row],[epochs2]]</f>
        <v>202</v>
      </c>
      <c r="AO8" s="17">
        <f>IFERROR(Table2[[#This Row],[time]]+Table2[[#This Row],[time2]], "?")</f>
        <v>300</v>
      </c>
      <c r="AS8" s="26" t="s">
        <v>54</v>
      </c>
      <c r="AT8" s="26" t="s">
        <v>57</v>
      </c>
      <c r="AU8">
        <v>0.998297872340425</v>
      </c>
      <c r="AV8">
        <v>5.5764105170965098E-2</v>
      </c>
      <c r="AW8">
        <v>2.0958907902240701E-2</v>
      </c>
      <c r="AX8">
        <v>3.06382978723404E-2</v>
      </c>
      <c r="AY8">
        <v>0.98382978723404202</v>
      </c>
      <c r="AZ8">
        <v>6.1923909932374899E-2</v>
      </c>
      <c r="BA8">
        <v>2.0716968923807099E-2</v>
      </c>
      <c r="BB8">
        <v>3.2765957446808498E-2</v>
      </c>
      <c r="BC8">
        <v>0.96638297872340395</v>
      </c>
      <c r="BD8">
        <v>5.6652590632438597E-2</v>
      </c>
      <c r="BE8">
        <v>2.1604798734188E-2</v>
      </c>
      <c r="BF8">
        <v>2.7659574468085001E-2</v>
      </c>
      <c r="BG8">
        <f t="shared" si="1"/>
        <v>0.98283687943262377</v>
      </c>
      <c r="BH8">
        <f t="shared" si="5"/>
        <v>5.8113535245259529E-2</v>
      </c>
      <c r="BI8">
        <f t="shared" si="6"/>
        <v>2.10935585200786E-2</v>
      </c>
      <c r="BJ8">
        <f t="shared" si="7"/>
        <v>3.0354609929077968E-2</v>
      </c>
    </row>
    <row r="9" spans="1:66" x14ac:dyDescent="0.3">
      <c r="A9" s="3">
        <v>38</v>
      </c>
      <c r="B9" s="3" t="s">
        <v>1</v>
      </c>
      <c r="C9" s="4">
        <f>MIN(Table1[[#This Row],[per_each]],64)*Table1[[#This Row],[subjects]]</f>
        <v>2432</v>
      </c>
      <c r="D9" s="12" t="b">
        <v>0</v>
      </c>
      <c r="E9" s="12" t="s">
        <v>6</v>
      </c>
      <c r="F9" s="12">
        <v>20</v>
      </c>
      <c r="G9" s="12">
        <v>6</v>
      </c>
      <c r="H9" s="4">
        <v>0.99617021276595696</v>
      </c>
      <c r="I9" s="22" t="s">
        <v>30</v>
      </c>
      <c r="J9" s="22" t="s">
        <v>30</v>
      </c>
      <c r="K9" s="22" t="s">
        <v>30</v>
      </c>
      <c r="L9" s="4" t="s">
        <v>30</v>
      </c>
      <c r="M9" s="11" t="s">
        <v>20</v>
      </c>
      <c r="N9" s="11">
        <v>1E-4</v>
      </c>
      <c r="O9" s="11">
        <v>1E-3</v>
      </c>
      <c r="P9" s="11">
        <f t="shared" ref="P9:P30" si="9">1/1024</f>
        <v>9.765625E-4</v>
      </c>
      <c r="Q9" s="11" t="s">
        <v>84</v>
      </c>
      <c r="R9" s="11">
        <v>2501</v>
      </c>
      <c r="S9" s="4">
        <v>0.104873284697532</v>
      </c>
      <c r="T9" s="45">
        <v>20</v>
      </c>
      <c r="U9" s="46">
        <v>6</v>
      </c>
      <c r="V9">
        <v>0.90680851063829704</v>
      </c>
      <c r="W9">
        <v>0.963999632496369</v>
      </c>
      <c r="X9">
        <v>0.88329945932684895</v>
      </c>
      <c r="AB9"/>
      <c r="AC9" t="s">
        <v>40</v>
      </c>
      <c r="AD9">
        <v>101</v>
      </c>
      <c r="AE9">
        <v>1E-4</v>
      </c>
      <c r="AF9" t="s">
        <v>84</v>
      </c>
      <c r="AG9" s="17">
        <v>0.76515787839889504</v>
      </c>
      <c r="AH9" s="20">
        <f>1*60+6</f>
        <v>66</v>
      </c>
      <c r="AI9">
        <v>101</v>
      </c>
      <c r="AJ9" s="17">
        <f t="shared" si="8"/>
        <v>9.765625E-4</v>
      </c>
      <c r="AK9" t="s">
        <v>84</v>
      </c>
      <c r="AL9">
        <v>0.502516388893127</v>
      </c>
      <c r="AM9" s="20">
        <f>4*60+0</f>
        <v>240</v>
      </c>
      <c r="AN9" s="17">
        <f>MAX(0, Table2[[#This Row],[epochs1]])+Table2[[#This Row],[epochs2]]</f>
        <v>202</v>
      </c>
      <c r="AO9" s="17">
        <f>IFERROR(Table2[[#This Row],[time]]+Table2[[#This Row],[time2]], "?")</f>
        <v>306</v>
      </c>
      <c r="AS9" s="23" t="s">
        <v>53</v>
      </c>
      <c r="AT9" s="23" t="s">
        <v>57</v>
      </c>
      <c r="AU9">
        <v>0.99787234042553197</v>
      </c>
      <c r="AV9">
        <v>4.4459253549575797E-3</v>
      </c>
      <c r="AW9">
        <v>2.1609014365821999E-3</v>
      </c>
      <c r="AX9">
        <v>0.96936170212765904</v>
      </c>
      <c r="AY9">
        <v>0.92851063829787195</v>
      </c>
      <c r="AZ9">
        <v>3.7256183568388202E-3</v>
      </c>
      <c r="BA9">
        <v>2.0680914167314698E-3</v>
      </c>
      <c r="BB9">
        <v>0.97148936170212696</v>
      </c>
      <c r="BC9">
        <v>0.96893617021276501</v>
      </c>
      <c r="BD9">
        <v>4.0421476587653099E-3</v>
      </c>
      <c r="BE9">
        <v>2.1030239295214402E-3</v>
      </c>
      <c r="BF9">
        <v>0.97148936170212696</v>
      </c>
      <c r="BG9">
        <f t="shared" si="1"/>
        <v>0.96510638297872298</v>
      </c>
      <c r="BH9">
        <f t="shared" si="5"/>
        <v>4.0712304568539031E-3</v>
      </c>
      <c r="BI9">
        <f t="shared" si="6"/>
        <v>2.1106722609450365E-3</v>
      </c>
      <c r="BJ9">
        <f t="shared" si="7"/>
        <v>0.9707801418439711</v>
      </c>
    </row>
    <row r="10" spans="1:66" x14ac:dyDescent="0.3">
      <c r="A10" s="7">
        <v>38</v>
      </c>
      <c r="B10" s="7" t="s">
        <v>1</v>
      </c>
      <c r="C10" s="8">
        <f>MIN(Table1[[#This Row],[per_each]],64)*Table1[[#This Row],[subjects]]</f>
        <v>2432</v>
      </c>
      <c r="D10" s="13" t="b">
        <v>0</v>
      </c>
      <c r="E10" s="13" t="s">
        <v>6</v>
      </c>
      <c r="F10" s="13">
        <v>20</v>
      </c>
      <c r="G10" s="13">
        <v>6</v>
      </c>
      <c r="H10" s="8">
        <v>0.99617021276595696</v>
      </c>
      <c r="I10" s="22" t="s">
        <v>30</v>
      </c>
      <c r="J10" s="22" t="s">
        <v>30</v>
      </c>
      <c r="K10" s="22" t="s">
        <v>30</v>
      </c>
      <c r="L10" s="8" t="s">
        <v>30</v>
      </c>
      <c r="M10" s="10" t="s">
        <v>20</v>
      </c>
      <c r="N10" s="10">
        <v>1E-4</v>
      </c>
      <c r="O10" s="10">
        <v>1E-3</v>
      </c>
      <c r="P10" s="10">
        <f t="shared" si="9"/>
        <v>9.765625E-4</v>
      </c>
      <c r="Q10" s="10" t="s">
        <v>84</v>
      </c>
      <c r="R10" s="10">
        <v>2501</v>
      </c>
      <c r="S10" s="8">
        <v>0.104873284697532</v>
      </c>
      <c r="T10" s="43">
        <v>18</v>
      </c>
      <c r="U10" s="44">
        <v>6</v>
      </c>
      <c r="V10">
        <v>0.92382978723404197</v>
      </c>
      <c r="W10">
        <v>0.973481704581874</v>
      </c>
      <c r="X10">
        <v>0.91429707187317999</v>
      </c>
      <c r="AB10"/>
      <c r="AC10" t="s">
        <v>40</v>
      </c>
      <c r="AD10">
        <v>101</v>
      </c>
      <c r="AE10">
        <v>0.01</v>
      </c>
      <c r="AF10" t="s">
        <v>84</v>
      </c>
      <c r="AG10" s="17">
        <v>0.116806492209434</v>
      </c>
      <c r="AH10" s="20">
        <f>1*60+4</f>
        <v>64</v>
      </c>
      <c r="AI10">
        <v>101</v>
      </c>
      <c r="AJ10" s="17">
        <f t="shared" si="8"/>
        <v>9.765625E-4</v>
      </c>
      <c r="AK10" t="s">
        <v>84</v>
      </c>
      <c r="AL10">
        <v>8.8321387767791706E-2</v>
      </c>
      <c r="AM10" s="20">
        <f>3*60+59</f>
        <v>239</v>
      </c>
      <c r="AN10" s="17">
        <f>MAX(0, Table2[[#This Row],[epochs1]])+Table2[[#This Row],[epochs2]]</f>
        <v>202</v>
      </c>
      <c r="AO10" s="17">
        <f>IFERROR(Table2[[#This Row],[time]]+Table2[[#This Row],[time2]], "?")</f>
        <v>303</v>
      </c>
      <c r="AS10" s="26" t="s">
        <v>55</v>
      </c>
      <c r="AT10" s="26" t="s">
        <v>58</v>
      </c>
      <c r="AU10">
        <v>0.96170212765957397</v>
      </c>
      <c r="AV10">
        <v>2.32854072237387E-4</v>
      </c>
      <c r="AW10">
        <v>2.2893989807926099E-4</v>
      </c>
      <c r="AX10">
        <v>0.99744680851063805</v>
      </c>
      <c r="AY10">
        <v>0.72595744680851004</v>
      </c>
      <c r="AZ10">
        <v>2.33014943660236E-4</v>
      </c>
      <c r="BA10">
        <v>2.2894653375260499E-4</v>
      </c>
      <c r="BB10">
        <v>0.93319148936170204</v>
      </c>
      <c r="BC10">
        <v>0.68382978723404197</v>
      </c>
      <c r="BD10">
        <v>2.3310635879170101E-4</v>
      </c>
      <c r="BE10">
        <v>2.28942109970375E-4</v>
      </c>
      <c r="BF10">
        <v>0.74765957446808495</v>
      </c>
      <c r="BG10">
        <f t="shared" si="1"/>
        <v>0.79049645390070866</v>
      </c>
      <c r="BH10">
        <f t="shared" si="5"/>
        <v>2.3299179156310799E-4</v>
      </c>
      <c r="BI10">
        <f t="shared" si="6"/>
        <v>2.2894284726741366E-4</v>
      </c>
      <c r="BJ10">
        <f t="shared" si="7"/>
        <v>0.89276595744680831</v>
      </c>
    </row>
    <row r="11" spans="1:66" ht="14.4" customHeight="1" x14ac:dyDescent="0.3">
      <c r="A11" s="3">
        <v>38</v>
      </c>
      <c r="B11" s="3" t="s">
        <v>1</v>
      </c>
      <c r="C11" s="4">
        <f>MIN(Table1[[#This Row],[per_each]],64)*Table1[[#This Row],[subjects]]</f>
        <v>2432</v>
      </c>
      <c r="D11" s="12" t="b">
        <v>0</v>
      </c>
      <c r="E11" s="12" t="s">
        <v>6</v>
      </c>
      <c r="F11" s="12">
        <v>20</v>
      </c>
      <c r="G11" s="12">
        <v>6</v>
      </c>
      <c r="H11" s="4">
        <v>0.99617021276595696</v>
      </c>
      <c r="I11" s="22" t="s">
        <v>30</v>
      </c>
      <c r="J11" s="22" t="s">
        <v>30</v>
      </c>
      <c r="K11" s="22" t="s">
        <v>30</v>
      </c>
      <c r="L11" s="4" t="s">
        <v>30</v>
      </c>
      <c r="M11" s="11" t="s">
        <v>20</v>
      </c>
      <c r="N11" s="11">
        <v>1E-4</v>
      </c>
      <c r="O11" s="11">
        <v>1E-3</v>
      </c>
      <c r="P11" s="11">
        <f t="shared" si="9"/>
        <v>9.765625E-4</v>
      </c>
      <c r="Q11" s="11" t="s">
        <v>84</v>
      </c>
      <c r="R11" s="11">
        <v>2501</v>
      </c>
      <c r="S11" s="4">
        <v>0.104873284697532</v>
      </c>
      <c r="T11" s="45">
        <v>22</v>
      </c>
      <c r="U11" s="46">
        <v>6</v>
      </c>
      <c r="V11">
        <v>0.87617021276595697</v>
      </c>
      <c r="W11">
        <v>0.94744831637665405</v>
      </c>
      <c r="X11">
        <v>0.82342990760411405</v>
      </c>
      <c r="AB11"/>
      <c r="AC11" t="s">
        <v>40</v>
      </c>
      <c r="AD11">
        <v>101</v>
      </c>
      <c r="AE11">
        <v>0.1</v>
      </c>
      <c r="AF11" t="s">
        <v>84</v>
      </c>
      <c r="AG11" s="17">
        <v>0.169339150190353</v>
      </c>
      <c r="AH11" s="20">
        <f>1*60+4</f>
        <v>64</v>
      </c>
      <c r="AI11">
        <v>101</v>
      </c>
      <c r="AJ11" s="17">
        <f t="shared" si="8"/>
        <v>9.765625E-4</v>
      </c>
      <c r="AK11" t="s">
        <v>84</v>
      </c>
      <c r="AL11">
        <v>8.8321387767791706E-2</v>
      </c>
      <c r="AM11" s="20">
        <f>4*60+2</f>
        <v>242</v>
      </c>
      <c r="AN11" s="17">
        <f>MAX(0, Table2[[#This Row],[epochs1]])+Table2[[#This Row],[epochs2]]</f>
        <v>202</v>
      </c>
      <c r="AO11" s="17">
        <f>IFERROR(Table2[[#This Row],[time]]+Table2[[#This Row],[time2]], "?")</f>
        <v>306</v>
      </c>
      <c r="AQ11" s="27"/>
      <c r="AR11" s="27"/>
      <c r="AS11" t="s">
        <v>54</v>
      </c>
      <c r="AT11" t="s">
        <v>58</v>
      </c>
      <c r="AU11">
        <v>0.99787234042553197</v>
      </c>
      <c r="AV11">
        <v>1.06482650153338E-3</v>
      </c>
      <c r="AW11">
        <v>6.0184684116393295E-4</v>
      </c>
      <c r="AX11">
        <v>0.99787234042553197</v>
      </c>
      <c r="AY11">
        <v>0.93489361702127605</v>
      </c>
      <c r="AZ11">
        <v>1.0911009740084401E-3</v>
      </c>
      <c r="BA11">
        <v>6.0828821733593897E-4</v>
      </c>
      <c r="BB11">
        <v>0.99574468085106305</v>
      </c>
      <c r="BC11">
        <v>0.95914893617021202</v>
      </c>
      <c r="BD11">
        <v>1.20280729606747E-3</v>
      </c>
      <c r="BE11">
        <v>6.2730628997087403E-4</v>
      </c>
      <c r="BF11">
        <v>0.963829787234042</v>
      </c>
      <c r="BG11">
        <f t="shared" si="1"/>
        <v>0.96397163120567331</v>
      </c>
      <c r="BH11">
        <f t="shared" si="5"/>
        <v>1.1195782572030967E-3</v>
      </c>
      <c r="BI11">
        <f t="shared" si="6"/>
        <v>6.1248044949024861E-4</v>
      </c>
      <c r="BJ11">
        <f t="shared" si="7"/>
        <v>0.98581560283687908</v>
      </c>
      <c r="BK11" s="60" t="s">
        <v>79</v>
      </c>
      <c r="BL11" s="60"/>
      <c r="BM11" s="60"/>
      <c r="BN11" s="27"/>
    </row>
    <row r="12" spans="1:66" x14ac:dyDescent="0.3">
      <c r="A12" s="7">
        <v>38</v>
      </c>
      <c r="B12" s="7" t="s">
        <v>1</v>
      </c>
      <c r="C12" s="8">
        <f>MIN(Table1[[#This Row],[per_each]],64)*Table1[[#This Row],[subjects]]</f>
        <v>2432</v>
      </c>
      <c r="D12" s="13" t="b">
        <v>0</v>
      </c>
      <c r="E12" s="13" t="s">
        <v>6</v>
      </c>
      <c r="F12" s="13">
        <v>20</v>
      </c>
      <c r="G12" s="13">
        <v>6</v>
      </c>
      <c r="H12" s="8">
        <v>0.99617021276595696</v>
      </c>
      <c r="I12" s="22" t="s">
        <v>30</v>
      </c>
      <c r="J12" s="22" t="s">
        <v>30</v>
      </c>
      <c r="K12" s="22" t="s">
        <v>30</v>
      </c>
      <c r="L12" s="8" t="s">
        <v>30</v>
      </c>
      <c r="M12" s="10" t="s">
        <v>20</v>
      </c>
      <c r="N12" s="10">
        <v>1E-4</v>
      </c>
      <c r="O12" s="10">
        <v>1E-3</v>
      </c>
      <c r="P12" s="10">
        <f t="shared" si="9"/>
        <v>9.765625E-4</v>
      </c>
      <c r="Q12" s="10" t="s">
        <v>84</v>
      </c>
      <c r="R12" s="10">
        <v>2501</v>
      </c>
      <c r="S12" s="8">
        <v>0.104873284697532</v>
      </c>
      <c r="T12" s="43">
        <v>20</v>
      </c>
      <c r="U12" s="44">
        <v>4</v>
      </c>
      <c r="V12">
        <v>0.89489361702127601</v>
      </c>
      <c r="W12">
        <v>0.96985347839398395</v>
      </c>
      <c r="X12">
        <v>0.88817224584961196</v>
      </c>
      <c r="AB12"/>
      <c r="AC12" t="s">
        <v>40</v>
      </c>
      <c r="AD12">
        <v>10001</v>
      </c>
      <c r="AE12">
        <v>1E-3</v>
      </c>
      <c r="AF12" t="s">
        <v>84</v>
      </c>
      <c r="AG12" s="17">
        <v>0.10980663448572101</v>
      </c>
      <c r="AH12" s="20">
        <f>14*60+5</f>
        <v>845</v>
      </c>
      <c r="AI12">
        <v>2501</v>
      </c>
      <c r="AJ12" s="17">
        <f t="shared" si="8"/>
        <v>9.765625E-4</v>
      </c>
      <c r="AK12" t="s">
        <v>84</v>
      </c>
      <c r="AL12">
        <v>7.5686052441596902E-2</v>
      </c>
      <c r="AM12" s="20">
        <f>(1*60+39)*60+14</f>
        <v>5954</v>
      </c>
      <c r="AN12" s="17">
        <f>MAX(0, Table2[[#This Row],[epochs1]])+Table2[[#This Row],[epochs2]]</f>
        <v>12502</v>
      </c>
      <c r="AO12" s="17">
        <f>IFERROR(Table2[[#This Row],[time]]+Table2[[#This Row],[time2]], "?")</f>
        <v>6799</v>
      </c>
      <c r="AQ12" s="27"/>
      <c r="AR12" s="27"/>
      <c r="AS12" t="s">
        <v>53</v>
      </c>
      <c r="AT12" t="s">
        <v>58</v>
      </c>
      <c r="AU12">
        <v>0.99787234042553197</v>
      </c>
      <c r="AV12" s="25">
        <v>3.7853569665457999E-5</v>
      </c>
      <c r="AW12" s="25">
        <v>2.1839463443029601E-5</v>
      </c>
      <c r="AX12">
        <v>0.99787234042553197</v>
      </c>
      <c r="AY12">
        <v>0.92212765957446796</v>
      </c>
      <c r="AZ12" s="25">
        <v>3.8005615351721597E-5</v>
      </c>
      <c r="BA12" s="25">
        <v>2.1750385712948601E-5</v>
      </c>
      <c r="BB12">
        <v>0.99787234042553197</v>
      </c>
      <c r="BC12">
        <v>0.98127659574467996</v>
      </c>
      <c r="BD12" s="25">
        <v>3.7950616388115998E-5</v>
      </c>
      <c r="BE12" s="25">
        <v>2.1593317796941799E-5</v>
      </c>
      <c r="BF12">
        <v>0.963829787234042</v>
      </c>
      <c r="BG12">
        <f t="shared" si="1"/>
        <v>0.96709219858156004</v>
      </c>
      <c r="BH12">
        <f t="shared" si="5"/>
        <v>3.7936600468431865E-5</v>
      </c>
      <c r="BI12">
        <f t="shared" si="6"/>
        <v>2.172772231764E-5</v>
      </c>
      <c r="BJ12">
        <f t="shared" si="7"/>
        <v>0.98652482269503528</v>
      </c>
      <c r="BK12" s="60"/>
      <c r="BL12" s="60"/>
      <c r="BM12" s="60"/>
      <c r="BN12" s="27"/>
    </row>
    <row r="13" spans="1:66" x14ac:dyDescent="0.3">
      <c r="A13" s="3">
        <v>38</v>
      </c>
      <c r="B13" s="3" t="s">
        <v>1</v>
      </c>
      <c r="C13" s="4">
        <f>MIN(Table1[[#This Row],[per_each]],64)*Table1[[#This Row],[subjects]]</f>
        <v>2432</v>
      </c>
      <c r="D13" s="12" t="b">
        <v>0</v>
      </c>
      <c r="E13" s="12" t="s">
        <v>6</v>
      </c>
      <c r="F13" s="12">
        <v>20</v>
      </c>
      <c r="G13" s="12">
        <v>6</v>
      </c>
      <c r="H13" s="4">
        <v>0.99617021276595696</v>
      </c>
      <c r="I13" s="22" t="s">
        <v>30</v>
      </c>
      <c r="J13" s="22" t="s">
        <v>30</v>
      </c>
      <c r="K13" s="22" t="s">
        <v>30</v>
      </c>
      <c r="L13" s="4" t="s">
        <v>30</v>
      </c>
      <c r="M13" s="11" t="s">
        <v>20</v>
      </c>
      <c r="N13" s="11">
        <v>1E-4</v>
      </c>
      <c r="O13" s="11">
        <v>1E-3</v>
      </c>
      <c r="P13" s="11">
        <f t="shared" si="9"/>
        <v>9.765625E-4</v>
      </c>
      <c r="Q13" s="11" t="s">
        <v>84</v>
      </c>
      <c r="R13" s="11">
        <v>2501</v>
      </c>
      <c r="S13" s="4">
        <v>0.104873284697532</v>
      </c>
      <c r="T13" s="45">
        <v>20</v>
      </c>
      <c r="U13" s="46">
        <v>10</v>
      </c>
      <c r="V13">
        <v>0.42808510638297798</v>
      </c>
      <c r="W13">
        <v>0.58845534236832597</v>
      </c>
      <c r="X13">
        <v>6.6847330778481401E-2</v>
      </c>
      <c r="AB13"/>
      <c r="AC13" t="s">
        <v>40</v>
      </c>
      <c r="AD13" s="20">
        <v>101</v>
      </c>
      <c r="AE13">
        <v>0.01</v>
      </c>
      <c r="AF13" t="s">
        <v>84</v>
      </c>
      <c r="AG13" s="50">
        <v>4.2363787069916699E-3</v>
      </c>
      <c r="AH13" s="20">
        <f>1*60+5</f>
        <v>65</v>
      </c>
      <c r="AI13" s="20">
        <v>101</v>
      </c>
      <c r="AJ13" s="17">
        <f t="shared" si="8"/>
        <v>9.765625E-4</v>
      </c>
      <c r="AK13" t="s">
        <v>84</v>
      </c>
      <c r="AL13">
        <v>2.1435529924929099E-3</v>
      </c>
      <c r="AM13" s="20">
        <f>4*60+1</f>
        <v>241</v>
      </c>
      <c r="AN13" s="17">
        <f>MAX(0, Table2[[#This Row],[epochs1]])+Table2[[#This Row],[epochs2]]</f>
        <v>202</v>
      </c>
      <c r="AO13" s="17">
        <f>IFERROR(Table2[[#This Row],[time]]+Table2[[#This Row],[time2]], "?")</f>
        <v>306</v>
      </c>
      <c r="AP13" t="s">
        <v>80</v>
      </c>
      <c r="BK13" s="60"/>
      <c r="BL13" s="60"/>
      <c r="BM13" s="60"/>
      <c r="BN13" s="27"/>
    </row>
    <row r="14" spans="1:66" x14ac:dyDescent="0.3">
      <c r="A14" s="7">
        <v>38</v>
      </c>
      <c r="B14" s="7" t="s">
        <v>1</v>
      </c>
      <c r="C14" s="8">
        <f>MIN(Table1[[#This Row],[per_each]],64)*Table1[[#This Row],[subjects]]</f>
        <v>2432</v>
      </c>
      <c r="D14" s="13" t="b">
        <v>0</v>
      </c>
      <c r="E14" s="13" t="s">
        <v>6</v>
      </c>
      <c r="F14" s="13">
        <v>20</v>
      </c>
      <c r="G14" s="13">
        <v>6</v>
      </c>
      <c r="H14" s="8">
        <v>0.99617021276595696</v>
      </c>
      <c r="I14" s="22" t="s">
        <v>30</v>
      </c>
      <c r="J14" s="22" t="s">
        <v>30</v>
      </c>
      <c r="K14" s="22" t="s">
        <v>30</v>
      </c>
      <c r="L14" s="8" t="s">
        <v>30</v>
      </c>
      <c r="M14" s="10" t="s">
        <v>20</v>
      </c>
      <c r="N14" s="10">
        <v>1E-4</v>
      </c>
      <c r="O14" s="10">
        <v>1E-3</v>
      </c>
      <c r="P14" s="10">
        <f t="shared" si="9"/>
        <v>9.765625E-4</v>
      </c>
      <c r="Q14" s="10" t="s">
        <v>84</v>
      </c>
      <c r="R14" s="10">
        <v>2501</v>
      </c>
      <c r="S14" s="8">
        <v>0.104873284697532</v>
      </c>
      <c r="T14" s="43">
        <v>16</v>
      </c>
      <c r="U14" s="44">
        <v>6</v>
      </c>
      <c r="V14">
        <v>0.93829787234042505</v>
      </c>
      <c r="W14">
        <v>0.97158303244277</v>
      </c>
      <c r="X14">
        <v>0.91219107837963997</v>
      </c>
      <c r="AB14"/>
      <c r="AC14" t="s">
        <v>40</v>
      </c>
      <c r="AD14">
        <v>101</v>
      </c>
      <c r="AE14">
        <v>0.01</v>
      </c>
      <c r="AF14" t="s">
        <v>84</v>
      </c>
      <c r="AG14" s="51">
        <v>3.0917357653379401E-3</v>
      </c>
      <c r="AH14" s="20">
        <f>1*60+3</f>
        <v>63</v>
      </c>
      <c r="AI14" s="20">
        <v>101</v>
      </c>
      <c r="AJ14" s="17">
        <f>1/2048</f>
        <v>4.8828125E-4</v>
      </c>
      <c r="AK14" t="s">
        <v>84</v>
      </c>
      <c r="AL14">
        <v>2.21275491639971E-3</v>
      </c>
      <c r="AM14" s="20">
        <f>3*60+57</f>
        <v>237</v>
      </c>
      <c r="AN14" s="17">
        <f>MAX(0, Table2[[#This Row],[epochs1]])+Table2[[#This Row],[epochs2]]</f>
        <v>202</v>
      </c>
      <c r="AO14" s="17">
        <f>IFERROR(Table2[[#This Row],[time]]+Table2[[#This Row],[time2]], "?")</f>
        <v>300</v>
      </c>
      <c r="AP14" t="s">
        <v>47</v>
      </c>
      <c r="BK14" s="60"/>
      <c r="BL14" s="60"/>
      <c r="BM14" s="60"/>
      <c r="BN14" s="27"/>
    </row>
    <row r="15" spans="1:66" x14ac:dyDescent="0.3">
      <c r="A15" s="3">
        <v>38</v>
      </c>
      <c r="B15" s="3" t="s">
        <v>1</v>
      </c>
      <c r="C15" s="4">
        <f>MIN(Table1[[#This Row],[per_each]],64)*Table1[[#This Row],[subjects]]</f>
        <v>2432</v>
      </c>
      <c r="D15" s="12" t="b">
        <v>0</v>
      </c>
      <c r="E15" s="12" t="s">
        <v>6</v>
      </c>
      <c r="F15" s="12">
        <v>20</v>
      </c>
      <c r="G15" s="12">
        <v>6</v>
      </c>
      <c r="H15" s="4">
        <v>0.99617021276595696</v>
      </c>
      <c r="I15" s="22" t="s">
        <v>30</v>
      </c>
      <c r="J15" s="22" t="s">
        <v>30</v>
      </c>
      <c r="K15" s="22" t="s">
        <v>30</v>
      </c>
      <c r="L15" s="4" t="s">
        <v>30</v>
      </c>
      <c r="M15" s="11" t="s">
        <v>20</v>
      </c>
      <c r="N15" s="11">
        <v>1E-4</v>
      </c>
      <c r="O15" s="11">
        <v>1E-3</v>
      </c>
      <c r="P15" s="11">
        <f t="shared" si="9"/>
        <v>9.765625E-4</v>
      </c>
      <c r="Q15" s="11" t="s">
        <v>84</v>
      </c>
      <c r="R15" s="11">
        <v>2501</v>
      </c>
      <c r="S15" s="4">
        <v>0.104873284697532</v>
      </c>
      <c r="T15" s="45">
        <v>14</v>
      </c>
      <c r="U15" s="46">
        <v>6</v>
      </c>
      <c r="V15">
        <v>0.87872340425531903</v>
      </c>
      <c r="W15">
        <v>0.95916500666648496</v>
      </c>
      <c r="X15">
        <v>0.85495953702893601</v>
      </c>
      <c r="AB15"/>
      <c r="AC15" t="s">
        <v>40</v>
      </c>
      <c r="AD15" s="20">
        <v>1001</v>
      </c>
      <c r="AE15">
        <v>0.01</v>
      </c>
      <c r="AF15" t="s">
        <v>84</v>
      </c>
      <c r="AG15" s="17">
        <v>1.82713533286005E-3</v>
      </c>
      <c r="AH15" s="20">
        <f>10*60+41</f>
        <v>641</v>
      </c>
      <c r="AI15" s="20">
        <v>251</v>
      </c>
      <c r="AJ15" s="17">
        <f t="shared" si="8"/>
        <v>9.765625E-4</v>
      </c>
      <c r="AK15" t="s">
        <v>84</v>
      </c>
      <c r="AL15">
        <v>1.4156684046611101E-3</v>
      </c>
      <c r="AM15" s="20">
        <f>10*60+45</f>
        <v>645</v>
      </c>
      <c r="AN15" s="17">
        <f>MAX(0, Table2[[#This Row],[epochs1]])+Table2[[#This Row],[epochs2]]</f>
        <v>1252</v>
      </c>
      <c r="AO15" s="17">
        <f>IFERROR(Table2[[#This Row],[time]]+Table2[[#This Row],[time2]], "?")</f>
        <v>1286</v>
      </c>
    </row>
    <row r="16" spans="1:66" x14ac:dyDescent="0.3">
      <c r="A16" s="7">
        <v>38</v>
      </c>
      <c r="B16" s="7" t="s">
        <v>1</v>
      </c>
      <c r="C16" s="8">
        <f>MIN(Table1[[#This Row],[per_each]],64)*Table1[[#This Row],[subjects]]</f>
        <v>2432</v>
      </c>
      <c r="D16" s="13" t="b">
        <v>0</v>
      </c>
      <c r="E16" s="13" t="s">
        <v>6</v>
      </c>
      <c r="F16" s="13">
        <v>20</v>
      </c>
      <c r="G16" s="13">
        <v>6</v>
      </c>
      <c r="H16" s="8">
        <v>0.99617021276595696</v>
      </c>
      <c r="I16" s="22" t="s">
        <v>30</v>
      </c>
      <c r="J16" s="22" t="s">
        <v>30</v>
      </c>
      <c r="K16" s="22" t="s">
        <v>30</v>
      </c>
      <c r="L16" s="8" t="s">
        <v>30</v>
      </c>
      <c r="M16" s="10" t="s">
        <v>20</v>
      </c>
      <c r="N16" s="10">
        <v>1E-4</v>
      </c>
      <c r="O16" s="10">
        <v>1E-3</v>
      </c>
      <c r="P16" s="10">
        <f t="shared" si="9"/>
        <v>9.765625E-4</v>
      </c>
      <c r="Q16" s="10" t="s">
        <v>84</v>
      </c>
      <c r="R16" s="10">
        <v>2501</v>
      </c>
      <c r="S16" s="8">
        <v>0.104873284697532</v>
      </c>
      <c r="T16" s="43">
        <v>13</v>
      </c>
      <c r="U16" s="44">
        <v>10</v>
      </c>
      <c r="V16">
        <v>0.89021276595744603</v>
      </c>
      <c r="W16">
        <v>0.96035242049915504</v>
      </c>
      <c r="X16">
        <v>0.883090288306002</v>
      </c>
      <c r="AB16"/>
      <c r="AC16" t="s">
        <v>40</v>
      </c>
      <c r="AD16">
        <v>1001</v>
      </c>
      <c r="AE16">
        <v>0.01</v>
      </c>
      <c r="AF16" t="s">
        <v>84</v>
      </c>
      <c r="AG16" s="17">
        <v>1.7737977905198899E-3</v>
      </c>
      <c r="AH16" s="20">
        <f>10*60+8</f>
        <v>608</v>
      </c>
      <c r="AI16" s="20">
        <v>251</v>
      </c>
      <c r="AJ16" s="17">
        <f>1/2048</f>
        <v>4.8828125E-4</v>
      </c>
      <c r="AK16" t="s">
        <v>84</v>
      </c>
      <c r="AL16">
        <v>1.5408241888508201E-3</v>
      </c>
      <c r="AM16" s="20">
        <f>10*60+8</f>
        <v>608</v>
      </c>
      <c r="AN16" s="17">
        <f>MAX(0, Table2[[#This Row],[epochs1]])+Table2[[#This Row],[epochs2]]</f>
        <v>1252</v>
      </c>
      <c r="AO16" s="17">
        <f>IFERROR(Table2[[#This Row],[time]]+Table2[[#This Row],[time2]], "?")</f>
        <v>1216</v>
      </c>
    </row>
    <row r="17" spans="1:42" x14ac:dyDescent="0.3">
      <c r="A17" s="3">
        <v>38</v>
      </c>
      <c r="B17" s="3" t="s">
        <v>1</v>
      </c>
      <c r="C17" s="4">
        <f>MIN(Table1[[#This Row],[per_each]],64)*Table1[[#This Row],[subjects]]</f>
        <v>2432</v>
      </c>
      <c r="D17" s="12" t="b">
        <v>0</v>
      </c>
      <c r="E17" s="12" t="s">
        <v>6</v>
      </c>
      <c r="F17" s="12">
        <v>20</v>
      </c>
      <c r="G17" s="12">
        <v>6</v>
      </c>
      <c r="H17" s="4">
        <v>0.99617021276595696</v>
      </c>
      <c r="I17" s="22" t="s">
        <v>30</v>
      </c>
      <c r="J17" s="22" t="s">
        <v>30</v>
      </c>
      <c r="K17" s="22" t="s">
        <v>30</v>
      </c>
      <c r="L17" s="4" t="s">
        <v>30</v>
      </c>
      <c r="M17" s="11" t="s">
        <v>20</v>
      </c>
      <c r="N17" s="11">
        <v>1E-4</v>
      </c>
      <c r="O17" s="11">
        <v>1E-3</v>
      </c>
      <c r="P17" s="11">
        <f t="shared" si="9"/>
        <v>9.765625E-4</v>
      </c>
      <c r="Q17" s="11" t="s">
        <v>84</v>
      </c>
      <c r="R17" s="11">
        <v>2501</v>
      </c>
      <c r="S17" s="4">
        <v>0.104873284697532</v>
      </c>
      <c r="T17" s="45">
        <v>16</v>
      </c>
      <c r="U17" s="46">
        <v>4</v>
      </c>
      <c r="V17">
        <v>0.80978723404255304</v>
      </c>
      <c r="W17">
        <v>0.94595968321993096</v>
      </c>
      <c r="X17">
        <v>0.80771767897666102</v>
      </c>
      <c r="AB17"/>
      <c r="AC17" t="s">
        <v>40</v>
      </c>
      <c r="AD17">
        <v>101</v>
      </c>
      <c r="AE17">
        <v>0.1</v>
      </c>
      <c r="AF17" t="s">
        <v>85</v>
      </c>
      <c r="AG17" s="17">
        <v>3.7676955107599401E-3</v>
      </c>
      <c r="AH17" s="20">
        <f>1*60+11</f>
        <v>71</v>
      </c>
      <c r="AI17">
        <v>101</v>
      </c>
      <c r="AJ17" s="17">
        <v>0.01</v>
      </c>
      <c r="AK17" s="17" t="s">
        <v>85</v>
      </c>
      <c r="AL17">
        <v>1.74979248549789E-3</v>
      </c>
      <c r="AM17" s="20">
        <f>3*60+56</f>
        <v>236</v>
      </c>
      <c r="AN17" s="17">
        <f>MAX(0, Table2[[#This Row],[epochs1]])+Table2[[#This Row],[epochs2]]</f>
        <v>202</v>
      </c>
      <c r="AO17" s="17">
        <f>IFERROR(Table2[[#This Row],[time]]+Table2[[#This Row],[time2]], "?")</f>
        <v>307</v>
      </c>
      <c r="AP17" t="s">
        <v>87</v>
      </c>
    </row>
    <row r="18" spans="1:42" x14ac:dyDescent="0.3">
      <c r="A18" s="7">
        <v>38</v>
      </c>
      <c r="B18" s="7" t="s">
        <v>1</v>
      </c>
      <c r="C18" s="8">
        <f>MIN(Table1[[#This Row],[per_each]],64)*Table1[[#This Row],[subjects]]</f>
        <v>2432</v>
      </c>
      <c r="D18" s="13" t="b">
        <v>0</v>
      </c>
      <c r="E18" s="13" t="s">
        <v>6</v>
      </c>
      <c r="F18" s="13">
        <v>20</v>
      </c>
      <c r="G18" s="13">
        <v>6</v>
      </c>
      <c r="H18" s="8">
        <v>0.99617021276595696</v>
      </c>
      <c r="I18" s="22" t="s">
        <v>30</v>
      </c>
      <c r="J18" s="22" t="s">
        <v>30</v>
      </c>
      <c r="K18" s="22" t="s">
        <v>30</v>
      </c>
      <c r="L18" s="8" t="s">
        <v>30</v>
      </c>
      <c r="M18" s="10" t="s">
        <v>20</v>
      </c>
      <c r="N18" s="10">
        <v>1E-4</v>
      </c>
      <c r="O18" s="10">
        <v>1E-3</v>
      </c>
      <c r="P18" s="10">
        <f t="shared" si="9"/>
        <v>9.765625E-4</v>
      </c>
      <c r="Q18" s="10" t="s">
        <v>84</v>
      </c>
      <c r="R18" s="10">
        <v>2501</v>
      </c>
      <c r="S18" s="8">
        <v>0.104873284697532</v>
      </c>
      <c r="T18" s="43">
        <v>16</v>
      </c>
      <c r="U18" s="44">
        <v>8</v>
      </c>
      <c r="V18">
        <v>0.93063829787233998</v>
      </c>
      <c r="W18">
        <v>0.97625592489189195</v>
      </c>
      <c r="X18">
        <v>0.92026370885475495</v>
      </c>
      <c r="AB18"/>
      <c r="AC18" t="s">
        <v>40</v>
      </c>
      <c r="AD18">
        <v>101</v>
      </c>
      <c r="AE18">
        <v>1</v>
      </c>
      <c r="AF18" t="s">
        <v>85</v>
      </c>
      <c r="AG18" s="17">
        <v>0.943628549575805</v>
      </c>
      <c r="AH18" s="20">
        <f>1*60+14</f>
        <v>74</v>
      </c>
      <c r="AI18">
        <v>101</v>
      </c>
      <c r="AJ18" s="17">
        <v>0.1</v>
      </c>
      <c r="AK18" s="17" t="s">
        <v>85</v>
      </c>
      <c r="AL18" s="17">
        <v>0.29615589976310702</v>
      </c>
      <c r="AM18" s="20">
        <f>4*60+5</f>
        <v>245</v>
      </c>
      <c r="AN18" s="17">
        <f>MAX(0, Table2[[#This Row],[epochs1]])+Table2[[#This Row],[epochs2]]</f>
        <v>202</v>
      </c>
      <c r="AO18" s="17">
        <f>IFERROR(Table2[[#This Row],[time]]+Table2[[#This Row],[time2]], "?")</f>
        <v>319</v>
      </c>
    </row>
    <row r="19" spans="1:42" x14ac:dyDescent="0.3">
      <c r="A19" s="3">
        <v>38</v>
      </c>
      <c r="B19" s="3" t="s">
        <v>1</v>
      </c>
      <c r="C19" s="4">
        <f>MIN(Table1[[#This Row],[per_each]],64)*Table1[[#This Row],[subjects]]</f>
        <v>2432</v>
      </c>
      <c r="D19" s="12" t="b">
        <v>0</v>
      </c>
      <c r="E19" s="12" t="s">
        <v>6</v>
      </c>
      <c r="F19" s="12">
        <v>20</v>
      </c>
      <c r="G19" s="12">
        <v>6</v>
      </c>
      <c r="H19" s="4">
        <v>0.99617021276595696</v>
      </c>
      <c r="I19" s="22" t="s">
        <v>30</v>
      </c>
      <c r="J19" s="22" t="s">
        <v>30</v>
      </c>
      <c r="K19" s="22" t="s">
        <v>30</v>
      </c>
      <c r="L19" s="4" t="s">
        <v>30</v>
      </c>
      <c r="M19" s="11" t="s">
        <v>20</v>
      </c>
      <c r="N19" s="11">
        <v>1E-4</v>
      </c>
      <c r="O19" s="11">
        <v>1E-3</v>
      </c>
      <c r="P19" s="11">
        <f t="shared" si="9"/>
        <v>9.765625E-4</v>
      </c>
      <c r="Q19" s="11" t="s">
        <v>84</v>
      </c>
      <c r="R19" s="11">
        <v>2501</v>
      </c>
      <c r="S19" s="4">
        <v>0.104873284697532</v>
      </c>
      <c r="T19" s="45">
        <v>16</v>
      </c>
      <c r="U19" s="46">
        <v>7</v>
      </c>
      <c r="V19">
        <v>0.916170212765957</v>
      </c>
      <c r="W19">
        <v>0.96552827698308996</v>
      </c>
      <c r="X19">
        <v>0.88990948282347104</v>
      </c>
      <c r="AB19"/>
      <c r="AC19" t="s">
        <v>40</v>
      </c>
      <c r="AD19">
        <v>101</v>
      </c>
      <c r="AE19">
        <v>0.01</v>
      </c>
      <c r="AF19" t="s">
        <v>85</v>
      </c>
      <c r="AG19" s="17">
        <v>0.38957080245018</v>
      </c>
      <c r="AH19" s="20">
        <f>1*60+17</f>
        <v>77</v>
      </c>
      <c r="AI19">
        <v>101</v>
      </c>
      <c r="AJ19" s="17">
        <v>1E-3</v>
      </c>
      <c r="AK19" s="17" t="s">
        <v>85</v>
      </c>
      <c r="AL19" s="17">
        <v>7.6804973185062395E-2</v>
      </c>
      <c r="AM19" s="20">
        <f>3*60+57</f>
        <v>237</v>
      </c>
      <c r="AN19" s="17">
        <f>MAX(0, Table2[[#This Row],[epochs1]])+Table2[[#This Row],[epochs2]]</f>
        <v>202</v>
      </c>
      <c r="AO19" s="17">
        <f>IFERROR(Table2[[#This Row],[time]]+Table2[[#This Row],[time2]], "?")</f>
        <v>314</v>
      </c>
    </row>
    <row r="20" spans="1:42" x14ac:dyDescent="0.3">
      <c r="A20" s="7">
        <v>38</v>
      </c>
      <c r="B20" s="7" t="s">
        <v>1</v>
      </c>
      <c r="C20" s="8">
        <f>MIN(Table1[[#This Row],[per_each]],64)*Table1[[#This Row],[subjects]]</f>
        <v>2432</v>
      </c>
      <c r="D20" s="13" t="b">
        <v>0</v>
      </c>
      <c r="E20" s="13" t="s">
        <v>6</v>
      </c>
      <c r="F20" s="13">
        <v>20</v>
      </c>
      <c r="G20" s="13">
        <v>6</v>
      </c>
      <c r="H20" s="8">
        <v>0.99617021276595696</v>
      </c>
      <c r="I20" s="22" t="s">
        <v>30</v>
      </c>
      <c r="J20" s="22" t="s">
        <v>30</v>
      </c>
      <c r="K20" s="22" t="s">
        <v>30</v>
      </c>
      <c r="L20" s="8" t="s">
        <v>30</v>
      </c>
      <c r="M20" s="10" t="s">
        <v>20</v>
      </c>
      <c r="N20" s="10">
        <v>1E-4</v>
      </c>
      <c r="O20" s="10">
        <v>1E-3</v>
      </c>
      <c r="P20" s="10">
        <f t="shared" si="9"/>
        <v>9.765625E-4</v>
      </c>
      <c r="Q20" s="10" t="s">
        <v>84</v>
      </c>
      <c r="R20" s="10">
        <v>2501</v>
      </c>
      <c r="S20" s="8">
        <v>0.104873284697532</v>
      </c>
      <c r="T20" s="43">
        <v>13</v>
      </c>
      <c r="U20" s="44">
        <v>5</v>
      </c>
      <c r="V20">
        <v>0.76723404255319105</v>
      </c>
      <c r="W20">
        <v>0.93429991632263398</v>
      </c>
      <c r="X20">
        <v>0.75509055512299605</v>
      </c>
      <c r="AB20"/>
      <c r="AC20" t="s">
        <v>40</v>
      </c>
      <c r="AD20">
        <v>101</v>
      </c>
      <c r="AE20">
        <v>0.2</v>
      </c>
      <c r="AF20" t="s">
        <v>85</v>
      </c>
      <c r="AG20" s="17">
        <v>0.292814701795578</v>
      </c>
      <c r="AH20" s="20">
        <f>1*60+16</f>
        <v>76</v>
      </c>
      <c r="AI20">
        <v>101</v>
      </c>
      <c r="AJ20" s="17">
        <v>0.02</v>
      </c>
      <c r="AK20" s="17" t="s">
        <v>85</v>
      </c>
      <c r="AL20">
        <v>1.6589937731623601E-2</v>
      </c>
      <c r="AM20" s="20">
        <f>4*60+0</f>
        <v>240</v>
      </c>
      <c r="AN20" s="17">
        <f>MAX(0, Table2[[#This Row],[epochs1]])+Table2[[#This Row],[epochs2]]</f>
        <v>202</v>
      </c>
      <c r="AO20" s="17">
        <f>IFERROR(Table2[[#This Row],[time]]+Table2[[#This Row],[time2]], "?")</f>
        <v>316</v>
      </c>
    </row>
    <row r="21" spans="1:42" x14ac:dyDescent="0.3">
      <c r="A21" s="3">
        <v>38</v>
      </c>
      <c r="B21" s="3" t="s">
        <v>1</v>
      </c>
      <c r="C21" s="4">
        <f>MIN(Table1[[#This Row],[per_each]],64)*Table1[[#This Row],[subjects]]</f>
        <v>2432</v>
      </c>
      <c r="D21" s="12" t="b">
        <v>0</v>
      </c>
      <c r="E21" s="12" t="s">
        <v>6</v>
      </c>
      <c r="F21" s="12">
        <v>20</v>
      </c>
      <c r="G21" s="12">
        <v>6</v>
      </c>
      <c r="H21" s="4">
        <v>0.99617021276595696</v>
      </c>
      <c r="I21" s="22" t="s">
        <v>30</v>
      </c>
      <c r="J21" s="22" t="s">
        <v>30</v>
      </c>
      <c r="K21" s="22" t="s">
        <v>30</v>
      </c>
      <c r="L21" s="4" t="s">
        <v>30</v>
      </c>
      <c r="M21" s="11" t="s">
        <v>20</v>
      </c>
      <c r="N21" s="11">
        <v>1E-4</v>
      </c>
      <c r="O21" s="11">
        <v>1E-3</v>
      </c>
      <c r="P21" s="11">
        <f t="shared" si="9"/>
        <v>9.765625E-4</v>
      </c>
      <c r="Q21" s="11" t="s">
        <v>84</v>
      </c>
      <c r="R21" s="11">
        <v>2501</v>
      </c>
      <c r="S21" s="4">
        <v>0.104873284697532</v>
      </c>
      <c r="T21" s="45">
        <v>13</v>
      </c>
      <c r="U21" s="46">
        <v>25</v>
      </c>
      <c r="V21">
        <v>0.30978723404255298</v>
      </c>
      <c r="W21">
        <v>0.39677098096500102</v>
      </c>
      <c r="X21">
        <v>2.9850063621428301E-2</v>
      </c>
      <c r="AB21"/>
      <c r="AC21" t="s">
        <v>40</v>
      </c>
      <c r="AD21">
        <v>101</v>
      </c>
      <c r="AE21">
        <v>0.05</v>
      </c>
      <c r="AF21" t="s">
        <v>85</v>
      </c>
      <c r="AG21" s="17">
        <v>7.7175586484372598E-3</v>
      </c>
      <c r="AH21" s="20">
        <f>1*60+19</f>
        <v>79</v>
      </c>
      <c r="AI21">
        <v>101</v>
      </c>
      <c r="AJ21" s="17">
        <v>5.0000000000000001E-3</v>
      </c>
      <c r="AK21" s="17" t="s">
        <v>85</v>
      </c>
      <c r="AL21">
        <v>1.9574942998587998E-3</v>
      </c>
      <c r="AM21" s="20">
        <f>3*60+59</f>
        <v>239</v>
      </c>
      <c r="AN21" s="17">
        <f>MAX(0, Table2[[#This Row],[epochs1]])+Table2[[#This Row],[epochs2]]</f>
        <v>202</v>
      </c>
      <c r="AO21" s="17">
        <f>IFERROR(Table2[[#This Row],[time]]+Table2[[#This Row],[time2]], "?")</f>
        <v>318</v>
      </c>
    </row>
    <row r="22" spans="1:42" x14ac:dyDescent="0.3">
      <c r="A22" s="7">
        <v>38</v>
      </c>
      <c r="B22" s="7" t="s">
        <v>1</v>
      </c>
      <c r="C22" s="8">
        <f>MIN(Table1[[#This Row],[per_each]],64)*Table1[[#This Row],[subjects]]</f>
        <v>2432</v>
      </c>
      <c r="D22" s="13" t="b">
        <v>0</v>
      </c>
      <c r="E22" s="13" t="s">
        <v>6</v>
      </c>
      <c r="F22" s="13">
        <v>20</v>
      </c>
      <c r="G22" s="13">
        <v>6</v>
      </c>
      <c r="H22" s="8">
        <v>0.99617021276595696</v>
      </c>
      <c r="I22" s="22" t="s">
        <v>30</v>
      </c>
      <c r="J22" s="22" t="s">
        <v>30</v>
      </c>
      <c r="K22" s="22" t="s">
        <v>30</v>
      </c>
      <c r="L22" s="8" t="s">
        <v>30</v>
      </c>
      <c r="M22" s="10" t="s">
        <v>20</v>
      </c>
      <c r="N22" s="10">
        <v>1E-4</v>
      </c>
      <c r="O22" s="10">
        <v>1E-3</v>
      </c>
      <c r="P22" s="10">
        <f t="shared" si="9"/>
        <v>9.765625E-4</v>
      </c>
      <c r="Q22" s="10" t="s">
        <v>84</v>
      </c>
      <c r="R22" s="10">
        <v>10001</v>
      </c>
      <c r="S22" s="8">
        <v>9.6938982605934101E-2</v>
      </c>
      <c r="T22" s="43">
        <v>16</v>
      </c>
      <c r="U22" s="44">
        <v>6</v>
      </c>
      <c r="V22">
        <v>0.87106382978723396</v>
      </c>
      <c r="W22">
        <v>0.95739825577712101</v>
      </c>
      <c r="X22">
        <v>0.85534504000105205</v>
      </c>
      <c r="AB22"/>
      <c r="AC22" t="s">
        <v>40</v>
      </c>
      <c r="AD22">
        <v>101</v>
      </c>
      <c r="AE22">
        <v>0.08</v>
      </c>
      <c r="AF22" t="s">
        <v>85</v>
      </c>
      <c r="AG22" s="17">
        <v>3.3260434865951499E-3</v>
      </c>
      <c r="AH22" s="20">
        <f>1*60+20</f>
        <v>80</v>
      </c>
      <c r="AI22">
        <v>101</v>
      </c>
      <c r="AJ22" s="17">
        <v>8.0000000000000002E-3</v>
      </c>
      <c r="AK22" s="17" t="s">
        <v>85</v>
      </c>
      <c r="AL22">
        <v>1.74476066604256E-3</v>
      </c>
      <c r="AM22" s="20">
        <f>4*60+2</f>
        <v>242</v>
      </c>
      <c r="AN22" s="17">
        <f>MAX(0, Table2[[#This Row],[epochs1]])+Table2[[#This Row],[epochs2]]</f>
        <v>202</v>
      </c>
      <c r="AO22" s="17">
        <f>IFERROR(Table2[[#This Row],[time]]+Table2[[#This Row],[time2]], "?")</f>
        <v>322</v>
      </c>
    </row>
    <row r="23" spans="1:42" x14ac:dyDescent="0.3">
      <c r="A23" s="3">
        <v>38</v>
      </c>
      <c r="B23" s="3" t="s">
        <v>1</v>
      </c>
      <c r="C23" s="4">
        <f>MIN(Table1[[#This Row],[per_each]],64)*Table1[[#This Row],[subjects]]</f>
        <v>2432</v>
      </c>
      <c r="D23" s="12" t="b">
        <v>0</v>
      </c>
      <c r="E23" s="12" t="s">
        <v>6</v>
      </c>
      <c r="F23" s="12">
        <v>20</v>
      </c>
      <c r="G23" s="12">
        <v>6</v>
      </c>
      <c r="H23" s="4">
        <v>0.99617021276595696</v>
      </c>
      <c r="I23" s="22" t="s">
        <v>30</v>
      </c>
      <c r="J23" s="22" t="s">
        <v>30</v>
      </c>
      <c r="K23" s="22" t="s">
        <v>30</v>
      </c>
      <c r="L23" s="4" t="s">
        <v>30</v>
      </c>
      <c r="M23" s="11" t="s">
        <v>20</v>
      </c>
      <c r="N23" s="11">
        <v>1E-4</v>
      </c>
      <c r="O23" s="11">
        <v>1E-3</v>
      </c>
      <c r="P23" s="11">
        <f t="shared" si="9"/>
        <v>9.765625E-4</v>
      </c>
      <c r="Q23" s="11" t="s">
        <v>84</v>
      </c>
      <c r="R23" s="11">
        <v>10001</v>
      </c>
      <c r="S23" s="4">
        <v>9.6938982605934101E-2</v>
      </c>
      <c r="T23" s="45">
        <v>18</v>
      </c>
      <c r="U23" s="46">
        <v>6</v>
      </c>
      <c r="V23">
        <v>0.96</v>
      </c>
      <c r="W23">
        <v>0.98545745385835903</v>
      </c>
      <c r="X23">
        <v>0.95404877378067798</v>
      </c>
      <c r="AB23"/>
      <c r="AC23" t="s">
        <v>40</v>
      </c>
      <c r="AD23">
        <v>101</v>
      </c>
      <c r="AE23">
        <v>0.08</v>
      </c>
      <c r="AF23" t="s">
        <v>85</v>
      </c>
      <c r="AG23" s="17">
        <v>2.1911789663136001E-3</v>
      </c>
      <c r="AH23" s="20">
        <f>1*60+24</f>
        <v>84</v>
      </c>
      <c r="AI23">
        <v>101</v>
      </c>
      <c r="AJ23" s="17">
        <v>4.0000000000000001E-3</v>
      </c>
      <c r="AK23" s="17" t="s">
        <v>85</v>
      </c>
      <c r="AL23">
        <v>1.74522388260811E-3</v>
      </c>
      <c r="AM23" s="20">
        <f>4*60+4</f>
        <v>244</v>
      </c>
      <c r="AN23" s="17">
        <f>MAX(0, Table2[[#This Row],[epochs1]])+Table2[[#This Row],[epochs2]]</f>
        <v>202</v>
      </c>
      <c r="AO23" s="17">
        <f>IFERROR(Table2[[#This Row],[time]]+Table2[[#This Row],[time2]], "?")</f>
        <v>328</v>
      </c>
    </row>
    <row r="24" spans="1:42" x14ac:dyDescent="0.3">
      <c r="A24" s="7">
        <v>38</v>
      </c>
      <c r="B24" s="7" t="s">
        <v>1</v>
      </c>
      <c r="C24" s="8">
        <f>MIN(Table1[[#This Row],[per_each]],64)*Table1[[#This Row],[subjects]]</f>
        <v>2432</v>
      </c>
      <c r="D24" s="13" t="b">
        <v>0</v>
      </c>
      <c r="E24" s="13" t="s">
        <v>6</v>
      </c>
      <c r="F24" s="13">
        <v>20</v>
      </c>
      <c r="G24" s="13">
        <v>6</v>
      </c>
      <c r="H24" s="8">
        <v>0.99617021276595696</v>
      </c>
      <c r="I24" s="22" t="s">
        <v>30</v>
      </c>
      <c r="J24" s="22" t="s">
        <v>30</v>
      </c>
      <c r="K24" s="22" t="s">
        <v>30</v>
      </c>
      <c r="L24" s="8" t="s">
        <v>30</v>
      </c>
      <c r="M24" s="10" t="s">
        <v>20</v>
      </c>
      <c r="N24" s="10">
        <v>1E-4</v>
      </c>
      <c r="O24" s="10">
        <v>1E-3</v>
      </c>
      <c r="P24" s="10">
        <f t="shared" si="9"/>
        <v>9.765625E-4</v>
      </c>
      <c r="Q24" s="10" t="s">
        <v>84</v>
      </c>
      <c r="R24" s="10">
        <v>10001</v>
      </c>
      <c r="S24" s="8">
        <v>9.6938982605934101E-2</v>
      </c>
      <c r="T24" s="43">
        <v>16</v>
      </c>
      <c r="U24" s="44">
        <v>8</v>
      </c>
      <c r="V24">
        <v>0.89489361702127601</v>
      </c>
      <c r="W24">
        <v>0.96907426959879095</v>
      </c>
      <c r="X24">
        <v>0.89039816489476897</v>
      </c>
      <c r="AC24" t="s">
        <v>40</v>
      </c>
      <c r="AD24">
        <v>101</v>
      </c>
      <c r="AE24">
        <v>0.08</v>
      </c>
      <c r="AF24" s="20" t="s">
        <v>85</v>
      </c>
      <c r="AG24" s="17">
        <v>7.3972996324300697E-3</v>
      </c>
      <c r="AH24" s="20">
        <f>1*60+27</f>
        <v>87</v>
      </c>
      <c r="AI24">
        <v>101</v>
      </c>
      <c r="AJ24" s="17">
        <v>1.6E-2</v>
      </c>
      <c r="AK24" s="17" t="s">
        <v>85</v>
      </c>
      <c r="AL24">
        <v>1.76718190778046E-3</v>
      </c>
      <c r="AM24" s="20">
        <f>4*60+7</f>
        <v>247</v>
      </c>
      <c r="AN24" s="17">
        <f>MAX(0, Table2[[#This Row],[epochs1]])+Table2[[#This Row],[epochs2]]</f>
        <v>202</v>
      </c>
      <c r="AO24" s="17">
        <f>IFERROR(Table2[[#This Row],[time]]+Table2[[#This Row],[time2]], "?")</f>
        <v>334</v>
      </c>
    </row>
    <row r="25" spans="1:42" x14ac:dyDescent="0.3">
      <c r="A25" s="3">
        <v>38</v>
      </c>
      <c r="B25" s="3" t="s">
        <v>1</v>
      </c>
      <c r="C25" s="4">
        <f>MIN(Table1[[#This Row],[per_each]],64)*Table1[[#This Row],[subjects]]</f>
        <v>2432</v>
      </c>
      <c r="D25" s="12" t="b">
        <v>0</v>
      </c>
      <c r="E25" s="12" t="s">
        <v>6</v>
      </c>
      <c r="F25" s="12">
        <v>20</v>
      </c>
      <c r="G25" s="12">
        <v>6</v>
      </c>
      <c r="H25" s="4">
        <v>0.99617021276595696</v>
      </c>
      <c r="I25" s="22" t="s">
        <v>30</v>
      </c>
      <c r="J25" s="22" t="s">
        <v>30</v>
      </c>
      <c r="K25" s="22" t="s">
        <v>30</v>
      </c>
      <c r="L25" s="4" t="s">
        <v>30</v>
      </c>
      <c r="M25" s="11" t="s">
        <v>20</v>
      </c>
      <c r="N25" s="11">
        <v>1E-4</v>
      </c>
      <c r="O25" s="11">
        <v>1E-3</v>
      </c>
      <c r="P25" s="11">
        <f t="shared" si="9"/>
        <v>9.765625E-4</v>
      </c>
      <c r="Q25" s="11" t="s">
        <v>84</v>
      </c>
      <c r="R25" s="11">
        <v>10001</v>
      </c>
      <c r="S25" s="4">
        <v>9.6938982605934101E-2</v>
      </c>
      <c r="T25" s="45">
        <v>20</v>
      </c>
      <c r="U25" s="46">
        <v>6</v>
      </c>
      <c r="V25">
        <v>0.90212765957446805</v>
      </c>
      <c r="W25">
        <v>0.96636239883632202</v>
      </c>
      <c r="X25">
        <v>0.88575045919186102</v>
      </c>
      <c r="AB25"/>
      <c r="AC25" t="s">
        <v>40</v>
      </c>
      <c r="AD25">
        <v>101</v>
      </c>
      <c r="AE25">
        <v>0.08</v>
      </c>
      <c r="AF25" t="s">
        <v>85</v>
      </c>
      <c r="AG25" s="17">
        <v>2.6032142341136902E-3</v>
      </c>
      <c r="AH25" s="20">
        <f>1*60+33</f>
        <v>93</v>
      </c>
      <c r="AI25">
        <v>101</v>
      </c>
      <c r="AJ25" s="17">
        <v>6.0000000000000001E-3</v>
      </c>
      <c r="AK25" s="17" t="s">
        <v>85</v>
      </c>
      <c r="AL25">
        <v>1.7430525040253899E-3</v>
      </c>
      <c r="AM25" s="20">
        <f>4*60+11</f>
        <v>251</v>
      </c>
      <c r="AN25" s="17">
        <f>MAX(0, Table2[[#This Row],[epochs1]])+Table2[[#This Row],[epochs2]]</f>
        <v>202</v>
      </c>
      <c r="AO25" s="17">
        <f>IFERROR(Table2[[#This Row],[time]]+Table2[[#This Row],[time2]], "?")</f>
        <v>344</v>
      </c>
    </row>
    <row r="26" spans="1:42" x14ac:dyDescent="0.3">
      <c r="A26" s="7">
        <v>38</v>
      </c>
      <c r="B26" s="7" t="s">
        <v>1</v>
      </c>
      <c r="C26" s="8">
        <f>MIN(Table1[[#This Row],[per_each]],64)*Table1[[#This Row],[subjects]]</f>
        <v>2432</v>
      </c>
      <c r="D26" s="13" t="b">
        <v>0</v>
      </c>
      <c r="E26" s="13" t="s">
        <v>6</v>
      </c>
      <c r="F26" s="13">
        <v>20</v>
      </c>
      <c r="G26" s="13">
        <v>6</v>
      </c>
      <c r="H26" s="8">
        <v>0.99617021276595696</v>
      </c>
      <c r="I26" s="22" t="s">
        <v>30</v>
      </c>
      <c r="J26" s="22" t="s">
        <v>30</v>
      </c>
      <c r="K26" s="22" t="s">
        <v>30</v>
      </c>
      <c r="L26" s="8" t="s">
        <v>30</v>
      </c>
      <c r="M26" s="10" t="s">
        <v>20</v>
      </c>
      <c r="N26" s="10">
        <v>1E-4</v>
      </c>
      <c r="O26" s="10">
        <v>1E-3</v>
      </c>
      <c r="P26" s="10">
        <f t="shared" si="9"/>
        <v>9.765625E-4</v>
      </c>
      <c r="Q26" s="10" t="s">
        <v>84</v>
      </c>
      <c r="R26" s="10">
        <v>10001</v>
      </c>
      <c r="S26" s="8">
        <v>9.6938982605934101E-2</v>
      </c>
      <c r="T26" s="43">
        <v>17</v>
      </c>
      <c r="U26" s="44">
        <v>6</v>
      </c>
      <c r="V26">
        <v>0.92042553191489296</v>
      </c>
      <c r="W26">
        <v>0.97195735396361005</v>
      </c>
      <c r="X26">
        <v>0.90838531843432002</v>
      </c>
      <c r="AB26"/>
      <c r="AC26" t="s">
        <v>40</v>
      </c>
      <c r="AD26">
        <v>10001</v>
      </c>
      <c r="AE26">
        <v>0.08</v>
      </c>
      <c r="AF26" t="s">
        <v>85</v>
      </c>
      <c r="AG26" s="17">
        <v>2.3053798358887399E-3</v>
      </c>
      <c r="AH26" s="20">
        <f>1*60+(30*60+8)</f>
        <v>1868</v>
      </c>
      <c r="AI26">
        <v>1001</v>
      </c>
      <c r="AJ26" s="17">
        <f>1/1024</f>
        <v>9.765625E-4</v>
      </c>
      <c r="AK26" s="17" t="s">
        <v>85</v>
      </c>
      <c r="AL26">
        <v>1.27289514057338E-3</v>
      </c>
      <c r="AM26" s="20">
        <f>60*41+26</f>
        <v>2486</v>
      </c>
      <c r="AN26" s="17">
        <f>MAX(0, Table2[[#This Row],[epochs1]])+Table2[[#This Row],[epochs2]]</f>
        <v>11002</v>
      </c>
      <c r="AO26" s="17">
        <f>IFERROR(Table2[[#This Row],[time]]+Table2[[#This Row],[time2]], "?")</f>
        <v>4354</v>
      </c>
    </row>
    <row r="27" spans="1:42" x14ac:dyDescent="0.3">
      <c r="A27" s="3">
        <v>38</v>
      </c>
      <c r="B27" s="3" t="s">
        <v>1</v>
      </c>
      <c r="C27" s="4">
        <f>MIN(Table1[[#This Row],[per_each]],64)*Table1[[#This Row],[subjects]]</f>
        <v>2432</v>
      </c>
      <c r="D27" s="12" t="b">
        <v>0</v>
      </c>
      <c r="E27" s="12" t="s">
        <v>6</v>
      </c>
      <c r="F27" s="12">
        <v>20</v>
      </c>
      <c r="G27" s="12">
        <v>6</v>
      </c>
      <c r="H27" s="4">
        <v>0.99617021276595696</v>
      </c>
      <c r="I27" s="22" t="s">
        <v>30</v>
      </c>
      <c r="J27" s="22" t="s">
        <v>30</v>
      </c>
      <c r="K27" s="22" t="s">
        <v>30</v>
      </c>
      <c r="L27" s="4" t="s">
        <v>30</v>
      </c>
      <c r="M27" s="11" t="s">
        <v>20</v>
      </c>
      <c r="N27" s="11">
        <v>1E-4</v>
      </c>
      <c r="O27" s="11">
        <v>1E-3</v>
      </c>
      <c r="P27" s="11">
        <f t="shared" si="9"/>
        <v>9.765625E-4</v>
      </c>
      <c r="Q27" s="11" t="s">
        <v>84</v>
      </c>
      <c r="R27" s="11">
        <v>10001</v>
      </c>
      <c r="S27" s="4">
        <v>9.6938982605934101E-2</v>
      </c>
      <c r="T27" s="45">
        <v>19</v>
      </c>
      <c r="U27" s="46">
        <v>6</v>
      </c>
      <c r="V27">
        <v>0.90170212765957403</v>
      </c>
      <c r="W27">
        <v>0.96830559205401001</v>
      </c>
      <c r="X27">
        <v>0.89340697943333403</v>
      </c>
      <c r="AB27"/>
      <c r="AF27"/>
      <c r="AG27" s="20"/>
      <c r="AK27" s="20"/>
    </row>
    <row r="28" spans="1:42" x14ac:dyDescent="0.3">
      <c r="A28" s="7">
        <v>38</v>
      </c>
      <c r="B28" s="7" t="s">
        <v>1</v>
      </c>
      <c r="C28" s="8">
        <f>MIN(Table1[[#This Row],[per_each]],64)*Table1[[#This Row],[subjects]]</f>
        <v>2432</v>
      </c>
      <c r="D28" s="13" t="b">
        <v>0</v>
      </c>
      <c r="E28" s="13" t="s">
        <v>6</v>
      </c>
      <c r="F28" s="13">
        <v>20</v>
      </c>
      <c r="G28" s="13">
        <v>6</v>
      </c>
      <c r="H28" s="8">
        <v>0.99617021276595696</v>
      </c>
      <c r="I28" s="22" t="s">
        <v>30</v>
      </c>
      <c r="J28" s="22" t="s">
        <v>30</v>
      </c>
      <c r="K28" s="22" t="s">
        <v>30</v>
      </c>
      <c r="L28" s="8" t="s">
        <v>30</v>
      </c>
      <c r="M28" s="10" t="s">
        <v>20</v>
      </c>
      <c r="N28" s="10">
        <v>1E-4</v>
      </c>
      <c r="O28" s="10">
        <v>1E-3</v>
      </c>
      <c r="P28" s="10">
        <f t="shared" si="9"/>
        <v>9.765625E-4</v>
      </c>
      <c r="Q28" s="10" t="s">
        <v>84</v>
      </c>
      <c r="R28" s="10">
        <v>10001</v>
      </c>
      <c r="S28" s="8">
        <v>9.6938982605934101E-2</v>
      </c>
      <c r="T28" s="43">
        <v>18</v>
      </c>
      <c r="U28" s="44">
        <v>10</v>
      </c>
      <c r="V28">
        <v>0.52851063829787204</v>
      </c>
      <c r="W28">
        <v>0.69068709882218104</v>
      </c>
      <c r="X28">
        <v>0.154024262268012</v>
      </c>
      <c r="AB28"/>
      <c r="AF28"/>
      <c r="AG28" s="20"/>
      <c r="AK28" s="20"/>
    </row>
    <row r="29" spans="1:42" x14ac:dyDescent="0.3">
      <c r="A29" s="3">
        <v>38</v>
      </c>
      <c r="B29" s="3" t="s">
        <v>1</v>
      </c>
      <c r="C29" s="4">
        <f>MIN(Table1[[#This Row],[per_each]],64)*Table1[[#This Row],[subjects]]</f>
        <v>2432</v>
      </c>
      <c r="D29" s="12" t="b">
        <v>0</v>
      </c>
      <c r="E29" s="12" t="s">
        <v>6</v>
      </c>
      <c r="F29" s="12">
        <v>20</v>
      </c>
      <c r="G29" s="12">
        <v>6</v>
      </c>
      <c r="H29" s="4">
        <v>0.99617021276595696</v>
      </c>
      <c r="I29" s="22">
        <v>1E-3</v>
      </c>
      <c r="J29" s="22" t="s">
        <v>84</v>
      </c>
      <c r="K29" s="22">
        <v>10001</v>
      </c>
      <c r="L29" s="4">
        <v>0.10980663448572101</v>
      </c>
      <c r="M29" s="11" t="s">
        <v>20</v>
      </c>
      <c r="N29" s="11">
        <v>1E-4</v>
      </c>
      <c r="O29" s="11">
        <v>1E-3</v>
      </c>
      <c r="P29" s="11">
        <f t="shared" si="9"/>
        <v>9.765625E-4</v>
      </c>
      <c r="Q29" s="11" t="s">
        <v>84</v>
      </c>
      <c r="R29" s="11">
        <v>2501</v>
      </c>
      <c r="S29" s="4">
        <v>7.5686052441596902E-2</v>
      </c>
      <c r="T29" s="45">
        <v>18</v>
      </c>
      <c r="U29" s="46">
        <v>6</v>
      </c>
      <c r="V29">
        <v>0.99787234042553197</v>
      </c>
      <c r="W29">
        <v>0.99695112729703605</v>
      </c>
      <c r="X29">
        <v>0.99549151746959996</v>
      </c>
      <c r="Y29" t="s">
        <v>49</v>
      </c>
      <c r="AB29"/>
      <c r="AF29"/>
      <c r="AG29" s="20"/>
      <c r="AK29" s="20"/>
    </row>
    <row r="30" spans="1:42" ht="15" thickBot="1" x14ac:dyDescent="0.35">
      <c r="A30" s="7">
        <v>38</v>
      </c>
      <c r="B30" s="7" t="s">
        <v>1</v>
      </c>
      <c r="C30" s="8">
        <f>MIN(Table1[[#This Row],[per_each]],64)*Table1[[#This Row],[subjects]]</f>
        <v>2432</v>
      </c>
      <c r="D30" s="13" t="b">
        <v>0</v>
      </c>
      <c r="E30" s="13" t="s">
        <v>6</v>
      </c>
      <c r="F30" s="13">
        <v>20</v>
      </c>
      <c r="G30" s="13">
        <v>6</v>
      </c>
      <c r="H30" s="8">
        <v>0.99617021276595696</v>
      </c>
      <c r="I30" s="22">
        <v>1E-3</v>
      </c>
      <c r="J30" s="22" t="s">
        <v>84</v>
      </c>
      <c r="K30" s="22">
        <v>10001</v>
      </c>
      <c r="L30" s="8">
        <v>0.10980663448572101</v>
      </c>
      <c r="M30" s="10" t="s">
        <v>20</v>
      </c>
      <c r="N30" s="10">
        <v>1E-4</v>
      </c>
      <c r="O30" s="10">
        <v>1E-3</v>
      </c>
      <c r="P30" s="10">
        <f t="shared" si="9"/>
        <v>9.765625E-4</v>
      </c>
      <c r="Q30" s="10" t="s">
        <v>84</v>
      </c>
      <c r="R30" s="10">
        <v>2501</v>
      </c>
      <c r="S30" s="8">
        <v>7.5686052441596902E-2</v>
      </c>
      <c r="T30" s="47">
        <v>18</v>
      </c>
      <c r="U30" s="48">
        <v>18</v>
      </c>
      <c r="V30">
        <v>0.99787234042553197</v>
      </c>
      <c r="W30">
        <v>0.99695112729703605</v>
      </c>
      <c r="X30">
        <v>0.99549151746959996</v>
      </c>
      <c r="AB30"/>
      <c r="AF30"/>
      <c r="AG30" s="20"/>
      <c r="AK30" s="20"/>
    </row>
    <row r="31" spans="1:42" x14ac:dyDescent="0.3">
      <c r="A31" s="3">
        <v>38</v>
      </c>
      <c r="B31" s="3" t="s">
        <v>1</v>
      </c>
      <c r="C31" s="4">
        <f>MIN(Table1[[#This Row],[per_each]],64)*Table1[[#This Row],[subjects]]</f>
        <v>2432</v>
      </c>
      <c r="D31" s="12" t="b">
        <v>0</v>
      </c>
      <c r="E31" s="12" t="s">
        <v>6</v>
      </c>
      <c r="F31" s="12">
        <v>20</v>
      </c>
      <c r="G31" s="12">
        <v>6</v>
      </c>
      <c r="H31" s="4">
        <v>0.99617021276595696</v>
      </c>
      <c r="I31" s="52">
        <v>0.08</v>
      </c>
      <c r="J31" s="53" t="s">
        <v>85</v>
      </c>
      <c r="K31" s="53">
        <v>101</v>
      </c>
      <c r="L31" s="54">
        <v>2.6032142341136902E-3</v>
      </c>
      <c r="M31" s="11" t="s">
        <v>20</v>
      </c>
      <c r="N31" s="11">
        <v>1E-4</v>
      </c>
      <c r="O31" s="11">
        <v>1E-3</v>
      </c>
      <c r="P31" s="29">
        <v>6.0000000000000001E-3</v>
      </c>
      <c r="Q31" s="30" t="s">
        <v>85</v>
      </c>
      <c r="R31" s="31">
        <v>101</v>
      </c>
      <c r="S31" s="4">
        <v>1.7430525040253899E-3</v>
      </c>
      <c r="T31" s="15">
        <v>18</v>
      </c>
      <c r="U31" s="15">
        <v>10</v>
      </c>
      <c r="V31">
        <v>0.97148936170212696</v>
      </c>
      <c r="W31">
        <v>0.992799878417155</v>
      </c>
      <c r="X31">
        <v>0.97027521375973602</v>
      </c>
      <c r="Y31" t="s">
        <v>88</v>
      </c>
      <c r="AB31"/>
      <c r="AF31"/>
      <c r="AG31" s="20"/>
      <c r="AK31" s="20"/>
    </row>
    <row r="32" spans="1:42" ht="15" thickBot="1" x14ac:dyDescent="0.35">
      <c r="A32" s="7">
        <v>38</v>
      </c>
      <c r="B32" s="7" t="s">
        <v>1</v>
      </c>
      <c r="C32" s="8">
        <f>MIN(Table1[[#This Row],[per_each]],64)*Table1[[#This Row],[subjects]]</f>
        <v>2432</v>
      </c>
      <c r="D32" s="13" t="b">
        <v>0</v>
      </c>
      <c r="E32" s="13" t="s">
        <v>6</v>
      </c>
      <c r="F32" s="13">
        <v>20</v>
      </c>
      <c r="G32" s="13">
        <v>6</v>
      </c>
      <c r="H32" s="8">
        <v>0.99617021276595696</v>
      </c>
      <c r="I32" s="55">
        <v>0.08</v>
      </c>
      <c r="J32" s="56" t="s">
        <v>85</v>
      </c>
      <c r="K32" s="56">
        <v>10001</v>
      </c>
      <c r="L32" s="57">
        <v>2.3053798358887399E-3</v>
      </c>
      <c r="M32" s="10" t="s">
        <v>20</v>
      </c>
      <c r="N32" s="10">
        <v>1E-4</v>
      </c>
      <c r="O32" s="10">
        <v>1E-3</v>
      </c>
      <c r="P32" s="38">
        <v>6.0000000000000001E-3</v>
      </c>
      <c r="Q32" s="39" t="s">
        <v>85</v>
      </c>
      <c r="R32" s="40">
        <v>1001</v>
      </c>
      <c r="S32" s="8">
        <v>1.27289514057338E-3</v>
      </c>
      <c r="T32" s="16">
        <v>18</v>
      </c>
      <c r="U32" s="16">
        <v>10</v>
      </c>
      <c r="V32">
        <v>0.99702127659574402</v>
      </c>
      <c r="W32">
        <v>0.99590042220818298</v>
      </c>
      <c r="X32">
        <v>0.99374429201152004</v>
      </c>
      <c r="AB32"/>
      <c r="AF32"/>
      <c r="AG32" s="20"/>
      <c r="AK32" s="20"/>
    </row>
    <row r="33" spans="1:37" x14ac:dyDescent="0.3">
      <c r="A33" s="3">
        <v>38</v>
      </c>
      <c r="B33" s="3" t="s">
        <v>1</v>
      </c>
      <c r="C33" s="4">
        <f>MIN(Table1[[#This Row],[per_each]],64)*Table1[[#This Row],[subjects]]</f>
        <v>2432</v>
      </c>
      <c r="D33" s="12" t="b">
        <v>0</v>
      </c>
      <c r="E33" s="12" t="s">
        <v>6</v>
      </c>
      <c r="F33" s="12">
        <v>20</v>
      </c>
      <c r="G33" s="12">
        <v>6</v>
      </c>
      <c r="H33" s="4">
        <v>0.99617021276595696</v>
      </c>
      <c r="I33" s="22">
        <v>0.08</v>
      </c>
      <c r="J33" s="22" t="s">
        <v>85</v>
      </c>
      <c r="K33" s="22">
        <v>10001</v>
      </c>
      <c r="L33" s="4">
        <v>2.3053798358887399E-3</v>
      </c>
      <c r="M33" s="11" t="s">
        <v>20</v>
      </c>
      <c r="N33" s="11">
        <v>1E-4</v>
      </c>
      <c r="O33" s="11">
        <v>1E-3</v>
      </c>
      <c r="P33" s="11">
        <v>6.0000000000000001E-3</v>
      </c>
      <c r="Q33" s="11" t="s">
        <v>85</v>
      </c>
      <c r="R33" s="11">
        <v>1001</v>
      </c>
      <c r="S33" s="4">
        <v>1.27289514057338E-3</v>
      </c>
      <c r="T33" s="41">
        <v>18</v>
      </c>
      <c r="U33" s="42">
        <v>6</v>
      </c>
      <c r="V33">
        <v>0.99787234042553197</v>
      </c>
      <c r="W33">
        <v>0.99695112729703605</v>
      </c>
      <c r="X33">
        <v>0.99549151746959996</v>
      </c>
      <c r="AB33"/>
      <c r="AF33"/>
      <c r="AG33" s="20"/>
      <c r="AK33" s="20"/>
    </row>
    <row r="34" spans="1:37" x14ac:dyDescent="0.3">
      <c r="A34" s="7">
        <v>38</v>
      </c>
      <c r="B34" s="7" t="s">
        <v>1</v>
      </c>
      <c r="C34" s="8">
        <f>MIN(Table1[[#This Row],[per_each]],64)*Table1[[#This Row],[subjects]]</f>
        <v>2432</v>
      </c>
      <c r="D34" s="13" t="b">
        <v>0</v>
      </c>
      <c r="E34" s="13" t="s">
        <v>6</v>
      </c>
      <c r="F34" s="13">
        <v>20</v>
      </c>
      <c r="G34" s="13">
        <v>6</v>
      </c>
      <c r="H34" s="8">
        <v>0.99617021276595696</v>
      </c>
      <c r="I34" s="22">
        <v>0.08</v>
      </c>
      <c r="J34" s="22" t="s">
        <v>85</v>
      </c>
      <c r="K34" s="22">
        <v>10001</v>
      </c>
      <c r="L34" s="8">
        <v>2.3053798358887399E-3</v>
      </c>
      <c r="M34" s="10" t="s">
        <v>20</v>
      </c>
      <c r="N34" s="10">
        <v>1E-4</v>
      </c>
      <c r="O34" s="10">
        <v>1E-3</v>
      </c>
      <c r="P34" s="10">
        <v>6.0000000000000001E-3</v>
      </c>
      <c r="Q34" s="10" t="s">
        <v>85</v>
      </c>
      <c r="R34" s="10">
        <v>1001</v>
      </c>
      <c r="S34" s="8">
        <v>1.27289514057338E-3</v>
      </c>
      <c r="T34" s="43">
        <v>18</v>
      </c>
      <c r="U34" s="44">
        <v>16</v>
      </c>
      <c r="V34">
        <v>0.998297872340425</v>
      </c>
      <c r="W34">
        <v>0.99756267216232497</v>
      </c>
      <c r="X34">
        <v>0.99640707488171998</v>
      </c>
      <c r="AB34"/>
      <c r="AF34"/>
      <c r="AG34" s="20"/>
      <c r="AK34" s="20"/>
    </row>
    <row r="35" spans="1:37" x14ac:dyDescent="0.3">
      <c r="A35" s="3">
        <v>38</v>
      </c>
      <c r="B35" s="3" t="s">
        <v>1</v>
      </c>
      <c r="C35" s="4">
        <f>MIN(Table1[[#This Row],[per_each]],64)*Table1[[#This Row],[subjects]]</f>
        <v>2432</v>
      </c>
      <c r="D35" s="12" t="b">
        <v>0</v>
      </c>
      <c r="E35" s="12" t="s">
        <v>6</v>
      </c>
      <c r="F35" s="12">
        <v>20</v>
      </c>
      <c r="G35" s="12">
        <v>6</v>
      </c>
      <c r="H35" s="4">
        <v>0.99617021276595696</v>
      </c>
      <c r="I35" s="22">
        <v>0.08</v>
      </c>
      <c r="J35" s="22" t="s">
        <v>85</v>
      </c>
      <c r="K35" s="22">
        <v>10001</v>
      </c>
      <c r="L35" s="4">
        <v>2.3053798358887399E-3</v>
      </c>
      <c r="M35" s="11" t="s">
        <v>20</v>
      </c>
      <c r="N35" s="11">
        <v>1E-4</v>
      </c>
      <c r="O35" s="11">
        <v>1E-3</v>
      </c>
      <c r="P35" s="11">
        <v>6.0000000000000001E-3</v>
      </c>
      <c r="Q35" s="11" t="s">
        <v>85</v>
      </c>
      <c r="R35" s="11">
        <v>1001</v>
      </c>
      <c r="S35" s="4">
        <v>1.27289514057338E-3</v>
      </c>
      <c r="T35" s="45">
        <v>18</v>
      </c>
      <c r="U35" s="46">
        <v>20</v>
      </c>
      <c r="V35">
        <v>0.95914893617021202</v>
      </c>
      <c r="W35">
        <v>0.98979434758557905</v>
      </c>
      <c r="X35">
        <v>0.96212114731615295</v>
      </c>
      <c r="AB35"/>
      <c r="AF35"/>
      <c r="AG35" s="20"/>
      <c r="AK35" s="20"/>
    </row>
    <row r="36" spans="1:37" x14ac:dyDescent="0.3">
      <c r="A36" s="7">
        <v>38</v>
      </c>
      <c r="B36" s="7" t="s">
        <v>1</v>
      </c>
      <c r="C36" s="8">
        <f>MIN(Table1[[#This Row],[per_each]],64)*Table1[[#This Row],[subjects]]</f>
        <v>2432</v>
      </c>
      <c r="D36" s="13" t="b">
        <v>0</v>
      </c>
      <c r="E36" s="13" t="s">
        <v>6</v>
      </c>
      <c r="F36" s="13">
        <v>20</v>
      </c>
      <c r="G36" s="13">
        <v>6</v>
      </c>
      <c r="H36" s="8">
        <v>0.99617021276595696</v>
      </c>
      <c r="I36" s="22">
        <v>0.08</v>
      </c>
      <c r="J36" s="22" t="s">
        <v>85</v>
      </c>
      <c r="K36" s="22">
        <v>10001</v>
      </c>
      <c r="L36" s="8">
        <v>2.3053798358887399E-3</v>
      </c>
      <c r="M36" s="10" t="s">
        <v>20</v>
      </c>
      <c r="N36" s="10">
        <v>1E-4</v>
      </c>
      <c r="O36" s="10">
        <v>1E-3</v>
      </c>
      <c r="P36" s="10">
        <v>6.0000000000000001E-3</v>
      </c>
      <c r="Q36" s="10" t="s">
        <v>85</v>
      </c>
      <c r="R36" s="10">
        <v>1001</v>
      </c>
      <c r="S36" s="8">
        <v>1.27289514057338E-3</v>
      </c>
      <c r="T36" s="43">
        <v>18</v>
      </c>
      <c r="U36" s="44">
        <v>18</v>
      </c>
      <c r="V36">
        <v>0.96042553191489299</v>
      </c>
      <c r="W36">
        <v>0.98981952178474397</v>
      </c>
      <c r="X36">
        <v>0.96194736695197103</v>
      </c>
      <c r="AB36"/>
      <c r="AF36"/>
      <c r="AG36" s="20"/>
      <c r="AK36" s="20"/>
    </row>
    <row r="37" spans="1:37" x14ac:dyDescent="0.3">
      <c r="A37" s="3">
        <v>38</v>
      </c>
      <c r="B37" s="3" t="s">
        <v>1</v>
      </c>
      <c r="C37" s="4">
        <f>MIN(Table1[[#This Row],[per_each]],64)*Table1[[#This Row],[subjects]]</f>
        <v>2432</v>
      </c>
      <c r="D37" s="12" t="b">
        <v>0</v>
      </c>
      <c r="E37" s="12" t="s">
        <v>6</v>
      </c>
      <c r="F37" s="12">
        <v>20</v>
      </c>
      <c r="G37" s="12">
        <v>6</v>
      </c>
      <c r="H37" s="4">
        <v>0.99617021276595696</v>
      </c>
      <c r="I37" s="22">
        <v>0.08</v>
      </c>
      <c r="J37" s="22" t="s">
        <v>85</v>
      </c>
      <c r="K37" s="22">
        <v>10001</v>
      </c>
      <c r="L37" s="4">
        <v>2.3053798358887399E-3</v>
      </c>
      <c r="M37" s="11" t="s">
        <v>20</v>
      </c>
      <c r="N37" s="11">
        <v>1E-4</v>
      </c>
      <c r="O37" s="11">
        <v>1E-3</v>
      </c>
      <c r="P37" s="11">
        <v>6.0000000000000001E-3</v>
      </c>
      <c r="Q37" s="11" t="s">
        <v>85</v>
      </c>
      <c r="R37" s="11">
        <v>1001</v>
      </c>
      <c r="S37" s="4">
        <v>1.27289514057338E-3</v>
      </c>
      <c r="T37" s="45">
        <v>16</v>
      </c>
      <c r="U37" s="46">
        <v>16</v>
      </c>
      <c r="V37">
        <v>0.98765957446808506</v>
      </c>
      <c r="W37">
        <v>0.98955904552621898</v>
      </c>
      <c r="X37">
        <v>0.97714596851658597</v>
      </c>
      <c r="AB37"/>
      <c r="AF37"/>
      <c r="AG37" s="20"/>
      <c r="AK37" s="20"/>
    </row>
    <row r="38" spans="1:37" x14ac:dyDescent="0.3">
      <c r="A38" s="7">
        <v>38</v>
      </c>
      <c r="B38" s="7" t="s">
        <v>1</v>
      </c>
      <c r="C38" s="8">
        <f>MIN(Table1[[#This Row],[per_each]],64)*Table1[[#This Row],[subjects]]</f>
        <v>2432</v>
      </c>
      <c r="D38" s="13" t="b">
        <v>0</v>
      </c>
      <c r="E38" s="13" t="s">
        <v>6</v>
      </c>
      <c r="F38" s="13">
        <v>20</v>
      </c>
      <c r="G38" s="13">
        <v>6</v>
      </c>
      <c r="H38" s="8">
        <v>0.99617021276595696</v>
      </c>
      <c r="I38" s="22">
        <v>0.08</v>
      </c>
      <c r="J38" s="22" t="s">
        <v>85</v>
      </c>
      <c r="K38" s="22">
        <v>10001</v>
      </c>
      <c r="L38" s="8">
        <v>2.3053798358887399E-3</v>
      </c>
      <c r="M38" s="10" t="s">
        <v>20</v>
      </c>
      <c r="N38" s="10">
        <v>1E-4</v>
      </c>
      <c r="O38" s="10">
        <v>1E-3</v>
      </c>
      <c r="P38" s="10">
        <v>6.0000000000000001E-3</v>
      </c>
      <c r="Q38" s="10" t="s">
        <v>85</v>
      </c>
      <c r="R38" s="10">
        <v>1001</v>
      </c>
      <c r="S38" s="8">
        <v>1.27289514057338E-3</v>
      </c>
      <c r="T38" s="43">
        <v>20</v>
      </c>
      <c r="U38" s="44">
        <v>16</v>
      </c>
      <c r="V38">
        <v>0.99872340425531902</v>
      </c>
      <c r="W38">
        <v>0.99817514613986102</v>
      </c>
      <c r="X38">
        <v>0.99732966557213898</v>
      </c>
      <c r="AB38"/>
      <c r="AF38"/>
      <c r="AG38" s="20"/>
      <c r="AK38" s="20"/>
    </row>
    <row r="39" spans="1:37" x14ac:dyDescent="0.3">
      <c r="A39" s="3">
        <v>38</v>
      </c>
      <c r="B39" s="3" t="s">
        <v>1</v>
      </c>
      <c r="C39" s="4">
        <f>MIN(Table1[[#This Row],[per_each]],64)*Table1[[#This Row],[subjects]]</f>
        <v>2432</v>
      </c>
      <c r="D39" s="12" t="b">
        <v>0</v>
      </c>
      <c r="E39" s="12" t="s">
        <v>6</v>
      </c>
      <c r="F39" s="12">
        <v>20</v>
      </c>
      <c r="G39" s="12">
        <v>6</v>
      </c>
      <c r="H39" s="4">
        <v>0.99617021276595696</v>
      </c>
      <c r="I39" s="22">
        <v>0.08</v>
      </c>
      <c r="J39" s="22" t="s">
        <v>85</v>
      </c>
      <c r="K39" s="22">
        <v>10001</v>
      </c>
      <c r="L39" s="4">
        <v>2.3053798358887399E-3</v>
      </c>
      <c r="M39" s="11" t="s">
        <v>20</v>
      </c>
      <c r="N39" s="11">
        <v>1E-4</v>
      </c>
      <c r="O39" s="11">
        <v>1E-3</v>
      </c>
      <c r="P39" s="11">
        <v>6.0000000000000001E-3</v>
      </c>
      <c r="Q39" s="11" t="s">
        <v>85</v>
      </c>
      <c r="R39" s="11">
        <v>1001</v>
      </c>
      <c r="S39" s="4">
        <v>1.27289514057338E-3</v>
      </c>
      <c r="T39" s="45">
        <v>22</v>
      </c>
      <c r="U39" s="46">
        <v>16</v>
      </c>
      <c r="V39">
        <v>0.95617021276595704</v>
      </c>
      <c r="W39">
        <v>0.98694173763647397</v>
      </c>
      <c r="X39">
        <v>0.95676194111851498</v>
      </c>
      <c r="AB39"/>
      <c r="AF39"/>
      <c r="AG39" s="20"/>
      <c r="AK39" s="20"/>
    </row>
    <row r="40" spans="1:37" x14ac:dyDescent="0.3">
      <c r="A40" s="7">
        <v>38</v>
      </c>
      <c r="B40" s="7" t="s">
        <v>1</v>
      </c>
      <c r="C40" s="8">
        <f>MIN(Table1[[#This Row],[per_each]],64)*Table1[[#This Row],[subjects]]</f>
        <v>2432</v>
      </c>
      <c r="D40" s="13" t="b">
        <v>0</v>
      </c>
      <c r="E40" s="13" t="s">
        <v>6</v>
      </c>
      <c r="F40" s="13">
        <v>20</v>
      </c>
      <c r="G40" s="13">
        <v>6</v>
      </c>
      <c r="H40" s="8">
        <v>0.99617021276595696</v>
      </c>
      <c r="I40" s="22">
        <v>0.08</v>
      </c>
      <c r="J40" s="22" t="s">
        <v>85</v>
      </c>
      <c r="K40" s="22">
        <v>10001</v>
      </c>
      <c r="L40" s="8">
        <v>2.3053798358887399E-3</v>
      </c>
      <c r="M40" s="10" t="s">
        <v>20</v>
      </c>
      <c r="N40" s="10">
        <v>1E-4</v>
      </c>
      <c r="O40" s="10">
        <v>1E-3</v>
      </c>
      <c r="P40" s="10">
        <v>6.0000000000000001E-3</v>
      </c>
      <c r="Q40" s="10" t="s">
        <v>85</v>
      </c>
      <c r="R40" s="10">
        <v>1001</v>
      </c>
      <c r="S40" s="8">
        <v>1.27289514057338E-3</v>
      </c>
      <c r="T40" s="43">
        <v>19</v>
      </c>
      <c r="U40" s="44">
        <v>16</v>
      </c>
      <c r="V40">
        <v>0.95914893617021202</v>
      </c>
      <c r="W40">
        <v>0.99003194636358205</v>
      </c>
      <c r="X40">
        <v>0.96274945878929896</v>
      </c>
      <c r="AB40"/>
      <c r="AF40"/>
      <c r="AG40" s="20"/>
      <c r="AK40" s="20"/>
    </row>
    <row r="41" spans="1:37" x14ac:dyDescent="0.3">
      <c r="A41" s="3">
        <v>38</v>
      </c>
      <c r="B41" s="3" t="s">
        <v>1</v>
      </c>
      <c r="C41" s="4">
        <f>MIN(Table1[[#This Row],[per_each]],64)*Table1[[#This Row],[subjects]]</f>
        <v>2432</v>
      </c>
      <c r="D41" s="12" t="b">
        <v>0</v>
      </c>
      <c r="E41" s="12" t="s">
        <v>6</v>
      </c>
      <c r="F41" s="12">
        <v>20</v>
      </c>
      <c r="G41" s="12">
        <v>6</v>
      </c>
      <c r="H41" s="4">
        <v>0.99617021276595696</v>
      </c>
      <c r="I41" s="22">
        <v>0.08</v>
      </c>
      <c r="J41" s="22" t="s">
        <v>85</v>
      </c>
      <c r="K41" s="22">
        <v>10001</v>
      </c>
      <c r="L41" s="4">
        <v>2.3053798358887399E-3</v>
      </c>
      <c r="M41" s="11" t="s">
        <v>20</v>
      </c>
      <c r="N41" s="11">
        <v>1E-4</v>
      </c>
      <c r="O41" s="11">
        <v>1E-3</v>
      </c>
      <c r="P41" s="11">
        <v>6.0000000000000001E-3</v>
      </c>
      <c r="Q41" s="11" t="s">
        <v>85</v>
      </c>
      <c r="R41" s="11">
        <v>1001</v>
      </c>
      <c r="S41" s="4">
        <v>1.27289514057338E-3</v>
      </c>
      <c r="T41" s="45">
        <v>20</v>
      </c>
      <c r="U41" s="46">
        <v>18</v>
      </c>
      <c r="V41">
        <v>0.95106382978723403</v>
      </c>
      <c r="W41">
        <v>0.98312447933110003</v>
      </c>
      <c r="X41">
        <v>0.94862178622500504</v>
      </c>
      <c r="AB41"/>
      <c r="AF41"/>
      <c r="AG41" s="20"/>
      <c r="AK41" s="20"/>
    </row>
    <row r="42" spans="1:37" x14ac:dyDescent="0.3">
      <c r="A42" s="7">
        <v>38</v>
      </c>
      <c r="B42" s="7" t="s">
        <v>1</v>
      </c>
      <c r="C42" s="8">
        <f>MIN(Table1[[#This Row],[per_each]],64)*Table1[[#This Row],[subjects]]</f>
        <v>2432</v>
      </c>
      <c r="D42" s="13" t="b">
        <v>0</v>
      </c>
      <c r="E42" s="13" t="s">
        <v>6</v>
      </c>
      <c r="F42" s="13">
        <v>20</v>
      </c>
      <c r="G42" s="13">
        <v>6</v>
      </c>
      <c r="H42" s="8">
        <v>0.99617021276595696</v>
      </c>
      <c r="I42" s="22">
        <v>0.08</v>
      </c>
      <c r="J42" s="22" t="s">
        <v>85</v>
      </c>
      <c r="K42" s="22">
        <v>10001</v>
      </c>
      <c r="L42" s="8">
        <v>2.3053798358887399E-3</v>
      </c>
      <c r="M42" s="10" t="s">
        <v>20</v>
      </c>
      <c r="N42" s="10">
        <v>1E-4</v>
      </c>
      <c r="O42" s="10">
        <v>1E-3</v>
      </c>
      <c r="P42" s="10">
        <v>6.0000000000000001E-3</v>
      </c>
      <c r="Q42" s="10" t="s">
        <v>85</v>
      </c>
      <c r="R42" s="10">
        <v>1001</v>
      </c>
      <c r="S42" s="8">
        <v>1.27289514057338E-3</v>
      </c>
      <c r="T42" s="43">
        <v>20</v>
      </c>
      <c r="U42" s="44">
        <v>14</v>
      </c>
      <c r="V42">
        <v>0.95787234042553104</v>
      </c>
      <c r="W42">
        <v>0.98912713896856097</v>
      </c>
      <c r="X42">
        <v>0.96093547641863397</v>
      </c>
      <c r="AB42"/>
      <c r="AF42"/>
      <c r="AG42" s="20"/>
      <c r="AK42" s="20"/>
    </row>
    <row r="43" spans="1:37" ht="15" thickBot="1" x14ac:dyDescent="0.35">
      <c r="A43" s="3">
        <v>38</v>
      </c>
      <c r="B43" s="3" t="s">
        <v>1</v>
      </c>
      <c r="C43" s="4">
        <f>MIN(Table1[[#This Row],[per_each]],64)*Table1[[#This Row],[subjects]]</f>
        <v>2432</v>
      </c>
      <c r="D43" s="12" t="b">
        <v>0</v>
      </c>
      <c r="E43" s="12" t="s">
        <v>6</v>
      </c>
      <c r="F43" s="12">
        <v>20</v>
      </c>
      <c r="G43" s="12">
        <v>6</v>
      </c>
      <c r="H43" s="4">
        <v>0.99617021276595696</v>
      </c>
      <c r="I43" s="22">
        <v>0.08</v>
      </c>
      <c r="J43" s="22" t="s">
        <v>85</v>
      </c>
      <c r="K43" s="22">
        <v>10001</v>
      </c>
      <c r="L43" s="4">
        <v>2.3053798358887399E-3</v>
      </c>
      <c r="M43" s="11" t="s">
        <v>20</v>
      </c>
      <c r="N43" s="11">
        <v>1E-4</v>
      </c>
      <c r="O43" s="11">
        <v>1E-3</v>
      </c>
      <c r="P43" s="11">
        <v>6.0000000000000001E-3</v>
      </c>
      <c r="Q43" s="11" t="s">
        <v>85</v>
      </c>
      <c r="R43" s="11">
        <v>1001</v>
      </c>
      <c r="S43" s="4">
        <v>1.27289514057338E-3</v>
      </c>
      <c r="T43" s="58">
        <v>19.5</v>
      </c>
      <c r="U43" s="59">
        <v>16</v>
      </c>
      <c r="V43">
        <v>0.99872340425531902</v>
      </c>
      <c r="W43">
        <v>0.99817514613986102</v>
      </c>
      <c r="X43">
        <v>0.99732966557213898</v>
      </c>
      <c r="AB43"/>
      <c r="AF43"/>
      <c r="AG43" s="20"/>
      <c r="AK43" s="20"/>
    </row>
    <row r="44" spans="1:37" x14ac:dyDescent="0.3">
      <c r="AB44"/>
      <c r="AF44"/>
      <c r="AG44" s="20"/>
      <c r="AK44" s="20"/>
    </row>
    <row r="45" spans="1:37" x14ac:dyDescent="0.3">
      <c r="AB45"/>
      <c r="AF45"/>
      <c r="AG45" s="20"/>
      <c r="AK45" s="20"/>
    </row>
    <row r="46" spans="1:37" x14ac:dyDescent="0.3">
      <c r="AB46"/>
      <c r="AF46"/>
      <c r="AG46" s="20"/>
      <c r="AK46" s="20"/>
    </row>
    <row r="47" spans="1:37" x14ac:dyDescent="0.3">
      <c r="AB47"/>
      <c r="AF47"/>
      <c r="AG47" s="20"/>
      <c r="AK47" s="20"/>
    </row>
    <row r="48" spans="1:37" x14ac:dyDescent="0.3">
      <c r="AB48"/>
      <c r="AF48"/>
      <c r="AG48" s="20"/>
      <c r="AK48" s="20"/>
    </row>
    <row r="49" spans="28:37" x14ac:dyDescent="0.3">
      <c r="AB49"/>
      <c r="AF49"/>
      <c r="AG49" s="20"/>
      <c r="AK49" s="20"/>
    </row>
    <row r="50" spans="28:37" x14ac:dyDescent="0.3">
      <c r="AB50"/>
      <c r="AF50"/>
      <c r="AG50" s="20"/>
      <c r="AK50" s="20"/>
    </row>
  </sheetData>
  <mergeCells count="16">
    <mergeCell ref="V1:X1"/>
    <mergeCell ref="A1:C1"/>
    <mergeCell ref="D1:H1"/>
    <mergeCell ref="T1:U1"/>
    <mergeCell ref="M1:S1"/>
    <mergeCell ref="I1:L1"/>
    <mergeCell ref="BK11:BM14"/>
    <mergeCell ref="AC1:AH1"/>
    <mergeCell ref="AI1:AM1"/>
    <mergeCell ref="AP1:AQ2"/>
    <mergeCell ref="AY1:BB1"/>
    <mergeCell ref="BC1:BF1"/>
    <mergeCell ref="BG1:BJ1"/>
    <mergeCell ref="AN1:AO1"/>
    <mergeCell ref="AS1:AT1"/>
    <mergeCell ref="AU1:AX1"/>
  </mergeCells>
  <conditionalFormatting sqref="V3:V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AJ14 AJ16:AJ1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2018-09-26T13:34:55Z</dcterms:created>
  <dcterms:modified xsi:type="dcterms:W3CDTF">2018-10-26T20:22:16Z</dcterms:modified>
</cp:coreProperties>
</file>