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ve\Desktop\Fiananical models\"/>
    </mc:Choice>
  </mc:AlternateContent>
  <xr:revisionPtr revIDLastSave="0" documentId="13_ncr:1_{20FA26B8-6393-4620-98BD-C9261C3E494F}" xr6:coauthVersionLast="47" xr6:coauthVersionMax="47" xr10:uidLastSave="{00000000-0000-0000-0000-000000000000}"/>
  <bookViews>
    <workbookView xWindow="-120" yWindow="-120" windowWidth="33840" windowHeight="20520" activeTab="5" xr2:uid="{6D6A9F13-35A3-4F0F-BF1E-C31FF425706C}"/>
  </bookViews>
  <sheets>
    <sheet name="Main" sheetId="1" r:id="rId1"/>
    <sheet name="TODO" sheetId="5" r:id="rId2"/>
    <sheet name="Reserves" sheetId="4" r:id="rId3"/>
    <sheet name="MODEL" sheetId="2" r:id="rId4"/>
    <sheet name="FCF Calc." sheetId="3" r:id="rId5"/>
    <sheet name="FCF Matrix" sheetId="6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6" l="1"/>
  <c r="H17" i="6"/>
  <c r="H18" i="6"/>
  <c r="H16" i="6"/>
  <c r="G16" i="6"/>
  <c r="G18" i="6"/>
  <c r="G17" i="6"/>
  <c r="O52" i="3"/>
  <c r="P30" i="3"/>
  <c r="P33" i="3"/>
  <c r="S47" i="3"/>
  <c r="R47" i="3"/>
  <c r="R46" i="3"/>
  <c r="R45" i="3"/>
  <c r="R44" i="3"/>
  <c r="I27" i="3"/>
  <c r="P36" i="3"/>
  <c r="P32" i="3"/>
  <c r="Q11" i="3"/>
  <c r="Q12" i="3" s="1"/>
  <c r="J27" i="1"/>
  <c r="J26" i="1"/>
  <c r="J25" i="1"/>
  <c r="J21" i="1"/>
  <c r="J11" i="4"/>
  <c r="L11" i="4" s="1"/>
  <c r="F13" i="4"/>
  <c r="I17" i="4" s="1"/>
  <c r="C26" i="3"/>
  <c r="I26" i="3"/>
  <c r="K26" i="3"/>
  <c r="I30" i="3"/>
  <c r="J11" i="3"/>
  <c r="J12" i="3" s="1"/>
  <c r="K12" i="3" s="1"/>
  <c r="C21" i="1"/>
  <c r="C30" i="3"/>
  <c r="D11" i="3"/>
  <c r="E11" i="3" s="1"/>
  <c r="F14" i="1"/>
  <c r="E14" i="1"/>
  <c r="F30" i="2"/>
  <c r="G28" i="2"/>
  <c r="F28" i="2"/>
  <c r="D23" i="2"/>
  <c r="C23" i="2"/>
  <c r="C20" i="2"/>
  <c r="D20" i="2"/>
  <c r="D21" i="2"/>
  <c r="C21" i="2"/>
  <c r="D14" i="2"/>
  <c r="C14" i="2"/>
  <c r="C18" i="1"/>
  <c r="R11" i="3" l="1"/>
  <c r="Q13" i="3"/>
  <c r="R12" i="3"/>
  <c r="K11" i="3"/>
  <c r="J13" i="4"/>
  <c r="L13" i="4" s="1"/>
  <c r="J13" i="3"/>
  <c r="K13" i="3" s="1"/>
  <c r="D12" i="3"/>
  <c r="Q14" i="3" l="1"/>
  <c r="R13" i="3"/>
  <c r="J14" i="3"/>
  <c r="K14" i="3" s="1"/>
  <c r="D13" i="3"/>
  <c r="E12" i="3"/>
  <c r="R14" i="3" l="1"/>
  <c r="Q15" i="3"/>
  <c r="J15" i="3"/>
  <c r="K15" i="3" s="1"/>
  <c r="D14" i="3"/>
  <c r="E13" i="3"/>
  <c r="Q16" i="3" l="1"/>
  <c r="R15" i="3"/>
  <c r="J16" i="3"/>
  <c r="K16" i="3" s="1"/>
  <c r="E14" i="3"/>
  <c r="D15" i="3"/>
  <c r="Q17" i="3" l="1"/>
  <c r="R16" i="3"/>
  <c r="J17" i="3"/>
  <c r="K17" i="3" s="1"/>
  <c r="E15" i="3"/>
  <c r="D16" i="3"/>
  <c r="Q18" i="3" l="1"/>
  <c r="R17" i="3"/>
  <c r="J18" i="3"/>
  <c r="K18" i="3" s="1"/>
  <c r="E16" i="3"/>
  <c r="D17" i="3"/>
  <c r="R18" i="3" l="1"/>
  <c r="Q19" i="3"/>
  <c r="J19" i="3"/>
  <c r="K19" i="3" s="1"/>
  <c r="E17" i="3"/>
  <c r="D18" i="3"/>
  <c r="Q20" i="3" l="1"/>
  <c r="R19" i="3"/>
  <c r="J20" i="3"/>
  <c r="K20" i="3" s="1"/>
  <c r="I23" i="3" s="1"/>
  <c r="E18" i="3"/>
  <c r="D19" i="3"/>
  <c r="R20" i="3" l="1"/>
  <c r="Q21" i="3"/>
  <c r="I24" i="3"/>
  <c r="K21" i="3"/>
  <c r="E19" i="3"/>
  <c r="D20" i="3"/>
  <c r="E20" i="3" s="1"/>
  <c r="C23" i="3" s="1"/>
  <c r="R21" i="3" l="1"/>
  <c r="Q22" i="3"/>
  <c r="C24" i="3"/>
  <c r="I31" i="3"/>
  <c r="I33" i="3" s="1"/>
  <c r="I34" i="3" s="1"/>
  <c r="I35" i="3" s="1"/>
  <c r="E21" i="3"/>
  <c r="R22" i="3" l="1"/>
  <c r="Q23" i="3"/>
  <c r="C27" i="3"/>
  <c r="C31" i="3" s="1"/>
  <c r="C32" i="3" s="1"/>
  <c r="I32" i="3"/>
  <c r="R23" i="3" l="1"/>
  <c r="Q24" i="3"/>
  <c r="C33" i="3"/>
  <c r="C34" i="3" s="1"/>
  <c r="C35" i="3" s="1"/>
  <c r="R24" i="3" l="1"/>
  <c r="Q25" i="3"/>
  <c r="R25" i="3" s="1"/>
  <c r="P29" i="3" l="1"/>
  <c r="R27" i="3"/>
  <c r="P37" i="3" s="1"/>
  <c r="P38" i="3" l="1"/>
  <c r="P39" i="3"/>
  <c r="P40" i="3" s="1"/>
  <c r="P41" i="3" s="1"/>
</calcChain>
</file>

<file path=xl/sharedStrings.xml><?xml version="1.0" encoding="utf-8"?>
<sst xmlns="http://schemas.openxmlformats.org/spreadsheetml/2006/main" count="148" uniqueCount="93">
  <si>
    <t>SPARTAN DELTA CORP</t>
  </si>
  <si>
    <r>
      <t xml:space="preserve">Spartan Delta Corp. operates as an exploration company. The Company </t>
    </r>
    <r>
      <rPr>
        <b/>
        <sz val="11"/>
        <color theme="1"/>
        <rFont val="Calibri"/>
        <family val="2"/>
        <scheme val="minor"/>
      </rPr>
      <t>explores oil and gas fields</t>
    </r>
    <r>
      <rPr>
        <sz val="11"/>
        <color theme="1"/>
        <rFont val="Calibri"/>
        <family val="2"/>
        <scheme val="minor"/>
      </rPr>
      <t>. Spartan Delta serves customers in Canada.</t>
    </r>
  </si>
  <si>
    <t>Crude oil</t>
  </si>
  <si>
    <t>Condensate</t>
  </si>
  <si>
    <t>NGL's</t>
  </si>
  <si>
    <t>Natural Gas</t>
  </si>
  <si>
    <t>138b</t>
  </si>
  <si>
    <t>26b</t>
  </si>
  <si>
    <t>52.7b</t>
  </si>
  <si>
    <t>139b</t>
  </si>
  <si>
    <t>2022 dec</t>
  </si>
  <si>
    <t xml:space="preserve">Price </t>
  </si>
  <si>
    <t>#shares</t>
  </si>
  <si>
    <t>Mcap</t>
  </si>
  <si>
    <t>Debt</t>
  </si>
  <si>
    <t>Cash</t>
  </si>
  <si>
    <t>EV</t>
  </si>
  <si>
    <t>AR</t>
  </si>
  <si>
    <t>AR-40M</t>
  </si>
  <si>
    <t xml:space="preserve">NetIncome </t>
  </si>
  <si>
    <t>Operating CF</t>
  </si>
  <si>
    <t xml:space="preserve">Exploration </t>
  </si>
  <si>
    <t>PPE</t>
  </si>
  <si>
    <t xml:space="preserve">Acquisitions </t>
  </si>
  <si>
    <t>share based comop</t>
  </si>
  <si>
    <t>Tax</t>
  </si>
  <si>
    <t>FCF</t>
  </si>
  <si>
    <t>YE dec 31 2022</t>
  </si>
  <si>
    <t>YE dec 31 2021</t>
  </si>
  <si>
    <t>DDI (dep.)</t>
  </si>
  <si>
    <t xml:space="preserve">Net before </t>
  </si>
  <si>
    <t>FCF - DDI(dep.)</t>
  </si>
  <si>
    <t>FCF - PPE</t>
  </si>
  <si>
    <t>FCF AVG</t>
  </si>
  <si>
    <t>g</t>
  </si>
  <si>
    <t>d</t>
  </si>
  <si>
    <t xml:space="preserve">Terminal value </t>
  </si>
  <si>
    <t>NPV</t>
  </si>
  <si>
    <t>TEV</t>
  </si>
  <si>
    <t>2.5bil as total cap in MDnA report YE 2022</t>
  </si>
  <si>
    <t>Future Free cash Flow</t>
  </si>
  <si>
    <t>WACC</t>
  </si>
  <si>
    <t xml:space="preserve">year </t>
  </si>
  <si>
    <t>rate</t>
  </si>
  <si>
    <t xml:space="preserve">future value </t>
  </si>
  <si>
    <t xml:space="preserve">present value </t>
  </si>
  <si>
    <t xml:space="preserve">Net preset value of future cash flow 
</t>
  </si>
  <si>
    <t xml:space="preserve">Terminal Value </t>
  </si>
  <si>
    <t>&lt; dont forget to change rate</t>
  </si>
  <si>
    <t xml:space="preserve">Net Present Value of Terminal Value </t>
  </si>
  <si>
    <t>Excess Cash</t>
  </si>
  <si>
    <t>Total Value</t>
  </si>
  <si>
    <t>Market Capitilization</t>
  </si>
  <si>
    <t>Current Market Price</t>
  </si>
  <si>
    <t xml:space="preserve">No. of shares Outstanding </t>
  </si>
  <si>
    <t xml:space="preserve">Intrinsic Value </t>
  </si>
  <si>
    <t xml:space="preserve">Trading at % of IV </t>
  </si>
  <si>
    <t xml:space="preserve"> </t>
  </si>
  <si>
    <t>Intrinsic Value after 0.5</t>
  </si>
  <si>
    <t>Trading at % of IV after 0.5</t>
  </si>
  <si>
    <t>Discount:</t>
  </si>
  <si>
    <t>TODO add lease</t>
  </si>
  <si>
    <t>Summary of Reserve volumes (Millions)</t>
  </si>
  <si>
    <t>TP @ 10% dis</t>
  </si>
  <si>
    <t xml:space="preserve">in Millions </t>
  </si>
  <si>
    <t>T probable @ 10%</t>
  </si>
  <si>
    <t>SUM</t>
  </si>
  <si>
    <t>FDC @ 10%</t>
  </si>
  <si>
    <t>NET</t>
  </si>
  <si>
    <t xml:space="preserve">Debt </t>
  </si>
  <si>
    <t>Net - Debt</t>
  </si>
  <si>
    <t>Sum TPP/ EV</t>
  </si>
  <si>
    <t xml:space="preserve">Nice </t>
  </si>
  <si>
    <t xml:space="preserve">refer </t>
  </si>
  <si>
    <t>https://static1.squarespace.com/static/5ebeb3beb8891c6346025774/t/640119e69a97b1508549be4b/1677793767260/2023-03-02+SDE+PR+2022+YE+Results+%26+Reserves+-+FINAL.pdf</t>
  </si>
  <si>
    <t>Ar x 0.8</t>
  </si>
  <si>
    <t xml:space="preserve">Lease </t>
  </si>
  <si>
    <t>D Oblig.</t>
  </si>
  <si>
    <t>EV1</t>
  </si>
  <si>
    <t>EV2</t>
  </si>
  <si>
    <t>Rounded TEV</t>
  </si>
  <si>
    <t>Million</t>
  </si>
  <si>
    <t>less</t>
  </si>
  <si>
    <t>GAS Est.</t>
  </si>
  <si>
    <t>Terminal 1</t>
  </si>
  <si>
    <t>wacc</t>
  </si>
  <si>
    <t>terminal 2</t>
  </si>
  <si>
    <t>terminal 3</t>
  </si>
  <si>
    <t>terminal 4</t>
  </si>
  <si>
    <t>Growth</t>
  </si>
  <si>
    <t>NPV (TERMINAL)</t>
  </si>
  <si>
    <t>NPV/EV</t>
  </si>
  <si>
    <t>FCF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</si>
</sst>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.00"/>
    <numFmt numFmtId="165" formatCode="d\-mmm\-yyyy"/>
    <numFmt numFmtId="166" formatCode="dd\-mmm\-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1"/>
      <name val="Arial"/>
    </font>
    <font>
      <sz val="10"/>
      <color theme="0"/>
      <name val="Arial"/>
    </font>
    <font>
      <b/>
      <sz val="10"/>
      <color theme="1"/>
      <name val="Arial"/>
    </font>
    <font>
      <sz val="10"/>
      <color theme="1"/>
      <name val="Calibri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rgb="FF0563C1"/>
        <bgColor rgb="FF0563C1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0563C1"/>
      </patternFill>
    </fill>
    <fill>
      <patternFill patternType="solid">
        <fgColor theme="4"/>
        <bgColor rgb="FFFFF2CC"/>
      </patternFill>
    </fill>
    <fill>
      <patternFill patternType="solid">
        <fgColor theme="9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44" fontId="0" fillId="0" borderId="0" xfId="0" applyNumberFormat="1"/>
    <xf numFmtId="44" fontId="2" fillId="0" borderId="0" xfId="0" applyNumberFormat="1" applyFont="1"/>
    <xf numFmtId="0" fontId="2" fillId="0" borderId="0" xfId="0" applyFont="1"/>
    <xf numFmtId="10" fontId="0" fillId="0" borderId="0" xfId="0" applyNumberFormat="1"/>
    <xf numFmtId="8" fontId="0" fillId="0" borderId="0" xfId="0" applyNumberFormat="1"/>
    <xf numFmtId="0" fontId="0" fillId="2" borderId="0" xfId="0" applyFill="1"/>
    <xf numFmtId="0" fontId="3" fillId="3" borderId="1" xfId="0" applyFont="1" applyFill="1" applyBorder="1"/>
    <xf numFmtId="0" fontId="3" fillId="3" borderId="1" xfId="0" applyFont="1" applyFill="1" applyBorder="1" applyAlignment="1">
      <alignment horizontal="right"/>
    </xf>
    <xf numFmtId="0" fontId="3" fillId="0" borderId="0" xfId="0" applyFont="1"/>
    <xf numFmtId="9" fontId="3" fillId="3" borderId="1" xfId="0" applyNumberFormat="1" applyFont="1" applyFill="1" applyBorder="1" applyAlignment="1">
      <alignment horizontal="right"/>
    </xf>
    <xf numFmtId="0" fontId="4" fillId="4" borderId="0" xfId="0" applyFont="1" applyFill="1"/>
    <xf numFmtId="0" fontId="3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4" fontId="3" fillId="0" borderId="0" xfId="0" applyNumberFormat="1" applyFont="1"/>
    <xf numFmtId="164" fontId="3" fillId="0" borderId="0" xfId="0" applyNumberFormat="1" applyFont="1"/>
    <xf numFmtId="0" fontId="3" fillId="0" borderId="1" xfId="0" applyFont="1" applyBorder="1"/>
    <xf numFmtId="164" fontId="3" fillId="0" borderId="1" xfId="0" applyNumberFormat="1" applyFont="1" applyBorder="1" applyAlignment="1">
      <alignment horizontal="right"/>
    </xf>
    <xf numFmtId="164" fontId="3" fillId="5" borderId="0" xfId="0" applyNumberFormat="1" applyFont="1" applyFill="1"/>
    <xf numFmtId="4" fontId="3" fillId="5" borderId="0" xfId="0" applyNumberFormat="1" applyFont="1" applyFill="1"/>
    <xf numFmtId="165" fontId="3" fillId="0" borderId="0" xfId="0" applyNumberFormat="1" applyFont="1"/>
    <xf numFmtId="0" fontId="3" fillId="6" borderId="1" xfId="0" applyFont="1" applyFill="1" applyBorder="1"/>
    <xf numFmtId="4" fontId="3" fillId="0" borderId="1" xfId="0" applyNumberFormat="1" applyFont="1" applyBorder="1" applyAlignment="1">
      <alignment horizontal="right"/>
    </xf>
    <xf numFmtId="164" fontId="5" fillId="3" borderId="1" xfId="0" applyNumberFormat="1" applyFont="1" applyFill="1" applyBorder="1" applyAlignment="1">
      <alignment horizontal="right"/>
    </xf>
    <xf numFmtId="164" fontId="3" fillId="3" borderId="1" xfId="0" applyNumberFormat="1" applyFont="1" applyFill="1" applyBorder="1" applyAlignment="1">
      <alignment horizontal="right"/>
    </xf>
    <xf numFmtId="0" fontId="3" fillId="7" borderId="1" xfId="0" applyFont="1" applyFill="1" applyBorder="1"/>
    <xf numFmtId="164" fontId="3" fillId="7" borderId="1" xfId="0" applyNumberFormat="1" applyFont="1" applyFill="1" applyBorder="1" applyAlignment="1">
      <alignment horizontal="right"/>
    </xf>
    <xf numFmtId="166" fontId="3" fillId="0" borderId="0" xfId="0" applyNumberFormat="1" applyFont="1"/>
    <xf numFmtId="0" fontId="6" fillId="0" borderId="0" xfId="0" applyFont="1"/>
    <xf numFmtId="10" fontId="6" fillId="0" borderId="0" xfId="0" applyNumberFormat="1" applyFont="1"/>
    <xf numFmtId="0" fontId="3" fillId="8" borderId="1" xfId="0" applyFont="1" applyFill="1" applyBorder="1"/>
    <xf numFmtId="164" fontId="3" fillId="8" borderId="1" xfId="0" applyNumberFormat="1" applyFont="1" applyFill="1" applyBorder="1" applyAlignment="1">
      <alignment horizontal="right"/>
    </xf>
    <xf numFmtId="10" fontId="3" fillId="8" borderId="1" xfId="0" applyNumberFormat="1" applyFont="1" applyFill="1" applyBorder="1"/>
    <xf numFmtId="166" fontId="6" fillId="0" borderId="0" xfId="0" applyNumberFormat="1" applyFont="1"/>
    <xf numFmtId="4" fontId="6" fillId="0" borderId="0" xfId="0" applyNumberFormat="1" applyFont="1"/>
    <xf numFmtId="0" fontId="3" fillId="0" borderId="3" xfId="0" applyFont="1" applyBorder="1" applyAlignment="1">
      <alignment horizontal="right"/>
    </xf>
    <xf numFmtId="0" fontId="5" fillId="0" borderId="3" xfId="0" applyFont="1" applyBorder="1" applyAlignment="1">
      <alignment horizontal="center"/>
    </xf>
    <xf numFmtId="4" fontId="3" fillId="0" borderId="2" xfId="0" applyNumberFormat="1" applyFont="1" applyBorder="1"/>
    <xf numFmtId="0" fontId="3" fillId="0" borderId="2" xfId="0" applyFont="1" applyBorder="1"/>
    <xf numFmtId="0" fontId="0" fillId="0" borderId="2" xfId="0" applyBorder="1"/>
    <xf numFmtId="164" fontId="3" fillId="0" borderId="2" xfId="0" applyNumberFormat="1" applyFont="1" applyBorder="1" applyAlignment="1">
      <alignment horizontal="right"/>
    </xf>
    <xf numFmtId="44" fontId="3" fillId="6" borderId="1" xfId="0" applyNumberFormat="1" applyFont="1" applyFill="1" applyBorder="1" applyAlignment="1">
      <alignment horizontal="right"/>
    </xf>
    <xf numFmtId="42" fontId="3" fillId="3" borderId="1" xfId="0" applyNumberFormat="1" applyFont="1" applyFill="1" applyBorder="1"/>
    <xf numFmtId="0" fontId="0" fillId="9" borderId="0" xfId="0" applyFill="1"/>
    <xf numFmtId="0" fontId="3" fillId="9" borderId="0" xfId="0" applyFont="1" applyFill="1"/>
    <xf numFmtId="4" fontId="3" fillId="9" borderId="0" xfId="0" applyNumberFormat="1" applyFont="1" applyFill="1"/>
    <xf numFmtId="4" fontId="6" fillId="9" borderId="0" xfId="0" applyNumberFormat="1" applyFont="1" applyFill="1"/>
    <xf numFmtId="0" fontId="4" fillId="10" borderId="0" xfId="0" applyFont="1" applyFill="1"/>
    <xf numFmtId="0" fontId="3" fillId="9" borderId="0" xfId="0" applyFont="1" applyFill="1" applyAlignment="1">
      <alignment horizontal="right"/>
    </xf>
    <xf numFmtId="164" fontId="3" fillId="9" borderId="0" xfId="0" applyNumberFormat="1" applyFont="1" applyFill="1" applyAlignment="1">
      <alignment horizontal="right"/>
    </xf>
    <xf numFmtId="4" fontId="3" fillId="11" borderId="0" xfId="0" applyNumberFormat="1" applyFont="1" applyFill="1"/>
    <xf numFmtId="10" fontId="0" fillId="9" borderId="0" xfId="0" applyNumberFormat="1" applyFill="1"/>
    <xf numFmtId="8" fontId="0" fillId="9" borderId="0" xfId="0" applyNumberFormat="1" applyFill="1"/>
    <xf numFmtId="44" fontId="3" fillId="0" borderId="0" xfId="0" applyNumberFormat="1" applyFont="1"/>
    <xf numFmtId="0" fontId="0" fillId="0" borderId="4" xfId="0" applyBorder="1"/>
    <xf numFmtId="0" fontId="7" fillId="9" borderId="2" xfId="0" applyFont="1" applyFill="1" applyBorder="1"/>
    <xf numFmtId="44" fontId="7" fillId="9" borderId="2" xfId="0" applyNumberFormat="1" applyFont="1" applyFill="1" applyBorder="1"/>
    <xf numFmtId="0" fontId="0" fillId="0" borderId="0" xfId="0" applyAlignment="1">
      <alignment horizontal="right"/>
    </xf>
    <xf numFmtId="0" fontId="0" fillId="12" borderId="0" xfId="0" applyFill="1"/>
    <xf numFmtId="6" fontId="0" fillId="0" borderId="0" xfId="0" applyNumberFormat="1"/>
    <xf numFmtId="0" fontId="0" fillId="13" borderId="0" xfId="0" applyFill="1"/>
    <xf numFmtId="9" fontId="0" fillId="0" borderId="0" xfId="0" applyNumberFormat="1"/>
    <xf numFmtId="0" fontId="3" fillId="8" borderId="0" xfId="0" applyFont="1" applyFill="1" applyBorder="1"/>
    <xf numFmtId="10" fontId="0" fillId="0" borderId="0" xfId="0" applyNumberFormat="1" applyAlignment="1">
      <alignment horizontal="right"/>
    </xf>
    <xf numFmtId="16" fontId="0" fillId="0" borderId="0" xfId="0" applyNumberFormat="1"/>
    <xf numFmtId="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/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219EE-0CCB-439D-BA30-43744C8C3601}">
  <dimension ref="B4:K27"/>
  <sheetViews>
    <sheetView topLeftCell="A7" zoomScale="205" zoomScaleNormal="205" workbookViewId="0">
      <selection activeCell="G30" sqref="G30"/>
    </sheetView>
  </sheetViews>
  <sheetFormatPr defaultRowHeight="15" x14ac:dyDescent="0.25"/>
  <cols>
    <col min="3" max="3" width="18" bestFit="1" customWidth="1"/>
    <col min="6" max="6" width="18" bestFit="1" customWidth="1"/>
    <col min="9" max="9" width="12.7109375" bestFit="1" customWidth="1"/>
    <col min="10" max="10" width="18" bestFit="1" customWidth="1"/>
  </cols>
  <sheetData>
    <row r="4" spans="2:10" x14ac:dyDescent="0.25">
      <c r="B4" t="s">
        <v>0</v>
      </c>
    </row>
    <row r="7" spans="2:10" x14ac:dyDescent="0.25">
      <c r="B7" t="s">
        <v>1</v>
      </c>
    </row>
    <row r="9" spans="2:10" x14ac:dyDescent="0.25">
      <c r="D9" t="s">
        <v>10</v>
      </c>
      <c r="E9" t="s">
        <v>27</v>
      </c>
      <c r="I9" s="59"/>
    </row>
    <row r="10" spans="2:10" x14ac:dyDescent="0.25">
      <c r="B10" t="s">
        <v>2</v>
      </c>
      <c r="D10" t="s">
        <v>6</v>
      </c>
      <c r="E10">
        <v>568</v>
      </c>
      <c r="H10" t="s">
        <v>83</v>
      </c>
      <c r="I10">
        <v>2.5</v>
      </c>
    </row>
    <row r="11" spans="2:10" x14ac:dyDescent="0.25">
      <c r="B11" t="s">
        <v>3</v>
      </c>
      <c r="D11" t="s">
        <v>7</v>
      </c>
      <c r="E11">
        <v>101</v>
      </c>
    </row>
    <row r="12" spans="2:10" x14ac:dyDescent="0.25">
      <c r="B12" t="s">
        <v>4</v>
      </c>
      <c r="D12" t="s">
        <v>8</v>
      </c>
      <c r="E12">
        <v>232</v>
      </c>
      <c r="G12" s="6"/>
      <c r="H12" s="6"/>
      <c r="I12" s="6"/>
      <c r="J12" s="6"/>
    </row>
    <row r="13" spans="2:10" x14ac:dyDescent="0.25">
      <c r="B13" t="s">
        <v>5</v>
      </c>
      <c r="D13" t="s">
        <v>9</v>
      </c>
      <c r="E13">
        <v>562</v>
      </c>
    </row>
    <row r="14" spans="2:10" x14ac:dyDescent="0.25">
      <c r="E14">
        <f>400+80+200+450</f>
        <v>1130</v>
      </c>
      <c r="F14" s="1">
        <f>E14*1000000</f>
        <v>1130000000</v>
      </c>
    </row>
    <row r="16" spans="2:10" x14ac:dyDescent="0.25">
      <c r="B16" t="s">
        <v>11</v>
      </c>
      <c r="C16">
        <v>13.6</v>
      </c>
    </row>
    <row r="17" spans="2:11" x14ac:dyDescent="0.25">
      <c r="B17" t="s">
        <v>12</v>
      </c>
      <c r="C17">
        <v>171440000</v>
      </c>
      <c r="I17" s="55" t="s">
        <v>13</v>
      </c>
      <c r="J17" s="56">
        <v>2332</v>
      </c>
    </row>
    <row r="18" spans="2:11" x14ac:dyDescent="0.25">
      <c r="B18" t="s">
        <v>13</v>
      </c>
      <c r="C18" s="1">
        <f>C17*C16</f>
        <v>2331584000</v>
      </c>
      <c r="I18" s="55" t="s">
        <v>14</v>
      </c>
      <c r="J18" s="56">
        <v>146</v>
      </c>
    </row>
    <row r="19" spans="2:11" x14ac:dyDescent="0.25">
      <c r="B19" t="s">
        <v>14</v>
      </c>
      <c r="C19" s="1">
        <v>146000000</v>
      </c>
      <c r="H19" s="57" t="s">
        <v>82</v>
      </c>
      <c r="I19" s="55" t="s">
        <v>15</v>
      </c>
      <c r="J19" s="56">
        <v>124.3</v>
      </c>
    </row>
    <row r="20" spans="2:11" x14ac:dyDescent="0.25">
      <c r="B20" t="s">
        <v>15</v>
      </c>
      <c r="C20" s="1">
        <v>124000000</v>
      </c>
      <c r="E20" t="s">
        <v>17</v>
      </c>
      <c r="F20" s="1">
        <v>140000000</v>
      </c>
      <c r="H20" s="57"/>
      <c r="I20" s="55" t="s">
        <v>17</v>
      </c>
      <c r="J20" s="56">
        <v>140.4</v>
      </c>
    </row>
    <row r="21" spans="2:11" x14ac:dyDescent="0.25">
      <c r="B21" t="s">
        <v>16</v>
      </c>
      <c r="C21" s="1">
        <f>C18+C19-C20-F21</f>
        <v>2253584000</v>
      </c>
      <c r="E21" t="s">
        <v>18</v>
      </c>
      <c r="F21" s="1">
        <v>100000000</v>
      </c>
      <c r="H21" s="57" t="s">
        <v>82</v>
      </c>
      <c r="I21" s="55" t="s">
        <v>75</v>
      </c>
      <c r="J21" s="56">
        <f>J20*0.8</f>
        <v>112.32000000000001</v>
      </c>
    </row>
    <row r="22" spans="2:11" x14ac:dyDescent="0.25">
      <c r="I22" s="55" t="s">
        <v>76</v>
      </c>
      <c r="J22" s="56">
        <v>36</v>
      </c>
    </row>
    <row r="23" spans="2:11" x14ac:dyDescent="0.25">
      <c r="B23" t="s">
        <v>38</v>
      </c>
      <c r="C23" t="s">
        <v>39</v>
      </c>
      <c r="I23" s="55" t="s">
        <v>77</v>
      </c>
      <c r="J23" s="56">
        <v>122.8</v>
      </c>
    </row>
    <row r="24" spans="2:11" x14ac:dyDescent="0.25">
      <c r="I24" s="55"/>
      <c r="J24" s="55"/>
    </row>
    <row r="25" spans="2:11" x14ac:dyDescent="0.25">
      <c r="I25" s="55" t="s">
        <v>78</v>
      </c>
      <c r="J25" s="56">
        <f>J17+J18-J19-J21+J22+J23</f>
        <v>2400.1799999999998</v>
      </c>
    </row>
    <row r="26" spans="2:11" x14ac:dyDescent="0.25">
      <c r="I26" s="55" t="s">
        <v>79</v>
      </c>
      <c r="J26" s="56">
        <f>J17+J18-J19-J21-J22</f>
        <v>2205.3799999999997</v>
      </c>
    </row>
    <row r="27" spans="2:11" x14ac:dyDescent="0.25">
      <c r="I27" s="55" t="s">
        <v>80</v>
      </c>
      <c r="J27" s="56">
        <f>2500</f>
        <v>2500</v>
      </c>
      <c r="K27" t="s">
        <v>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FC253-5512-4152-A4C7-D0385CE479EA}">
  <dimension ref="C6:C11"/>
  <sheetViews>
    <sheetView zoomScale="220" zoomScaleNormal="220" workbookViewId="0">
      <selection activeCell="F10" sqref="F10"/>
    </sheetView>
  </sheetViews>
  <sheetFormatPr defaultRowHeight="15" x14ac:dyDescent="0.25"/>
  <cols>
    <col min="3" max="3" width="40.85546875" bestFit="1" customWidth="1"/>
  </cols>
  <sheetData>
    <row r="6" spans="3:3" x14ac:dyDescent="0.25">
      <c r="C6" s="6"/>
    </row>
    <row r="7" spans="3:3" x14ac:dyDescent="0.25">
      <c r="C7" s="6"/>
    </row>
    <row r="8" spans="3:3" x14ac:dyDescent="0.25">
      <c r="C8" s="6"/>
    </row>
    <row r="9" spans="3:3" x14ac:dyDescent="0.25">
      <c r="C9" s="6"/>
    </row>
    <row r="10" spans="3:3" x14ac:dyDescent="0.25">
      <c r="C10" s="6"/>
    </row>
    <row r="11" spans="3:3" x14ac:dyDescent="0.25">
      <c r="C1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27D1-70EF-4EB0-91BF-B1240E45BBC1}">
  <dimension ref="C4:L17"/>
  <sheetViews>
    <sheetView topLeftCell="B1" zoomScale="205" zoomScaleNormal="205" workbookViewId="0">
      <selection activeCell="D16" sqref="D16"/>
    </sheetView>
  </sheetViews>
  <sheetFormatPr defaultRowHeight="15" x14ac:dyDescent="0.25"/>
  <cols>
    <col min="3" max="3" width="37" bestFit="1" customWidth="1"/>
    <col min="4" max="4" width="16.85546875" bestFit="1" customWidth="1"/>
    <col min="7" max="7" width="12.140625" bestFit="1" customWidth="1"/>
  </cols>
  <sheetData>
    <row r="4" spans="3:12" x14ac:dyDescent="0.25">
      <c r="C4" t="s">
        <v>62</v>
      </c>
      <c r="D4" t="s">
        <v>73</v>
      </c>
      <c r="E4" t="s">
        <v>74</v>
      </c>
    </row>
    <row r="10" spans="3:12" x14ac:dyDescent="0.25">
      <c r="F10" t="s">
        <v>64</v>
      </c>
      <c r="H10" t="s">
        <v>67</v>
      </c>
      <c r="J10" t="s">
        <v>68</v>
      </c>
      <c r="K10" t="s">
        <v>69</v>
      </c>
      <c r="L10" s="54" t="s">
        <v>70</v>
      </c>
    </row>
    <row r="11" spans="3:12" x14ac:dyDescent="0.25">
      <c r="E11" t="s">
        <v>63</v>
      </c>
      <c r="F11">
        <v>3000</v>
      </c>
      <c r="H11">
        <v>1762</v>
      </c>
      <c r="J11">
        <f>F11-H11</f>
        <v>1238</v>
      </c>
      <c r="K11">
        <v>139</v>
      </c>
      <c r="L11" s="54">
        <f>J11-K11</f>
        <v>1099</v>
      </c>
    </row>
    <row r="12" spans="3:12" x14ac:dyDescent="0.25">
      <c r="E12" t="s">
        <v>65</v>
      </c>
      <c r="F12">
        <v>1900</v>
      </c>
      <c r="L12" s="54"/>
    </row>
    <row r="13" spans="3:12" x14ac:dyDescent="0.25">
      <c r="E13" t="s">
        <v>66</v>
      </c>
      <c r="F13">
        <f>SUM(F10:F12)</f>
        <v>4900</v>
      </c>
      <c r="H13">
        <v>2670</v>
      </c>
      <c r="J13">
        <f>F13-H13</f>
        <v>2230</v>
      </c>
      <c r="L13" s="54">
        <f>J13-K11</f>
        <v>2091</v>
      </c>
    </row>
    <row r="16" spans="3:12" x14ac:dyDescent="0.25">
      <c r="H16" t="s">
        <v>16</v>
      </c>
      <c r="I16">
        <v>2400</v>
      </c>
    </row>
    <row r="17" spans="8:10" x14ac:dyDescent="0.25">
      <c r="H17" t="s">
        <v>71</v>
      </c>
      <c r="I17" s="58">
        <f>F13/I16</f>
        <v>2.0416666666666665</v>
      </c>
      <c r="J17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D467B-E593-4D18-9891-8BD12999D296}">
  <dimension ref="B3:G30"/>
  <sheetViews>
    <sheetView zoomScale="145" zoomScaleNormal="145" workbookViewId="0">
      <pane xSplit="2" ySplit="3" topLeftCell="C7" activePane="bottomRight" state="frozen"/>
      <selection pane="topRight" activeCell="C1" sqref="C1"/>
      <selection pane="bottomLeft" activeCell="A4" sqref="A4"/>
      <selection pane="bottomRight" activeCell="C24" sqref="C24"/>
    </sheetView>
  </sheetViews>
  <sheetFormatPr defaultRowHeight="15" x14ac:dyDescent="0.25"/>
  <cols>
    <col min="2" max="3" width="18.28515625" bestFit="1" customWidth="1"/>
    <col min="4" max="4" width="17.28515625" bestFit="1" customWidth="1"/>
    <col min="6" max="6" width="18.140625" bestFit="1" customWidth="1"/>
    <col min="7" max="7" width="18.28515625" bestFit="1" customWidth="1"/>
  </cols>
  <sheetData>
    <row r="3" spans="2:4" x14ac:dyDescent="0.25">
      <c r="C3" t="s">
        <v>27</v>
      </c>
      <c r="D3" t="s">
        <v>28</v>
      </c>
    </row>
    <row r="6" spans="2:4" x14ac:dyDescent="0.25">
      <c r="B6" t="s">
        <v>19</v>
      </c>
    </row>
    <row r="8" spans="2:4" x14ac:dyDescent="0.25">
      <c r="B8" t="s">
        <v>20</v>
      </c>
      <c r="C8" s="2">
        <v>795000000</v>
      </c>
      <c r="D8" s="2">
        <v>279000000</v>
      </c>
    </row>
    <row r="9" spans="2:4" x14ac:dyDescent="0.25">
      <c r="C9" s="3"/>
      <c r="D9" s="2"/>
    </row>
    <row r="10" spans="2:4" x14ac:dyDescent="0.25">
      <c r="B10" t="s">
        <v>21</v>
      </c>
      <c r="C10" s="2">
        <v>-19000000</v>
      </c>
      <c r="D10" s="2">
        <v>-18100000</v>
      </c>
    </row>
    <row r="11" spans="2:4" x14ac:dyDescent="0.25">
      <c r="B11" t="s">
        <v>23</v>
      </c>
      <c r="C11" s="2">
        <v>0</v>
      </c>
      <c r="D11" s="2"/>
    </row>
    <row r="12" spans="2:4" x14ac:dyDescent="0.25">
      <c r="B12" t="s">
        <v>24</v>
      </c>
      <c r="C12" s="2">
        <v>-12000000</v>
      </c>
      <c r="D12" s="2">
        <v>-6200000</v>
      </c>
    </row>
    <row r="13" spans="2:4" x14ac:dyDescent="0.25">
      <c r="B13" t="s">
        <v>25</v>
      </c>
      <c r="C13" s="2">
        <v>-30000000</v>
      </c>
      <c r="D13" s="2">
        <v>-22300000</v>
      </c>
    </row>
    <row r="14" spans="2:4" x14ac:dyDescent="0.25">
      <c r="B14" t="s">
        <v>30</v>
      </c>
      <c r="C14" s="1">
        <f>SUM(C8:C13)</f>
        <v>734000000</v>
      </c>
      <c r="D14" s="1">
        <f>SUM(D8:D13)</f>
        <v>232400000</v>
      </c>
    </row>
    <row r="16" spans="2:4" x14ac:dyDescent="0.25">
      <c r="B16" t="s">
        <v>22</v>
      </c>
      <c r="C16" s="2">
        <v>-417000000</v>
      </c>
      <c r="D16" s="2">
        <v>-171000000</v>
      </c>
    </row>
    <row r="17" spans="2:7" x14ac:dyDescent="0.25">
      <c r="B17" t="s">
        <v>29</v>
      </c>
      <c r="C17" s="2">
        <v>-221000000</v>
      </c>
      <c r="D17" s="2">
        <v>-103000000</v>
      </c>
    </row>
    <row r="18" spans="2:7" x14ac:dyDescent="0.25">
      <c r="D18" s="1"/>
    </row>
    <row r="19" spans="2:7" x14ac:dyDescent="0.25">
      <c r="C19" s="1"/>
      <c r="D19" s="1"/>
    </row>
    <row r="20" spans="2:7" x14ac:dyDescent="0.25">
      <c r="B20" t="s">
        <v>31</v>
      </c>
      <c r="C20" s="1">
        <f>C14+C17</f>
        <v>513000000</v>
      </c>
      <c r="D20" s="1">
        <f>D14+D17</f>
        <v>129400000</v>
      </c>
    </row>
    <row r="21" spans="2:7" x14ac:dyDescent="0.25">
      <c r="B21" t="s">
        <v>32</v>
      </c>
      <c r="C21" s="1">
        <f>C14+C16</f>
        <v>317000000</v>
      </c>
      <c r="D21" s="1">
        <f>D14+D16</f>
        <v>61400000</v>
      </c>
    </row>
    <row r="23" spans="2:7" x14ac:dyDescent="0.25">
      <c r="B23" t="s">
        <v>33</v>
      </c>
      <c r="C23" s="1">
        <f>AVERAGE(C20:C21)</f>
        <v>415000000</v>
      </c>
      <c r="D23" s="1">
        <f>AVERAGE(D20:D21)</f>
        <v>95400000</v>
      </c>
    </row>
    <row r="25" spans="2:7" x14ac:dyDescent="0.25">
      <c r="E25" t="s">
        <v>26</v>
      </c>
      <c r="F25" s="1">
        <v>200000000</v>
      </c>
      <c r="G25">
        <v>300000000</v>
      </c>
    </row>
    <row r="26" spans="2:7" x14ac:dyDescent="0.25">
      <c r="E26" t="s">
        <v>34</v>
      </c>
      <c r="F26" s="4">
        <v>-0.03</v>
      </c>
      <c r="G26" s="4">
        <v>-0.03</v>
      </c>
    </row>
    <row r="27" spans="2:7" x14ac:dyDescent="0.25">
      <c r="E27" t="s">
        <v>35</v>
      </c>
      <c r="F27" s="4">
        <v>0.08</v>
      </c>
      <c r="G27" s="4">
        <v>0.08</v>
      </c>
    </row>
    <row r="28" spans="2:7" x14ac:dyDescent="0.25">
      <c r="E28" t="s">
        <v>36</v>
      </c>
      <c r="F28" s="1">
        <f>(F25*(1+F26))/(F27-F26)</f>
        <v>1763636363.6363637</v>
      </c>
      <c r="G28" s="1">
        <f>(G25*(1+G26))/(G27-G26)</f>
        <v>2645454545.4545455</v>
      </c>
    </row>
    <row r="30" spans="2:7" x14ac:dyDescent="0.25">
      <c r="E30" t="s">
        <v>37</v>
      </c>
      <c r="F30" s="5">
        <f>XNPV(F27,F25,10)</f>
        <v>200000000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ECE3B-751B-40C2-9C08-533829B2B3B1}">
  <dimension ref="B7:S52"/>
  <sheetViews>
    <sheetView showGridLines="0" topLeftCell="D1" zoomScale="130" zoomScaleNormal="130" workbookViewId="0">
      <selection activeCell="P55" sqref="P55"/>
    </sheetView>
  </sheetViews>
  <sheetFormatPr defaultRowHeight="15" x14ac:dyDescent="0.25"/>
  <cols>
    <col min="2" max="2" width="32.28515625" bestFit="1" customWidth="1"/>
    <col min="3" max="3" width="16.42578125" bestFit="1" customWidth="1"/>
    <col min="4" max="4" width="24.28515625" bestFit="1" customWidth="1"/>
    <col min="5" max="5" width="16.42578125" bestFit="1" customWidth="1"/>
    <col min="6" max="6" width="2.5703125" style="43" customWidth="1"/>
    <col min="7" max="7" width="1.7109375" customWidth="1"/>
    <col min="8" max="8" width="32.42578125" bestFit="1" customWidth="1"/>
    <col min="9" max="9" width="16.42578125" bestFit="1" customWidth="1"/>
    <col min="10" max="10" width="24.28515625" bestFit="1" customWidth="1"/>
    <col min="11" max="11" width="17.7109375" bestFit="1" customWidth="1"/>
    <col min="12" max="12" width="1.85546875" customWidth="1"/>
    <col min="13" max="13" width="1.85546875" style="60" customWidth="1"/>
    <col min="14" max="14" width="1.7109375" customWidth="1"/>
    <col min="15" max="15" width="32.42578125" bestFit="1" customWidth="1"/>
    <col min="16" max="16" width="16.42578125" bestFit="1" customWidth="1"/>
    <col min="17" max="17" width="13.140625" bestFit="1" customWidth="1"/>
    <col min="18" max="19" width="19" bestFit="1" customWidth="1"/>
  </cols>
  <sheetData>
    <row r="7" spans="2:18" x14ac:dyDescent="0.25">
      <c r="B7" s="7" t="s">
        <v>40</v>
      </c>
      <c r="C7" s="8">
        <v>300000000</v>
      </c>
      <c r="D7" s="9"/>
      <c r="E7" s="9"/>
      <c r="F7" s="44"/>
      <c r="G7" s="9"/>
      <c r="H7" s="7" t="s">
        <v>40</v>
      </c>
      <c r="I7" s="8">
        <v>300000000</v>
      </c>
      <c r="J7" s="9"/>
      <c r="K7" s="9"/>
      <c r="O7" s="7" t="s">
        <v>40</v>
      </c>
      <c r="P7" s="8">
        <v>300000000</v>
      </c>
      <c r="Q7" s="9"/>
      <c r="R7" s="9"/>
    </row>
    <row r="8" spans="2:18" x14ac:dyDescent="0.25">
      <c r="B8" s="7" t="s">
        <v>41</v>
      </c>
      <c r="C8" s="10">
        <v>7.0000000000000007E-2</v>
      </c>
      <c r="D8" s="9"/>
      <c r="E8" s="9"/>
      <c r="F8" s="44"/>
      <c r="G8" s="9"/>
      <c r="H8" s="7" t="s">
        <v>41</v>
      </c>
      <c r="I8" s="10">
        <v>7.0000000000000007E-2</v>
      </c>
      <c r="J8" s="9"/>
      <c r="K8" s="9"/>
      <c r="O8" s="7" t="s">
        <v>41</v>
      </c>
      <c r="P8" s="10">
        <v>7.0000000000000007E-2</v>
      </c>
      <c r="Q8" s="9"/>
      <c r="R8" s="9"/>
    </row>
    <row r="9" spans="2:18" x14ac:dyDescent="0.25">
      <c r="B9" s="9"/>
      <c r="C9" s="9"/>
      <c r="H9" s="9"/>
      <c r="I9" s="9"/>
      <c r="O9" s="9"/>
      <c r="P9" s="9"/>
    </row>
    <row r="10" spans="2:18" x14ac:dyDescent="0.25">
      <c r="B10" s="11" t="s">
        <v>42</v>
      </c>
      <c r="C10" s="11" t="s">
        <v>43</v>
      </c>
      <c r="D10" s="11" t="s">
        <v>44</v>
      </c>
      <c r="E10" s="11" t="s">
        <v>45</v>
      </c>
      <c r="F10" s="47"/>
      <c r="H10" s="11" t="s">
        <v>42</v>
      </c>
      <c r="I10" s="11" t="s">
        <v>43</v>
      </c>
      <c r="J10" s="11" t="s">
        <v>44</v>
      </c>
      <c r="K10" s="11" t="s">
        <v>45</v>
      </c>
      <c r="O10" s="11" t="s">
        <v>42</v>
      </c>
      <c r="P10" s="11" t="s">
        <v>43</v>
      </c>
      <c r="Q10" s="11" t="s">
        <v>44</v>
      </c>
      <c r="R10" s="11" t="s">
        <v>45</v>
      </c>
    </row>
    <row r="11" spans="2:18" x14ac:dyDescent="0.25">
      <c r="B11" s="12">
        <v>1</v>
      </c>
      <c r="C11" s="10">
        <v>0.03</v>
      </c>
      <c r="D11" s="13">
        <f>C7*(1+C11)</f>
        <v>309000000</v>
      </c>
      <c r="E11" s="12">
        <f>D11/(1+$C$8)^B11</f>
        <v>288785046.72897196</v>
      </c>
      <c r="F11" s="48"/>
      <c r="H11" s="12">
        <v>1</v>
      </c>
      <c r="I11" s="10">
        <v>0.06</v>
      </c>
      <c r="J11" s="13">
        <f>I7*(1+I11)</f>
        <v>318000000</v>
      </c>
      <c r="K11" s="12">
        <f>J11/(1+$I$8)^H11</f>
        <v>297196261.68224299</v>
      </c>
      <c r="O11" s="12">
        <v>1</v>
      </c>
      <c r="P11" s="10">
        <v>0.03</v>
      </c>
      <c r="Q11" s="13">
        <f>P7*(1+P11)</f>
        <v>309000000</v>
      </c>
      <c r="R11" s="12">
        <f>Q11/(1+$I$8)^O11</f>
        <v>288785046.72897196</v>
      </c>
    </row>
    <row r="12" spans="2:18" x14ac:dyDescent="0.25">
      <c r="B12" s="12">
        <v>2</v>
      </c>
      <c r="C12" s="10">
        <v>0.03</v>
      </c>
      <c r="D12" s="13">
        <f t="shared" ref="D12:D20" si="0">D11*(1+C12)</f>
        <v>318270000</v>
      </c>
      <c r="E12" s="12">
        <f t="shared" ref="E12:E20" si="1">D12/(1+$C$8)^B12</f>
        <v>277989344.04751503</v>
      </c>
      <c r="F12" s="48"/>
      <c r="H12" s="12">
        <v>2</v>
      </c>
      <c r="I12" s="10">
        <v>0.06</v>
      </c>
      <c r="J12" s="13">
        <f t="shared" ref="J12:J20" si="2">J11*(1+I12)</f>
        <v>337080000</v>
      </c>
      <c r="K12" s="12">
        <f t="shared" ref="K12:K20" si="3">J12/(1+$I$8)^H12</f>
        <v>294418726.52633417</v>
      </c>
      <c r="O12" s="12">
        <v>2</v>
      </c>
      <c r="P12" s="10">
        <v>0.03</v>
      </c>
      <c r="Q12" s="13">
        <f t="shared" ref="Q12:Q20" si="4">Q11*(1+P12)</f>
        <v>318270000</v>
      </c>
      <c r="R12" s="12">
        <f t="shared" ref="R12:R20" si="5">Q12/(1+$I$8)^O12</f>
        <v>277989344.04751503</v>
      </c>
    </row>
    <row r="13" spans="2:18" x14ac:dyDescent="0.25">
      <c r="B13" s="12">
        <v>3</v>
      </c>
      <c r="C13" s="10">
        <v>0.03</v>
      </c>
      <c r="D13" s="13">
        <f t="shared" si="0"/>
        <v>327818100</v>
      </c>
      <c r="E13" s="12">
        <f t="shared" si="1"/>
        <v>267597219.03639299</v>
      </c>
      <c r="F13" s="48"/>
      <c r="H13" s="12">
        <v>3</v>
      </c>
      <c r="I13" s="10">
        <v>0.06</v>
      </c>
      <c r="J13" s="13">
        <f t="shared" si="2"/>
        <v>357304800</v>
      </c>
      <c r="K13" s="12">
        <f t="shared" si="3"/>
        <v>291667149.64291048</v>
      </c>
      <c r="O13" s="12">
        <v>3</v>
      </c>
      <c r="P13" s="10">
        <v>0.03</v>
      </c>
      <c r="Q13" s="13">
        <f t="shared" si="4"/>
        <v>327818100</v>
      </c>
      <c r="R13" s="12">
        <f t="shared" si="5"/>
        <v>267597219.03639299</v>
      </c>
    </row>
    <row r="14" spans="2:18" x14ac:dyDescent="0.25">
      <c r="B14" s="12">
        <v>4</v>
      </c>
      <c r="C14" s="10">
        <v>0.03</v>
      </c>
      <c r="D14" s="13">
        <f t="shared" si="0"/>
        <v>337652643</v>
      </c>
      <c r="E14" s="12">
        <f t="shared" si="1"/>
        <v>257593584.67989233</v>
      </c>
      <c r="F14" s="48"/>
      <c r="H14" s="12">
        <v>4</v>
      </c>
      <c r="I14" s="10">
        <v>0.06</v>
      </c>
      <c r="J14" s="13">
        <f t="shared" si="2"/>
        <v>378743088</v>
      </c>
      <c r="K14" s="12">
        <f t="shared" si="3"/>
        <v>288941288.4312945</v>
      </c>
      <c r="O14" s="12">
        <v>4</v>
      </c>
      <c r="P14" s="10">
        <v>0.03</v>
      </c>
      <c r="Q14" s="13">
        <f t="shared" si="4"/>
        <v>337652643</v>
      </c>
      <c r="R14" s="12">
        <f t="shared" si="5"/>
        <v>257593584.67989233</v>
      </c>
    </row>
    <row r="15" spans="2:18" x14ac:dyDescent="0.25">
      <c r="B15" s="12">
        <v>5</v>
      </c>
      <c r="C15" s="10">
        <v>0.03</v>
      </c>
      <c r="D15" s="13">
        <f t="shared" si="0"/>
        <v>347782222.29000002</v>
      </c>
      <c r="E15" s="12">
        <f t="shared" si="1"/>
        <v>247963917.96288699</v>
      </c>
      <c r="F15" s="48"/>
      <c r="H15" s="12">
        <v>5</v>
      </c>
      <c r="I15" s="10">
        <v>0.06</v>
      </c>
      <c r="J15" s="13">
        <f t="shared" si="2"/>
        <v>401467673.28000003</v>
      </c>
      <c r="K15" s="12">
        <f t="shared" si="3"/>
        <v>286240902.55810481</v>
      </c>
      <c r="O15" s="12">
        <v>5</v>
      </c>
      <c r="P15" s="10">
        <v>0.03</v>
      </c>
      <c r="Q15" s="13">
        <f t="shared" si="4"/>
        <v>347782222.29000002</v>
      </c>
      <c r="R15" s="12">
        <f t="shared" si="5"/>
        <v>247963917.96288699</v>
      </c>
    </row>
    <row r="16" spans="2:18" x14ac:dyDescent="0.25">
      <c r="B16" s="12">
        <v>6</v>
      </c>
      <c r="C16" s="10">
        <v>0.03</v>
      </c>
      <c r="D16" s="13">
        <f t="shared" si="0"/>
        <v>358215688.95870006</v>
      </c>
      <c r="E16" s="12">
        <f>D16/(1+$C$8)^B16</f>
        <v>238694238.78670436</v>
      </c>
      <c r="F16" s="48"/>
      <c r="H16" s="12">
        <v>6</v>
      </c>
      <c r="I16" s="10">
        <v>0.06</v>
      </c>
      <c r="J16" s="13">
        <f t="shared" si="2"/>
        <v>425555733.67680007</v>
      </c>
      <c r="K16" s="12">
        <f t="shared" si="3"/>
        <v>283565753.93606651</v>
      </c>
      <c r="O16" s="12">
        <v>6</v>
      </c>
      <c r="P16" s="10">
        <v>0.03</v>
      </c>
      <c r="Q16" s="13">
        <f t="shared" si="4"/>
        <v>358215688.95870006</v>
      </c>
      <c r="R16" s="12">
        <f t="shared" si="5"/>
        <v>238694238.78670436</v>
      </c>
    </row>
    <row r="17" spans="2:18" x14ac:dyDescent="0.25">
      <c r="B17" s="12">
        <v>7</v>
      </c>
      <c r="C17" s="10">
        <v>0.03</v>
      </c>
      <c r="D17" s="13">
        <f t="shared" si="0"/>
        <v>368962159.62746108</v>
      </c>
      <c r="E17" s="12">
        <f t="shared" si="1"/>
        <v>229771089.6731827</v>
      </c>
      <c r="F17" s="48"/>
      <c r="H17" s="12">
        <v>7</v>
      </c>
      <c r="I17" s="10">
        <v>0.03</v>
      </c>
      <c r="J17" s="13">
        <f t="shared" si="2"/>
        <v>438322405.68710411</v>
      </c>
      <c r="K17" s="12">
        <f t="shared" si="3"/>
        <v>272965165.0038771</v>
      </c>
      <c r="O17" s="12">
        <v>7</v>
      </c>
      <c r="P17" s="10">
        <v>0.03</v>
      </c>
      <c r="Q17" s="13">
        <f t="shared" si="4"/>
        <v>368962159.62746108</v>
      </c>
      <c r="R17" s="12">
        <f t="shared" si="5"/>
        <v>229771089.6731827</v>
      </c>
    </row>
    <row r="18" spans="2:18" x14ac:dyDescent="0.25">
      <c r="B18" s="12">
        <v>8</v>
      </c>
      <c r="C18" s="10">
        <v>0.03</v>
      </c>
      <c r="D18" s="13">
        <f t="shared" si="0"/>
        <v>380031024.41628492</v>
      </c>
      <c r="E18" s="12">
        <f t="shared" si="1"/>
        <v>221181516.22745624</v>
      </c>
      <c r="F18" s="48"/>
      <c r="H18" s="12">
        <v>8</v>
      </c>
      <c r="I18" s="10">
        <v>0.03</v>
      </c>
      <c r="J18" s="13">
        <f t="shared" si="2"/>
        <v>451472077.85771722</v>
      </c>
      <c r="K18" s="12">
        <f t="shared" si="3"/>
        <v>262760859.7700873</v>
      </c>
      <c r="O18" s="12">
        <v>8</v>
      </c>
      <c r="P18" s="10">
        <v>0.03</v>
      </c>
      <c r="Q18" s="13">
        <f t="shared" si="4"/>
        <v>380031024.41628492</v>
      </c>
      <c r="R18" s="12">
        <f t="shared" si="5"/>
        <v>221181516.22745624</v>
      </c>
    </row>
    <row r="19" spans="2:18" x14ac:dyDescent="0.25">
      <c r="B19" s="12">
        <v>9</v>
      </c>
      <c r="C19" s="10">
        <v>0.03</v>
      </c>
      <c r="D19" s="13">
        <f t="shared" si="0"/>
        <v>391431955.14877349</v>
      </c>
      <c r="E19" s="12">
        <f t="shared" si="1"/>
        <v>212913048.33110273</v>
      </c>
      <c r="F19" s="48"/>
      <c r="H19" s="12">
        <v>9</v>
      </c>
      <c r="I19" s="10">
        <v>0.03</v>
      </c>
      <c r="J19" s="13">
        <f t="shared" si="2"/>
        <v>465016240.19344872</v>
      </c>
      <c r="K19" s="12">
        <f t="shared" si="3"/>
        <v>252938023.89083168</v>
      </c>
      <c r="O19" s="12">
        <v>9</v>
      </c>
      <c r="P19" s="10">
        <v>0.03</v>
      </c>
      <c r="Q19" s="13">
        <f t="shared" si="4"/>
        <v>391431955.14877349</v>
      </c>
      <c r="R19" s="12">
        <f t="shared" si="5"/>
        <v>212913048.33110273</v>
      </c>
    </row>
    <row r="20" spans="2:18" x14ac:dyDescent="0.25">
      <c r="B20" s="35">
        <v>10</v>
      </c>
      <c r="C20" s="10">
        <v>0.03</v>
      </c>
      <c r="D20" s="36">
        <f t="shared" si="0"/>
        <v>403174913.80323672</v>
      </c>
      <c r="E20" s="12">
        <f t="shared" si="1"/>
        <v>204953682.03835124</v>
      </c>
      <c r="F20" s="48"/>
      <c r="G20" s="14"/>
      <c r="H20" s="35">
        <v>10</v>
      </c>
      <c r="I20" s="10">
        <v>0.03</v>
      </c>
      <c r="J20" s="36">
        <f t="shared" si="2"/>
        <v>478966727.39925218</v>
      </c>
      <c r="K20" s="12">
        <f t="shared" si="3"/>
        <v>243482396.82949218</v>
      </c>
      <c r="O20" s="35">
        <v>10</v>
      </c>
      <c r="P20" s="10">
        <v>0.03</v>
      </c>
      <c r="Q20" s="36">
        <f t="shared" si="4"/>
        <v>403174913.80323672</v>
      </c>
      <c r="R20" s="12">
        <f t="shared" si="5"/>
        <v>204953682.03835124</v>
      </c>
    </row>
    <row r="21" spans="2:18" x14ac:dyDescent="0.25">
      <c r="B21" s="37" t="s">
        <v>46</v>
      </c>
      <c r="C21" s="38"/>
      <c r="D21" s="39"/>
      <c r="E21" s="40">
        <f>SUM(E11:E20)</f>
        <v>2447442687.5124564</v>
      </c>
      <c r="F21" s="49"/>
      <c r="H21" s="37" t="s">
        <v>46</v>
      </c>
      <c r="I21" s="38"/>
      <c r="J21" s="39"/>
      <c r="K21" s="40">
        <f>SUM(K11:K20)</f>
        <v>2774176528.2712412</v>
      </c>
      <c r="O21" s="12">
        <v>11</v>
      </c>
      <c r="P21" s="10">
        <v>0.03</v>
      </c>
      <c r="Q21" s="13">
        <f t="shared" ref="Q21:Q25" si="6">Q20*(1+P21)</f>
        <v>415270161.21733385</v>
      </c>
      <c r="R21" s="12">
        <f t="shared" ref="R21:R25" si="7">Q21/(1+$I$8)^O21</f>
        <v>197291862.14906707</v>
      </c>
    </row>
    <row r="22" spans="2:18" x14ac:dyDescent="0.25">
      <c r="B22" s="9"/>
      <c r="C22" s="9"/>
      <c r="D22" s="15"/>
      <c r="E22" s="14"/>
      <c r="F22" s="45"/>
      <c r="G22" s="14"/>
      <c r="H22" s="9"/>
      <c r="I22" s="9"/>
      <c r="J22" s="15"/>
      <c r="K22" s="14"/>
      <c r="O22" s="12">
        <v>12</v>
      </c>
      <c r="P22" s="10">
        <v>0.03</v>
      </c>
      <c r="Q22" s="13">
        <f t="shared" si="6"/>
        <v>427728266.05385387</v>
      </c>
      <c r="R22" s="12">
        <f t="shared" si="7"/>
        <v>189916465.43321413</v>
      </c>
    </row>
    <row r="23" spans="2:18" x14ac:dyDescent="0.25">
      <c r="B23" s="16" t="s">
        <v>47</v>
      </c>
      <c r="C23" s="17">
        <f>(E20*(1-0%)/(7%+0%))</f>
        <v>2927909743.4050174</v>
      </c>
      <c r="D23" s="18" t="s">
        <v>48</v>
      </c>
      <c r="E23" s="19"/>
      <c r="F23" s="50"/>
      <c r="G23" s="14"/>
      <c r="H23" s="16" t="s">
        <v>47</v>
      </c>
      <c r="I23" s="17">
        <f>(K20*(1-2%)/(7%-2%))</f>
        <v>4772254977.8580465</v>
      </c>
      <c r="J23" s="18" t="s">
        <v>48</v>
      </c>
      <c r="K23" s="19"/>
      <c r="O23" s="12">
        <v>13</v>
      </c>
      <c r="P23" s="10">
        <v>0.03</v>
      </c>
      <c r="Q23" s="13">
        <f t="shared" si="6"/>
        <v>440560114.03546947</v>
      </c>
      <c r="R23" s="12">
        <f t="shared" si="7"/>
        <v>182816784.48243976</v>
      </c>
    </row>
    <row r="24" spans="2:18" x14ac:dyDescent="0.25">
      <c r="B24" s="16" t="s">
        <v>49</v>
      </c>
      <c r="C24" s="17">
        <f>C23/(1+12%)^10</f>
        <v>942708576.52954769</v>
      </c>
      <c r="D24" s="15"/>
      <c r="E24" s="14"/>
      <c r="F24" s="45"/>
      <c r="G24" s="14"/>
      <c r="H24" s="16" t="s">
        <v>49</v>
      </c>
      <c r="I24" s="17">
        <f>I23/(1+12%)^10</f>
        <v>1536538381.0570157</v>
      </c>
      <c r="J24" s="15"/>
      <c r="K24" s="14"/>
      <c r="O24" s="12">
        <v>14</v>
      </c>
      <c r="P24" s="10">
        <v>0.03</v>
      </c>
      <c r="Q24" s="13">
        <f t="shared" si="6"/>
        <v>453776917.45653355</v>
      </c>
      <c r="R24" s="12">
        <f t="shared" si="7"/>
        <v>175982512.16533923</v>
      </c>
    </row>
    <row r="25" spans="2:18" x14ac:dyDescent="0.25">
      <c r="B25" s="7" t="s">
        <v>50</v>
      </c>
      <c r="C25" s="42">
        <v>224000000</v>
      </c>
      <c r="D25" s="20"/>
      <c r="E25" s="14"/>
      <c r="F25" s="45"/>
      <c r="G25" s="14"/>
      <c r="H25" s="7" t="s">
        <v>50</v>
      </c>
      <c r="I25" s="42">
        <v>224000000</v>
      </c>
      <c r="J25" s="20"/>
      <c r="K25" s="14"/>
      <c r="O25" s="12">
        <v>15</v>
      </c>
      <c r="P25" s="10">
        <v>0.03</v>
      </c>
      <c r="Q25" s="13">
        <f t="shared" si="6"/>
        <v>467390224.98022956</v>
      </c>
      <c r="R25" s="12">
        <f t="shared" si="7"/>
        <v>169403726.66383117</v>
      </c>
    </row>
    <row r="26" spans="2:18" x14ac:dyDescent="0.25">
      <c r="B26" s="21" t="s">
        <v>14</v>
      </c>
      <c r="C26" s="41">
        <f>305000000</f>
        <v>305000000</v>
      </c>
      <c r="D26" s="15" t="s">
        <v>61</v>
      </c>
      <c r="E26" s="14"/>
      <c r="F26" s="45"/>
      <c r="G26" s="14"/>
      <c r="H26" s="21" t="s">
        <v>14</v>
      </c>
      <c r="I26" s="41">
        <f>145000000+36000000+122000000+2000000</f>
        <v>305000000</v>
      </c>
      <c r="J26" s="15" t="s">
        <v>61</v>
      </c>
      <c r="K26" s="53">
        <f>(400000000*(1+1%)/(8%-1%))</f>
        <v>5771428571.4285707</v>
      </c>
    </row>
    <row r="27" spans="2:18" x14ac:dyDescent="0.25">
      <c r="B27" s="16" t="s">
        <v>51</v>
      </c>
      <c r="C27" s="22">
        <f>C24+E21 + C25 - C26</f>
        <v>3309151264.0420041</v>
      </c>
      <c r="D27" s="15"/>
      <c r="E27" s="14"/>
      <c r="F27" s="45"/>
      <c r="G27" s="14"/>
      <c r="H27" s="16" t="s">
        <v>51</v>
      </c>
      <c r="I27" s="22">
        <f>I24+K21 + I25 - I26</f>
        <v>4229714909.3282566</v>
      </c>
      <c r="J27" s="15"/>
      <c r="K27" s="14"/>
      <c r="O27" s="37" t="s">
        <v>46</v>
      </c>
      <c r="P27" s="38"/>
      <c r="Q27" s="39"/>
      <c r="R27" s="40">
        <f>SUM(R11:R25)</f>
        <v>3362854038.4063478</v>
      </c>
    </row>
    <row r="28" spans="2:18" x14ac:dyDescent="0.25">
      <c r="B28" s="7" t="s">
        <v>52</v>
      </c>
      <c r="C28" s="23">
        <v>2340000000</v>
      </c>
      <c r="D28" s="20"/>
      <c r="E28" s="14"/>
      <c r="F28" s="45"/>
      <c r="G28" s="14"/>
      <c r="H28" s="7" t="s">
        <v>52</v>
      </c>
      <c r="I28" s="23">
        <v>2340000000</v>
      </c>
      <c r="J28" s="20"/>
      <c r="K28" s="14"/>
      <c r="O28" s="9"/>
      <c r="P28" s="9"/>
      <c r="Q28" s="15"/>
      <c r="R28" s="14"/>
    </row>
    <row r="29" spans="2:18" x14ac:dyDescent="0.25">
      <c r="B29" s="7" t="s">
        <v>53</v>
      </c>
      <c r="C29" s="24">
        <v>13.58</v>
      </c>
      <c r="D29" s="20"/>
      <c r="E29" s="14"/>
      <c r="F29" s="45"/>
      <c r="G29" s="14"/>
      <c r="H29" s="7" t="s">
        <v>53</v>
      </c>
      <c r="I29" s="24">
        <v>13.58</v>
      </c>
      <c r="J29" s="20"/>
      <c r="K29" s="14"/>
      <c r="O29" s="16" t="s">
        <v>47</v>
      </c>
      <c r="P29" s="17">
        <f>(R25*(1-2%)/(7%-2%))</f>
        <v>3320313042.6110911</v>
      </c>
      <c r="Q29" s="18" t="s">
        <v>48</v>
      </c>
      <c r="R29" s="19"/>
    </row>
    <row r="30" spans="2:18" x14ac:dyDescent="0.25">
      <c r="B30" s="16" t="s">
        <v>54</v>
      </c>
      <c r="C30" s="22">
        <f>C28/C29</f>
        <v>172312223.85861561</v>
      </c>
      <c r="D30" s="20"/>
      <c r="E30" s="14"/>
      <c r="F30" s="45"/>
      <c r="G30" s="14"/>
      <c r="H30" s="16" t="s">
        <v>54</v>
      </c>
      <c r="I30" s="22">
        <f>I28/I29</f>
        <v>172312223.85861561</v>
      </c>
      <c r="J30" s="20"/>
      <c r="K30" s="14"/>
      <c r="O30" s="16" t="s">
        <v>49</v>
      </c>
      <c r="P30" s="17">
        <f>P29/((1+7%)^16)</f>
        <v>1124704903.0476661</v>
      </c>
      <c r="Q30" s="15"/>
      <c r="R30" s="14"/>
    </row>
    <row r="31" spans="2:18" x14ac:dyDescent="0.25">
      <c r="B31" s="25" t="s">
        <v>55</v>
      </c>
      <c r="C31" s="26">
        <f>C27/C30</f>
        <v>19.204390669098469</v>
      </c>
      <c r="D31" s="27"/>
      <c r="E31" s="14"/>
      <c r="F31" s="45"/>
      <c r="G31" s="14"/>
      <c r="H31" s="25" t="s">
        <v>55</v>
      </c>
      <c r="I31" s="26">
        <f>I27/I30</f>
        <v>24.546807037896464</v>
      </c>
      <c r="J31" s="27"/>
      <c r="K31" s="14"/>
      <c r="O31" s="7" t="s">
        <v>50</v>
      </c>
      <c r="P31" s="42">
        <v>224000000</v>
      </c>
      <c r="Q31" s="20"/>
      <c r="R31" s="14"/>
    </row>
    <row r="32" spans="2:18" x14ac:dyDescent="0.25">
      <c r="B32" s="28" t="s">
        <v>56</v>
      </c>
      <c r="C32" s="29">
        <f>C29/C31</f>
        <v>0.70712995970506887</v>
      </c>
      <c r="D32" s="27"/>
      <c r="E32" s="14"/>
      <c r="F32" s="45"/>
      <c r="G32" s="14" t="s">
        <v>57</v>
      </c>
      <c r="H32" s="28" t="s">
        <v>56</v>
      </c>
      <c r="I32" s="29">
        <f>I29/I31</f>
        <v>0.55322877549958271</v>
      </c>
      <c r="J32" s="27"/>
      <c r="K32" s="14"/>
      <c r="O32" s="21" t="s">
        <v>14</v>
      </c>
      <c r="P32" s="41">
        <f>145000000+36000000+122000000+2000000</f>
        <v>305000000</v>
      </c>
      <c r="Q32" s="15"/>
      <c r="R32" s="53"/>
    </row>
    <row r="33" spans="2:19" x14ac:dyDescent="0.25">
      <c r="B33" s="30" t="s">
        <v>58</v>
      </c>
      <c r="C33" s="31">
        <f>C31*0.5</f>
        <v>9.6021953345492346</v>
      </c>
      <c r="D33" s="27"/>
      <c r="E33" s="14"/>
      <c r="F33" s="45"/>
      <c r="G33" s="14"/>
      <c r="H33" s="30" t="s">
        <v>58</v>
      </c>
      <c r="I33" s="31">
        <f>I31*0.5</f>
        <v>12.273403518948232</v>
      </c>
      <c r="J33" s="27"/>
      <c r="K33" s="14"/>
      <c r="O33" s="16" t="s">
        <v>51</v>
      </c>
      <c r="P33" s="22">
        <f>R27+1000000000</f>
        <v>4362854038.4063473</v>
      </c>
      <c r="Q33" s="15"/>
      <c r="R33" s="14"/>
    </row>
    <row r="34" spans="2:19" x14ac:dyDescent="0.25">
      <c r="B34" s="30" t="s">
        <v>59</v>
      </c>
      <c r="C34" s="32">
        <f>(C29/C33)</f>
        <v>1.4142599194101377</v>
      </c>
      <c r="D34" s="27"/>
      <c r="E34" s="14"/>
      <c r="F34" s="45"/>
      <c r="G34" s="14"/>
      <c r="H34" s="30" t="s">
        <v>59</v>
      </c>
      <c r="I34" s="32">
        <f>(I29/I33)</f>
        <v>1.1064575509991654</v>
      </c>
      <c r="J34" s="27"/>
      <c r="K34" s="14"/>
      <c r="O34" s="7" t="s">
        <v>52</v>
      </c>
      <c r="P34" s="23">
        <v>2340000000</v>
      </c>
      <c r="Q34" s="20"/>
      <c r="R34" s="14"/>
    </row>
    <row r="35" spans="2:19" x14ac:dyDescent="0.25">
      <c r="B35" s="30" t="s">
        <v>60</v>
      </c>
      <c r="C35" s="32">
        <f>100%-C34</f>
        <v>-0.41425991941013773</v>
      </c>
      <c r="D35" s="33"/>
      <c r="E35" s="34"/>
      <c r="F35" s="46"/>
      <c r="G35" s="34"/>
      <c r="H35" s="30" t="s">
        <v>60</v>
      </c>
      <c r="I35" s="32">
        <f>100%-I34</f>
        <v>-0.10645755099916543</v>
      </c>
      <c r="J35" s="33"/>
      <c r="K35" s="34"/>
      <c r="O35" s="7" t="s">
        <v>53</v>
      </c>
      <c r="P35" s="24">
        <v>13.58</v>
      </c>
      <c r="Q35" s="20"/>
      <c r="R35" s="14"/>
    </row>
    <row r="36" spans="2:19" x14ac:dyDescent="0.25">
      <c r="E36" s="4"/>
      <c r="F36" s="51"/>
      <c r="O36" s="16" t="s">
        <v>54</v>
      </c>
      <c r="P36" s="22">
        <f>P34/P35</f>
        <v>172312223.85861561</v>
      </c>
      <c r="Q36" s="20"/>
      <c r="R36" s="14"/>
    </row>
    <row r="37" spans="2:19" x14ac:dyDescent="0.25">
      <c r="E37" s="5"/>
      <c r="F37" s="52"/>
      <c r="O37" s="25" t="s">
        <v>55</v>
      </c>
      <c r="P37" s="26">
        <f>P33/P36</f>
        <v>25.319469163059058</v>
      </c>
      <c r="Q37" s="27"/>
      <c r="R37" s="14"/>
    </row>
    <row r="38" spans="2:19" x14ac:dyDescent="0.25">
      <c r="E38" s="4"/>
      <c r="F38" s="51"/>
      <c r="O38" s="28" t="s">
        <v>56</v>
      </c>
      <c r="P38" s="29">
        <f>P35/P37</f>
        <v>0.53634615767589366</v>
      </c>
      <c r="Q38" s="27"/>
      <c r="R38" s="14"/>
    </row>
    <row r="39" spans="2:19" x14ac:dyDescent="0.25">
      <c r="E39" s="4"/>
      <c r="F39" s="51"/>
      <c r="O39" s="30" t="s">
        <v>58</v>
      </c>
      <c r="P39" s="31">
        <f>P37*0.5</f>
        <v>12.659734581529529</v>
      </c>
      <c r="Q39" s="27"/>
      <c r="R39" s="14"/>
    </row>
    <row r="40" spans="2:19" x14ac:dyDescent="0.25">
      <c r="O40" s="30" t="s">
        <v>59</v>
      </c>
      <c r="P40" s="32">
        <f>(P35/P39)</f>
        <v>1.0726923153517873</v>
      </c>
      <c r="Q40" s="27"/>
      <c r="R40" s="14"/>
    </row>
    <row r="41" spans="2:19" x14ac:dyDescent="0.25">
      <c r="O41" s="30" t="s">
        <v>60</v>
      </c>
      <c r="P41" s="32">
        <f>100%-P40</f>
        <v>-7.2692315351787329E-2</v>
      </c>
      <c r="Q41" s="33"/>
      <c r="R41" s="34"/>
    </row>
    <row r="43" spans="2:19" x14ac:dyDescent="0.25">
      <c r="O43">
        <v>300000000</v>
      </c>
      <c r="P43" s="63" t="s">
        <v>34</v>
      </c>
      <c r="Q43" s="57" t="s">
        <v>85</v>
      </c>
    </row>
    <row r="44" spans="2:19" x14ac:dyDescent="0.25">
      <c r="O44" s="62" t="s">
        <v>84</v>
      </c>
      <c r="P44" s="4">
        <v>0.03</v>
      </c>
      <c r="Q44" s="4">
        <v>7.0000000000000007E-2</v>
      </c>
      <c r="R44" s="1">
        <f>(O43*(1+P44))/(Q44-P44)</f>
        <v>7724999999.9999981</v>
      </c>
    </row>
    <row r="45" spans="2:19" x14ac:dyDescent="0.25">
      <c r="O45" s="62" t="s">
        <v>86</v>
      </c>
      <c r="P45" s="4">
        <v>0.02</v>
      </c>
      <c r="Q45" s="4">
        <v>7.0000000000000007E-2</v>
      </c>
      <c r="R45" s="1">
        <f>(O43*(1+P45))/(Q45-P45)</f>
        <v>6120000000</v>
      </c>
    </row>
    <row r="46" spans="2:19" x14ac:dyDescent="0.25">
      <c r="O46" s="62" t="s">
        <v>87</v>
      </c>
      <c r="P46" s="4">
        <v>0.01</v>
      </c>
      <c r="Q46" s="4">
        <v>7.0000000000000007E-2</v>
      </c>
      <c r="R46" s="1">
        <f>(O43*(1+P46))/(Q46-P46)</f>
        <v>5050000000</v>
      </c>
    </row>
    <row r="47" spans="2:19" x14ac:dyDescent="0.25">
      <c r="O47" s="62" t="s">
        <v>88</v>
      </c>
      <c r="P47" s="4">
        <v>0</v>
      </c>
      <c r="Q47" s="4">
        <v>7.0000000000000007E-2</v>
      </c>
      <c r="R47" s="1">
        <f>(O43*(1+P47))/(Q47-P47)</f>
        <v>4285714285.7142854</v>
      </c>
      <c r="S47" s="1">
        <f>R47/(1.07)</f>
        <v>4005340453.9385843</v>
      </c>
    </row>
    <row r="50" spans="15:15" x14ac:dyDescent="0.25">
      <c r="O50" s="64"/>
    </row>
    <row r="52" spans="15:15" x14ac:dyDescent="0.25">
      <c r="O52">
        <f>300/0.07</f>
        <v>4285.7142857142853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2BD7B-B1EB-4083-970B-3408F1B79736}">
  <dimension ref="D8:I25"/>
  <sheetViews>
    <sheetView tabSelected="1" zoomScale="160" zoomScaleNormal="160" workbookViewId="0">
      <selection activeCell="P14" sqref="P14"/>
    </sheetView>
  </sheetViews>
  <sheetFormatPr defaultRowHeight="15" x14ac:dyDescent="0.25"/>
  <cols>
    <col min="6" max="6" width="1.140625" customWidth="1"/>
    <col min="7" max="7" width="14.85546875" customWidth="1"/>
    <col min="8" max="8" width="12.85546875" customWidth="1"/>
  </cols>
  <sheetData>
    <row r="8" spans="4:9" x14ac:dyDescent="0.25">
      <c r="D8" t="s">
        <v>26</v>
      </c>
      <c r="E8">
        <v>300</v>
      </c>
    </row>
    <row r="9" spans="4:9" x14ac:dyDescent="0.25">
      <c r="D9" t="s">
        <v>41</v>
      </c>
      <c r="E9" s="61">
        <v>7.0000000000000007E-2</v>
      </c>
    </row>
    <row r="10" spans="4:9" x14ac:dyDescent="0.25">
      <c r="D10" t="s">
        <v>38</v>
      </c>
      <c r="E10">
        <v>2500</v>
      </c>
    </row>
    <row r="15" spans="4:9" x14ac:dyDescent="0.25">
      <c r="E15" s="67" t="s">
        <v>89</v>
      </c>
      <c r="F15" s="67"/>
      <c r="G15" s="67" t="s">
        <v>90</v>
      </c>
      <c r="H15" s="67" t="s">
        <v>91</v>
      </c>
      <c r="I15" s="67" t="s">
        <v>92</v>
      </c>
    </row>
    <row r="16" spans="4:9" x14ac:dyDescent="0.25">
      <c r="E16" s="65">
        <v>0</v>
      </c>
      <c r="F16" s="66"/>
      <c r="G16" s="66">
        <f>(E8*(1+E16))/(E9-E16)</f>
        <v>4285.7142857142853</v>
      </c>
      <c r="H16" s="68">
        <f>G16/$E$10</f>
        <v>1.7142857142857142</v>
      </c>
      <c r="I16" s="61">
        <f>E8/E10</f>
        <v>0.12</v>
      </c>
    </row>
    <row r="17" spans="5:9" x14ac:dyDescent="0.25">
      <c r="E17" s="65">
        <v>0.01</v>
      </c>
      <c r="G17" s="66">
        <f>(E8*(1+E17))/(E9-E17)</f>
        <v>5050</v>
      </c>
      <c r="H17" s="68">
        <f t="shared" ref="H17:H18" si="0">G17/$E$10</f>
        <v>2.02</v>
      </c>
      <c r="I17" s="61"/>
    </row>
    <row r="18" spans="5:9" x14ac:dyDescent="0.25">
      <c r="E18" s="65">
        <v>0.02</v>
      </c>
      <c r="G18" s="66">
        <f>(E8*(1+E18))/(E9-E18)</f>
        <v>6120</v>
      </c>
      <c r="H18" s="68">
        <f t="shared" si="0"/>
        <v>2.448</v>
      </c>
      <c r="I18" s="61"/>
    </row>
    <row r="19" spans="5:9" x14ac:dyDescent="0.25">
      <c r="E19" s="61"/>
      <c r="I19" s="61"/>
    </row>
    <row r="20" spans="5:9" x14ac:dyDescent="0.25">
      <c r="E20" s="61"/>
      <c r="I20" s="61"/>
    </row>
    <row r="21" spans="5:9" x14ac:dyDescent="0.25">
      <c r="E21" s="61"/>
    </row>
    <row r="22" spans="5:9" x14ac:dyDescent="0.25">
      <c r="E22" s="61"/>
    </row>
    <row r="23" spans="5:9" x14ac:dyDescent="0.25">
      <c r="E23" s="61"/>
    </row>
    <row r="24" spans="5:9" x14ac:dyDescent="0.25">
      <c r="E24" s="61"/>
    </row>
    <row r="25" spans="5:9" x14ac:dyDescent="0.25">
      <c r="E25" s="6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TODO</vt:lpstr>
      <vt:lpstr>Reserves</vt:lpstr>
      <vt:lpstr>MODEL</vt:lpstr>
      <vt:lpstr>FCF Calc.</vt:lpstr>
      <vt:lpstr>FCF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Venkatesh Subramaniam</dc:creator>
  <cp:lastModifiedBy>Sri Venkatesh Subramaniam</cp:lastModifiedBy>
  <dcterms:created xsi:type="dcterms:W3CDTF">2023-03-08T21:30:35Z</dcterms:created>
  <dcterms:modified xsi:type="dcterms:W3CDTF">2023-03-20T17:24:45Z</dcterms:modified>
</cp:coreProperties>
</file>