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ng\Desktop\Bachelor Samføk\5.Sem\BED-2020\"/>
    </mc:Choice>
  </mc:AlternateContent>
  <bookViews>
    <workbookView xWindow="0" yWindow="0" windowWidth="20490" windowHeight="7755" activeTab="2"/>
  </bookViews>
  <sheets>
    <sheet name="Scenario 1" sheetId="1" r:id="rId1"/>
    <sheet name="Scenario 2" sheetId="2" r:id="rId2"/>
    <sheet name="Scenario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3" l="1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B57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B56" i="3"/>
  <c r="B52" i="3"/>
  <c r="B52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B56" i="2"/>
  <c r="D49" i="3"/>
  <c r="E49" i="3"/>
  <c r="F49" i="3"/>
  <c r="G49" i="3"/>
  <c r="H49" i="3"/>
  <c r="I49" i="3"/>
  <c r="J49" i="3"/>
  <c r="K49" i="3"/>
  <c r="L49" i="3"/>
  <c r="C49" i="3"/>
  <c r="L48" i="3"/>
  <c r="K48" i="3"/>
  <c r="J48" i="3"/>
  <c r="I48" i="3"/>
  <c r="H48" i="3"/>
  <c r="G48" i="3"/>
  <c r="F48" i="3"/>
  <c r="E48" i="3"/>
  <c r="D48" i="3"/>
  <c r="C48" i="3"/>
  <c r="D49" i="2"/>
  <c r="E49" i="2"/>
  <c r="F49" i="2"/>
  <c r="G49" i="2"/>
  <c r="H49" i="2"/>
  <c r="I49" i="2"/>
  <c r="J49" i="2"/>
  <c r="K49" i="2"/>
  <c r="L49" i="2"/>
  <c r="C49" i="2"/>
  <c r="L48" i="2"/>
  <c r="K48" i="2"/>
  <c r="J48" i="2"/>
  <c r="I48" i="2"/>
  <c r="H48" i="2"/>
  <c r="G48" i="2"/>
  <c r="F48" i="2"/>
  <c r="E48" i="2"/>
  <c r="D48" i="2"/>
  <c r="C48" i="2"/>
  <c r="C43" i="3"/>
  <c r="C43" i="2"/>
  <c r="C36" i="3"/>
  <c r="D36" i="3" s="1"/>
  <c r="D35" i="3"/>
  <c r="C35" i="3"/>
  <c r="B34" i="3"/>
  <c r="B88" i="1"/>
  <c r="B23" i="3"/>
  <c r="C40" i="3" s="1"/>
  <c r="D10" i="3"/>
  <c r="D12" i="3" s="1"/>
  <c r="C10" i="3"/>
  <c r="C12" i="3" s="1"/>
  <c r="B10" i="3"/>
  <c r="B12" i="3" s="1"/>
  <c r="B34" i="2"/>
  <c r="B62" i="1"/>
  <c r="D36" i="2"/>
  <c r="C36" i="2"/>
  <c r="H35" i="2"/>
  <c r="I35" i="2" s="1"/>
  <c r="D35" i="2"/>
  <c r="E35" i="2" s="1"/>
  <c r="C35" i="2"/>
  <c r="C40" i="2" s="1"/>
  <c r="B23" i="2"/>
  <c r="B12" i="2"/>
  <c r="D10" i="2"/>
  <c r="D12" i="2" s="1"/>
  <c r="C10" i="2"/>
  <c r="C12" i="2" s="1"/>
  <c r="B10" i="2"/>
  <c r="D89" i="1"/>
  <c r="E89" i="1" s="1"/>
  <c r="F89" i="1" s="1"/>
  <c r="G89" i="1" s="1"/>
  <c r="C89" i="1"/>
  <c r="H63" i="1"/>
  <c r="D63" i="1"/>
  <c r="E63" i="1" s="1"/>
  <c r="F63" i="1" s="1"/>
  <c r="G63" i="1" s="1"/>
  <c r="C63" i="1"/>
  <c r="D35" i="1"/>
  <c r="C43" i="1"/>
  <c r="B23" i="1"/>
  <c r="D43" i="1" l="1"/>
  <c r="E43" i="1" s="1"/>
  <c r="I63" i="1"/>
  <c r="J63" i="1" s="1"/>
  <c r="K63" i="1" s="1"/>
  <c r="L63" i="1" s="1"/>
  <c r="D43" i="3"/>
  <c r="C39" i="3"/>
  <c r="E35" i="3"/>
  <c r="D43" i="2"/>
  <c r="C38" i="2"/>
  <c r="B41" i="3"/>
  <c r="F35" i="3"/>
  <c r="E36" i="3"/>
  <c r="F36" i="3" s="1"/>
  <c r="G36" i="3" s="1"/>
  <c r="H36" i="3" s="1"/>
  <c r="C37" i="3"/>
  <c r="E38" i="3"/>
  <c r="B39" i="3"/>
  <c r="D40" i="3"/>
  <c r="D37" i="3"/>
  <c r="D38" i="3"/>
  <c r="C38" i="3"/>
  <c r="B49" i="2"/>
  <c r="J35" i="2"/>
  <c r="F35" i="2"/>
  <c r="E36" i="2"/>
  <c r="F36" i="2" s="1"/>
  <c r="G36" i="2" s="1"/>
  <c r="H36" i="2" s="1"/>
  <c r="H37" i="2" s="1"/>
  <c r="C37" i="2"/>
  <c r="B39" i="2"/>
  <c r="B41" i="2" s="1"/>
  <c r="D40" i="2"/>
  <c r="D38" i="2"/>
  <c r="D37" i="2"/>
  <c r="E35" i="1"/>
  <c r="D102" i="1"/>
  <c r="C102" i="1"/>
  <c r="D97" i="1"/>
  <c r="C97" i="1"/>
  <c r="C90" i="1"/>
  <c r="D90" i="1" s="1"/>
  <c r="E90" i="1" s="1"/>
  <c r="D93" i="1" s="1"/>
  <c r="C76" i="1"/>
  <c r="D76" i="1"/>
  <c r="D71" i="1"/>
  <c r="C71" i="1"/>
  <c r="E102" i="1"/>
  <c r="C64" i="1"/>
  <c r="B67" i="1" s="1"/>
  <c r="B69" i="1" s="1"/>
  <c r="B77" i="1" s="1"/>
  <c r="C48" i="1"/>
  <c r="C36" i="1"/>
  <c r="D36" i="1" s="1"/>
  <c r="D37" i="1" s="1"/>
  <c r="C35" i="1"/>
  <c r="C37" i="1" s="1"/>
  <c r="B34" i="1"/>
  <c r="C10" i="1"/>
  <c r="C12" i="1" s="1"/>
  <c r="D10" i="1"/>
  <c r="D12" i="1" s="1"/>
  <c r="B10" i="1"/>
  <c r="B12" i="1" s="1"/>
  <c r="C93" i="1" l="1"/>
  <c r="B93" i="1"/>
  <c r="B95" i="1" s="1"/>
  <c r="B103" i="1" s="1"/>
  <c r="C38" i="1"/>
  <c r="E43" i="3"/>
  <c r="C41" i="3"/>
  <c r="C44" i="3" s="1"/>
  <c r="E43" i="2"/>
  <c r="F43" i="2" s="1"/>
  <c r="H40" i="2"/>
  <c r="E37" i="2"/>
  <c r="C39" i="2"/>
  <c r="C41" i="2" s="1"/>
  <c r="E38" i="2"/>
  <c r="E40" i="2"/>
  <c r="C45" i="3"/>
  <c r="C46" i="3" s="1"/>
  <c r="E37" i="3"/>
  <c r="H37" i="3"/>
  <c r="H38" i="3"/>
  <c r="H40" i="3"/>
  <c r="I36" i="3"/>
  <c r="B49" i="3"/>
  <c r="E40" i="3"/>
  <c r="F40" i="3"/>
  <c r="F37" i="3"/>
  <c r="F38" i="3"/>
  <c r="G35" i="3"/>
  <c r="E39" i="3"/>
  <c r="D39" i="3"/>
  <c r="D41" i="3" s="1"/>
  <c r="D39" i="2"/>
  <c r="D41" i="2" s="1"/>
  <c r="D44" i="2" s="1"/>
  <c r="K35" i="2"/>
  <c r="I36" i="2"/>
  <c r="H38" i="2"/>
  <c r="F40" i="2"/>
  <c r="F37" i="2"/>
  <c r="F38" i="2"/>
  <c r="G35" i="2"/>
  <c r="E39" i="2"/>
  <c r="C94" i="1"/>
  <c r="C91" i="1"/>
  <c r="F90" i="1"/>
  <c r="E93" i="1" s="1"/>
  <c r="E94" i="1"/>
  <c r="E91" i="1"/>
  <c r="E71" i="1"/>
  <c r="C92" i="1"/>
  <c r="E92" i="1"/>
  <c r="D64" i="1"/>
  <c r="C67" i="1" s="1"/>
  <c r="C66" i="1"/>
  <c r="F76" i="1"/>
  <c r="D48" i="1"/>
  <c r="F102" i="1"/>
  <c r="F97" i="1"/>
  <c r="F71" i="1"/>
  <c r="D94" i="1"/>
  <c r="D91" i="1"/>
  <c r="C95" i="1"/>
  <c r="C65" i="1"/>
  <c r="F43" i="1"/>
  <c r="G102" i="1" s="1"/>
  <c r="E76" i="1"/>
  <c r="E97" i="1"/>
  <c r="B39" i="1"/>
  <c r="B41" i="1" s="1"/>
  <c r="B49" i="1" s="1"/>
  <c r="C40" i="1"/>
  <c r="E36" i="1"/>
  <c r="F36" i="1" s="1"/>
  <c r="D38" i="1"/>
  <c r="D40" i="1"/>
  <c r="C68" i="1"/>
  <c r="D92" i="1"/>
  <c r="F35" i="1"/>
  <c r="E48" i="1"/>
  <c r="E37" i="1"/>
  <c r="C69" i="1" l="1"/>
  <c r="G43" i="1"/>
  <c r="G97" i="1"/>
  <c r="F48" i="1"/>
  <c r="G76" i="1"/>
  <c r="G71" i="1"/>
  <c r="H43" i="3"/>
  <c r="F43" i="3"/>
  <c r="G43" i="3"/>
  <c r="E41" i="3"/>
  <c r="E44" i="3" s="1"/>
  <c r="E45" i="3" s="1"/>
  <c r="E46" i="3" s="1"/>
  <c r="G43" i="2"/>
  <c r="I43" i="2"/>
  <c r="H43" i="2"/>
  <c r="J43" i="2" s="1"/>
  <c r="K43" i="2" s="1"/>
  <c r="C44" i="2"/>
  <c r="C45" i="2" s="1"/>
  <c r="C46" i="2" s="1"/>
  <c r="E41" i="2"/>
  <c r="E44" i="2" s="1"/>
  <c r="E45" i="2" s="1"/>
  <c r="E46" i="2" s="1"/>
  <c r="D44" i="3"/>
  <c r="G38" i="3"/>
  <c r="G40" i="3"/>
  <c r="F39" i="3"/>
  <c r="F41" i="3" s="1"/>
  <c r="G37" i="3"/>
  <c r="H39" i="3"/>
  <c r="H41" i="3" s="1"/>
  <c r="H44" i="3" s="1"/>
  <c r="I37" i="3"/>
  <c r="I40" i="3"/>
  <c r="J36" i="3"/>
  <c r="I38" i="3"/>
  <c r="G39" i="3"/>
  <c r="D45" i="2"/>
  <c r="D46" i="2" s="1"/>
  <c r="G38" i="2"/>
  <c r="F39" i="2"/>
  <c r="F41" i="2" s="1"/>
  <c r="F44" i="2" s="1"/>
  <c r="G37" i="2"/>
  <c r="G40" i="2"/>
  <c r="G39" i="2"/>
  <c r="G41" i="2" s="1"/>
  <c r="G44" i="2" s="1"/>
  <c r="L35" i="2"/>
  <c r="J36" i="2"/>
  <c r="I40" i="2"/>
  <c r="H39" i="2"/>
  <c r="H41" i="2" s="1"/>
  <c r="H44" i="2" s="1"/>
  <c r="I37" i="2"/>
  <c r="I38" i="2"/>
  <c r="D95" i="1"/>
  <c r="C72" i="1"/>
  <c r="G35" i="1"/>
  <c r="E39" i="1"/>
  <c r="H43" i="1"/>
  <c r="I102" i="1" s="1"/>
  <c r="G90" i="1"/>
  <c r="F93" i="1" s="1"/>
  <c r="F94" i="1"/>
  <c r="F91" i="1"/>
  <c r="E38" i="1"/>
  <c r="H102" i="1"/>
  <c r="H71" i="1"/>
  <c r="I43" i="1"/>
  <c r="J102" i="1" s="1"/>
  <c r="C98" i="1"/>
  <c r="H97" i="1"/>
  <c r="I71" i="1"/>
  <c r="F37" i="1"/>
  <c r="E40" i="1"/>
  <c r="D39" i="1"/>
  <c r="D41" i="1" s="1"/>
  <c r="D44" i="1" s="1"/>
  <c r="D45" i="1" s="1"/>
  <c r="D46" i="1" s="1"/>
  <c r="D49" i="1" s="1"/>
  <c r="F92" i="1"/>
  <c r="C39" i="1"/>
  <c r="C41" i="1" s="1"/>
  <c r="C44" i="1" s="1"/>
  <c r="C45" i="1" s="1"/>
  <c r="C46" i="1" s="1"/>
  <c r="C49" i="1" s="1"/>
  <c r="H76" i="1"/>
  <c r="E64" i="1"/>
  <c r="D67" i="1" s="1"/>
  <c r="D68" i="1"/>
  <c r="D66" i="1"/>
  <c r="D65" i="1"/>
  <c r="E95" i="1"/>
  <c r="E98" i="1" s="1"/>
  <c r="G48" i="1"/>
  <c r="F40" i="1"/>
  <c r="F38" i="1"/>
  <c r="G36" i="1"/>
  <c r="E41" i="1" l="1"/>
  <c r="E44" i="1" s="1"/>
  <c r="E45" i="1" s="1"/>
  <c r="E46" i="1" s="1"/>
  <c r="E49" i="1" s="1"/>
  <c r="I76" i="1"/>
  <c r="I97" i="1"/>
  <c r="D69" i="1"/>
  <c r="D72" i="1" s="1"/>
  <c r="D73" i="1" s="1"/>
  <c r="D74" i="1" s="1"/>
  <c r="D77" i="1" s="1"/>
  <c r="J76" i="1"/>
  <c r="I43" i="3"/>
  <c r="G41" i="3"/>
  <c r="G44" i="3" s="1"/>
  <c r="L43" i="2"/>
  <c r="H45" i="3"/>
  <c r="H46" i="3"/>
  <c r="G45" i="3"/>
  <c r="G46" i="3" s="1"/>
  <c r="F44" i="3"/>
  <c r="D45" i="3"/>
  <c r="D46" i="3" s="1"/>
  <c r="J40" i="3"/>
  <c r="K36" i="3"/>
  <c r="I39" i="3"/>
  <c r="I41" i="3" s="1"/>
  <c r="J38" i="3"/>
  <c r="J37" i="3"/>
  <c r="G45" i="2"/>
  <c r="G46" i="2" s="1"/>
  <c r="F45" i="2"/>
  <c r="F46" i="2" s="1"/>
  <c r="H45" i="2"/>
  <c r="H46" i="2" s="1"/>
  <c r="K36" i="2"/>
  <c r="I39" i="2"/>
  <c r="I41" i="2" s="1"/>
  <c r="I44" i="2" s="1"/>
  <c r="J40" i="2"/>
  <c r="J37" i="2"/>
  <c r="J38" i="2"/>
  <c r="D98" i="1"/>
  <c r="D99" i="1" s="1"/>
  <c r="F95" i="1"/>
  <c r="F98" i="1" s="1"/>
  <c r="F99" i="1" s="1"/>
  <c r="F100" i="1" s="1"/>
  <c r="F103" i="1" s="1"/>
  <c r="H35" i="1"/>
  <c r="F39" i="1"/>
  <c r="F41" i="1" s="1"/>
  <c r="E99" i="1"/>
  <c r="E100" i="1" s="1"/>
  <c r="E103" i="1" s="1"/>
  <c r="J71" i="1"/>
  <c r="C99" i="1"/>
  <c r="C100" i="1" s="1"/>
  <c r="C103" i="1" s="1"/>
  <c r="H90" i="1"/>
  <c r="G93" i="1" s="1"/>
  <c r="G91" i="1"/>
  <c r="G92" i="1"/>
  <c r="G94" i="1"/>
  <c r="J43" i="1"/>
  <c r="K102" i="1" s="1"/>
  <c r="J97" i="1"/>
  <c r="F64" i="1"/>
  <c r="E67" i="1" s="1"/>
  <c r="E66" i="1"/>
  <c r="E68" i="1"/>
  <c r="E65" i="1"/>
  <c r="C73" i="1"/>
  <c r="C74" i="1" s="1"/>
  <c r="C77" i="1" s="1"/>
  <c r="H36" i="1"/>
  <c r="G38" i="1"/>
  <c r="G40" i="1"/>
  <c r="G37" i="1"/>
  <c r="F44" i="1" l="1"/>
  <c r="F45" i="1" s="1"/>
  <c r="F46" i="1" s="1"/>
  <c r="F49" i="1" s="1"/>
  <c r="G39" i="1"/>
  <c r="K43" i="1"/>
  <c r="L71" i="1" s="1"/>
  <c r="G95" i="1"/>
  <c r="G98" i="1" s="1"/>
  <c r="D100" i="1"/>
  <c r="D103" i="1" s="1"/>
  <c r="J43" i="3"/>
  <c r="K43" i="3" s="1"/>
  <c r="I44" i="3"/>
  <c r="K38" i="3"/>
  <c r="L36" i="3"/>
  <c r="L39" i="3" s="1"/>
  <c r="J39" i="3"/>
  <c r="J41" i="3" s="1"/>
  <c r="K37" i="3"/>
  <c r="K40" i="3"/>
  <c r="F45" i="3"/>
  <c r="F46" i="3" s="1"/>
  <c r="I45" i="2"/>
  <c r="I46" i="2" s="1"/>
  <c r="J41" i="2"/>
  <c r="L36" i="2"/>
  <c r="K38" i="2"/>
  <c r="K37" i="2"/>
  <c r="K40" i="2"/>
  <c r="J39" i="2"/>
  <c r="I35" i="1"/>
  <c r="G41" i="1"/>
  <c r="G64" i="1"/>
  <c r="F67" i="1" s="1"/>
  <c r="F65" i="1"/>
  <c r="F69" i="1" s="1"/>
  <c r="F72" i="1" s="1"/>
  <c r="F73" i="1" s="1"/>
  <c r="F74" i="1" s="1"/>
  <c r="F77" i="1" s="1"/>
  <c r="F66" i="1"/>
  <c r="F68" i="1"/>
  <c r="I90" i="1"/>
  <c r="H93" i="1" s="1"/>
  <c r="H94" i="1"/>
  <c r="H91" i="1"/>
  <c r="H92" i="1"/>
  <c r="K71" i="1"/>
  <c r="L43" i="1"/>
  <c r="E69" i="1"/>
  <c r="K97" i="1"/>
  <c r="K76" i="1"/>
  <c r="H48" i="1"/>
  <c r="I48" i="1"/>
  <c r="H37" i="1"/>
  <c r="I36" i="1"/>
  <c r="H40" i="1"/>
  <c r="H38" i="1"/>
  <c r="L102" i="1" l="1"/>
  <c r="L97" i="1"/>
  <c r="H95" i="1"/>
  <c r="L76" i="1"/>
  <c r="L43" i="3"/>
  <c r="J44" i="2"/>
  <c r="J44" i="3"/>
  <c r="K41" i="3"/>
  <c r="K44" i="3" s="1"/>
  <c r="L38" i="3"/>
  <c r="K39" i="3"/>
  <c r="L37" i="3"/>
  <c r="L40" i="3"/>
  <c r="I45" i="3"/>
  <c r="I46" i="3" s="1"/>
  <c r="L37" i="2"/>
  <c r="L40" i="2"/>
  <c r="L39" i="2"/>
  <c r="K39" i="2"/>
  <c r="K41" i="2" s="1"/>
  <c r="K44" i="2" s="1"/>
  <c r="L38" i="2"/>
  <c r="J45" i="2"/>
  <c r="J46" i="2" s="1"/>
  <c r="H98" i="1"/>
  <c r="G99" i="1"/>
  <c r="G100" i="1" s="1"/>
  <c r="G103" i="1" s="1"/>
  <c r="J90" i="1"/>
  <c r="I93" i="1" s="1"/>
  <c r="I94" i="1"/>
  <c r="I91" i="1"/>
  <c r="I95" i="1" s="1"/>
  <c r="I92" i="1"/>
  <c r="E72" i="1"/>
  <c r="E73" i="1" s="1"/>
  <c r="E74" i="1" s="1"/>
  <c r="E77" i="1" s="1"/>
  <c r="H64" i="1"/>
  <c r="G67" i="1" s="1"/>
  <c r="G68" i="1"/>
  <c r="G65" i="1"/>
  <c r="G66" i="1"/>
  <c r="J35" i="1"/>
  <c r="H39" i="1"/>
  <c r="H41" i="1" s="1"/>
  <c r="H44" i="1" s="1"/>
  <c r="H45" i="1" s="1"/>
  <c r="H46" i="1" s="1"/>
  <c r="H49" i="1" s="1"/>
  <c r="G44" i="1"/>
  <c r="G45" i="1" s="1"/>
  <c r="G46" i="1" s="1"/>
  <c r="G49" i="1" s="1"/>
  <c r="J48" i="1"/>
  <c r="J36" i="1"/>
  <c r="I40" i="1"/>
  <c r="I38" i="1"/>
  <c r="I37" i="1"/>
  <c r="L41" i="3" l="1"/>
  <c r="L41" i="2"/>
  <c r="G55" i="2"/>
  <c r="P55" i="2"/>
  <c r="H55" i="2"/>
  <c r="S55" i="2"/>
  <c r="T55" i="2"/>
  <c r="L44" i="3"/>
  <c r="B51" i="3"/>
  <c r="K45" i="3"/>
  <c r="K46" i="3" s="1"/>
  <c r="J45" i="3"/>
  <c r="J46" i="3" s="1"/>
  <c r="K45" i="2"/>
  <c r="K46" i="2" s="1"/>
  <c r="G69" i="1"/>
  <c r="G72" i="1" s="1"/>
  <c r="G73" i="1" s="1"/>
  <c r="G74" i="1" s="1"/>
  <c r="G77" i="1" s="1"/>
  <c r="I98" i="1"/>
  <c r="K35" i="1"/>
  <c r="I39" i="1"/>
  <c r="I41" i="1" s="1"/>
  <c r="I64" i="1"/>
  <c r="H67" i="1" s="1"/>
  <c r="H68" i="1"/>
  <c r="H65" i="1"/>
  <c r="H66" i="1"/>
  <c r="K90" i="1"/>
  <c r="J93" i="1" s="1"/>
  <c r="J92" i="1"/>
  <c r="J91" i="1"/>
  <c r="J94" i="1"/>
  <c r="H99" i="1"/>
  <c r="H100" i="1" s="1"/>
  <c r="H103" i="1" s="1"/>
  <c r="K48" i="1"/>
  <c r="J38" i="1"/>
  <c r="K36" i="1"/>
  <c r="J40" i="1"/>
  <c r="J37" i="1"/>
  <c r="J95" i="1" l="1"/>
  <c r="J98" i="1" s="1"/>
  <c r="L44" i="2"/>
  <c r="L45" i="2" s="1"/>
  <c r="L46" i="2" s="1"/>
  <c r="F55" i="2"/>
  <c r="N55" i="2"/>
  <c r="K55" i="2"/>
  <c r="O55" i="2"/>
  <c r="L55" i="2"/>
  <c r="B55" i="2"/>
  <c r="E55" i="2"/>
  <c r="C55" i="2"/>
  <c r="M55" i="2"/>
  <c r="I55" i="2"/>
  <c r="B51" i="2"/>
  <c r="Q55" i="2"/>
  <c r="J55" i="2"/>
  <c r="R55" i="2"/>
  <c r="U55" i="2"/>
  <c r="D55" i="2"/>
  <c r="L45" i="3"/>
  <c r="L46" i="3"/>
  <c r="J99" i="1"/>
  <c r="J100" i="1"/>
  <c r="J103" i="1" s="1"/>
  <c r="J64" i="1"/>
  <c r="I67" i="1" s="1"/>
  <c r="I66" i="1"/>
  <c r="I65" i="1"/>
  <c r="I68" i="1"/>
  <c r="L35" i="1"/>
  <c r="J39" i="1"/>
  <c r="J41" i="1" s="1"/>
  <c r="J44" i="1" s="1"/>
  <c r="H69" i="1"/>
  <c r="I99" i="1"/>
  <c r="I100" i="1" s="1"/>
  <c r="I103" i="1" s="1"/>
  <c r="L90" i="1"/>
  <c r="K92" i="1"/>
  <c r="K91" i="1"/>
  <c r="K94" i="1"/>
  <c r="L48" i="1"/>
  <c r="L36" i="1"/>
  <c r="K40" i="1"/>
  <c r="K38" i="1"/>
  <c r="K37" i="1"/>
  <c r="I44" i="1"/>
  <c r="L93" i="1" l="1"/>
  <c r="K93" i="1"/>
  <c r="K95" i="1" s="1"/>
  <c r="I69" i="1"/>
  <c r="H72" i="1"/>
  <c r="K39" i="1"/>
  <c r="K41" i="1" s="1"/>
  <c r="K44" i="1" s="1"/>
  <c r="K45" i="1" s="1"/>
  <c r="K46" i="1" s="1"/>
  <c r="K49" i="1" s="1"/>
  <c r="L39" i="1"/>
  <c r="K64" i="1"/>
  <c r="J67" i="1" s="1"/>
  <c r="J66" i="1"/>
  <c r="J65" i="1"/>
  <c r="J68" i="1"/>
  <c r="L94" i="1"/>
  <c r="L91" i="1"/>
  <c r="L95" i="1" s="1"/>
  <c r="L92" i="1"/>
  <c r="J45" i="1"/>
  <c r="J46" i="1" s="1"/>
  <c r="J49" i="1" s="1"/>
  <c r="I45" i="1"/>
  <c r="I46" i="1" s="1"/>
  <c r="I49" i="1" s="1"/>
  <c r="L40" i="1"/>
  <c r="L38" i="1"/>
  <c r="L37" i="1"/>
  <c r="K98" i="1" l="1"/>
  <c r="K99" i="1" s="1"/>
  <c r="K100" i="1" s="1"/>
  <c r="K103" i="1" s="1"/>
  <c r="B110" i="1"/>
  <c r="C110" i="1"/>
  <c r="L110" i="1"/>
  <c r="J110" i="1"/>
  <c r="I110" i="1"/>
  <c r="Q110" i="1"/>
  <c r="F110" i="1"/>
  <c r="S110" i="1"/>
  <c r="K110" i="1"/>
  <c r="N110" i="1"/>
  <c r="E110" i="1"/>
  <c r="G110" i="1"/>
  <c r="R110" i="1"/>
  <c r="P110" i="1"/>
  <c r="D110" i="1"/>
  <c r="U110" i="1"/>
  <c r="T110" i="1"/>
  <c r="M110" i="1"/>
  <c r="H110" i="1"/>
  <c r="O110" i="1"/>
  <c r="I72" i="1"/>
  <c r="I73" i="1" s="1"/>
  <c r="I74" i="1" s="1"/>
  <c r="I77" i="1" s="1"/>
  <c r="J69" i="1"/>
  <c r="L98" i="1"/>
  <c r="B105" i="1"/>
  <c r="H74" i="1"/>
  <c r="H77" i="1" s="1"/>
  <c r="H73" i="1"/>
  <c r="L64" i="1"/>
  <c r="K68" i="1"/>
  <c r="K65" i="1"/>
  <c r="K66" i="1"/>
  <c r="L41" i="1"/>
  <c r="M56" i="1" l="1"/>
  <c r="C56" i="1"/>
  <c r="I56" i="1"/>
  <c r="J56" i="1"/>
  <c r="R56" i="1"/>
  <c r="L56" i="1"/>
  <c r="O56" i="1"/>
  <c r="P56" i="1"/>
  <c r="G56" i="1"/>
  <c r="B56" i="1"/>
  <c r="H56" i="1"/>
  <c r="D56" i="1"/>
  <c r="F56" i="1"/>
  <c r="E56" i="1"/>
  <c r="S56" i="1"/>
  <c r="U56" i="1"/>
  <c r="Q56" i="1"/>
  <c r="T56" i="1"/>
  <c r="K56" i="1"/>
  <c r="N56" i="1"/>
  <c r="K67" i="1"/>
  <c r="K69" i="1" s="1"/>
  <c r="K72" i="1" s="1"/>
  <c r="L67" i="1"/>
  <c r="J72" i="1"/>
  <c r="J73" i="1" s="1"/>
  <c r="J74" i="1" s="1"/>
  <c r="J77" i="1" s="1"/>
  <c r="L68" i="1"/>
  <c r="L65" i="1"/>
  <c r="L66" i="1"/>
  <c r="L99" i="1"/>
  <c r="L100" i="1" s="1"/>
  <c r="L103" i="1" s="1"/>
  <c r="L44" i="1"/>
  <c r="L45" i="1" s="1"/>
  <c r="L46" i="1" s="1"/>
  <c r="L49" i="1" s="1"/>
  <c r="B52" i="1"/>
  <c r="L69" i="1" l="1"/>
  <c r="K73" i="1"/>
  <c r="K74" i="1" s="1"/>
  <c r="K77" i="1" s="1"/>
  <c r="K57" i="1"/>
  <c r="C57" i="1"/>
  <c r="R57" i="1"/>
  <c r="J57" i="1"/>
  <c r="P57" i="1"/>
  <c r="T57" i="1"/>
  <c r="L57" i="1"/>
  <c r="H57" i="1"/>
  <c r="U57" i="1"/>
  <c r="Q57" i="1"/>
  <c r="E57" i="1"/>
  <c r="M57" i="1"/>
  <c r="F57" i="1"/>
  <c r="O57" i="1"/>
  <c r="S57" i="1"/>
  <c r="D57" i="1"/>
  <c r="N57" i="1"/>
  <c r="G57" i="1"/>
  <c r="B57" i="1"/>
  <c r="I57" i="1"/>
  <c r="B83" i="1"/>
  <c r="H83" i="1"/>
  <c r="M83" i="1"/>
  <c r="D83" i="1"/>
  <c r="J83" i="1"/>
  <c r="E83" i="1"/>
  <c r="S83" i="1"/>
  <c r="G83" i="1"/>
  <c r="C83" i="1"/>
  <c r="T83" i="1"/>
  <c r="K83" i="1"/>
  <c r="F83" i="1"/>
  <c r="L83" i="1"/>
  <c r="O83" i="1"/>
  <c r="I83" i="1"/>
  <c r="Q83" i="1"/>
  <c r="P83" i="1"/>
  <c r="N83" i="1"/>
  <c r="U83" i="1"/>
  <c r="R83" i="1"/>
  <c r="B106" i="1"/>
  <c r="L72" i="1"/>
  <c r="L73" i="1" s="1"/>
  <c r="L74" i="1" s="1"/>
  <c r="L77" i="1" s="1"/>
  <c r="B79" i="1"/>
  <c r="B53" i="1"/>
  <c r="B80" i="1" l="1"/>
</calcChain>
</file>

<file path=xl/sharedStrings.xml><?xml version="1.0" encoding="utf-8"?>
<sst xmlns="http://schemas.openxmlformats.org/spreadsheetml/2006/main" count="173" uniqueCount="48">
  <si>
    <t>Investrering i annlegsmidler</t>
  </si>
  <si>
    <t>Øvrige omsetninger som øker med 5% per år</t>
  </si>
  <si>
    <t>Avtale med Helse privat AS</t>
  </si>
  <si>
    <t>Lønnskostnader</t>
  </si>
  <si>
    <t>Lønnskostnader prosent av omsetning</t>
  </si>
  <si>
    <t>Variable strøm kostnader prosent av omsetning</t>
  </si>
  <si>
    <t>Øvrige variable kostnader prosent av omsetning basert på tall fra 2017</t>
  </si>
  <si>
    <t>Driftsinntekter</t>
  </si>
  <si>
    <t>Varekostnader</t>
  </si>
  <si>
    <t xml:space="preserve"> </t>
  </si>
  <si>
    <t>Øvrige driftskostnader</t>
  </si>
  <si>
    <t>Driftresultat før avskrivninger</t>
  </si>
  <si>
    <t>Avskrivinger</t>
  </si>
  <si>
    <t>Driftresultat</t>
  </si>
  <si>
    <t>År</t>
  </si>
  <si>
    <t>Skattesats</t>
  </si>
  <si>
    <t>Scenario 1</t>
  </si>
  <si>
    <t>år</t>
  </si>
  <si>
    <t>Innvesteringer</t>
  </si>
  <si>
    <t>Omsetning Helse AS</t>
  </si>
  <si>
    <t>Omsetning øvrig</t>
  </si>
  <si>
    <t>Variable strømkostnader</t>
  </si>
  <si>
    <t>Øvrige variable kostnader</t>
  </si>
  <si>
    <t xml:space="preserve">Økning i øvrig omsetning </t>
  </si>
  <si>
    <t>Kontantstrøm før skatt</t>
  </si>
  <si>
    <t>Antar at vi befinner oss i saldogruppe j fra skatteetatens sider med sats</t>
  </si>
  <si>
    <t>Avskrivninger</t>
  </si>
  <si>
    <t>Skattepliktig inntekt</t>
  </si>
  <si>
    <t>Skatt 23%</t>
  </si>
  <si>
    <t>Resultat etter skatt</t>
  </si>
  <si>
    <t>kontantstrøm etter skatt</t>
  </si>
  <si>
    <t>Internrente før skatt</t>
  </si>
  <si>
    <t>Internrente etter skatt</t>
  </si>
  <si>
    <t>Scenario 2</t>
  </si>
  <si>
    <t>Scenario 3</t>
  </si>
  <si>
    <t>internrente etter skatt</t>
  </si>
  <si>
    <t>Resultatregnskap frem til nåværende tidspunkt</t>
  </si>
  <si>
    <t>Eksamenscase høst 2018</t>
  </si>
  <si>
    <t>Innflasjon</t>
  </si>
  <si>
    <t>Arbeidskapital</t>
  </si>
  <si>
    <t>Scenario 2 delt omsetning siste 5 år</t>
  </si>
  <si>
    <t>Avkastningskrav</t>
  </si>
  <si>
    <t>Nettonåverdi for de ulike avkastningskravene</t>
  </si>
  <si>
    <t>Nettonåverdi for ulike avkastningskrav</t>
  </si>
  <si>
    <t>Nettonåverdi for de ulike avkastningkrav</t>
  </si>
  <si>
    <t>Nettonåverdi for de ulike avkastningkrav etter skatt</t>
  </si>
  <si>
    <t>Nettonåverdi for ulike avkastningskrav etter skatt</t>
  </si>
  <si>
    <t>Nettonåverdi for de ulike avkastningskravene etter skatt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</si>
</sst>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-* #,##0_-;\-* #,##0_-;_-* &quot;-&quot;??_-;_-@_-"/>
    <numFmt numFmtId="176" formatCode="_-&quot;kr&quot;\ * #,##0_-;\-&quot;kr&quot;\ * #,##0_-;_-&quot;kr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4" applyNumberFormat="0" applyAlignment="0" applyProtection="0"/>
    <xf numFmtId="0" fontId="6" fillId="0" borderId="5" applyNumberFormat="0" applyFill="0" applyAlignment="0" applyProtection="0"/>
    <xf numFmtId="0" fontId="7" fillId="3" borderId="0" applyNumberFormat="0" applyBorder="0" applyAlignment="0" applyProtection="0"/>
    <xf numFmtId="44" fontId="1" fillId="0" borderId="0" applyFont="0" applyFill="0" applyBorder="0" applyAlignment="0" applyProtection="0"/>
    <xf numFmtId="0" fontId="9" fillId="4" borderId="6" applyNumberFormat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5" fillId="2" borderId="4" xfId="5"/>
    <xf numFmtId="0" fontId="6" fillId="0" borderId="5" xfId="6"/>
    <xf numFmtId="0" fontId="3" fillId="0" borderId="2" xfId="3"/>
    <xf numFmtId="0" fontId="4" fillId="0" borderId="3" xfId="4"/>
    <xf numFmtId="164" fontId="0" fillId="0" borderId="0" xfId="0" applyNumberFormat="1"/>
    <xf numFmtId="0" fontId="7" fillId="3" borderId="0" xfId="7"/>
    <xf numFmtId="10" fontId="7" fillId="3" borderId="0" xfId="7" applyNumberFormat="1"/>
    <xf numFmtId="10" fontId="5" fillId="2" borderId="4" xfId="5" applyNumberFormat="1"/>
    <xf numFmtId="9" fontId="5" fillId="2" borderId="4" xfId="5" applyNumberFormat="1"/>
    <xf numFmtId="0" fontId="8" fillId="0" borderId="0" xfId="0" applyFont="1"/>
    <xf numFmtId="9" fontId="0" fillId="0" borderId="0" xfId="0" applyNumberFormat="1"/>
    <xf numFmtId="0" fontId="10" fillId="0" borderId="1" xfId="2" applyFont="1"/>
    <xf numFmtId="0" fontId="11" fillId="0" borderId="1" xfId="2" applyFont="1"/>
    <xf numFmtId="0" fontId="12" fillId="0" borderId="1" xfId="2" applyFont="1"/>
    <xf numFmtId="0" fontId="9" fillId="4" borderId="6" xfId="9"/>
    <xf numFmtId="9" fontId="9" fillId="4" borderId="6" xfId="9" applyNumberFormat="1"/>
    <xf numFmtId="176" fontId="9" fillId="4" borderId="6" xfId="8" applyNumberFormat="1" applyFont="1" applyFill="1" applyBorder="1"/>
    <xf numFmtId="176" fontId="0" fillId="0" borderId="0" xfId="8" applyNumberFormat="1" applyFont="1"/>
    <xf numFmtId="176" fontId="6" fillId="0" borderId="5" xfId="8" applyNumberFormat="1" applyFont="1" applyBorder="1"/>
    <xf numFmtId="176" fontId="5" fillId="2" borderId="4" xfId="8" applyNumberFormat="1" applyFont="1" applyFill="1" applyBorder="1"/>
    <xf numFmtId="176" fontId="9" fillId="4" borderId="6" xfId="9" applyNumberFormat="1"/>
  </cellXfs>
  <cellStyles count="10">
    <cellStyle name="Inndata" xfId="9" builtinId="20"/>
    <cellStyle name="Komma" xfId="1" builtinId="3"/>
    <cellStyle name="Kontrollcelle" xfId="5" builtinId="23"/>
    <cellStyle name="Normal" xfId="0" builtinId="0"/>
    <cellStyle name="Overskrift 1" xfId="2" builtinId="16"/>
    <cellStyle name="Overskrift 2" xfId="3" builtinId="17"/>
    <cellStyle name="Overskrift 3" xfId="4" builtinId="18"/>
    <cellStyle name="Totalt" xfId="6" builtinId="25"/>
    <cellStyle name="Uthevingsfarge4" xfId="7" builtinId="41"/>
    <cellStyle name="Valuta" xfId="8" builtinId="4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Følsomhet</a:t>
            </a:r>
            <a:r>
              <a:rPr lang="nb-NO" baseline="0"/>
              <a:t> for avkastningskravet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1'!$A$56</c:f>
              <c:strCache>
                <c:ptCount val="1"/>
                <c:pt idx="0">
                  <c:v>Nettonåverdi for de ulike avkastningkrav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'Scenario 1'!$B$56:$U$56</c:f>
              <c:numCache>
                <c:formatCode>_-"kr"\ * #\ ##0_-;\-"kr"\ * #\ ##0_-;_-"kr"\ * "-"??_-;_-@_-</c:formatCode>
                <c:ptCount val="20"/>
                <c:pt idx="0">
                  <c:v>28220373.199564807</c:v>
                </c:pt>
                <c:pt idx="1">
                  <c:v>25338767.446055949</c:v>
                </c:pt>
                <c:pt idx="2">
                  <c:v>22684813.370967679</c:v>
                </c:pt>
                <c:pt idx="3">
                  <c:v>20237157.835450053</c:v>
                </c:pt>
                <c:pt idx="4">
                  <c:v>17976704.772706337</c:v>
                </c:pt>
                <c:pt idx="5">
                  <c:v>15886353.072884127</c:v>
                </c:pt>
                <c:pt idx="6">
                  <c:v>13950767.408697657</c:v>
                </c:pt>
                <c:pt idx="7">
                  <c:v>12156177.567319117</c:v>
                </c:pt>
                <c:pt idx="8">
                  <c:v>10490202.488786008</c:v>
                </c:pt>
                <c:pt idx="9">
                  <c:v>8941695.7498469502</c:v>
                </c:pt>
                <c:pt idx="10">
                  <c:v>7500609.6900981516</c:v>
                </c:pt>
                <c:pt idx="11">
                  <c:v>6157875.7671842985</c:v>
                </c:pt>
                <c:pt idx="12">
                  <c:v>4905299.0603836477</c:v>
                </c:pt>
                <c:pt idx="13">
                  <c:v>3735465.1259528436</c:v>
                </c:pt>
                <c:pt idx="14">
                  <c:v>2641657.6506228261</c:v>
                </c:pt>
                <c:pt idx="15">
                  <c:v>1617785.5578512847</c:v>
                </c:pt>
                <c:pt idx="16">
                  <c:v>658318.40010808036</c:v>
                </c:pt>
                <c:pt idx="17">
                  <c:v>-241770.97599508241</c:v>
                </c:pt>
                <c:pt idx="18">
                  <c:v>-1087057.3727849685</c:v>
                </c:pt>
                <c:pt idx="19">
                  <c:v>-1881708.5600000322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'Scenario 1'!$A$57</c:f>
              <c:strCache>
                <c:ptCount val="1"/>
                <c:pt idx="0">
                  <c:v>Nettonåverdi for de ulike avkastningkrav etter skatt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'Scenario 1'!$B$57:$U$57</c:f>
              <c:numCache>
                <c:formatCode>_-"kr"\ * #\ ##0_-;\-"kr"\ * #\ ##0_-;_-"kr"\ * "-"??_-;_-@_-</c:formatCode>
                <c:ptCount val="20"/>
                <c:pt idx="0">
                  <c:v>19416497.728443027</c:v>
                </c:pt>
                <c:pt idx="1">
                  <c:v>17072706.165562987</c:v>
                </c:pt>
                <c:pt idx="2">
                  <c:v>14912715.737601407</c:v>
                </c:pt>
                <c:pt idx="3">
                  <c:v>12919360.505697452</c:v>
                </c:pt>
                <c:pt idx="4">
                  <c:v>11077283.840473197</c:v>
                </c:pt>
                <c:pt idx="5">
                  <c:v>9372728.7342683673</c:v>
                </c:pt>
                <c:pt idx="6">
                  <c:v>7793354.4248416871</c:v>
                </c:pt>
                <c:pt idx="7">
                  <c:v>6328075.7927838936</c:v>
                </c:pt>
                <c:pt idx="8">
                  <c:v>4966922.5007563047</c:v>
                </c:pt>
                <c:pt idx="9">
                  <c:v>3700915.2720587365</c:v>
                </c:pt>
                <c:pt idx="10">
                  <c:v>2521957.0711098835</c:v>
                </c:pt>
                <c:pt idx="11">
                  <c:v>1422737.2593289129</c:v>
                </c:pt>
                <c:pt idx="12">
                  <c:v>396647.06510290504</c:v>
                </c:pt>
                <c:pt idx="13">
                  <c:v>-562295.06691486388</c:v>
                </c:pt>
                <c:pt idx="14">
                  <c:v>-1459509.4880751781</c:v>
                </c:pt>
                <c:pt idx="15">
                  <c:v>-2299913.7943514176</c:v>
                </c:pt>
                <c:pt idx="16">
                  <c:v>-3087974.6435158402</c:v>
                </c:pt>
                <c:pt idx="17">
                  <c:v>-3827753.7505508848</c:v>
                </c:pt>
                <c:pt idx="18">
                  <c:v>-4522948.7655039057</c:v>
                </c:pt>
                <c:pt idx="19">
                  <c:v>-5176929.6470878869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711352"/>
        <c:axId val="463708216"/>
      </c:lineChart>
      <c:catAx>
        <c:axId val="46371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3708216"/>
        <c:crosses val="autoZero"/>
        <c:auto val="1"/>
        <c:lblAlgn val="ctr"/>
        <c:lblOffset val="100"/>
        <c:noMultiLvlLbl val="0"/>
      </c:catAx>
      <c:valAx>
        <c:axId val="46370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kr&quot;\ * #\ ##0_-;\-&quot;kr&quot;\ * #\ ##0_-;_-&quot;kr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371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Følsomhet for avkastningskrav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2'!$A$55</c:f>
              <c:strCache>
                <c:ptCount val="1"/>
                <c:pt idx="0">
                  <c:v>Nettonåverdi for ulike avkastningskrav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'Scenario 2'!$B$55:$U$55</c:f>
              <c:numCache>
                <c:formatCode>_-"kr"\ * #\ ##0_-;\-"kr"\ * #\ ##0_-;_-"kr"\ * "-"??_-;_-@_-</c:formatCode>
                <c:ptCount val="20"/>
                <c:pt idx="0">
                  <c:v>22026172.805011168</c:v>
                </c:pt>
                <c:pt idx="1">
                  <c:v>19647565.372157708</c:v>
                </c:pt>
                <c:pt idx="2">
                  <c:v>17450910.76578787</c:v>
                </c:pt>
                <c:pt idx="3">
                  <c:v>15419442.917264335</c:v>
                </c:pt>
                <c:pt idx="4">
                  <c:v>13538149.931563914</c:v>
                </c:pt>
                <c:pt idx="5">
                  <c:v>11793571.614490211</c:v>
                </c:pt>
                <c:pt idx="6">
                  <c:v>10173622.3496821</c:v>
                </c:pt>
                <c:pt idx="7">
                  <c:v>8667435.9209378809</c:v>
                </c:pt>
                <c:pt idx="8">
                  <c:v>7265229.361917112</c:v>
                </c:pt>
                <c:pt idx="9">
                  <c:v>5958183.3282823153</c:v>
                </c:pt>
                <c:pt idx="10">
                  <c:v>4738336.8385003842</c:v>
                </c:pt>
                <c:pt idx="11">
                  <c:v>3598494.5285878703</c:v>
                </c:pt>
                <c:pt idx="12">
                  <c:v>2532144.8211935796</c:v>
                </c:pt>
                <c:pt idx="13">
                  <c:v>1533387.6273680516</c:v>
                </c:pt>
                <c:pt idx="14">
                  <c:v>596870.38587583229</c:v>
                </c:pt>
                <c:pt idx="15">
                  <c:v>-282268.59526032582</c:v>
                </c:pt>
                <c:pt idx="16">
                  <c:v>-1108450.393107295</c:v>
                </c:pt>
                <c:pt idx="17">
                  <c:v>-1885700.1002701633</c:v>
                </c:pt>
                <c:pt idx="18">
                  <c:v>-2617686.5101451389</c:v>
                </c:pt>
                <c:pt idx="19">
                  <c:v>-3307757.4481822141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'Scenario 2'!$A$56</c:f>
              <c:strCache>
                <c:ptCount val="1"/>
                <c:pt idx="0">
                  <c:v>Nettonåverdi for ulike avkastningskrav etter skatt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'Scenario 2'!$B$56:$U$56</c:f>
              <c:numCache>
                <c:formatCode>_-"kr"\ * #\ ##0_-;\-"kr"\ * #\ ##0_-;_-"kr"\ * "-"??_-;_-@_-</c:formatCode>
                <c:ptCount val="20"/>
                <c:pt idx="0">
                  <c:v>14646963.424636729</c:v>
                </c:pt>
                <c:pt idx="1">
                  <c:v>12690480.568661332</c:v>
                </c:pt>
                <c:pt idx="2">
                  <c:v>10882610.731612947</c:v>
                </c:pt>
                <c:pt idx="3">
                  <c:v>9209720.0186944604</c:v>
                </c:pt>
                <c:pt idx="4">
                  <c:v>7659596.6127935387</c:v>
                </c:pt>
                <c:pt idx="5">
                  <c:v>6221287.0113050491</c:v>
                </c:pt>
                <c:pt idx="6">
                  <c:v>4884952.7293997072</c:v>
                </c:pt>
                <c:pt idx="7">
                  <c:v>3641744.7250703424</c:v>
                </c:pt>
                <c:pt idx="8">
                  <c:v>2483693.1930672601</c:v>
                </c:pt>
                <c:pt idx="9">
                  <c:v>1403610.7074539699</c:v>
                </c:pt>
                <c:pt idx="10">
                  <c:v>395006.9753795974</c:v>
                </c:pt>
                <c:pt idx="11">
                  <c:v>-547986.29439033568</c:v>
                </c:pt>
                <c:pt idx="12">
                  <c:v>-1430681.6990734525</c:v>
                </c:pt>
                <c:pt idx="13">
                  <c:v>-2257894.7408251539</c:v>
                </c:pt>
                <c:pt idx="14">
                  <c:v>-3033995.6819303632</c:v>
                </c:pt>
                <c:pt idx="15">
                  <c:v>-3762955.4922473617</c:v>
                </c:pt>
                <c:pt idx="16">
                  <c:v>-4448386.6142916791</c:v>
                </c:pt>
                <c:pt idx="17">
                  <c:v>-5093579.1762427017</c:v>
                </c:pt>
                <c:pt idx="18">
                  <c:v>-5701533.2012712397</c:v>
                </c:pt>
                <c:pt idx="19">
                  <c:v>-6274987.2909881603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88168"/>
        <c:axId val="462390912"/>
      </c:lineChart>
      <c:catAx>
        <c:axId val="462388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2390912"/>
        <c:crosses val="autoZero"/>
        <c:auto val="1"/>
        <c:lblAlgn val="ctr"/>
        <c:lblOffset val="100"/>
        <c:noMultiLvlLbl val="0"/>
      </c:catAx>
      <c:valAx>
        <c:axId val="46239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kr&quot;\ * #\ ##0_-;\-&quot;kr&quot;\ * #\ ##0_-;_-&quot;kr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238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Følsomhet for avkastningskrav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3'!$A$56</c:f>
              <c:strCache>
                <c:ptCount val="1"/>
                <c:pt idx="0">
                  <c:v>Nettonåverdi for de ulike avkastningskravene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'Scenario 3'!$B$56:$U$56</c:f>
              <c:numCache>
                <c:formatCode>_-"kr"\ * #\ ##0_-;\-"kr"\ * #\ ##0_-;_-"kr"\ * "-"??_-;_-@_-</c:formatCode>
                <c:ptCount val="20"/>
                <c:pt idx="0">
                  <c:v>16708643.296893306</c:v>
                </c:pt>
                <c:pt idx="1">
                  <c:v>14761844.369132876</c:v>
                </c:pt>
                <c:pt idx="2">
                  <c:v>12957767.216520429</c:v>
                </c:pt>
                <c:pt idx="3">
                  <c:v>11283583.628359593</c:v>
                </c:pt>
                <c:pt idx="4">
                  <c:v>9727787.8448082507</c:v>
                </c:pt>
                <c:pt idx="5">
                  <c:v>8280045.2851800919</c:v>
                </c:pt>
                <c:pt idx="6">
                  <c:v>6931060.1094586626</c:v>
                </c:pt>
                <c:pt idx="7">
                  <c:v>5672459.0927513763</c:v>
                </c:pt>
                <c:pt idx="8">
                  <c:v>4496689.6517567933</c:v>
                </c:pt>
                <c:pt idx="9">
                  <c:v>3396930.1674295217</c:v>
                </c:pt>
                <c:pt idx="10">
                  <c:v>2367011.0075248368</c:v>
                </c:pt>
                <c:pt idx="11">
                  <c:v>1401344.8737710491</c:v>
                </c:pt>
                <c:pt idx="12">
                  <c:v>494865.28705000877</c:v>
                </c:pt>
                <c:pt idx="13">
                  <c:v>-357027.81482250243</c:v>
                </c:pt>
                <c:pt idx="14">
                  <c:v>-1158516.2541295774</c:v>
                </c:pt>
                <c:pt idx="15">
                  <c:v>-1913406.3342131376</c:v>
                </c:pt>
                <c:pt idx="16">
                  <c:v>-2625166.7719001286</c:v>
                </c:pt>
                <c:pt idx="17">
                  <c:v>-3296962.4215979204</c:v>
                </c:pt>
                <c:pt idx="18">
                  <c:v>-3931684.296050515</c:v>
                </c:pt>
                <c:pt idx="19">
                  <c:v>-4531976.32388971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'Scenario 3'!$A$57</c:f>
              <c:strCache>
                <c:ptCount val="1"/>
                <c:pt idx="0">
                  <c:v>Nettonåverdi for de ulike avkastningskravene etter skatt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'Scenario 3'!$B$57:$U$57</c:f>
              <c:numCache>
                <c:formatCode>_-"kr"\ * #\ ##0_-;\-"kr"\ * #\ ##0_-;_-"kr"\ * "-"??_-;_-@_-</c:formatCode>
                <c:ptCount val="20"/>
                <c:pt idx="0">
                  <c:v>10552465.703385975</c:v>
                </c:pt>
                <c:pt idx="1">
                  <c:v>8928475.3963322155</c:v>
                </c:pt>
                <c:pt idx="2">
                  <c:v>7422890.1986770146</c:v>
                </c:pt>
                <c:pt idx="3">
                  <c:v>6025108.3662378043</c:v>
                </c:pt>
                <c:pt idx="4">
                  <c:v>4725617.8059916683</c:v>
                </c:pt>
                <c:pt idx="5">
                  <c:v>3515871.7377362587</c:v>
                </c:pt>
                <c:pt idx="6">
                  <c:v>2388179.8044276536</c:v>
                </c:pt>
                <c:pt idx="7">
                  <c:v>1335612.5673667341</c:v>
                </c:pt>
                <c:pt idx="8">
                  <c:v>351917.61624380946</c:v>
                </c:pt>
                <c:pt idx="9">
                  <c:v>-568554.22640268505</c:v>
                </c:pt>
                <c:pt idx="10">
                  <c:v>-1430913.9144715741</c:v>
                </c:pt>
                <c:pt idx="11">
                  <c:v>-2239791.528599292</c:v>
                </c:pt>
                <c:pt idx="12">
                  <c:v>-2999386.9403639995</c:v>
                </c:pt>
                <c:pt idx="13">
                  <c:v>-3713514.631311886</c:v>
                </c:pt>
                <c:pt idx="14">
                  <c:v>-4385643.3947345316</c:v>
                </c:pt>
                <c:pt idx="15">
                  <c:v>-5018931.5512410253</c:v>
                </c:pt>
                <c:pt idx="16">
                  <c:v>-5616258.2259621546</c:v>
                </c:pt>
                <c:pt idx="17">
                  <c:v>-6180251.1636650786</c:v>
                </c:pt>
                <c:pt idx="18">
                  <c:v>-6713311.4964183755</c:v>
                </c:pt>
                <c:pt idx="19">
                  <c:v>-7217635.8252829332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93264"/>
        <c:axId val="462390128"/>
      </c:lineChart>
      <c:catAx>
        <c:axId val="46239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2390128"/>
        <c:crosses val="autoZero"/>
        <c:auto val="1"/>
        <c:lblAlgn val="ctr"/>
        <c:lblOffset val="100"/>
        <c:noMultiLvlLbl val="0"/>
      </c:catAx>
      <c:valAx>
        <c:axId val="4623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kr&quot;\ * #\ ##0_-;\-&quot;kr&quot;\ * #\ ##0_-;_-&quot;kr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23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488155</xdr:colOff>
      <xdr:row>14</xdr:row>
      <xdr:rowOff>119062</xdr:rowOff>
    </xdr:from>
    <xdr:to>
      <xdr:col>8</xdr:col>
      <xdr:colOff>130968</xdr:colOff>
      <xdr:row>30</xdr:row>
      <xdr:rowOff>234553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3619501</xdr:colOff>
      <xdr:row>56</xdr:row>
      <xdr:rowOff>68355</xdr:rowOff>
    </xdr:from>
    <xdr:to>
      <xdr:col>5</xdr:col>
      <xdr:colOff>257736</xdr:colOff>
      <xdr:row>70</xdr:row>
      <xdr:rowOff>144555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4303060</xdr:colOff>
      <xdr:row>57</xdr:row>
      <xdr:rowOff>135590</xdr:rowOff>
    </xdr:from>
    <xdr:to>
      <xdr:col>6</xdr:col>
      <xdr:colOff>112060</xdr:colOff>
      <xdr:row>72</xdr:row>
      <xdr:rowOff>21290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A37" zoomScale="80" zoomScaleNormal="80" workbookViewId="0">
      <selection activeCell="C31" sqref="C31"/>
    </sheetView>
  </sheetViews>
  <sheetFormatPr baseColWidth="10" defaultRowHeight="15" x14ac:dyDescent="0.25"/>
  <cols>
    <col min="1" max="1" width="63.85546875" bestFit="1" customWidth="1"/>
    <col min="2" max="5" width="17.5703125" bestFit="1" customWidth="1"/>
    <col min="6" max="8" width="17.42578125" bestFit="1" customWidth="1"/>
    <col min="9" max="13" width="16.42578125" bestFit="1" customWidth="1"/>
    <col min="14" max="15" width="16.28515625" bestFit="1" customWidth="1"/>
    <col min="16" max="21" width="16.42578125" bestFit="1" customWidth="1"/>
  </cols>
  <sheetData>
    <row r="1" spans="1:6" ht="36" x14ac:dyDescent="0.55000000000000004">
      <c r="A1" s="11" t="s">
        <v>37</v>
      </c>
    </row>
    <row r="3" spans="1:6" ht="18" thickBot="1" x14ac:dyDescent="0.35">
      <c r="A3" s="4" t="s">
        <v>36</v>
      </c>
    </row>
    <row r="4" spans="1:6" ht="15.75" thickTop="1" x14ac:dyDescent="0.25"/>
    <row r="5" spans="1:6" ht="15.75" thickBot="1" x14ac:dyDescent="0.3">
      <c r="A5" s="5" t="s">
        <v>14</v>
      </c>
      <c r="B5" s="5">
        <v>2015</v>
      </c>
      <c r="C5" s="5">
        <v>2016</v>
      </c>
      <c r="D5" s="5">
        <v>2017</v>
      </c>
    </row>
    <row r="6" spans="1:6" x14ac:dyDescent="0.25">
      <c r="A6" t="s">
        <v>7</v>
      </c>
      <c r="B6" s="19">
        <v>46000000</v>
      </c>
      <c r="C6" s="19">
        <v>45500000</v>
      </c>
      <c r="D6" s="19">
        <v>52000000</v>
      </c>
    </row>
    <row r="7" spans="1:6" x14ac:dyDescent="0.25">
      <c r="A7" t="s">
        <v>8</v>
      </c>
      <c r="B7" s="19"/>
      <c r="C7" s="19"/>
      <c r="D7" s="19"/>
    </row>
    <row r="8" spans="1:6" x14ac:dyDescent="0.25">
      <c r="A8" t="s">
        <v>3</v>
      </c>
      <c r="B8" s="19">
        <v>26500000</v>
      </c>
      <c r="C8" s="19">
        <v>24500000</v>
      </c>
      <c r="D8" s="19">
        <v>28500000</v>
      </c>
    </row>
    <row r="9" spans="1:6" x14ac:dyDescent="0.25">
      <c r="A9" t="s">
        <v>10</v>
      </c>
      <c r="B9" s="19">
        <v>6500000</v>
      </c>
      <c r="C9" s="19">
        <v>6500000</v>
      </c>
      <c r="D9" s="19">
        <v>8500000</v>
      </c>
    </row>
    <row r="10" spans="1:6" ht="15.75" thickBot="1" x14ac:dyDescent="0.3">
      <c r="A10" s="3" t="s">
        <v>11</v>
      </c>
      <c r="B10" s="20">
        <f>B6-B8-B9</f>
        <v>13000000</v>
      </c>
      <c r="C10" s="20">
        <f>C6-C8-C9</f>
        <v>14500000</v>
      </c>
      <c r="D10" s="20">
        <f>D6-D8-D9</f>
        <v>15000000</v>
      </c>
    </row>
    <row r="11" spans="1:6" ht="15.75" thickTop="1" x14ac:dyDescent="0.25">
      <c r="A11" t="s">
        <v>12</v>
      </c>
      <c r="B11" s="19">
        <v>6000000</v>
      </c>
      <c r="C11" s="19">
        <v>7500000</v>
      </c>
      <c r="D11" s="19">
        <v>7000000</v>
      </c>
    </row>
    <row r="12" spans="1:6" ht="15.75" thickBot="1" x14ac:dyDescent="0.3">
      <c r="A12" s="3" t="s">
        <v>13</v>
      </c>
      <c r="B12" s="20">
        <f>B10-B11</f>
        <v>7000000</v>
      </c>
      <c r="C12" s="20">
        <f>C10-C11</f>
        <v>7000000</v>
      </c>
      <c r="D12" s="20">
        <f>D10-D11</f>
        <v>8000000</v>
      </c>
    </row>
    <row r="13" spans="1:6" ht="15.75" thickTop="1" x14ac:dyDescent="0.25">
      <c r="F13" t="s">
        <v>9</v>
      </c>
    </row>
    <row r="17" spans="1:2" ht="15.75" thickBot="1" x14ac:dyDescent="0.3"/>
    <row r="18" spans="1:2" ht="16.5" thickTop="1" thickBot="1" x14ac:dyDescent="0.3">
      <c r="A18" s="2" t="s">
        <v>0</v>
      </c>
      <c r="B18" s="21">
        <v>-20000000</v>
      </c>
    </row>
    <row r="19" spans="1:2" ht="16.5" thickTop="1" thickBot="1" x14ac:dyDescent="0.3">
      <c r="A19" s="2" t="s">
        <v>1</v>
      </c>
      <c r="B19" s="21">
        <v>5000000</v>
      </c>
    </row>
    <row r="20" spans="1:2" ht="16.5" thickTop="1" thickBot="1" x14ac:dyDescent="0.3">
      <c r="A20" s="2" t="s">
        <v>2</v>
      </c>
      <c r="B20" s="21">
        <v>5000000</v>
      </c>
    </row>
    <row r="21" spans="1:2" ht="16.5" thickTop="1" thickBot="1" x14ac:dyDescent="0.3">
      <c r="A21" s="2" t="s">
        <v>4</v>
      </c>
      <c r="B21" s="10">
        <v>0.1</v>
      </c>
    </row>
    <row r="22" spans="1:2" ht="16.5" thickTop="1" thickBot="1" x14ac:dyDescent="0.3">
      <c r="A22" s="2" t="s">
        <v>5</v>
      </c>
      <c r="B22" s="10">
        <v>0.3</v>
      </c>
    </row>
    <row r="23" spans="1:2" ht="16.5" thickTop="1" thickBot="1" x14ac:dyDescent="0.3">
      <c r="A23" s="2" t="s">
        <v>6</v>
      </c>
      <c r="B23" s="9">
        <f>D9/D6</f>
        <v>0.16346153846153846</v>
      </c>
    </row>
    <row r="24" spans="1:2" ht="16.5" thickTop="1" thickBot="1" x14ac:dyDescent="0.3">
      <c r="A24" s="2" t="s">
        <v>15</v>
      </c>
      <c r="B24" s="10">
        <v>0.23</v>
      </c>
    </row>
    <row r="25" spans="1:2" ht="16.5" thickTop="1" thickBot="1" x14ac:dyDescent="0.3">
      <c r="A25" s="2" t="s">
        <v>23</v>
      </c>
      <c r="B25" s="10">
        <v>0.05</v>
      </c>
    </row>
    <row r="26" spans="1:2" ht="16.5" thickTop="1" thickBot="1" x14ac:dyDescent="0.3">
      <c r="A26" s="2" t="s">
        <v>25</v>
      </c>
      <c r="B26" s="10">
        <v>0.1</v>
      </c>
    </row>
    <row r="27" spans="1:2" ht="16.5" thickTop="1" thickBot="1" x14ac:dyDescent="0.3">
      <c r="A27" s="2" t="s">
        <v>38</v>
      </c>
      <c r="B27" s="10">
        <v>0.02</v>
      </c>
    </row>
    <row r="28" spans="1:2" ht="16.5" thickTop="1" thickBot="1" x14ac:dyDescent="0.3">
      <c r="A28" s="2" t="s">
        <v>39</v>
      </c>
      <c r="B28" s="10">
        <v>0.25</v>
      </c>
    </row>
    <row r="29" spans="1:2" ht="16.5" thickTop="1" thickBot="1" x14ac:dyDescent="0.3">
      <c r="A29" s="2" t="s">
        <v>40</v>
      </c>
      <c r="B29" s="21">
        <v>2500000</v>
      </c>
    </row>
    <row r="30" spans="1:2" ht="15.75" thickTop="1" x14ac:dyDescent="0.25"/>
    <row r="31" spans="1:2" ht="24" thickBot="1" x14ac:dyDescent="0.4">
      <c r="A31" s="14" t="s">
        <v>16</v>
      </c>
    </row>
    <row r="32" spans="1:2" ht="15.75" thickTop="1" x14ac:dyDescent="0.25"/>
    <row r="33" spans="1:12" ht="18" thickBot="1" x14ac:dyDescent="0.35">
      <c r="A33" s="4" t="s">
        <v>17</v>
      </c>
      <c r="B33" s="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</row>
    <row r="34" spans="1:12" ht="15.75" thickTop="1" x14ac:dyDescent="0.25">
      <c r="A34" t="s">
        <v>18</v>
      </c>
      <c r="B34" s="19">
        <f>B18</f>
        <v>-20000000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25">
      <c r="A35" t="s">
        <v>19</v>
      </c>
      <c r="B35" s="19"/>
      <c r="C35" s="19">
        <f>$B$20</f>
        <v>5000000</v>
      </c>
      <c r="D35" s="19">
        <f>$B$20*(1+$B$27)</f>
        <v>5100000</v>
      </c>
      <c r="E35" s="19">
        <f>D35*(1+$B$27)</f>
        <v>5202000</v>
      </c>
      <c r="F35" s="19">
        <f t="shared" ref="F35:L35" si="0">E35*(1+$B$27)</f>
        <v>5306040</v>
      </c>
      <c r="G35" s="19">
        <f t="shared" si="0"/>
        <v>5412160.7999999998</v>
      </c>
      <c r="H35" s="19">
        <f t="shared" si="0"/>
        <v>5520404.0159999998</v>
      </c>
      <c r="I35" s="19">
        <f t="shared" si="0"/>
        <v>5630812.0963199995</v>
      </c>
      <c r="J35" s="19">
        <f t="shared" si="0"/>
        <v>5743428.3382463995</v>
      </c>
      <c r="K35" s="19">
        <f t="shared" si="0"/>
        <v>5858296.9050113279</v>
      </c>
      <c r="L35" s="19">
        <f t="shared" si="0"/>
        <v>5975462.8431115542</v>
      </c>
    </row>
    <row r="36" spans="1:12" x14ac:dyDescent="0.25">
      <c r="A36" t="s">
        <v>20</v>
      </c>
      <c r="B36" s="19"/>
      <c r="C36" s="19">
        <f>$B$19</f>
        <v>5000000</v>
      </c>
      <c r="D36" s="19">
        <f>C36*(1+$B$25)</f>
        <v>5250000</v>
      </c>
      <c r="E36" s="19">
        <f t="shared" ref="E36:L36" si="1">D36*(1+$B$25)</f>
        <v>5512500</v>
      </c>
      <c r="F36" s="19">
        <f t="shared" si="1"/>
        <v>5788125</v>
      </c>
      <c r="G36" s="19">
        <f t="shared" si="1"/>
        <v>6077531.25</v>
      </c>
      <c r="H36" s="19">
        <f t="shared" si="1"/>
        <v>6381407.8125</v>
      </c>
      <c r="I36" s="19">
        <f t="shared" si="1"/>
        <v>6700478.203125</v>
      </c>
      <c r="J36" s="19">
        <f t="shared" si="1"/>
        <v>7035502.11328125</v>
      </c>
      <c r="K36" s="19">
        <f t="shared" si="1"/>
        <v>7387277.2189453132</v>
      </c>
      <c r="L36" s="19">
        <f t="shared" si="1"/>
        <v>7756641.0798925795</v>
      </c>
    </row>
    <row r="37" spans="1:12" x14ac:dyDescent="0.25">
      <c r="A37" t="s">
        <v>3</v>
      </c>
      <c r="B37" s="19"/>
      <c r="C37" s="19">
        <f>-(C35+C36)*$B$21</f>
        <v>-1000000</v>
      </c>
      <c r="D37" s="19">
        <f t="shared" ref="D37:L37" si="2">-(D35+D36)*$B$21</f>
        <v>-1035000</v>
      </c>
      <c r="E37" s="19">
        <f t="shared" si="2"/>
        <v>-1071450</v>
      </c>
      <c r="F37" s="19">
        <f t="shared" si="2"/>
        <v>-1109416.5</v>
      </c>
      <c r="G37" s="19">
        <f t="shared" si="2"/>
        <v>-1148969.2050000001</v>
      </c>
      <c r="H37" s="19">
        <f t="shared" si="2"/>
        <v>-1190181.18285</v>
      </c>
      <c r="I37" s="19">
        <f t="shared" si="2"/>
        <v>-1233129.0299445</v>
      </c>
      <c r="J37" s="19">
        <f t="shared" si="2"/>
        <v>-1277893.045152765</v>
      </c>
      <c r="K37" s="19">
        <f t="shared" si="2"/>
        <v>-1324557.4123956643</v>
      </c>
      <c r="L37" s="19">
        <f t="shared" si="2"/>
        <v>-1373210.3923004135</v>
      </c>
    </row>
    <row r="38" spans="1:12" x14ac:dyDescent="0.25">
      <c r="A38" t="s">
        <v>21</v>
      </c>
      <c r="B38" s="19"/>
      <c r="C38" s="19">
        <f>-(C35+C36)*$B$22</f>
        <v>-3000000</v>
      </c>
      <c r="D38" s="19">
        <f t="shared" ref="D38:L38" si="3">-(D35+D36)*$B$22</f>
        <v>-3105000</v>
      </c>
      <c r="E38" s="19">
        <f t="shared" si="3"/>
        <v>-3214350</v>
      </c>
      <c r="F38" s="19">
        <f t="shared" si="3"/>
        <v>-3328249.5</v>
      </c>
      <c r="G38" s="19">
        <f t="shared" si="3"/>
        <v>-3446907.6150000002</v>
      </c>
      <c r="H38" s="19">
        <f t="shared" si="3"/>
        <v>-3570543.5485499995</v>
      </c>
      <c r="I38" s="19">
        <f t="shared" si="3"/>
        <v>-3699387.0898334999</v>
      </c>
      <c r="J38" s="19">
        <f t="shared" si="3"/>
        <v>-3833679.1354582948</v>
      </c>
      <c r="K38" s="19">
        <f t="shared" si="3"/>
        <v>-3973672.2371869921</v>
      </c>
      <c r="L38" s="19">
        <f t="shared" si="3"/>
        <v>-4119631.1769012399</v>
      </c>
    </row>
    <row r="39" spans="1:12" x14ac:dyDescent="0.25">
      <c r="A39" t="s">
        <v>39</v>
      </c>
      <c r="B39" s="19">
        <f>-(C35+C36)*B28</f>
        <v>-2500000</v>
      </c>
      <c r="C39" s="19">
        <f>-(((D35+D36)*$B$28)+B39)</f>
        <v>-87500</v>
      </c>
      <c r="D39" s="19">
        <f>-(((E35+E36)*$B$28)-((D35+D36)*$B$28))</f>
        <v>-91125</v>
      </c>
      <c r="E39" s="19">
        <f t="shared" ref="E39:K39" si="4">-(((F35+F36)*$B$28)-((E35+E36)*$B$28))</f>
        <v>-94916.25</v>
      </c>
      <c r="F39" s="19">
        <f t="shared" si="4"/>
        <v>-98881.762500000186</v>
      </c>
      <c r="G39" s="19">
        <f>-(((H35+H36)*$B$28)-((G35+G36)*$B$28))</f>
        <v>-103029.94462499954</v>
      </c>
      <c r="H39" s="19">
        <f t="shared" si="4"/>
        <v>-107369.61773625016</v>
      </c>
      <c r="I39" s="19">
        <f t="shared" si="4"/>
        <v>-111910.0380206625</v>
      </c>
      <c r="J39" s="19">
        <f t="shared" si="4"/>
        <v>-116660.91810724791</v>
      </c>
      <c r="K39" s="19">
        <f t="shared" si="4"/>
        <v>-121632.44976187311</v>
      </c>
      <c r="L39" s="19">
        <f>-(((M35+M36)*$B$28)-((L35+L36)*$B$28))</f>
        <v>3433025.9807510334</v>
      </c>
    </row>
    <row r="40" spans="1:12" x14ac:dyDescent="0.25">
      <c r="A40" t="s">
        <v>22</v>
      </c>
      <c r="B40" s="19"/>
      <c r="C40" s="19">
        <f>-(C35+C36)*$B$23</f>
        <v>-1634615.3846153847</v>
      </c>
      <c r="D40" s="19">
        <f t="shared" ref="D40:L40" si="5">-(D35+D36)*$B$23</f>
        <v>-1691826.923076923</v>
      </c>
      <c r="E40" s="19">
        <f t="shared" si="5"/>
        <v>-1751408.6538461538</v>
      </c>
      <c r="F40" s="19">
        <f t="shared" si="5"/>
        <v>-1813469.2788461538</v>
      </c>
      <c r="G40" s="19">
        <f t="shared" si="5"/>
        <v>-1878122.7389423079</v>
      </c>
      <c r="H40" s="19">
        <f t="shared" si="5"/>
        <v>-1945488.471966346</v>
      </c>
      <c r="I40" s="19">
        <f t="shared" si="5"/>
        <v>-2015691.6835631249</v>
      </c>
      <c r="J40" s="19">
        <f t="shared" si="5"/>
        <v>-2088863.6314997119</v>
      </c>
      <c r="K40" s="19">
        <f t="shared" si="5"/>
        <v>-2165141.9241082971</v>
      </c>
      <c r="L40" s="19">
        <f t="shared" si="5"/>
        <v>-2244670.8335679835</v>
      </c>
    </row>
    <row r="41" spans="1:12" ht="15.75" thickBot="1" x14ac:dyDescent="0.3">
      <c r="A41" s="3" t="s">
        <v>24</v>
      </c>
      <c r="B41" s="20">
        <f>SUM(B34:B40)</f>
        <v>-22500000</v>
      </c>
      <c r="C41" s="20">
        <f t="shared" ref="C41:L41" si="6">SUM(C34:C40)</f>
        <v>4277884.615384615</v>
      </c>
      <c r="D41" s="20">
        <f t="shared" si="6"/>
        <v>4427048.076923077</v>
      </c>
      <c r="E41" s="20">
        <f t="shared" si="6"/>
        <v>4582375.096153846</v>
      </c>
      <c r="F41" s="20">
        <f t="shared" si="6"/>
        <v>4744147.9586538458</v>
      </c>
      <c r="G41" s="20">
        <f t="shared" si="6"/>
        <v>4912662.5464326926</v>
      </c>
      <c r="H41" s="20">
        <f t="shared" si="6"/>
        <v>5088229.0073974039</v>
      </c>
      <c r="I41" s="20">
        <f t="shared" si="6"/>
        <v>5271172.4580832124</v>
      </c>
      <c r="J41" s="20">
        <f t="shared" si="6"/>
        <v>5461833.7213096302</v>
      </c>
      <c r="K41" s="20">
        <f t="shared" si="6"/>
        <v>5660570.1005038153</v>
      </c>
      <c r="L41" s="20">
        <f t="shared" si="6"/>
        <v>9427617.5009855293</v>
      </c>
    </row>
    <row r="42" spans="1:12" ht="15.75" thickTop="1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x14ac:dyDescent="0.25">
      <c r="A43" t="s">
        <v>26</v>
      </c>
      <c r="B43" s="19"/>
      <c r="C43" s="19">
        <f>$B$18*$B$26</f>
        <v>-2000000</v>
      </c>
      <c r="D43" s="19">
        <f>($B$18-$C$43)*$B$26</f>
        <v>-1800000</v>
      </c>
      <c r="E43" s="19">
        <f>($B$18-$C$43-$D$43)*$B$26</f>
        <v>-1620000</v>
      </c>
      <c r="F43" s="19">
        <f>($B$18-$C$43-$D$43-$E$43)*$B$26</f>
        <v>-1458000</v>
      </c>
      <c r="G43" s="19">
        <f>($B$18-$C$43-$D$43-$E$43-$F$43)*$B$26</f>
        <v>-1312200</v>
      </c>
      <c r="H43" s="19">
        <f>($B$18-$C$43-$D$43-$E$43-$F$43-$G$43)*$B$26</f>
        <v>-1180980</v>
      </c>
      <c r="I43" s="19">
        <f>($B$18-$C$43-$D$43-$E$43-$F$43-$G$43-$H$43)*$B$26</f>
        <v>-1062882</v>
      </c>
      <c r="J43" s="19">
        <f>($B$18-$C$43-$D$43-$E$43-$F$43-$G$43-$H$43-$I$43)*$B$26</f>
        <v>-956593.8</v>
      </c>
      <c r="K43" s="19">
        <f>($B$18-$C$43-$D$43-$E$43-$F$43-$G$43-$H$43-$I$43-$J$43)*$B$26</f>
        <v>-860934.41999999993</v>
      </c>
      <c r="L43" s="19">
        <f>($B$18-$C$43-$D$43-$E$43-$F$43-$G$43-$H$43-$I$43-$J$43-$K$43)*$B$26</f>
        <v>-774840.978</v>
      </c>
    </row>
    <row r="44" spans="1:12" x14ac:dyDescent="0.25">
      <c r="A44" t="s">
        <v>27</v>
      </c>
      <c r="B44" s="19"/>
      <c r="C44" s="19">
        <f t="shared" ref="C44:L44" si="7">SUM(C41:C43)</f>
        <v>2277884.615384615</v>
      </c>
      <c r="D44" s="19">
        <f t="shared" si="7"/>
        <v>2627048.076923077</v>
      </c>
      <c r="E44" s="19">
        <f t="shared" si="7"/>
        <v>2962375.096153846</v>
      </c>
      <c r="F44" s="19">
        <f t="shared" si="7"/>
        <v>3286147.9586538458</v>
      </c>
      <c r="G44" s="19">
        <f t="shared" si="7"/>
        <v>3600462.5464326926</v>
      </c>
      <c r="H44" s="19">
        <f t="shared" si="7"/>
        <v>3907249.0073974039</v>
      </c>
      <c r="I44" s="19">
        <f t="shared" si="7"/>
        <v>4208290.4580832124</v>
      </c>
      <c r="J44" s="19">
        <f t="shared" si="7"/>
        <v>4505239.9213096304</v>
      </c>
      <c r="K44" s="19">
        <f t="shared" si="7"/>
        <v>4799635.6805038154</v>
      </c>
      <c r="L44" s="19">
        <f t="shared" si="7"/>
        <v>8652776.5229855292</v>
      </c>
    </row>
    <row r="45" spans="1:12" x14ac:dyDescent="0.25">
      <c r="A45" t="s">
        <v>28</v>
      </c>
      <c r="B45" s="19"/>
      <c r="C45" s="19">
        <f>-(C44*$B$24)</f>
        <v>-523913.4615384615</v>
      </c>
      <c r="D45" s="19">
        <f t="shared" ref="D45:L45" si="8">-(D44*$B$24)</f>
        <v>-604221.05769230775</v>
      </c>
      <c r="E45" s="19">
        <f t="shared" si="8"/>
        <v>-681346.27211538458</v>
      </c>
      <c r="F45" s="19">
        <f t="shared" si="8"/>
        <v>-755814.03049038455</v>
      </c>
      <c r="G45" s="19">
        <f t="shared" si="8"/>
        <v>-828106.38567951927</v>
      </c>
      <c r="H45" s="19">
        <f t="shared" si="8"/>
        <v>-898667.27170140296</v>
      </c>
      <c r="I45" s="19">
        <f t="shared" si="8"/>
        <v>-967906.80535913887</v>
      </c>
      <c r="J45" s="19">
        <f t="shared" si="8"/>
        <v>-1036205.181901215</v>
      </c>
      <c r="K45" s="19">
        <f t="shared" si="8"/>
        <v>-1103916.2065158775</v>
      </c>
      <c r="L45" s="19">
        <f t="shared" si="8"/>
        <v>-1990138.6002866719</v>
      </c>
    </row>
    <row r="46" spans="1:12" ht="15.75" thickBot="1" x14ac:dyDescent="0.3">
      <c r="A46" s="3" t="s">
        <v>29</v>
      </c>
      <c r="B46" s="20"/>
      <c r="C46" s="20">
        <f>SUM(C44:C45)</f>
        <v>1753971.1538461535</v>
      </c>
      <c r="D46" s="20">
        <f t="shared" ref="D46:L46" si="9">SUM(D44:D45)</f>
        <v>2022827.0192307692</v>
      </c>
      <c r="E46" s="20">
        <f t="shared" si="9"/>
        <v>2281028.8240384613</v>
      </c>
      <c r="F46" s="20">
        <f t="shared" si="9"/>
        <v>2530333.9281634614</v>
      </c>
      <c r="G46" s="20">
        <f t="shared" si="9"/>
        <v>2772356.1607531733</v>
      </c>
      <c r="H46" s="20">
        <f t="shared" si="9"/>
        <v>3008581.735696001</v>
      </c>
      <c r="I46" s="20">
        <f t="shared" si="9"/>
        <v>3240383.6527240733</v>
      </c>
      <c r="J46" s="20">
        <f t="shared" si="9"/>
        <v>3469034.7394084153</v>
      </c>
      <c r="K46" s="20">
        <f t="shared" si="9"/>
        <v>3695719.4739879379</v>
      </c>
      <c r="L46" s="20">
        <f t="shared" si="9"/>
        <v>6662637.9226988573</v>
      </c>
    </row>
    <row r="47" spans="1:12" ht="15.75" thickTop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25">
      <c r="A48" t="s">
        <v>26</v>
      </c>
      <c r="B48" s="19"/>
      <c r="C48" s="19">
        <f t="shared" ref="C48:L48" si="10">-C43</f>
        <v>2000000</v>
      </c>
      <c r="D48" s="19">
        <f t="shared" si="10"/>
        <v>1800000</v>
      </c>
      <c r="E48" s="19">
        <f t="shared" si="10"/>
        <v>1620000</v>
      </c>
      <c r="F48" s="19">
        <f t="shared" si="10"/>
        <v>1458000</v>
      </c>
      <c r="G48" s="19">
        <f t="shared" si="10"/>
        <v>1312200</v>
      </c>
      <c r="H48" s="19">
        <f t="shared" si="10"/>
        <v>1180980</v>
      </c>
      <c r="I48" s="19">
        <f t="shared" si="10"/>
        <v>1062882</v>
      </c>
      <c r="J48" s="19">
        <f t="shared" si="10"/>
        <v>956593.8</v>
      </c>
      <c r="K48" s="19">
        <f t="shared" si="10"/>
        <v>860934.41999999993</v>
      </c>
      <c r="L48" s="19">
        <f t="shared" si="10"/>
        <v>774840.978</v>
      </c>
    </row>
    <row r="49" spans="1:21" ht="15.75" thickBot="1" x14ac:dyDescent="0.3">
      <c r="A49" s="3" t="s">
        <v>30</v>
      </c>
      <c r="B49" s="20">
        <f>$B$41</f>
        <v>-22500000</v>
      </c>
      <c r="C49" s="20">
        <f t="shared" ref="C49:L49" si="11">SUM(C46:C48)</f>
        <v>3753971.1538461535</v>
      </c>
      <c r="D49" s="20">
        <f t="shared" si="11"/>
        <v>3822827.019230769</v>
      </c>
      <c r="E49" s="20">
        <f t="shared" si="11"/>
        <v>3901028.8240384613</v>
      </c>
      <c r="F49" s="20">
        <f t="shared" si="11"/>
        <v>3988333.9281634614</v>
      </c>
      <c r="G49" s="20">
        <f t="shared" si="11"/>
        <v>4084556.1607531733</v>
      </c>
      <c r="H49" s="20">
        <f t="shared" si="11"/>
        <v>4189561.735696001</v>
      </c>
      <c r="I49" s="20">
        <f t="shared" si="11"/>
        <v>4303265.6527240733</v>
      </c>
      <c r="J49" s="20">
        <f t="shared" si="11"/>
        <v>4425628.5394084156</v>
      </c>
      <c r="K49" s="20">
        <f t="shared" si="11"/>
        <v>4556653.8939879378</v>
      </c>
      <c r="L49" s="20">
        <f t="shared" si="11"/>
        <v>7437478.9006988574</v>
      </c>
    </row>
    <row r="50" spans="1:21" ht="15.75" thickTop="1" x14ac:dyDescent="0.25"/>
    <row r="52" spans="1:21" x14ac:dyDescent="0.25">
      <c r="A52" s="7" t="s">
        <v>31</v>
      </c>
      <c r="B52" s="8">
        <f>IRR(B41:L41)</f>
        <v>0.17725117678555224</v>
      </c>
      <c r="C52" s="12"/>
      <c r="D52" s="12"/>
    </row>
    <row r="53" spans="1:21" x14ac:dyDescent="0.25">
      <c r="A53" s="7" t="s">
        <v>32</v>
      </c>
      <c r="B53" s="8">
        <f>IRR(B49:L49)</f>
        <v>0.13405521148627875</v>
      </c>
      <c r="C53" s="6"/>
      <c r="D53" s="6"/>
    </row>
    <row r="55" spans="1:21" x14ac:dyDescent="0.25">
      <c r="A55" s="16" t="s">
        <v>41</v>
      </c>
      <c r="B55" s="17">
        <v>0.01</v>
      </c>
      <c r="C55" s="17">
        <v>0.02</v>
      </c>
      <c r="D55" s="17">
        <v>0.03</v>
      </c>
      <c r="E55" s="17">
        <v>0.04</v>
      </c>
      <c r="F55" s="17">
        <v>0.05</v>
      </c>
      <c r="G55" s="17">
        <v>0.06</v>
      </c>
      <c r="H55" s="17">
        <v>7.0000000000000007E-2</v>
      </c>
      <c r="I55" s="17">
        <v>0.08</v>
      </c>
      <c r="J55" s="17">
        <v>0.09</v>
      </c>
      <c r="K55" s="17">
        <v>0.1</v>
      </c>
      <c r="L55" s="17">
        <v>0.11</v>
      </c>
      <c r="M55" s="17">
        <v>0.12</v>
      </c>
      <c r="N55" s="17">
        <v>0.13</v>
      </c>
      <c r="O55" s="17">
        <v>0.14000000000000001</v>
      </c>
      <c r="P55" s="17">
        <v>0.15</v>
      </c>
      <c r="Q55" s="17">
        <v>0.16</v>
      </c>
      <c r="R55" s="17">
        <v>0.17</v>
      </c>
      <c r="S55" s="17">
        <v>0.18</v>
      </c>
      <c r="T55" s="17">
        <v>0.19</v>
      </c>
      <c r="U55" s="17">
        <v>0.2</v>
      </c>
    </row>
    <row r="56" spans="1:21" x14ac:dyDescent="0.25">
      <c r="A56" s="16" t="s">
        <v>44</v>
      </c>
      <c r="B56" s="22">
        <f>$B$49+NPV(B55,$C$41:$L$41)</f>
        <v>28220373.199564807</v>
      </c>
      <c r="C56" s="22">
        <f>$B$49+NPV(C55,$C$41:$L$41)</f>
        <v>25338767.446055949</v>
      </c>
      <c r="D56" s="22">
        <f>$B$49+NPV(D55,$C$41:$L$41)</f>
        <v>22684813.370967679</v>
      </c>
      <c r="E56" s="22">
        <f>$B$49+NPV(E55,$C$41:$L$41)</f>
        <v>20237157.835450053</v>
      </c>
      <c r="F56" s="22">
        <f>$B$49+NPV(F55,$C$41:$L$41)</f>
        <v>17976704.772706337</v>
      </c>
      <c r="G56" s="22">
        <f>$B$49+NPV(G55,$C$41:$L$41)</f>
        <v>15886353.072884127</v>
      </c>
      <c r="H56" s="22">
        <f>$B$49+NPV(H55,$C$41:$L$41)</f>
        <v>13950767.408697657</v>
      </c>
      <c r="I56" s="22">
        <f>$B$49+NPV(I55,$C$41:$L$41)</f>
        <v>12156177.567319117</v>
      </c>
      <c r="J56" s="22">
        <f>$B$49+NPV(J55,$C$41:$L$41)</f>
        <v>10490202.488786008</v>
      </c>
      <c r="K56" s="22">
        <f>$B$49+NPV(K55,$C$41:$L$41)</f>
        <v>8941695.7498469502</v>
      </c>
      <c r="L56" s="22">
        <f>$B$49+NPV(L55,$C$41:$L$41)</f>
        <v>7500609.6900981516</v>
      </c>
      <c r="M56" s="22">
        <f>$B$49+NPV(M55,$C$41:$L$41)</f>
        <v>6157875.7671842985</v>
      </c>
      <c r="N56" s="22">
        <f>$B$49+NPV(N55,$C$41:$L$41)</f>
        <v>4905299.0603836477</v>
      </c>
      <c r="O56" s="22">
        <f>$B$49+NPV(O55,$C$41:$L$41)</f>
        <v>3735465.1259528436</v>
      </c>
      <c r="P56" s="22">
        <f>$B$49+NPV(P55,$C$41:$L$41)</f>
        <v>2641657.6506228261</v>
      </c>
      <c r="Q56" s="22">
        <f>$B$49+NPV(Q55,$C$41:$L$41)</f>
        <v>1617785.5578512847</v>
      </c>
      <c r="R56" s="22">
        <f>$B$49+NPV(R55,$C$41:$L$41)</f>
        <v>658318.40010808036</v>
      </c>
      <c r="S56" s="22">
        <f>$B$49+NPV(S55,$C$41:$L$41)</f>
        <v>-241770.97599508241</v>
      </c>
      <c r="T56" s="22">
        <f>$B$49+NPV(T55,$C$41:$L$41)</f>
        <v>-1087057.3727849685</v>
      </c>
      <c r="U56" s="22">
        <f>$B$49+NPV(U55,$C$41:$L$41)</f>
        <v>-1881708.5600000322</v>
      </c>
    </row>
    <row r="57" spans="1:21" x14ac:dyDescent="0.25">
      <c r="A57" s="16" t="s">
        <v>45</v>
      </c>
      <c r="B57" s="22">
        <f>$B$49+NPV(B55,$C$49:$L$49)</f>
        <v>19416497.728443027</v>
      </c>
      <c r="C57" s="22">
        <f>$B$49+NPV(C55,$C$49:$L$49)</f>
        <v>17072706.165562987</v>
      </c>
      <c r="D57" s="22">
        <f>$B$49+NPV(D55,$C$49:$L$49)</f>
        <v>14912715.737601407</v>
      </c>
      <c r="E57" s="22">
        <f>$B$49+NPV(E55,$C$49:$L$49)</f>
        <v>12919360.505697452</v>
      </c>
      <c r="F57" s="22">
        <f>$B$49+NPV(F55,$C$49:$L$49)</f>
        <v>11077283.840473197</v>
      </c>
      <c r="G57" s="22">
        <f>$B$49+NPV(G55,$C$49:$L$49)</f>
        <v>9372728.7342683673</v>
      </c>
      <c r="H57" s="22">
        <f>$B$49+NPV(H55,$C$49:$L$49)</f>
        <v>7793354.4248416871</v>
      </c>
      <c r="I57" s="22">
        <f>$B$49+NPV(I55,$C$49:$L$49)</f>
        <v>6328075.7927838936</v>
      </c>
      <c r="J57" s="22">
        <f>$B$49+NPV(J55,$C$49:$L$49)</f>
        <v>4966922.5007563047</v>
      </c>
      <c r="K57" s="22">
        <f>$B$49+NPV(K55,$C$49:$L$49)</f>
        <v>3700915.2720587365</v>
      </c>
      <c r="L57" s="22">
        <f>$B$49+NPV(L55,$C$49:$L$49)</f>
        <v>2521957.0711098835</v>
      </c>
      <c r="M57" s="22">
        <f>$B$49+NPV(M55,$C$49:$L$49)</f>
        <v>1422737.2593289129</v>
      </c>
      <c r="N57" s="22">
        <f>$B$49+NPV(N55,$C$49:$L$49)</f>
        <v>396647.06510290504</v>
      </c>
      <c r="O57" s="22">
        <f>$B$49+NPV(O55,$C$49:$L$49)</f>
        <v>-562295.06691486388</v>
      </c>
      <c r="P57" s="22">
        <f>$B$49+NPV(P55,$C$49:$L$49)</f>
        <v>-1459509.4880751781</v>
      </c>
      <c r="Q57" s="22">
        <f>$B$49+NPV(Q55,$C$49:$L$49)</f>
        <v>-2299913.7943514176</v>
      </c>
      <c r="R57" s="22">
        <f>$B$49+NPV(R55,$C$49:$L$49)</f>
        <v>-3087974.6435158402</v>
      </c>
      <c r="S57" s="22">
        <f>$B$49+NPV(S55,$C$49:$L$49)</f>
        <v>-3827753.7505508848</v>
      </c>
      <c r="T57" s="22">
        <f>$B$49+NPV(T55,$C$49:$L$49)</f>
        <v>-4522948.7655039057</v>
      </c>
      <c r="U57" s="22">
        <f>$B$49+NPV(U55,$C$49:$L$49)</f>
        <v>-5176929.6470878869</v>
      </c>
    </row>
    <row r="59" spans="1:21" ht="24" thickBot="1" x14ac:dyDescent="0.4">
      <c r="A59" s="13" t="s">
        <v>33</v>
      </c>
    </row>
    <row r="60" spans="1:21" ht="15.75" thickTop="1" x14ac:dyDescent="0.25"/>
    <row r="61" spans="1:21" ht="15.75" thickBot="1" x14ac:dyDescent="0.3">
      <c r="A61" t="s">
        <v>17</v>
      </c>
      <c r="B61" s="5">
        <v>0</v>
      </c>
      <c r="C61" s="5">
        <v>1</v>
      </c>
      <c r="D61" s="5">
        <v>2</v>
      </c>
      <c r="E61" s="5">
        <v>3</v>
      </c>
      <c r="F61" s="5">
        <v>4</v>
      </c>
      <c r="G61" s="5">
        <v>5</v>
      </c>
      <c r="H61" s="5">
        <v>6</v>
      </c>
      <c r="I61" s="5">
        <v>7</v>
      </c>
      <c r="J61" s="5">
        <v>8</v>
      </c>
      <c r="K61" s="5">
        <v>9</v>
      </c>
      <c r="L61" s="5">
        <v>10</v>
      </c>
    </row>
    <row r="62" spans="1:21" x14ac:dyDescent="0.25">
      <c r="A62" t="s">
        <v>18</v>
      </c>
      <c r="B62" s="19">
        <f>$B$18</f>
        <v>-20000000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1:21" x14ac:dyDescent="0.25">
      <c r="A63" t="s">
        <v>19</v>
      </c>
      <c r="B63" s="19"/>
      <c r="C63" s="19">
        <f>$B$20</f>
        <v>5000000</v>
      </c>
      <c r="D63" s="19">
        <f>$B$20*(1+$B$27)</f>
        <v>5100000</v>
      </c>
      <c r="E63" s="19">
        <f>D63*(1+$B$27)</f>
        <v>5202000</v>
      </c>
      <c r="F63" s="19">
        <f t="shared" ref="F63:L63" si="12">E63*(1+$B$27)</f>
        <v>5306040</v>
      </c>
      <c r="G63" s="19">
        <f t="shared" si="12"/>
        <v>5412160.7999999998</v>
      </c>
      <c r="H63" s="19">
        <f>$B$29*(1+$B$27)</f>
        <v>2550000</v>
      </c>
      <c r="I63" s="19">
        <f t="shared" si="12"/>
        <v>2601000</v>
      </c>
      <c r="J63" s="19">
        <f t="shared" si="12"/>
        <v>2653020</v>
      </c>
      <c r="K63" s="19">
        <f t="shared" si="12"/>
        <v>2706080.4</v>
      </c>
      <c r="L63" s="19">
        <f t="shared" si="12"/>
        <v>2760202.0079999999</v>
      </c>
    </row>
    <row r="64" spans="1:21" x14ac:dyDescent="0.25">
      <c r="A64" t="s">
        <v>20</v>
      </c>
      <c r="B64" s="19"/>
      <c r="C64" s="19">
        <f>$B$19</f>
        <v>5000000</v>
      </c>
      <c r="D64" s="19">
        <f>C64*(1+$B$25)</f>
        <v>5250000</v>
      </c>
      <c r="E64" s="19">
        <f t="shared" ref="E64:L64" si="13">D64*(1+$B$25)</f>
        <v>5512500</v>
      </c>
      <c r="F64" s="19">
        <f t="shared" si="13"/>
        <v>5788125</v>
      </c>
      <c r="G64" s="19">
        <f t="shared" si="13"/>
        <v>6077531.25</v>
      </c>
      <c r="H64" s="19">
        <f t="shared" si="13"/>
        <v>6381407.8125</v>
      </c>
      <c r="I64" s="19">
        <f t="shared" si="13"/>
        <v>6700478.203125</v>
      </c>
      <c r="J64" s="19">
        <f t="shared" si="13"/>
        <v>7035502.11328125</v>
      </c>
      <c r="K64" s="19">
        <f t="shared" si="13"/>
        <v>7387277.2189453132</v>
      </c>
      <c r="L64" s="19">
        <f t="shared" si="13"/>
        <v>7756641.0798925795</v>
      </c>
    </row>
    <row r="65" spans="1:12" x14ac:dyDescent="0.25">
      <c r="A65" t="s">
        <v>3</v>
      </c>
      <c r="B65" s="19"/>
      <c r="C65" s="19">
        <f>-(C63+C64)*$B$21</f>
        <v>-1000000</v>
      </c>
      <c r="D65" s="19">
        <f t="shared" ref="D65:L65" si="14">-(D63+D64)*$B$21</f>
        <v>-1035000</v>
      </c>
      <c r="E65" s="19">
        <f t="shared" si="14"/>
        <v>-1071450</v>
      </c>
      <c r="F65" s="19">
        <f t="shared" si="14"/>
        <v>-1109416.5</v>
      </c>
      <c r="G65" s="19">
        <f t="shared" si="14"/>
        <v>-1148969.2050000001</v>
      </c>
      <c r="H65" s="19">
        <f>-(H63+H64)*$B$21</f>
        <v>-893140.78125</v>
      </c>
      <c r="I65" s="19">
        <f t="shared" si="14"/>
        <v>-930147.8203125</v>
      </c>
      <c r="J65" s="19">
        <f t="shared" si="14"/>
        <v>-968852.21132812509</v>
      </c>
      <c r="K65" s="19">
        <f t="shared" si="14"/>
        <v>-1009335.7618945314</v>
      </c>
      <c r="L65" s="19">
        <f t="shared" si="14"/>
        <v>-1051684.3087892579</v>
      </c>
    </row>
    <row r="66" spans="1:12" x14ac:dyDescent="0.25">
      <c r="A66" t="s">
        <v>21</v>
      </c>
      <c r="B66" s="19"/>
      <c r="C66" s="19">
        <f>-(C63+C64)*$B$22</f>
        <v>-3000000</v>
      </c>
      <c r="D66" s="19">
        <f>-(D63+D64)*$B$22</f>
        <v>-3105000</v>
      </c>
      <c r="E66" s="19">
        <f>-(E63+E64)*$B$22</f>
        <v>-3214350</v>
      </c>
      <c r="F66" s="19">
        <f>-(F63+F64)*$B$22</f>
        <v>-3328249.5</v>
      </c>
      <c r="G66" s="19">
        <f>-(G63+G64)*$B$22</f>
        <v>-3446907.6150000002</v>
      </c>
      <c r="H66" s="19">
        <f>-(H63+H64)*$B$22</f>
        <v>-2679422.34375</v>
      </c>
      <c r="I66" s="19">
        <f>-(I63+I64)*$B$22</f>
        <v>-2790443.4609375</v>
      </c>
      <c r="J66" s="19">
        <f>-(J63+J64)*$B$22</f>
        <v>-2906556.6339843748</v>
      </c>
      <c r="K66" s="19">
        <f>-(K63+K64)*$B$22</f>
        <v>-3028007.2856835942</v>
      </c>
      <c r="L66" s="19">
        <f>-(L63+L64)*$B$22</f>
        <v>-3155052.9263677737</v>
      </c>
    </row>
    <row r="67" spans="1:12" x14ac:dyDescent="0.25">
      <c r="A67" t="s">
        <v>39</v>
      </c>
      <c r="B67" s="19">
        <f>-(C63+C64)*$B$28</f>
        <v>-2500000</v>
      </c>
      <c r="C67" s="19">
        <f>-(((D63+D64)*$B$28)+B67)</f>
        <v>-87500</v>
      </c>
      <c r="D67" s="19">
        <f>-(((E63+E64)*$B$28)-((D63+D64)*$B$28))</f>
        <v>-91125</v>
      </c>
      <c r="E67" s="19">
        <f t="shared" ref="E67:K67" si="15">-(((F63+F64)*$B$28)-((E63+E64)*$B$28))</f>
        <v>-94916.25</v>
      </c>
      <c r="F67" s="19">
        <f t="shared" si="15"/>
        <v>-98881.762500000186</v>
      </c>
      <c r="G67" s="19">
        <f>-(((H63+H64)*$B$28)-((G63+G64)*$B$28))</f>
        <v>639571.05937500019</v>
      </c>
      <c r="H67" s="19">
        <f t="shared" si="15"/>
        <v>-92517.59765625</v>
      </c>
      <c r="I67" s="19">
        <f t="shared" si="15"/>
        <v>-96760.9775390625</v>
      </c>
      <c r="J67" s="19">
        <f t="shared" si="15"/>
        <v>-101208.8764160159</v>
      </c>
      <c r="K67" s="19">
        <f t="shared" si="15"/>
        <v>-105871.36723681632</v>
      </c>
      <c r="L67" s="19">
        <f>-(((M63+M64)*$B$28)-((L63+L64)*$B$28))</f>
        <v>2629210.7719731447</v>
      </c>
    </row>
    <row r="68" spans="1:12" x14ac:dyDescent="0.25">
      <c r="A68" t="s">
        <v>22</v>
      </c>
      <c r="B68" s="19"/>
      <c r="C68" s="19">
        <f>-(C63+C64)*$B$23</f>
        <v>-1634615.3846153847</v>
      </c>
      <c r="D68" s="19">
        <f>-(D63+D64)*$B$23</f>
        <v>-1691826.923076923</v>
      </c>
      <c r="E68" s="19">
        <f>-(E63+E64)*$B$23</f>
        <v>-1751408.6538461538</v>
      </c>
      <c r="F68" s="19">
        <f>-(F63+F64)*$B$23</f>
        <v>-1813469.2788461538</v>
      </c>
      <c r="G68" s="19">
        <f>-(G63+G64)*$B$23</f>
        <v>-1878122.7389423079</v>
      </c>
      <c r="H68" s="19">
        <f>-(H63+H64)*$B$23</f>
        <v>-1459941.6616586538</v>
      </c>
      <c r="I68" s="19">
        <f>-(I63+I64)*$B$23</f>
        <v>-1520433.9370492788</v>
      </c>
      <c r="J68" s="19">
        <f>-(J63+J64)*$B$23</f>
        <v>-1583700.730055589</v>
      </c>
      <c r="K68" s="19">
        <f>-(K63+K64)*$B$23</f>
        <v>-1649875.7646352916</v>
      </c>
      <c r="L68" s="19">
        <f>-(L63+L64)*$B$23</f>
        <v>-1719099.3509055178</v>
      </c>
    </row>
    <row r="69" spans="1:12" ht="15.75" thickBot="1" x14ac:dyDescent="0.3">
      <c r="A69" s="3" t="s">
        <v>24</v>
      </c>
      <c r="B69" s="20">
        <f>SUM(B62:B68)</f>
        <v>-22500000</v>
      </c>
      <c r="C69" s="20">
        <f>SUM(C62:C68)</f>
        <v>4277884.615384615</v>
      </c>
      <c r="D69" s="20">
        <f>SUM(D62:D68)</f>
        <v>4427048.076923077</v>
      </c>
      <c r="E69" s="20">
        <f>SUM(E62:E68)</f>
        <v>4582375.096153846</v>
      </c>
      <c r="F69" s="20">
        <f>SUM(F62:F68)</f>
        <v>4744147.9586538458</v>
      </c>
      <c r="G69" s="20">
        <f>SUM(G62:G68)</f>
        <v>5655263.5504326932</v>
      </c>
      <c r="H69" s="20">
        <f>SUM(H62:H68)</f>
        <v>3806385.428185096</v>
      </c>
      <c r="I69" s="20">
        <f>SUM(I62:I68)</f>
        <v>3963692.0072866585</v>
      </c>
      <c r="J69" s="20">
        <f>SUM(J62:J68)</f>
        <v>4128203.6614971459</v>
      </c>
      <c r="K69" s="20">
        <f>SUM(K62:K68)</f>
        <v>4300267.4394950792</v>
      </c>
      <c r="L69" s="20">
        <f>SUM(L62:L68)</f>
        <v>7220217.2738031736</v>
      </c>
    </row>
    <row r="70" spans="1:12" ht="15.75" thickTop="1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x14ac:dyDescent="0.25">
      <c r="A71" t="s">
        <v>26</v>
      </c>
      <c r="B71" s="19"/>
      <c r="C71" s="19">
        <f>$B$18*$B$26</f>
        <v>-2000000</v>
      </c>
      <c r="D71" s="19">
        <f>($B$18-$C$43)*$B$26</f>
        <v>-1800000</v>
      </c>
      <c r="E71" s="19">
        <f>($B$18-$C$43-$D$43)*$B$26</f>
        <v>-1620000</v>
      </c>
      <c r="F71" s="19">
        <f>($B$18-$C$43-$D$43-$E$43)*$B$26</f>
        <v>-1458000</v>
      </c>
      <c r="G71" s="19">
        <f>($B$18-$C$43-$D$43-$E$43-$F$43)*$B$26</f>
        <v>-1312200</v>
      </c>
      <c r="H71" s="19">
        <f>($B$18-$C$43-$D$43-$E$43-$F$43-$G$43)*$B$26</f>
        <v>-1180980</v>
      </c>
      <c r="I71" s="19">
        <f>($B$18-$C$43-$D$43-$E$43-$F$43-$G$43-$H$43)*$B$26</f>
        <v>-1062882</v>
      </c>
      <c r="J71" s="19">
        <f>($B$18-$C$43-$D$43-$E$43-$F$43-$G$43-$H$43-$I$43)*$B$26</f>
        <v>-956593.8</v>
      </c>
      <c r="K71" s="19">
        <f>($B$18-$C$43-$D$43-$E$43-$F$43-$G$43-$H$43-$I$43-$J$43)*$B$26</f>
        <v>-860934.41999999993</v>
      </c>
      <c r="L71" s="19">
        <f>($B$18-$C$43-$D$43-$E$43-$F$43-$G$43-$H$43-$I$43-$J$43-$K$43)*$B$26</f>
        <v>-774840.978</v>
      </c>
    </row>
    <row r="72" spans="1:12" x14ac:dyDescent="0.25">
      <c r="A72" t="s">
        <v>27</v>
      </c>
      <c r="B72" s="19"/>
      <c r="C72" s="19">
        <f>SUM(C69:C71)</f>
        <v>2277884.615384615</v>
      </c>
      <c r="D72" s="19">
        <f t="shared" ref="D72:L72" si="16">SUM(D69:D71)</f>
        <v>2627048.076923077</v>
      </c>
      <c r="E72" s="19">
        <f t="shared" si="16"/>
        <v>2962375.096153846</v>
      </c>
      <c r="F72" s="19">
        <f t="shared" si="16"/>
        <v>3286147.9586538458</v>
      </c>
      <c r="G72" s="19">
        <f t="shared" si="16"/>
        <v>4343063.5504326932</v>
      </c>
      <c r="H72" s="19">
        <f t="shared" si="16"/>
        <v>2625405.428185096</v>
      </c>
      <c r="I72" s="19">
        <f t="shared" si="16"/>
        <v>2900810.0072866585</v>
      </c>
      <c r="J72" s="19">
        <f t="shared" si="16"/>
        <v>3171609.8614971461</v>
      </c>
      <c r="K72" s="19">
        <f t="shared" si="16"/>
        <v>3439333.0194950793</v>
      </c>
      <c r="L72" s="19">
        <f t="shared" si="16"/>
        <v>6445376.2958031734</v>
      </c>
    </row>
    <row r="73" spans="1:12" x14ac:dyDescent="0.25">
      <c r="A73" t="s">
        <v>28</v>
      </c>
      <c r="B73" s="19"/>
      <c r="C73" s="19">
        <f t="shared" ref="C73:L73" si="17">-(C72*$B$24)</f>
        <v>-523913.4615384615</v>
      </c>
      <c r="D73" s="19">
        <f t="shared" si="17"/>
        <v>-604221.05769230775</v>
      </c>
      <c r="E73" s="19">
        <f t="shared" si="17"/>
        <v>-681346.27211538458</v>
      </c>
      <c r="F73" s="19">
        <f t="shared" si="17"/>
        <v>-755814.03049038455</v>
      </c>
      <c r="G73" s="19">
        <f t="shared" si="17"/>
        <v>-998904.6165995195</v>
      </c>
      <c r="H73" s="19">
        <f t="shared" si="17"/>
        <v>-603843.24848257215</v>
      </c>
      <c r="I73" s="19">
        <f t="shared" si="17"/>
        <v>-667186.30167593143</v>
      </c>
      <c r="J73" s="19">
        <f t="shared" si="17"/>
        <v>-729470.26814434363</v>
      </c>
      <c r="K73" s="19">
        <f t="shared" si="17"/>
        <v>-791046.59448386822</v>
      </c>
      <c r="L73" s="19">
        <f t="shared" si="17"/>
        <v>-1482436.5480347299</v>
      </c>
    </row>
    <row r="74" spans="1:12" ht="15.75" thickBot="1" x14ac:dyDescent="0.3">
      <c r="A74" s="3" t="s">
        <v>29</v>
      </c>
      <c r="B74" s="20"/>
      <c r="C74" s="20">
        <f>SUM(C72:C73)</f>
        <v>1753971.1538461535</v>
      </c>
      <c r="D74" s="20">
        <f t="shared" ref="D74:L74" si="18">SUM(D72:D73)</f>
        <v>2022827.0192307692</v>
      </c>
      <c r="E74" s="20">
        <f t="shared" si="18"/>
        <v>2281028.8240384613</v>
      </c>
      <c r="F74" s="20">
        <f t="shared" si="18"/>
        <v>2530333.9281634614</v>
      </c>
      <c r="G74" s="20">
        <f t="shared" si="18"/>
        <v>3344158.9338331735</v>
      </c>
      <c r="H74" s="20">
        <f t="shared" si="18"/>
        <v>2021562.1797025239</v>
      </c>
      <c r="I74" s="20">
        <f t="shared" si="18"/>
        <v>2233623.705610727</v>
      </c>
      <c r="J74" s="20">
        <f t="shared" si="18"/>
        <v>2442139.5933528026</v>
      </c>
      <c r="K74" s="20">
        <f t="shared" si="18"/>
        <v>2648286.4250112111</v>
      </c>
      <c r="L74" s="20">
        <f t="shared" si="18"/>
        <v>4962939.7477684431</v>
      </c>
    </row>
    <row r="75" spans="1:12" ht="15.75" thickTop="1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 x14ac:dyDescent="0.25">
      <c r="A76" t="s">
        <v>26</v>
      </c>
      <c r="B76" s="19"/>
      <c r="C76" s="19">
        <f>$B$18*$B$26</f>
        <v>-2000000</v>
      </c>
      <c r="D76" s="19">
        <f>($B$18-$C$43)*$B$26</f>
        <v>-1800000</v>
      </c>
      <c r="E76" s="19">
        <f>($B$18-$C$43-$D$43)*$B$26</f>
        <v>-1620000</v>
      </c>
      <c r="F76" s="19">
        <f>($B$18-$C$43-$D$43-$E$43)*$B$26</f>
        <v>-1458000</v>
      </c>
      <c r="G76" s="19">
        <f>($B$18-$C$43-$D$43-$E$43-$F$43)*$B$26</f>
        <v>-1312200</v>
      </c>
      <c r="H76" s="19">
        <f>($B$18-$C$43-$D$43-$E$43-$F$43-$G$43)*$B$26</f>
        <v>-1180980</v>
      </c>
      <c r="I76" s="19">
        <f>($B$18-$C$43-$D$43-$E$43-$F$43-$G$43-$H$43)*$B$26</f>
        <v>-1062882</v>
      </c>
      <c r="J76" s="19">
        <f>($B$18-$C$43-$D$43-$E$43-$F$43-$G$43-$H$43-$I$43)*$B$26</f>
        <v>-956593.8</v>
      </c>
      <c r="K76" s="19">
        <f>($B$18-$C$43-$D$43-$E$43-$F$43-$G$43-$H$43-$I$43-$J$43)*$B$26</f>
        <v>-860934.41999999993</v>
      </c>
      <c r="L76" s="19">
        <f>($B$18-$C$43-$D$43-$E$43-$F$43-$G$43-$H$43-$I$43-$J$43-$K$43)*$B$26</f>
        <v>-774840.978</v>
      </c>
    </row>
    <row r="77" spans="1:12" ht="15.75" thickBot="1" x14ac:dyDescent="0.3">
      <c r="A77" s="3" t="s">
        <v>30</v>
      </c>
      <c r="B77" s="20">
        <f>B69</f>
        <v>-22500000</v>
      </c>
      <c r="C77" s="20">
        <f>C74-C76</f>
        <v>3753971.1538461535</v>
      </c>
      <c r="D77" s="20">
        <f t="shared" ref="D77:L77" si="19">D74-D76</f>
        <v>3822827.019230769</v>
      </c>
      <c r="E77" s="20">
        <f t="shared" si="19"/>
        <v>3901028.8240384613</v>
      </c>
      <c r="F77" s="20">
        <f t="shared" si="19"/>
        <v>3988333.9281634614</v>
      </c>
      <c r="G77" s="20">
        <f t="shared" si="19"/>
        <v>4656358.9338331735</v>
      </c>
      <c r="H77" s="20">
        <f t="shared" si="19"/>
        <v>3202542.1797025241</v>
      </c>
      <c r="I77" s="20">
        <f t="shared" si="19"/>
        <v>3296505.705610727</v>
      </c>
      <c r="J77" s="20">
        <f t="shared" si="19"/>
        <v>3398733.3933528028</v>
      </c>
      <c r="K77" s="20">
        <f t="shared" si="19"/>
        <v>3509220.845011211</v>
      </c>
      <c r="L77" s="20">
        <f t="shared" si="19"/>
        <v>5737780.7257684432</v>
      </c>
    </row>
    <row r="78" spans="1:12" ht="15.75" thickTop="1" x14ac:dyDescent="0.25"/>
    <row r="79" spans="1:12" x14ac:dyDescent="0.25">
      <c r="A79" s="7" t="s">
        <v>31</v>
      </c>
      <c r="B79" s="8">
        <f>IRR(B69:L69)</f>
        <v>0.15672052300760786</v>
      </c>
    </row>
    <row r="80" spans="1:12" x14ac:dyDescent="0.25">
      <c r="A80" s="7" t="s">
        <v>32</v>
      </c>
      <c r="B80" s="8">
        <f>IRR(B77:L77)</f>
        <v>0.11410799258723525</v>
      </c>
    </row>
    <row r="82" spans="1:21" x14ac:dyDescent="0.25">
      <c r="A82" s="16" t="s">
        <v>41</v>
      </c>
      <c r="B82" s="17">
        <v>0.01</v>
      </c>
      <c r="C82" s="17">
        <v>0.02</v>
      </c>
      <c r="D82" s="17">
        <v>0.03</v>
      </c>
      <c r="E82" s="17">
        <v>0.04</v>
      </c>
      <c r="F82" s="17">
        <v>0.05</v>
      </c>
      <c r="G82" s="17">
        <v>0.06</v>
      </c>
      <c r="H82" s="17">
        <v>7.0000000000000007E-2</v>
      </c>
      <c r="I82" s="17">
        <v>0.08</v>
      </c>
      <c r="J82" s="17">
        <v>0.09</v>
      </c>
      <c r="K82" s="17">
        <v>0.1</v>
      </c>
      <c r="L82" s="17">
        <v>0.11</v>
      </c>
      <c r="M82" s="17">
        <v>0.12</v>
      </c>
      <c r="N82" s="17">
        <v>0.13</v>
      </c>
      <c r="O82" s="17">
        <v>0.14000000000000001</v>
      </c>
      <c r="P82" s="17">
        <v>0.15</v>
      </c>
      <c r="Q82" s="17">
        <v>0.16</v>
      </c>
      <c r="R82" s="17">
        <v>0.17</v>
      </c>
      <c r="S82" s="17">
        <v>0.18</v>
      </c>
      <c r="T82" s="17">
        <v>0.19</v>
      </c>
      <c r="U82" s="17">
        <v>0.2</v>
      </c>
    </row>
    <row r="83" spans="1:21" x14ac:dyDescent="0.25">
      <c r="A83" s="16" t="s">
        <v>43</v>
      </c>
      <c r="B83" s="18">
        <f>$B$77+NPV(B82,$C$69:$L$69)</f>
        <v>22026172.805011168</v>
      </c>
      <c r="C83" s="18">
        <f>$B$77+NPV(C82,$C$69:$L$69)</f>
        <v>19647565.372157708</v>
      </c>
      <c r="D83" s="18">
        <f>$B$77+NPV(D82,$C$69:$L$69)</f>
        <v>17450910.76578787</v>
      </c>
      <c r="E83" s="18">
        <f>$B$77+NPV(E82,$C$69:$L$69)</f>
        <v>15419442.917264335</v>
      </c>
      <c r="F83" s="18">
        <f>$B$77+NPV(F82,$C$69:$L$69)</f>
        <v>13538149.931563914</v>
      </c>
      <c r="G83" s="18">
        <f>$B$77+NPV(G82,$C$69:$L$69)</f>
        <v>11793571.614490211</v>
      </c>
      <c r="H83" s="18">
        <f>$B$77+NPV(H82,$C$69:$L$69)</f>
        <v>10173622.3496821</v>
      </c>
      <c r="I83" s="18">
        <f>$B$77+NPV(I82,$C$69:$L$69)</f>
        <v>8667435.9209378809</v>
      </c>
      <c r="J83" s="18">
        <f>$B$77+NPV(J82,$C$69:$L$69)</f>
        <v>7265229.361917112</v>
      </c>
      <c r="K83" s="18">
        <f>$B$77+NPV(K82,$C$69:$L$69)</f>
        <v>5958183.3282823153</v>
      </c>
      <c r="L83" s="18">
        <f>$B$77+NPV(L82,$C$69:$L$69)</f>
        <v>4738336.8385003842</v>
      </c>
      <c r="M83" s="18">
        <f>$B$77+NPV(M82,$C$69:$L$69)</f>
        <v>3598494.5285878703</v>
      </c>
      <c r="N83" s="18">
        <f>$B$77+NPV(N82,$C$69:$L$69)</f>
        <v>2532144.8211935796</v>
      </c>
      <c r="O83" s="18">
        <f>$B$77+NPV(O82,$C$69:$L$69)</f>
        <v>1533387.6273680516</v>
      </c>
      <c r="P83" s="18">
        <f>$B$77+NPV(P82,$C$69:$L$69)</f>
        <v>596870.38587583229</v>
      </c>
      <c r="Q83" s="18">
        <f>$B$77+NPV(Q82,$C$69:$L$69)</f>
        <v>-282268.59526032582</v>
      </c>
      <c r="R83" s="18">
        <f>$B$77+NPV(R82,$C$69:$L$69)</f>
        <v>-1108450.393107295</v>
      </c>
      <c r="S83" s="18">
        <f>$B$77+NPV(S82,$C$69:$L$69)</f>
        <v>-1885700.1002701633</v>
      </c>
      <c r="T83" s="18">
        <f>$B$77+NPV(T82,$C$69:$L$69)</f>
        <v>-2617686.5101451389</v>
      </c>
      <c r="U83" s="18">
        <f>$B$77+NPV(U82,$C$69:$L$69)</f>
        <v>-3307757.4481822141</v>
      </c>
    </row>
    <row r="85" spans="1:21" ht="24" thickBot="1" x14ac:dyDescent="0.4">
      <c r="A85" s="15" t="s">
        <v>34</v>
      </c>
    </row>
    <row r="86" spans="1:21" ht="15.75" thickTop="1" x14ac:dyDescent="0.25"/>
    <row r="87" spans="1:21" ht="15.75" thickBot="1" x14ac:dyDescent="0.3">
      <c r="A87" t="s">
        <v>17</v>
      </c>
      <c r="B87" s="5">
        <v>0</v>
      </c>
      <c r="C87" s="5">
        <v>1</v>
      </c>
      <c r="D87" s="5">
        <v>2</v>
      </c>
      <c r="E87" s="5">
        <v>3</v>
      </c>
      <c r="F87" s="5">
        <v>4</v>
      </c>
      <c r="G87" s="5">
        <v>5</v>
      </c>
      <c r="H87" s="5">
        <v>6</v>
      </c>
      <c r="I87" s="5">
        <v>7</v>
      </c>
      <c r="J87" s="5">
        <v>8</v>
      </c>
      <c r="K87" s="5">
        <v>9</v>
      </c>
      <c r="L87" s="5">
        <v>10</v>
      </c>
    </row>
    <row r="88" spans="1:21" x14ac:dyDescent="0.25">
      <c r="A88" t="s">
        <v>18</v>
      </c>
      <c r="B88" s="19">
        <f>$B$18</f>
        <v>-20000000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21" x14ac:dyDescent="0.25">
      <c r="A89" t="s">
        <v>19</v>
      </c>
      <c r="B89" s="19"/>
      <c r="C89" s="19">
        <f>$B$20</f>
        <v>5000000</v>
      </c>
      <c r="D89" s="19">
        <f>$B$20*(1+$B$27)</f>
        <v>5100000</v>
      </c>
      <c r="E89" s="19">
        <f>D89*(1+$B$27)</f>
        <v>5202000</v>
      </c>
      <c r="F89" s="19">
        <f t="shared" ref="F89:G89" si="20">E89*(1+$B$27)</f>
        <v>5306040</v>
      </c>
      <c r="G89" s="19">
        <f t="shared" si="20"/>
        <v>5412160.7999999998</v>
      </c>
      <c r="H89" s="19"/>
      <c r="I89" s="19"/>
      <c r="J89" s="19"/>
      <c r="K89" s="19"/>
      <c r="L89" s="19"/>
    </row>
    <row r="90" spans="1:21" x14ac:dyDescent="0.25">
      <c r="A90" t="s">
        <v>20</v>
      </c>
      <c r="B90" s="19"/>
      <c r="C90" s="19">
        <f>$B$19</f>
        <v>5000000</v>
      </c>
      <c r="D90" s="19">
        <f>C90*(1+$B$25)</f>
        <v>5250000</v>
      </c>
      <c r="E90" s="19">
        <f t="shared" ref="E90:L90" si="21">D90*(1+$B$25)</f>
        <v>5512500</v>
      </c>
      <c r="F90" s="19">
        <f t="shared" si="21"/>
        <v>5788125</v>
      </c>
      <c r="G90" s="19">
        <f t="shared" si="21"/>
        <v>6077531.25</v>
      </c>
      <c r="H90" s="19">
        <f t="shared" si="21"/>
        <v>6381407.8125</v>
      </c>
      <c r="I90" s="19">
        <f t="shared" si="21"/>
        <v>6700478.203125</v>
      </c>
      <c r="J90" s="19">
        <f t="shared" si="21"/>
        <v>7035502.11328125</v>
      </c>
      <c r="K90" s="19">
        <f t="shared" si="21"/>
        <v>7387277.2189453132</v>
      </c>
      <c r="L90" s="19">
        <f t="shared" si="21"/>
        <v>7756641.0798925795</v>
      </c>
    </row>
    <row r="91" spans="1:21" x14ac:dyDescent="0.25">
      <c r="A91" t="s">
        <v>3</v>
      </c>
      <c r="B91" s="19"/>
      <c r="C91" s="19">
        <f>-(C89+C90)*$B$21</f>
        <v>-1000000</v>
      </c>
      <c r="D91" s="19">
        <f t="shared" ref="D91:L91" si="22">-(D89+D90)*$B$21</f>
        <v>-1035000</v>
      </c>
      <c r="E91" s="19">
        <f t="shared" si="22"/>
        <v>-1071450</v>
      </c>
      <c r="F91" s="19">
        <f t="shared" si="22"/>
        <v>-1109416.5</v>
      </c>
      <c r="G91" s="19">
        <f t="shared" si="22"/>
        <v>-1148969.2050000001</v>
      </c>
      <c r="H91" s="19">
        <f t="shared" si="22"/>
        <v>-638140.78125</v>
      </c>
      <c r="I91" s="19">
        <f t="shared" si="22"/>
        <v>-670047.8203125</v>
      </c>
      <c r="J91" s="19">
        <f t="shared" si="22"/>
        <v>-703550.21132812509</v>
      </c>
      <c r="K91" s="19">
        <f t="shared" si="22"/>
        <v>-738727.72189453139</v>
      </c>
      <c r="L91" s="19">
        <f t="shared" si="22"/>
        <v>-775664.10798925802</v>
      </c>
    </row>
    <row r="92" spans="1:21" x14ac:dyDescent="0.25">
      <c r="A92" t="s">
        <v>21</v>
      </c>
      <c r="B92" s="19"/>
      <c r="C92" s="19">
        <f>-(C89+C90)*$B$22</f>
        <v>-3000000</v>
      </c>
      <c r="D92" s="19">
        <f t="shared" ref="D92:L92" si="23">-(D89+D90)*$B$22</f>
        <v>-3105000</v>
      </c>
      <c r="E92" s="19">
        <f t="shared" si="23"/>
        <v>-3214350</v>
      </c>
      <c r="F92" s="19">
        <f t="shared" si="23"/>
        <v>-3328249.5</v>
      </c>
      <c r="G92" s="19">
        <f t="shared" si="23"/>
        <v>-3446907.6150000002</v>
      </c>
      <c r="H92" s="19">
        <f t="shared" si="23"/>
        <v>-1914422.34375</v>
      </c>
      <c r="I92" s="19">
        <f t="shared" si="23"/>
        <v>-2010143.4609375</v>
      </c>
      <c r="J92" s="19">
        <f t="shared" si="23"/>
        <v>-2110650.6339843748</v>
      </c>
      <c r="K92" s="19">
        <f t="shared" si="23"/>
        <v>-2216183.1656835941</v>
      </c>
      <c r="L92" s="19">
        <f t="shared" si="23"/>
        <v>-2326992.3239677739</v>
      </c>
    </row>
    <row r="93" spans="1:21" x14ac:dyDescent="0.25">
      <c r="A93" s="1" t="s">
        <v>39</v>
      </c>
      <c r="B93" s="19">
        <f>-(((C89+C90)*$B$28))</f>
        <v>-2500000</v>
      </c>
      <c r="C93" s="19">
        <f>-(((D89+D90)*$B$28)-((C89+C90)*$B$28))</f>
        <v>-87500</v>
      </c>
      <c r="D93" s="19">
        <f t="shared" ref="D93:K93" si="24">-(((E89+E90)*$B$28)-((D89+D90)*$B$28))</f>
        <v>-91125</v>
      </c>
      <c r="E93" s="19">
        <f t="shared" si="24"/>
        <v>-94916.25</v>
      </c>
      <c r="F93" s="19">
        <f>-(((G89+G90)*$B$28)-((F89+F90)*$B$28))</f>
        <v>-98881.762500000186</v>
      </c>
      <c r="G93" s="19">
        <f>-(((H89+H90)*$B$28)-((G89+G90)*$B$28))</f>
        <v>1277071.0593750002</v>
      </c>
      <c r="H93" s="19">
        <f>-(((I89+I90)*$B$28)-((H89+H90)*$B$28))</f>
        <v>-79767.59765625</v>
      </c>
      <c r="I93" s="19">
        <f t="shared" si="24"/>
        <v>-83755.9775390625</v>
      </c>
      <c r="J93" s="19">
        <f t="shared" si="24"/>
        <v>-87943.776416015811</v>
      </c>
      <c r="K93" s="19">
        <f t="shared" si="24"/>
        <v>-92340.965236816555</v>
      </c>
      <c r="L93" s="19">
        <f>L90*B28</f>
        <v>1939160.2699731449</v>
      </c>
    </row>
    <row r="94" spans="1:21" x14ac:dyDescent="0.25">
      <c r="A94" t="s">
        <v>22</v>
      </c>
      <c r="B94" s="19"/>
      <c r="C94" s="19">
        <f>-(C89+C90)*$B$23</f>
        <v>-1634615.3846153847</v>
      </c>
      <c r="D94" s="19">
        <f t="shared" ref="D94:L94" si="25">-(D89+D90)*$B$23</f>
        <v>-1691826.923076923</v>
      </c>
      <c r="E94" s="19">
        <f t="shared" si="25"/>
        <v>-1751408.6538461538</v>
      </c>
      <c r="F94" s="19">
        <f t="shared" si="25"/>
        <v>-1813469.2788461538</v>
      </c>
      <c r="G94" s="19">
        <f t="shared" si="25"/>
        <v>-1878122.7389423079</v>
      </c>
      <c r="H94" s="19">
        <f t="shared" si="25"/>
        <v>-1043114.7385817308</v>
      </c>
      <c r="I94" s="19">
        <f t="shared" si="25"/>
        <v>-1095270.4755108173</v>
      </c>
      <c r="J94" s="19">
        <f t="shared" si="25"/>
        <v>-1150033.9992863582</v>
      </c>
      <c r="K94" s="19">
        <f t="shared" si="25"/>
        <v>-1207535.6992506762</v>
      </c>
      <c r="L94" s="19">
        <f t="shared" si="25"/>
        <v>-1267912.4842132102</v>
      </c>
    </row>
    <row r="95" spans="1:21" ht="15.75" thickBot="1" x14ac:dyDescent="0.3">
      <c r="A95" s="3" t="s">
        <v>24</v>
      </c>
      <c r="B95" s="20">
        <f>SUM(B88:B94)</f>
        <v>-22500000</v>
      </c>
      <c r="C95" s="20">
        <f>SUM(C89:C94)</f>
        <v>4277884.615384615</v>
      </c>
      <c r="D95" s="20">
        <f t="shared" ref="D95:L95" si="26">SUM(D89:D94)</f>
        <v>4427048.076923077</v>
      </c>
      <c r="E95" s="20">
        <f t="shared" si="26"/>
        <v>4582375.096153846</v>
      </c>
      <c r="F95" s="20">
        <f t="shared" si="26"/>
        <v>4744147.9586538458</v>
      </c>
      <c r="G95" s="20">
        <f t="shared" si="26"/>
        <v>6292763.5504326932</v>
      </c>
      <c r="H95" s="20">
        <f t="shared" si="26"/>
        <v>2705962.351262019</v>
      </c>
      <c r="I95" s="20">
        <f t="shared" si="26"/>
        <v>2841260.4688251205</v>
      </c>
      <c r="J95" s="20">
        <f t="shared" si="26"/>
        <v>2983323.4922663765</v>
      </c>
      <c r="K95" s="20">
        <f t="shared" si="26"/>
        <v>3132489.6668796944</v>
      </c>
      <c r="L95" s="20">
        <f t="shared" si="26"/>
        <v>5325232.4336954821</v>
      </c>
    </row>
    <row r="96" spans="1:21" ht="15.75" thickTop="1" x14ac:dyDescent="0.2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21" x14ac:dyDescent="0.25">
      <c r="A97" t="s">
        <v>26</v>
      </c>
      <c r="B97" s="19"/>
      <c r="C97" s="19">
        <f>$B$18*$B$26</f>
        <v>-2000000</v>
      </c>
      <c r="D97" s="19">
        <f>($B$18-$C$43)*$B$26</f>
        <v>-1800000</v>
      </c>
      <c r="E97" s="19">
        <f>($B$18-$C$43-$D$43)*$B$26</f>
        <v>-1620000</v>
      </c>
      <c r="F97" s="19">
        <f>($B$18-$C$43-$D$43-$E$43)*$B$26</f>
        <v>-1458000</v>
      </c>
      <c r="G97" s="19">
        <f>($B$18-$C$43-$D$43-$E$43-$F$43)*$B$26</f>
        <v>-1312200</v>
      </c>
      <c r="H97" s="19">
        <f>($B$18-$C$43-$D$43-$E$43-$F$43-$G$43)*$B$26</f>
        <v>-1180980</v>
      </c>
      <c r="I97" s="19">
        <f>($B$18-$C$43-$D$43-$E$43-$F$43-$G$43-$H$43)*$B$26</f>
        <v>-1062882</v>
      </c>
      <c r="J97" s="19">
        <f>($B$18-$C$43-$D$43-$E$43-$F$43-$G$43-$H$43-$I$43)*$B$26</f>
        <v>-956593.8</v>
      </c>
      <c r="K97" s="19">
        <f>($B$18-$C$43-$D$43-$E$43-$F$43-$G$43-$H$43-$I$43-$J$43)*$B$26</f>
        <v>-860934.41999999993</v>
      </c>
      <c r="L97" s="19">
        <f>($B$18-$C$43-$D$43-$E$43-$F$43-$G$43-$H$43-$I$43-$J$43-$K$43)*$B$26</f>
        <v>-774840.978</v>
      </c>
    </row>
    <row r="98" spans="1:21" x14ac:dyDescent="0.25">
      <c r="A98" t="s">
        <v>27</v>
      </c>
      <c r="B98" s="19"/>
      <c r="C98" s="19">
        <f>SUM(C95:C97)</f>
        <v>2277884.615384615</v>
      </c>
      <c r="D98" s="19">
        <f t="shared" ref="D98:L98" si="27">SUM(D95:D97)</f>
        <v>2627048.076923077</v>
      </c>
      <c r="E98" s="19">
        <f t="shared" si="27"/>
        <v>2962375.096153846</v>
      </c>
      <c r="F98" s="19">
        <f t="shared" si="27"/>
        <v>3286147.9586538458</v>
      </c>
      <c r="G98" s="19">
        <f t="shared" si="27"/>
        <v>4980563.5504326932</v>
      </c>
      <c r="H98" s="19">
        <f t="shared" si="27"/>
        <v>1524982.351262019</v>
      </c>
      <c r="I98" s="19">
        <f t="shared" si="27"/>
        <v>1778378.4688251205</v>
      </c>
      <c r="J98" s="19">
        <f t="shared" si="27"/>
        <v>2026729.6922663765</v>
      </c>
      <c r="K98" s="19">
        <f t="shared" si="27"/>
        <v>2271555.2468796945</v>
      </c>
      <c r="L98" s="19">
        <f t="shared" si="27"/>
        <v>4550391.455695482</v>
      </c>
    </row>
    <row r="99" spans="1:21" x14ac:dyDescent="0.25">
      <c r="A99" t="s">
        <v>28</v>
      </c>
      <c r="B99" s="19"/>
      <c r="C99" s="19">
        <f>-(C98*$B$24)</f>
        <v>-523913.4615384615</v>
      </c>
      <c r="D99" s="19">
        <f t="shared" ref="D99:L99" si="28">-(D98*$B$24)</f>
        <v>-604221.05769230775</v>
      </c>
      <c r="E99" s="19">
        <f t="shared" si="28"/>
        <v>-681346.27211538458</v>
      </c>
      <c r="F99" s="19">
        <f t="shared" si="28"/>
        <v>-755814.03049038455</v>
      </c>
      <c r="G99" s="19">
        <f t="shared" si="28"/>
        <v>-1145529.6165995195</v>
      </c>
      <c r="H99" s="19">
        <f t="shared" si="28"/>
        <v>-350745.9407902644</v>
      </c>
      <c r="I99" s="19">
        <f t="shared" si="28"/>
        <v>-409027.0478297777</v>
      </c>
      <c r="J99" s="19">
        <f t="shared" si="28"/>
        <v>-466147.82922126661</v>
      </c>
      <c r="K99" s="19">
        <f t="shared" si="28"/>
        <v>-522457.70678232977</v>
      </c>
      <c r="L99" s="19">
        <f t="shared" si="28"/>
        <v>-1046590.0348099609</v>
      </c>
    </row>
    <row r="100" spans="1:21" ht="15.75" thickBot="1" x14ac:dyDescent="0.3">
      <c r="A100" s="3" t="s">
        <v>29</v>
      </c>
      <c r="B100" s="20"/>
      <c r="C100" s="20">
        <f>SUM(C98:C99)</f>
        <v>1753971.1538461535</v>
      </c>
      <c r="D100" s="20">
        <f t="shared" ref="D100:L100" si="29">SUM(D98:D99)</f>
        <v>2022827.0192307692</v>
      </c>
      <c r="E100" s="20">
        <f t="shared" si="29"/>
        <v>2281028.8240384613</v>
      </c>
      <c r="F100" s="20">
        <f t="shared" si="29"/>
        <v>2530333.9281634614</v>
      </c>
      <c r="G100" s="20">
        <f t="shared" si="29"/>
        <v>3835033.9338331735</v>
      </c>
      <c r="H100" s="20">
        <f t="shared" si="29"/>
        <v>1174236.4104717546</v>
      </c>
      <c r="I100" s="20">
        <f t="shared" si="29"/>
        <v>1369351.4209953428</v>
      </c>
      <c r="J100" s="20">
        <f t="shared" si="29"/>
        <v>1560581.8630451099</v>
      </c>
      <c r="K100" s="20">
        <f t="shared" si="29"/>
        <v>1749097.5400973647</v>
      </c>
      <c r="L100" s="20">
        <f t="shared" si="29"/>
        <v>3503801.420885521</v>
      </c>
    </row>
    <row r="101" spans="1:21" ht="15.75" thickTop="1" x14ac:dyDescent="0.25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21" x14ac:dyDescent="0.25">
      <c r="A102" t="s">
        <v>26</v>
      </c>
      <c r="B102" s="19"/>
      <c r="C102" s="19">
        <f>$B$18*$B$26</f>
        <v>-2000000</v>
      </c>
      <c r="D102" s="19">
        <f>($B$18-$C$43)*$B$26</f>
        <v>-1800000</v>
      </c>
      <c r="E102" s="19">
        <f>($B$18-$C$43-$D$43)*$B$26</f>
        <v>-1620000</v>
      </c>
      <c r="F102" s="19">
        <f>($B$18-$C$43-$D$43-$E$43)*$B$26</f>
        <v>-1458000</v>
      </c>
      <c r="G102" s="19">
        <f>($B$18-$C$43-$D$43-$E$43-$F$43)*$B$26</f>
        <v>-1312200</v>
      </c>
      <c r="H102" s="19">
        <f>($B$18-$C$43-$D$43-$E$43-$F$43-$G$43)*$B$26</f>
        <v>-1180980</v>
      </c>
      <c r="I102" s="19">
        <f>($B$18-$C$43-$D$43-$E$43-$F$43-$G$43-$H$43)*$B$26</f>
        <v>-1062882</v>
      </c>
      <c r="J102" s="19">
        <f>($B$18-$C$43-$D$43-$E$43-$F$43-$G$43-$H$43-$I$43)*$B$26</f>
        <v>-956593.8</v>
      </c>
      <c r="K102" s="19">
        <f>($B$18-$C$43-$D$43-$E$43-$F$43-$G$43-$H$43-$I$43-$J$43)*$B$26</f>
        <v>-860934.41999999993</v>
      </c>
      <c r="L102" s="19">
        <f>($B$18-$C$43-$D$43-$E$43-$F$43-$G$43-$H$43-$I$43-$J$43-$K$43)*$B$26</f>
        <v>-774840.978</v>
      </c>
    </row>
    <row r="103" spans="1:21" ht="15.75" thickBot="1" x14ac:dyDescent="0.3">
      <c r="A103" s="3" t="s">
        <v>30</v>
      </c>
      <c r="B103" s="20">
        <f>B95</f>
        <v>-22500000</v>
      </c>
      <c r="C103" s="20">
        <f>C100-C102</f>
        <v>3753971.1538461535</v>
      </c>
      <c r="D103" s="20">
        <f t="shared" ref="D103:L103" si="30">D100-D102</f>
        <v>3822827.019230769</v>
      </c>
      <c r="E103" s="20">
        <f t="shared" si="30"/>
        <v>3901028.8240384613</v>
      </c>
      <c r="F103" s="20">
        <f t="shared" si="30"/>
        <v>3988333.9281634614</v>
      </c>
      <c r="G103" s="20">
        <f t="shared" si="30"/>
        <v>5147233.9338331735</v>
      </c>
      <c r="H103" s="20">
        <f t="shared" si="30"/>
        <v>2355216.4104717546</v>
      </c>
      <c r="I103" s="20">
        <f t="shared" si="30"/>
        <v>2432233.4209953425</v>
      </c>
      <c r="J103" s="20">
        <f t="shared" si="30"/>
        <v>2517175.6630451102</v>
      </c>
      <c r="K103" s="20">
        <f t="shared" si="30"/>
        <v>2610031.9600973646</v>
      </c>
      <c r="L103" s="20">
        <f t="shared" si="30"/>
        <v>4278642.3988855211</v>
      </c>
    </row>
    <row r="104" spans="1:21" ht="15.75" thickTop="1" x14ac:dyDescent="0.25"/>
    <row r="105" spans="1:21" x14ac:dyDescent="0.25">
      <c r="A105" s="7" t="s">
        <v>31</v>
      </c>
      <c r="B105" s="8">
        <f>IRR(B95:L95)</f>
        <v>0.13573389151861726</v>
      </c>
    </row>
    <row r="106" spans="1:21" x14ac:dyDescent="0.25">
      <c r="A106" s="7" t="s">
        <v>35</v>
      </c>
      <c r="B106" s="8">
        <f>IRR(B103:L103)</f>
        <v>9.3745876076620771E-2</v>
      </c>
    </row>
    <row r="109" spans="1:21" x14ac:dyDescent="0.25">
      <c r="A109" s="16" t="s">
        <v>41</v>
      </c>
      <c r="B109" s="17">
        <v>0.01</v>
      </c>
      <c r="C109" s="17">
        <v>0.02</v>
      </c>
      <c r="D109" s="17">
        <v>0.03</v>
      </c>
      <c r="E109" s="17">
        <v>0.04</v>
      </c>
      <c r="F109" s="17">
        <v>0.05</v>
      </c>
      <c r="G109" s="17">
        <v>0.06</v>
      </c>
      <c r="H109" s="17">
        <v>7.0000000000000007E-2</v>
      </c>
      <c r="I109" s="17">
        <v>0.08</v>
      </c>
      <c r="J109" s="17">
        <v>0.09</v>
      </c>
      <c r="K109" s="17">
        <v>0.1</v>
      </c>
      <c r="L109" s="17">
        <v>0.11</v>
      </c>
      <c r="M109" s="17">
        <v>0.12</v>
      </c>
      <c r="N109" s="17">
        <v>0.13</v>
      </c>
      <c r="O109" s="17">
        <v>0.14000000000000001</v>
      </c>
      <c r="P109" s="17">
        <v>0.15</v>
      </c>
      <c r="Q109" s="17">
        <v>0.16</v>
      </c>
      <c r="R109" s="17">
        <v>0.17</v>
      </c>
      <c r="S109" s="17">
        <v>0.18</v>
      </c>
      <c r="T109" s="17">
        <v>0.19</v>
      </c>
      <c r="U109" s="17">
        <v>0.2</v>
      </c>
    </row>
    <row r="110" spans="1:21" x14ac:dyDescent="0.25">
      <c r="A110" s="16" t="s">
        <v>42</v>
      </c>
      <c r="B110" s="18">
        <f>$B$103+NPV(B109,$C$95:$L$95)</f>
        <v>16708643.296893306</v>
      </c>
      <c r="C110" s="18">
        <f>$B$103+NPV(C109,$C$95:$L$95)</f>
        <v>14761844.369132876</v>
      </c>
      <c r="D110" s="18">
        <f>$B$103+NPV(D109,$C$95:$L$95)</f>
        <v>12957767.216520429</v>
      </c>
      <c r="E110" s="18">
        <f>$B$103+NPV(E109,$C$95:$L$95)</f>
        <v>11283583.628359593</v>
      </c>
      <c r="F110" s="18">
        <f>$B$103+NPV(F109,$C$95:$L$95)</f>
        <v>9727787.8448082507</v>
      </c>
      <c r="G110" s="18">
        <f>$B$103+NPV(G109,$C$95:$L$95)</f>
        <v>8280045.2851800919</v>
      </c>
      <c r="H110" s="18">
        <f>$B$103+NPV(H109,$C$95:$L$95)</f>
        <v>6931060.1094586626</v>
      </c>
      <c r="I110" s="18">
        <f>$B$103+NPV(I109,$C$95:$L$95)</f>
        <v>5672459.0927513763</v>
      </c>
      <c r="J110" s="18">
        <f>$B$103+NPV(J109,$C$95:$L$95)</f>
        <v>4496689.6517567933</v>
      </c>
      <c r="K110" s="18">
        <f>$B$103+NPV(K109,$C$95:$L$95)</f>
        <v>3396930.1674295217</v>
      </c>
      <c r="L110" s="18">
        <f>$B$103+NPV(L109,$C$95:$L$95)</f>
        <v>2367011.0075248368</v>
      </c>
      <c r="M110" s="18">
        <f>$B$103+NPV(M109,$C$95:$L$95)</f>
        <v>1401344.8737710491</v>
      </c>
      <c r="N110" s="18">
        <f>$B$103+NPV(N109,$C$95:$L$95)</f>
        <v>494865.28705000877</v>
      </c>
      <c r="O110" s="18">
        <f>$B$103+NPV(O109,$C$95:$L$95)</f>
        <v>-357027.81482250243</v>
      </c>
      <c r="P110" s="18">
        <f>$B$103+NPV(P109,$C$95:$L$95)</f>
        <v>-1158516.2541295774</v>
      </c>
      <c r="Q110" s="18">
        <f>$B$103+NPV(Q109,$C$95:$L$95)</f>
        <v>-1913406.3342131376</v>
      </c>
      <c r="R110" s="18">
        <f>$B$103+NPV(R109,$C$95:$L$95)</f>
        <v>-2625166.7719001286</v>
      </c>
      <c r="S110" s="18">
        <f>$B$103+NPV(S109,$C$95:$L$95)</f>
        <v>-3296962.4215979204</v>
      </c>
      <c r="T110" s="18">
        <f>$B$103+NPV(T109,$C$95:$L$95)</f>
        <v>-3931684.296050515</v>
      </c>
      <c r="U110" s="18">
        <f>$B$103+NPV(U109,$C$95:$L$95)</f>
        <v>-4531976.32388971</v>
      </c>
    </row>
  </sheetData>
  <conditionalFormatting sqref="B34:L49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59" zoomScale="85" zoomScaleNormal="85" workbookViewId="0">
      <selection activeCell="A31" sqref="A31"/>
    </sheetView>
  </sheetViews>
  <sheetFormatPr baseColWidth="10" defaultRowHeight="15" x14ac:dyDescent="0.25"/>
  <cols>
    <col min="1" max="1" width="64.85546875" bestFit="1" customWidth="1"/>
    <col min="2" max="4" width="13.42578125" bestFit="1" customWidth="1"/>
    <col min="5" max="8" width="13.7109375" bestFit="1" customWidth="1"/>
    <col min="9" max="12" width="12.42578125" bestFit="1" customWidth="1"/>
    <col min="13" max="21" width="12.7109375" bestFit="1" customWidth="1"/>
  </cols>
  <sheetData>
    <row r="1" spans="1:6" ht="36" x14ac:dyDescent="0.55000000000000004">
      <c r="A1" s="11" t="s">
        <v>37</v>
      </c>
    </row>
    <row r="3" spans="1:6" ht="18" thickBot="1" x14ac:dyDescent="0.35">
      <c r="A3" s="4" t="s">
        <v>36</v>
      </c>
    </row>
    <row r="4" spans="1:6" ht="15.75" thickTop="1" x14ac:dyDescent="0.25"/>
    <row r="5" spans="1:6" ht="15.75" thickBot="1" x14ac:dyDescent="0.3">
      <c r="A5" s="5" t="s">
        <v>14</v>
      </c>
      <c r="B5" s="5">
        <v>2015</v>
      </c>
      <c r="C5" s="5">
        <v>2016</v>
      </c>
      <c r="D5" s="5">
        <v>2017</v>
      </c>
    </row>
    <row r="6" spans="1:6" x14ac:dyDescent="0.25">
      <c r="A6" t="s">
        <v>7</v>
      </c>
      <c r="B6" s="19">
        <v>46000000</v>
      </c>
      <c r="C6" s="19">
        <v>45500000</v>
      </c>
      <c r="D6" s="19">
        <v>52000000</v>
      </c>
    </row>
    <row r="7" spans="1:6" x14ac:dyDescent="0.25">
      <c r="A7" t="s">
        <v>8</v>
      </c>
      <c r="B7" s="19"/>
      <c r="C7" s="19"/>
      <c r="D7" s="19"/>
    </row>
    <row r="8" spans="1:6" x14ac:dyDescent="0.25">
      <c r="A8" t="s">
        <v>3</v>
      </c>
      <c r="B8" s="19">
        <v>26500000</v>
      </c>
      <c r="C8" s="19">
        <v>24500000</v>
      </c>
      <c r="D8" s="19">
        <v>28500000</v>
      </c>
    </row>
    <row r="9" spans="1:6" x14ac:dyDescent="0.25">
      <c r="A9" t="s">
        <v>10</v>
      </c>
      <c r="B9" s="19">
        <v>6500000</v>
      </c>
      <c r="C9" s="19">
        <v>6500000</v>
      </c>
      <c r="D9" s="19">
        <v>8500000</v>
      </c>
    </row>
    <row r="10" spans="1:6" ht="15.75" thickBot="1" x14ac:dyDescent="0.3">
      <c r="A10" s="3" t="s">
        <v>11</v>
      </c>
      <c r="B10" s="20">
        <f>B6-B8-B9</f>
        <v>13000000</v>
      </c>
      <c r="C10" s="20">
        <f>C6-C8-C9</f>
        <v>14500000</v>
      </c>
      <c r="D10" s="20">
        <f>D6-D8-D9</f>
        <v>15000000</v>
      </c>
    </row>
    <row r="11" spans="1:6" ht="15.75" thickTop="1" x14ac:dyDescent="0.25">
      <c r="A11" t="s">
        <v>12</v>
      </c>
      <c r="B11" s="19">
        <v>6000000</v>
      </c>
      <c r="C11" s="19">
        <v>7500000</v>
      </c>
      <c r="D11" s="19">
        <v>7000000</v>
      </c>
    </row>
    <row r="12" spans="1:6" ht="15.75" thickBot="1" x14ac:dyDescent="0.3">
      <c r="A12" s="3" t="s">
        <v>13</v>
      </c>
      <c r="B12" s="20">
        <f>B10-B11</f>
        <v>7000000</v>
      </c>
      <c r="C12" s="20">
        <f>C10-C11</f>
        <v>7000000</v>
      </c>
      <c r="D12" s="20">
        <f>D10-D11</f>
        <v>8000000</v>
      </c>
    </row>
    <row r="13" spans="1:6" ht="15.75" thickTop="1" x14ac:dyDescent="0.25">
      <c r="F13" t="s">
        <v>9</v>
      </c>
    </row>
    <row r="17" spans="1:2" ht="15.75" thickBot="1" x14ac:dyDescent="0.3"/>
    <row r="18" spans="1:2" ht="16.5" thickTop="1" thickBot="1" x14ac:dyDescent="0.3">
      <c r="A18" s="2" t="s">
        <v>0</v>
      </c>
      <c r="B18" s="21">
        <v>-20000000</v>
      </c>
    </row>
    <row r="19" spans="1:2" ht="16.5" thickTop="1" thickBot="1" x14ac:dyDescent="0.3">
      <c r="A19" s="2" t="s">
        <v>1</v>
      </c>
      <c r="B19" s="21">
        <v>5000000</v>
      </c>
    </row>
    <row r="20" spans="1:2" ht="16.5" thickTop="1" thickBot="1" x14ac:dyDescent="0.3">
      <c r="A20" s="2" t="s">
        <v>2</v>
      </c>
      <c r="B20" s="21">
        <v>5000000</v>
      </c>
    </row>
    <row r="21" spans="1:2" ht="16.5" thickTop="1" thickBot="1" x14ac:dyDescent="0.3">
      <c r="A21" s="2" t="s">
        <v>4</v>
      </c>
      <c r="B21" s="10">
        <v>0.1</v>
      </c>
    </row>
    <row r="22" spans="1:2" ht="16.5" thickTop="1" thickBot="1" x14ac:dyDescent="0.3">
      <c r="A22" s="2" t="s">
        <v>5</v>
      </c>
      <c r="B22" s="10">
        <v>0.3</v>
      </c>
    </row>
    <row r="23" spans="1:2" ht="16.5" thickTop="1" thickBot="1" x14ac:dyDescent="0.3">
      <c r="A23" s="2" t="s">
        <v>6</v>
      </c>
      <c r="B23" s="9">
        <f>D9/D6</f>
        <v>0.16346153846153846</v>
      </c>
    </row>
    <row r="24" spans="1:2" ht="16.5" thickTop="1" thickBot="1" x14ac:dyDescent="0.3">
      <c r="A24" s="2" t="s">
        <v>15</v>
      </c>
      <c r="B24" s="10">
        <v>0.23</v>
      </c>
    </row>
    <row r="25" spans="1:2" ht="16.5" thickTop="1" thickBot="1" x14ac:dyDescent="0.3">
      <c r="A25" s="2" t="s">
        <v>23</v>
      </c>
      <c r="B25" s="10">
        <v>0.05</v>
      </c>
    </row>
    <row r="26" spans="1:2" ht="16.5" thickTop="1" thickBot="1" x14ac:dyDescent="0.3">
      <c r="A26" s="2" t="s">
        <v>25</v>
      </c>
      <c r="B26" s="10">
        <v>0.1</v>
      </c>
    </row>
    <row r="27" spans="1:2" ht="16.5" thickTop="1" thickBot="1" x14ac:dyDescent="0.3">
      <c r="A27" s="2" t="s">
        <v>38</v>
      </c>
      <c r="B27" s="10">
        <v>0.02</v>
      </c>
    </row>
    <row r="28" spans="1:2" ht="16.5" thickTop="1" thickBot="1" x14ac:dyDescent="0.3">
      <c r="A28" s="2" t="s">
        <v>39</v>
      </c>
      <c r="B28" s="10">
        <v>0.25</v>
      </c>
    </row>
    <row r="29" spans="1:2" ht="16.5" thickTop="1" thickBot="1" x14ac:dyDescent="0.3">
      <c r="A29" s="2" t="s">
        <v>40</v>
      </c>
      <c r="B29" s="21">
        <v>2500000</v>
      </c>
    </row>
    <row r="30" spans="1:2" ht="15.75" thickTop="1" x14ac:dyDescent="0.25"/>
    <row r="31" spans="1:2" ht="24" thickBot="1" x14ac:dyDescent="0.4">
      <c r="A31" s="14" t="s">
        <v>33</v>
      </c>
    </row>
    <row r="32" spans="1:2" ht="15.75" thickTop="1" x14ac:dyDescent="0.25"/>
    <row r="33" spans="1:12" ht="18" thickBot="1" x14ac:dyDescent="0.35">
      <c r="A33" s="4" t="s">
        <v>17</v>
      </c>
      <c r="B33" s="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</row>
    <row r="34" spans="1:12" ht="15.75" thickTop="1" x14ac:dyDescent="0.25">
      <c r="A34" t="s">
        <v>18</v>
      </c>
      <c r="B34" s="19">
        <f>$B$18</f>
        <v>-20000000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25">
      <c r="A35" t="s">
        <v>19</v>
      </c>
      <c r="B35" s="19"/>
      <c r="C35" s="19">
        <f>$B$20</f>
        <v>5000000</v>
      </c>
      <c r="D35" s="19">
        <f>$B$20*(1+$B$27)</f>
        <v>5100000</v>
      </c>
      <c r="E35" s="19">
        <f>D35*(1+$B$27)</f>
        <v>5202000</v>
      </c>
      <c r="F35" s="19">
        <f t="shared" ref="F35:L35" si="0">E35*(1+$B$27)</f>
        <v>5306040</v>
      </c>
      <c r="G35" s="19">
        <f t="shared" si="0"/>
        <v>5412160.7999999998</v>
      </c>
      <c r="H35" s="19">
        <f>$B$29*(1+$B$27)</f>
        <v>2550000</v>
      </c>
      <c r="I35" s="19">
        <f t="shared" si="0"/>
        <v>2601000</v>
      </c>
      <c r="J35" s="19">
        <f t="shared" si="0"/>
        <v>2653020</v>
      </c>
      <c r="K35" s="19">
        <f t="shared" si="0"/>
        <v>2706080.4</v>
      </c>
      <c r="L35" s="19">
        <f t="shared" si="0"/>
        <v>2760202.0079999999</v>
      </c>
    </row>
    <row r="36" spans="1:12" x14ac:dyDescent="0.25">
      <c r="A36" t="s">
        <v>20</v>
      </c>
      <c r="B36" s="19"/>
      <c r="C36" s="19">
        <f>$B$19</f>
        <v>5000000</v>
      </c>
      <c r="D36" s="19">
        <f>C36*(1+$B$25)</f>
        <v>5250000</v>
      </c>
      <c r="E36" s="19">
        <f t="shared" ref="E36:L36" si="1">D36*(1+$B$25)</f>
        <v>5512500</v>
      </c>
      <c r="F36" s="19">
        <f t="shared" si="1"/>
        <v>5788125</v>
      </c>
      <c r="G36" s="19">
        <f t="shared" si="1"/>
        <v>6077531.25</v>
      </c>
      <c r="H36" s="19">
        <f t="shared" si="1"/>
        <v>6381407.8125</v>
      </c>
      <c r="I36" s="19">
        <f t="shared" si="1"/>
        <v>6700478.203125</v>
      </c>
      <c r="J36" s="19">
        <f t="shared" si="1"/>
        <v>7035502.11328125</v>
      </c>
      <c r="K36" s="19">
        <f t="shared" si="1"/>
        <v>7387277.2189453132</v>
      </c>
      <c r="L36" s="19">
        <f t="shared" si="1"/>
        <v>7756641.0798925795</v>
      </c>
    </row>
    <row r="37" spans="1:12" x14ac:dyDescent="0.25">
      <c r="A37" t="s">
        <v>3</v>
      </c>
      <c r="B37" s="19"/>
      <c r="C37" s="19">
        <f>-(C35+C36)*$B$21</f>
        <v>-1000000</v>
      </c>
      <c r="D37" s="19">
        <f t="shared" ref="D37:L37" si="2">-(D35+D36)*$B$21</f>
        <v>-1035000</v>
      </c>
      <c r="E37" s="19">
        <f t="shared" si="2"/>
        <v>-1071450</v>
      </c>
      <c r="F37" s="19">
        <f t="shared" si="2"/>
        <v>-1109416.5</v>
      </c>
      <c r="G37" s="19">
        <f t="shared" si="2"/>
        <v>-1148969.2050000001</v>
      </c>
      <c r="H37" s="19">
        <f>-(H35+H36)*$B$21</f>
        <v>-893140.78125</v>
      </c>
      <c r="I37" s="19">
        <f t="shared" si="2"/>
        <v>-930147.8203125</v>
      </c>
      <c r="J37" s="19">
        <f t="shared" si="2"/>
        <v>-968852.21132812509</v>
      </c>
      <c r="K37" s="19">
        <f t="shared" si="2"/>
        <v>-1009335.7618945314</v>
      </c>
      <c r="L37" s="19">
        <f t="shared" si="2"/>
        <v>-1051684.3087892579</v>
      </c>
    </row>
    <row r="38" spans="1:12" x14ac:dyDescent="0.25">
      <c r="A38" t="s">
        <v>21</v>
      </c>
      <c r="B38" s="19"/>
      <c r="C38" s="19">
        <f>-(C35+C36)*$B$22</f>
        <v>-3000000</v>
      </c>
      <c r="D38" s="19">
        <f>-(D35+D36)*$B$22</f>
        <v>-3105000</v>
      </c>
      <c r="E38" s="19">
        <f>-(E35+E36)*$B$22</f>
        <v>-3214350</v>
      </c>
      <c r="F38" s="19">
        <f>-(F35+F36)*$B$22</f>
        <v>-3328249.5</v>
      </c>
      <c r="G38" s="19">
        <f>-(G35+G36)*$B$22</f>
        <v>-3446907.6150000002</v>
      </c>
      <c r="H38" s="19">
        <f>-(H35+H36)*$B$22</f>
        <v>-2679422.34375</v>
      </c>
      <c r="I38" s="19">
        <f>-(I35+I36)*$B$22</f>
        <v>-2790443.4609375</v>
      </c>
      <c r="J38" s="19">
        <f>-(J35+J36)*$B$22</f>
        <v>-2906556.6339843748</v>
      </c>
      <c r="K38" s="19">
        <f>-(K35+K36)*$B$22</f>
        <v>-3028007.2856835942</v>
      </c>
      <c r="L38" s="19">
        <f>-(L35+L36)*$B$22</f>
        <v>-3155052.9263677737</v>
      </c>
    </row>
    <row r="39" spans="1:12" x14ac:dyDescent="0.25">
      <c r="A39" t="s">
        <v>39</v>
      </c>
      <c r="B39" s="19">
        <f>-(C35+C36)*$B$28</f>
        <v>-2500000</v>
      </c>
      <c r="C39" s="19">
        <f>-(((D35+D36)*$B$28)+B39)</f>
        <v>-87500</v>
      </c>
      <c r="D39" s="19">
        <f>-(((E35+E36)*$B$28)-((D35+D36)*$B$28))</f>
        <v>-91125</v>
      </c>
      <c r="E39" s="19">
        <f t="shared" ref="E39:K39" si="3">-(((F35+F36)*$B$28)-((E35+E36)*$B$28))</f>
        <v>-94916.25</v>
      </c>
      <c r="F39" s="19">
        <f t="shared" si="3"/>
        <v>-98881.762500000186</v>
      </c>
      <c r="G39" s="19">
        <f>-(((H35+H36)*$B$28)-((G35+G36)*$B$28))</f>
        <v>639571.05937500019</v>
      </c>
      <c r="H39" s="19">
        <f t="shared" si="3"/>
        <v>-92517.59765625</v>
      </c>
      <c r="I39" s="19">
        <f t="shared" si="3"/>
        <v>-96760.9775390625</v>
      </c>
      <c r="J39" s="19">
        <f t="shared" si="3"/>
        <v>-101208.8764160159</v>
      </c>
      <c r="K39" s="19">
        <f t="shared" si="3"/>
        <v>-105871.36723681632</v>
      </c>
      <c r="L39" s="19">
        <f>-(((M35+M36)*$B$28)-((L35+L36)*$B$28))</f>
        <v>2629210.7719731447</v>
      </c>
    </row>
    <row r="40" spans="1:12" x14ac:dyDescent="0.25">
      <c r="A40" t="s">
        <v>22</v>
      </c>
      <c r="B40" s="19"/>
      <c r="C40" s="19">
        <f>-(C35+C36)*$B$23</f>
        <v>-1634615.3846153847</v>
      </c>
      <c r="D40" s="19">
        <f>-(D35+D36)*$B$23</f>
        <v>-1691826.923076923</v>
      </c>
      <c r="E40" s="19">
        <f>-(E35+E36)*$B$23</f>
        <v>-1751408.6538461538</v>
      </c>
      <c r="F40" s="19">
        <f>-(F35+F36)*$B$23</f>
        <v>-1813469.2788461538</v>
      </c>
      <c r="G40" s="19">
        <f>-(G35+G36)*$B$23</f>
        <v>-1878122.7389423079</v>
      </c>
      <c r="H40" s="19">
        <f>-(H35+H36)*$B$23</f>
        <v>-1459941.6616586538</v>
      </c>
      <c r="I40" s="19">
        <f>-(I35+I36)*$B$23</f>
        <v>-1520433.9370492788</v>
      </c>
      <c r="J40" s="19">
        <f>-(J35+J36)*$B$23</f>
        <v>-1583700.730055589</v>
      </c>
      <c r="K40" s="19">
        <f>-(K35+K36)*$B$23</f>
        <v>-1649875.7646352916</v>
      </c>
      <c r="L40" s="19">
        <f>-(L35+L36)*$B$23</f>
        <v>-1719099.3509055178</v>
      </c>
    </row>
    <row r="41" spans="1:12" ht="15.75" thickBot="1" x14ac:dyDescent="0.3">
      <c r="A41" s="3" t="s">
        <v>24</v>
      </c>
      <c r="B41" s="20">
        <f>SUM(B34:B40)</f>
        <v>-22500000</v>
      </c>
      <c r="C41" s="20">
        <f>SUM(C34:C40)</f>
        <v>4277884.615384615</v>
      </c>
      <c r="D41" s="20">
        <f>SUM(D34:D40)</f>
        <v>4427048.076923077</v>
      </c>
      <c r="E41" s="20">
        <f>SUM(E34:E40)</f>
        <v>4582375.096153846</v>
      </c>
      <c r="F41" s="20">
        <f>SUM(F34:F40)</f>
        <v>4744147.9586538458</v>
      </c>
      <c r="G41" s="20">
        <f>SUM(G34:G40)</f>
        <v>5655263.5504326932</v>
      </c>
      <c r="H41" s="20">
        <f>SUM(H34:H40)</f>
        <v>3806385.428185096</v>
      </c>
      <c r="I41" s="20">
        <f>SUM(I34:I40)</f>
        <v>3963692.0072866585</v>
      </c>
      <c r="J41" s="20">
        <f>SUM(J34:J40)</f>
        <v>4128203.6614971459</v>
      </c>
      <c r="K41" s="20">
        <f>SUM(K34:K40)</f>
        <v>4300267.4394950792</v>
      </c>
      <c r="L41" s="20">
        <f>SUM(L34:L40)</f>
        <v>7220217.2738031736</v>
      </c>
    </row>
    <row r="42" spans="1:12" ht="15.75" thickTop="1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x14ac:dyDescent="0.25">
      <c r="A43" t="s">
        <v>26</v>
      </c>
      <c r="B43" s="19"/>
      <c r="C43" s="19">
        <f>$B$18*$B$26</f>
        <v>-2000000</v>
      </c>
      <c r="D43" s="19">
        <f>($B$18-$C$43)*$B$26</f>
        <v>-1800000</v>
      </c>
      <c r="E43" s="19">
        <f>($B$18-$C$43-$D$43)*$B$26</f>
        <v>-1620000</v>
      </c>
      <c r="F43" s="19">
        <f>($B$18-$C$43-$D$43-$E$43)*$B$26</f>
        <v>-1458000</v>
      </c>
      <c r="G43" s="19">
        <f>($B$18-$C$43-$D$43-$E$43-$F$43)*$B$26</f>
        <v>-1312200</v>
      </c>
      <c r="H43" s="19">
        <f>($B$18-$C$43-$D$43-$E$43-$F$43-$G$43)*$B$26</f>
        <v>-1180980</v>
      </c>
      <c r="I43" s="19">
        <f>($B$18-$C$43-$D$43-$E$43-$F$43-$G$43-$H$43)*$B$26</f>
        <v>-1062882</v>
      </c>
      <c r="J43" s="19">
        <f>($B$18-$C$43-$D$43-$E$43-$F$43-$G$43-$H$43-$I$43)*$B$26</f>
        <v>-956593.8</v>
      </c>
      <c r="K43" s="19">
        <f>($B$18-$C$43-$D$43-$E$43-$F$43-$G$43-$H$43-$I$43-$J$43)*$B$26</f>
        <v>-860934.41999999993</v>
      </c>
      <c r="L43" s="19">
        <f>($B$18-$C$43-$D$43-$E$43-$F$43-$G$43-$H$43-$I$43-$J$43-$K$43)*$B$26</f>
        <v>-774840.978</v>
      </c>
    </row>
    <row r="44" spans="1:12" x14ac:dyDescent="0.25">
      <c r="A44" t="s">
        <v>27</v>
      </c>
      <c r="B44" s="19"/>
      <c r="C44" s="19">
        <f>SUM(C41:C43)</f>
        <v>2277884.615384615</v>
      </c>
      <c r="D44" s="19">
        <f t="shared" ref="D44:L44" si="4">SUM(D41:D43)</f>
        <v>2627048.076923077</v>
      </c>
      <c r="E44" s="19">
        <f t="shared" si="4"/>
        <v>2962375.096153846</v>
      </c>
      <c r="F44" s="19">
        <f t="shared" si="4"/>
        <v>3286147.9586538458</v>
      </c>
      <c r="G44" s="19">
        <f t="shared" si="4"/>
        <v>4343063.5504326932</v>
      </c>
      <c r="H44" s="19">
        <f t="shared" si="4"/>
        <v>2625405.428185096</v>
      </c>
      <c r="I44" s="19">
        <f t="shared" si="4"/>
        <v>2900810.0072866585</v>
      </c>
      <c r="J44" s="19">
        <f t="shared" si="4"/>
        <v>3171609.8614971461</v>
      </c>
      <c r="K44" s="19">
        <f t="shared" si="4"/>
        <v>3439333.0194950793</v>
      </c>
      <c r="L44" s="19">
        <f t="shared" si="4"/>
        <v>6445376.2958031734</v>
      </c>
    </row>
    <row r="45" spans="1:12" x14ac:dyDescent="0.25">
      <c r="A45" t="s">
        <v>28</v>
      </c>
      <c r="B45" s="19"/>
      <c r="C45" s="19">
        <f t="shared" ref="C45:L45" si="5">-(C44*$B$24)</f>
        <v>-523913.4615384615</v>
      </c>
      <c r="D45" s="19">
        <f t="shared" si="5"/>
        <v>-604221.05769230775</v>
      </c>
      <c r="E45" s="19">
        <f t="shared" si="5"/>
        <v>-681346.27211538458</v>
      </c>
      <c r="F45" s="19">
        <f t="shared" si="5"/>
        <v>-755814.03049038455</v>
      </c>
      <c r="G45" s="19">
        <f t="shared" si="5"/>
        <v>-998904.6165995195</v>
      </c>
      <c r="H45" s="19">
        <f t="shared" si="5"/>
        <v>-603843.24848257215</v>
      </c>
      <c r="I45" s="19">
        <f t="shared" si="5"/>
        <v>-667186.30167593143</v>
      </c>
      <c r="J45" s="19">
        <f t="shared" si="5"/>
        <v>-729470.26814434363</v>
      </c>
      <c r="K45" s="19">
        <f t="shared" si="5"/>
        <v>-791046.59448386822</v>
      </c>
      <c r="L45" s="19">
        <f t="shared" si="5"/>
        <v>-1482436.5480347299</v>
      </c>
    </row>
    <row r="46" spans="1:12" ht="15.75" thickBot="1" x14ac:dyDescent="0.3">
      <c r="A46" s="3" t="s">
        <v>29</v>
      </c>
      <c r="B46" s="20"/>
      <c r="C46" s="20">
        <f>SUM(C44:C45)</f>
        <v>1753971.1538461535</v>
      </c>
      <c r="D46" s="20">
        <f t="shared" ref="D46:L46" si="6">SUM(D44:D45)</f>
        <v>2022827.0192307692</v>
      </c>
      <c r="E46" s="20">
        <f t="shared" si="6"/>
        <v>2281028.8240384613</v>
      </c>
      <c r="F46" s="20">
        <f t="shared" si="6"/>
        <v>2530333.9281634614</v>
      </c>
      <c r="G46" s="20">
        <f t="shared" si="6"/>
        <v>3344158.9338331735</v>
      </c>
      <c r="H46" s="20">
        <f t="shared" si="6"/>
        <v>2021562.1797025239</v>
      </c>
      <c r="I46" s="20">
        <f t="shared" si="6"/>
        <v>2233623.705610727</v>
      </c>
      <c r="J46" s="20">
        <f t="shared" si="6"/>
        <v>2442139.5933528026</v>
      </c>
      <c r="K46" s="20">
        <f t="shared" si="6"/>
        <v>2648286.4250112111</v>
      </c>
      <c r="L46" s="20">
        <f t="shared" si="6"/>
        <v>4962939.7477684431</v>
      </c>
    </row>
    <row r="47" spans="1:12" ht="15.75" thickTop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25">
      <c r="A48" t="s">
        <v>26</v>
      </c>
      <c r="B48" s="19"/>
      <c r="C48" s="19">
        <f t="shared" ref="C48:L48" si="7">-C43</f>
        <v>2000000</v>
      </c>
      <c r="D48" s="19">
        <f t="shared" si="7"/>
        <v>1800000</v>
      </c>
      <c r="E48" s="19">
        <f t="shared" si="7"/>
        <v>1620000</v>
      </c>
      <c r="F48" s="19">
        <f t="shared" si="7"/>
        <v>1458000</v>
      </c>
      <c r="G48" s="19">
        <f t="shared" si="7"/>
        <v>1312200</v>
      </c>
      <c r="H48" s="19">
        <f t="shared" si="7"/>
        <v>1180980</v>
      </c>
      <c r="I48" s="19">
        <f t="shared" si="7"/>
        <v>1062882</v>
      </c>
      <c r="J48" s="19">
        <f t="shared" si="7"/>
        <v>956593.8</v>
      </c>
      <c r="K48" s="19">
        <f t="shared" si="7"/>
        <v>860934.41999999993</v>
      </c>
      <c r="L48" s="19">
        <f t="shared" si="7"/>
        <v>774840.978</v>
      </c>
    </row>
    <row r="49" spans="1:21" ht="15.75" thickBot="1" x14ac:dyDescent="0.3">
      <c r="A49" s="3" t="s">
        <v>30</v>
      </c>
      <c r="B49" s="20">
        <f>B41</f>
        <v>-22500000</v>
      </c>
      <c r="C49" s="20">
        <f>C46+C48</f>
        <v>3753971.1538461535</v>
      </c>
      <c r="D49" s="20">
        <f t="shared" ref="D49:L49" si="8">D46+D48</f>
        <v>3822827.019230769</v>
      </c>
      <c r="E49" s="20">
        <f t="shared" si="8"/>
        <v>3901028.8240384613</v>
      </c>
      <c r="F49" s="20">
        <f t="shared" si="8"/>
        <v>3988333.9281634614</v>
      </c>
      <c r="G49" s="20">
        <f t="shared" si="8"/>
        <v>4656358.9338331735</v>
      </c>
      <c r="H49" s="20">
        <f t="shared" si="8"/>
        <v>3202542.1797025241</v>
      </c>
      <c r="I49" s="20">
        <f t="shared" si="8"/>
        <v>3296505.705610727</v>
      </c>
      <c r="J49" s="20">
        <f t="shared" si="8"/>
        <v>3398733.3933528028</v>
      </c>
      <c r="K49" s="20">
        <f t="shared" si="8"/>
        <v>3509220.845011211</v>
      </c>
      <c r="L49" s="20">
        <f t="shared" si="8"/>
        <v>5737780.7257684432</v>
      </c>
    </row>
    <row r="50" spans="1:21" ht="15.75" thickTop="1" x14ac:dyDescent="0.25"/>
    <row r="51" spans="1:21" x14ac:dyDescent="0.25">
      <c r="A51" s="7" t="s">
        <v>31</v>
      </c>
      <c r="B51" s="8">
        <f>IRR(B41:L41)</f>
        <v>0.15672052300760786</v>
      </c>
    </row>
    <row r="52" spans="1:21" x14ac:dyDescent="0.25">
      <c r="A52" s="7" t="s">
        <v>32</v>
      </c>
      <c r="B52" s="8">
        <f>IRR(B49:L49)</f>
        <v>0.11410799258723525</v>
      </c>
    </row>
    <row r="54" spans="1:21" x14ac:dyDescent="0.25">
      <c r="A54" s="16" t="s">
        <v>41</v>
      </c>
      <c r="B54" s="17">
        <v>0.01</v>
      </c>
      <c r="C54" s="17">
        <v>0.02</v>
      </c>
      <c r="D54" s="17">
        <v>0.03</v>
      </c>
      <c r="E54" s="17">
        <v>0.04</v>
      </c>
      <c r="F54" s="17">
        <v>0.05</v>
      </c>
      <c r="G54" s="17">
        <v>0.06</v>
      </c>
      <c r="H54" s="17">
        <v>7.0000000000000007E-2</v>
      </c>
      <c r="I54" s="17">
        <v>0.08</v>
      </c>
      <c r="J54" s="17">
        <v>0.09</v>
      </c>
      <c r="K54" s="17">
        <v>0.1</v>
      </c>
      <c r="L54" s="17">
        <v>0.11</v>
      </c>
      <c r="M54" s="17">
        <v>0.12</v>
      </c>
      <c r="N54" s="17">
        <v>0.13</v>
      </c>
      <c r="O54" s="17">
        <v>0.14000000000000001</v>
      </c>
      <c r="P54" s="17">
        <v>0.15</v>
      </c>
      <c r="Q54" s="17">
        <v>0.16</v>
      </c>
      <c r="R54" s="17">
        <v>0.17</v>
      </c>
      <c r="S54" s="17">
        <v>0.18</v>
      </c>
      <c r="T54" s="17">
        <v>0.19</v>
      </c>
      <c r="U54" s="17">
        <v>0.2</v>
      </c>
    </row>
    <row r="55" spans="1:21" x14ac:dyDescent="0.25">
      <c r="A55" s="16" t="s">
        <v>43</v>
      </c>
      <c r="B55" s="18">
        <f>$B$41+NPV(B54,$C$41:$L$41)</f>
        <v>22026172.805011168</v>
      </c>
      <c r="C55" s="18">
        <f t="shared" ref="C55:U55" si="9">$B$41+NPV(C54,$C$41:$L$41)</f>
        <v>19647565.372157708</v>
      </c>
      <c r="D55" s="18">
        <f t="shared" si="9"/>
        <v>17450910.76578787</v>
      </c>
      <c r="E55" s="18">
        <f t="shared" si="9"/>
        <v>15419442.917264335</v>
      </c>
      <c r="F55" s="18">
        <f t="shared" si="9"/>
        <v>13538149.931563914</v>
      </c>
      <c r="G55" s="18">
        <f t="shared" si="9"/>
        <v>11793571.614490211</v>
      </c>
      <c r="H55" s="18">
        <f t="shared" si="9"/>
        <v>10173622.3496821</v>
      </c>
      <c r="I55" s="18">
        <f t="shared" si="9"/>
        <v>8667435.9209378809</v>
      </c>
      <c r="J55" s="18">
        <f t="shared" si="9"/>
        <v>7265229.361917112</v>
      </c>
      <c r="K55" s="18">
        <f t="shared" si="9"/>
        <v>5958183.3282823153</v>
      </c>
      <c r="L55" s="18">
        <f t="shared" si="9"/>
        <v>4738336.8385003842</v>
      </c>
      <c r="M55" s="18">
        <f t="shared" si="9"/>
        <v>3598494.5285878703</v>
      </c>
      <c r="N55" s="18">
        <f t="shared" si="9"/>
        <v>2532144.8211935796</v>
      </c>
      <c r="O55" s="18">
        <f t="shared" si="9"/>
        <v>1533387.6273680516</v>
      </c>
      <c r="P55" s="18">
        <f t="shared" si="9"/>
        <v>596870.38587583229</v>
      </c>
      <c r="Q55" s="18">
        <f t="shared" si="9"/>
        <v>-282268.59526032582</v>
      </c>
      <c r="R55" s="18">
        <f t="shared" si="9"/>
        <v>-1108450.393107295</v>
      </c>
      <c r="S55" s="18">
        <f t="shared" si="9"/>
        <v>-1885700.1002701633</v>
      </c>
      <c r="T55" s="18">
        <f t="shared" si="9"/>
        <v>-2617686.5101451389</v>
      </c>
      <c r="U55" s="18">
        <f t="shared" si="9"/>
        <v>-3307757.4481822141</v>
      </c>
    </row>
    <row r="56" spans="1:21" x14ac:dyDescent="0.25">
      <c r="A56" s="16" t="s">
        <v>46</v>
      </c>
      <c r="B56" s="22">
        <f>$B$49+NPV(B54,$C$49:$L$49)</f>
        <v>14646963.424636729</v>
      </c>
      <c r="C56" s="22">
        <f t="shared" ref="C56:U56" si="10">$B$49+NPV(C54,$C$49:$L$49)</f>
        <v>12690480.568661332</v>
      </c>
      <c r="D56" s="22">
        <f t="shared" si="10"/>
        <v>10882610.731612947</v>
      </c>
      <c r="E56" s="22">
        <f t="shared" si="10"/>
        <v>9209720.0186944604</v>
      </c>
      <c r="F56" s="22">
        <f t="shared" si="10"/>
        <v>7659596.6127935387</v>
      </c>
      <c r="G56" s="22">
        <f t="shared" si="10"/>
        <v>6221287.0113050491</v>
      </c>
      <c r="H56" s="22">
        <f t="shared" si="10"/>
        <v>4884952.7293997072</v>
      </c>
      <c r="I56" s="22">
        <f t="shared" si="10"/>
        <v>3641744.7250703424</v>
      </c>
      <c r="J56" s="22">
        <f t="shared" si="10"/>
        <v>2483693.1930672601</v>
      </c>
      <c r="K56" s="22">
        <f t="shared" si="10"/>
        <v>1403610.7074539699</v>
      </c>
      <c r="L56" s="22">
        <f t="shared" si="10"/>
        <v>395006.9753795974</v>
      </c>
      <c r="M56" s="22">
        <f t="shared" si="10"/>
        <v>-547986.29439033568</v>
      </c>
      <c r="N56" s="22">
        <f t="shared" si="10"/>
        <v>-1430681.6990734525</v>
      </c>
      <c r="O56" s="22">
        <f t="shared" si="10"/>
        <v>-2257894.7408251539</v>
      </c>
      <c r="P56" s="22">
        <f t="shared" si="10"/>
        <v>-3033995.6819303632</v>
      </c>
      <c r="Q56" s="22">
        <f t="shared" si="10"/>
        <v>-3762955.4922473617</v>
      </c>
      <c r="R56" s="22">
        <f t="shared" si="10"/>
        <v>-4448386.6142916791</v>
      </c>
      <c r="S56" s="22">
        <f t="shared" si="10"/>
        <v>-5093579.1762427017</v>
      </c>
      <c r="T56" s="22">
        <f t="shared" si="10"/>
        <v>-5701533.2012712397</v>
      </c>
      <c r="U56" s="22">
        <f t="shared" si="10"/>
        <v>-6274987.2909881603</v>
      </c>
    </row>
  </sheetData>
  <conditionalFormatting sqref="B34:L49">
    <cfRule type="cellIs" dxfId="3" priority="2" operator="greaterThan">
      <formula>0</formula>
    </cfRule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49" zoomScale="85" zoomScaleNormal="85" workbookViewId="0">
      <selection activeCell="I66" sqref="I66"/>
    </sheetView>
  </sheetViews>
  <sheetFormatPr baseColWidth="10" defaultRowHeight="15" x14ac:dyDescent="0.25"/>
  <cols>
    <col min="1" max="1" width="64.85546875" bestFit="1" customWidth="1"/>
    <col min="2" max="4" width="13.42578125" bestFit="1" customWidth="1"/>
    <col min="5" max="5" width="13.7109375" bestFit="1" customWidth="1"/>
    <col min="6" max="12" width="12.42578125" bestFit="1" customWidth="1"/>
    <col min="13" max="21" width="12.7109375" bestFit="1" customWidth="1"/>
  </cols>
  <sheetData>
    <row r="1" spans="1:6" ht="36" x14ac:dyDescent="0.55000000000000004">
      <c r="A1" s="11" t="s">
        <v>37</v>
      </c>
    </row>
    <row r="3" spans="1:6" ht="18" thickBot="1" x14ac:dyDescent="0.35">
      <c r="A3" s="4" t="s">
        <v>36</v>
      </c>
    </row>
    <row r="4" spans="1:6" ht="15.75" thickTop="1" x14ac:dyDescent="0.25"/>
    <row r="5" spans="1:6" ht="15.75" thickBot="1" x14ac:dyDescent="0.3">
      <c r="A5" s="5" t="s">
        <v>14</v>
      </c>
      <c r="B5" s="5">
        <v>2015</v>
      </c>
      <c r="C5" s="5">
        <v>2016</v>
      </c>
      <c r="D5" s="5">
        <v>2017</v>
      </c>
    </row>
    <row r="6" spans="1:6" x14ac:dyDescent="0.25">
      <c r="A6" t="s">
        <v>7</v>
      </c>
      <c r="B6" s="19">
        <v>46000000</v>
      </c>
      <c r="C6" s="19">
        <v>45500000</v>
      </c>
      <c r="D6" s="19">
        <v>52000000</v>
      </c>
    </row>
    <row r="7" spans="1:6" x14ac:dyDescent="0.25">
      <c r="A7" t="s">
        <v>8</v>
      </c>
      <c r="B7" s="19"/>
      <c r="C7" s="19"/>
      <c r="D7" s="19"/>
    </row>
    <row r="8" spans="1:6" x14ac:dyDescent="0.25">
      <c r="A8" t="s">
        <v>3</v>
      </c>
      <c r="B8" s="19">
        <v>26500000</v>
      </c>
      <c r="C8" s="19">
        <v>24500000</v>
      </c>
      <c r="D8" s="19">
        <v>28500000</v>
      </c>
    </row>
    <row r="9" spans="1:6" x14ac:dyDescent="0.25">
      <c r="A9" t="s">
        <v>10</v>
      </c>
      <c r="B9" s="19">
        <v>6500000</v>
      </c>
      <c r="C9" s="19">
        <v>6500000</v>
      </c>
      <c r="D9" s="19">
        <v>8500000</v>
      </c>
    </row>
    <row r="10" spans="1:6" ht="15.75" thickBot="1" x14ac:dyDescent="0.3">
      <c r="A10" s="3" t="s">
        <v>11</v>
      </c>
      <c r="B10" s="20">
        <f>B6-B8-B9</f>
        <v>13000000</v>
      </c>
      <c r="C10" s="20">
        <f>C6-C8-C9</f>
        <v>14500000</v>
      </c>
      <c r="D10" s="20">
        <f>D6-D8-D9</f>
        <v>15000000</v>
      </c>
    </row>
    <row r="11" spans="1:6" ht="15.75" thickTop="1" x14ac:dyDescent="0.25">
      <c r="A11" t="s">
        <v>12</v>
      </c>
      <c r="B11" s="19">
        <v>6000000</v>
      </c>
      <c r="C11" s="19">
        <v>7500000</v>
      </c>
      <c r="D11" s="19">
        <v>7000000</v>
      </c>
    </row>
    <row r="12" spans="1:6" ht="15.75" thickBot="1" x14ac:dyDescent="0.3">
      <c r="A12" s="3" t="s">
        <v>13</v>
      </c>
      <c r="B12" s="20">
        <f>B10-B11</f>
        <v>7000000</v>
      </c>
      <c r="C12" s="20">
        <f>C10-C11</f>
        <v>7000000</v>
      </c>
      <c r="D12" s="20">
        <f>D10-D11</f>
        <v>8000000</v>
      </c>
    </row>
    <row r="13" spans="1:6" ht="15.75" thickTop="1" x14ac:dyDescent="0.25">
      <c r="F13" t="s">
        <v>9</v>
      </c>
    </row>
    <row r="17" spans="1:2" ht="15.75" thickBot="1" x14ac:dyDescent="0.3"/>
    <row r="18" spans="1:2" ht="16.5" thickTop="1" thickBot="1" x14ac:dyDescent="0.3">
      <c r="A18" s="2" t="s">
        <v>0</v>
      </c>
      <c r="B18" s="21">
        <v>-20000000</v>
      </c>
    </row>
    <row r="19" spans="1:2" ht="16.5" thickTop="1" thickBot="1" x14ac:dyDescent="0.3">
      <c r="A19" s="2" t="s">
        <v>1</v>
      </c>
      <c r="B19" s="21">
        <v>5000000</v>
      </c>
    </row>
    <row r="20" spans="1:2" ht="16.5" thickTop="1" thickBot="1" x14ac:dyDescent="0.3">
      <c r="A20" s="2" t="s">
        <v>2</v>
      </c>
      <c r="B20" s="21">
        <v>5000000</v>
      </c>
    </row>
    <row r="21" spans="1:2" ht="16.5" thickTop="1" thickBot="1" x14ac:dyDescent="0.3">
      <c r="A21" s="2" t="s">
        <v>4</v>
      </c>
      <c r="B21" s="10">
        <v>0.1</v>
      </c>
    </row>
    <row r="22" spans="1:2" ht="16.5" thickTop="1" thickBot="1" x14ac:dyDescent="0.3">
      <c r="A22" s="2" t="s">
        <v>5</v>
      </c>
      <c r="B22" s="10">
        <v>0.3</v>
      </c>
    </row>
    <row r="23" spans="1:2" ht="16.5" thickTop="1" thickBot="1" x14ac:dyDescent="0.3">
      <c r="A23" s="2" t="s">
        <v>6</v>
      </c>
      <c r="B23" s="9">
        <f>D9/D6</f>
        <v>0.16346153846153846</v>
      </c>
    </row>
    <row r="24" spans="1:2" ht="16.5" thickTop="1" thickBot="1" x14ac:dyDescent="0.3">
      <c r="A24" s="2" t="s">
        <v>15</v>
      </c>
      <c r="B24" s="10">
        <v>0.23</v>
      </c>
    </row>
    <row r="25" spans="1:2" ht="16.5" thickTop="1" thickBot="1" x14ac:dyDescent="0.3">
      <c r="A25" s="2" t="s">
        <v>23</v>
      </c>
      <c r="B25" s="10">
        <v>0.05</v>
      </c>
    </row>
    <row r="26" spans="1:2" ht="16.5" thickTop="1" thickBot="1" x14ac:dyDescent="0.3">
      <c r="A26" s="2" t="s">
        <v>25</v>
      </c>
      <c r="B26" s="10">
        <v>0.1</v>
      </c>
    </row>
    <row r="27" spans="1:2" ht="16.5" thickTop="1" thickBot="1" x14ac:dyDescent="0.3">
      <c r="A27" s="2" t="s">
        <v>38</v>
      </c>
      <c r="B27" s="10">
        <v>0.02</v>
      </c>
    </row>
    <row r="28" spans="1:2" ht="16.5" thickTop="1" thickBot="1" x14ac:dyDescent="0.3">
      <c r="A28" s="2" t="s">
        <v>39</v>
      </c>
      <c r="B28" s="10">
        <v>0.25</v>
      </c>
    </row>
    <row r="29" spans="1:2" ht="16.5" thickTop="1" thickBot="1" x14ac:dyDescent="0.3">
      <c r="A29" s="2" t="s">
        <v>40</v>
      </c>
      <c r="B29" s="21">
        <v>2500000</v>
      </c>
    </row>
    <row r="30" spans="1:2" ht="15.75" thickTop="1" x14ac:dyDescent="0.25"/>
    <row r="31" spans="1:2" ht="24" thickBot="1" x14ac:dyDescent="0.4">
      <c r="A31" s="14" t="s">
        <v>34</v>
      </c>
    </row>
    <row r="32" spans="1:2" ht="15.75" thickTop="1" x14ac:dyDescent="0.25"/>
    <row r="33" spans="1:12" ht="18" thickBot="1" x14ac:dyDescent="0.35">
      <c r="A33" s="4" t="s">
        <v>17</v>
      </c>
      <c r="B33" s="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</row>
    <row r="34" spans="1:12" ht="15.75" thickTop="1" x14ac:dyDescent="0.25">
      <c r="A34" t="s">
        <v>18</v>
      </c>
      <c r="B34" s="19">
        <f>$B$18</f>
        <v>-20000000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x14ac:dyDescent="0.25">
      <c r="A35" t="s">
        <v>19</v>
      </c>
      <c r="B35" s="19"/>
      <c r="C35" s="19">
        <f>$B$20</f>
        <v>5000000</v>
      </c>
      <c r="D35" s="19">
        <f>$B$20*(1+$B$27)</f>
        <v>5100000</v>
      </c>
      <c r="E35" s="19">
        <f>D35*(1+$B$27)</f>
        <v>5202000</v>
      </c>
      <c r="F35" s="19">
        <f t="shared" ref="F35:G35" si="0">E35*(1+$B$27)</f>
        <v>5306040</v>
      </c>
      <c r="G35" s="19">
        <f t="shared" si="0"/>
        <v>5412160.7999999998</v>
      </c>
      <c r="H35" s="19"/>
      <c r="I35" s="19"/>
      <c r="J35" s="19"/>
      <c r="K35" s="19"/>
      <c r="L35" s="19"/>
    </row>
    <row r="36" spans="1:12" x14ac:dyDescent="0.25">
      <c r="A36" t="s">
        <v>20</v>
      </c>
      <c r="B36" s="19"/>
      <c r="C36" s="19">
        <f>$B$19</f>
        <v>5000000</v>
      </c>
      <c r="D36" s="19">
        <f>C36*(1+$B$25)</f>
        <v>5250000</v>
      </c>
      <c r="E36" s="19">
        <f t="shared" ref="E36:L36" si="1">D36*(1+$B$25)</f>
        <v>5512500</v>
      </c>
      <c r="F36" s="19">
        <f t="shared" si="1"/>
        <v>5788125</v>
      </c>
      <c r="G36" s="19">
        <f t="shared" si="1"/>
        <v>6077531.25</v>
      </c>
      <c r="H36" s="19">
        <f t="shared" si="1"/>
        <v>6381407.8125</v>
      </c>
      <c r="I36" s="19">
        <f t="shared" si="1"/>
        <v>6700478.203125</v>
      </c>
      <c r="J36" s="19">
        <f t="shared" si="1"/>
        <v>7035502.11328125</v>
      </c>
      <c r="K36" s="19">
        <f t="shared" si="1"/>
        <v>7387277.2189453132</v>
      </c>
      <c r="L36" s="19">
        <f t="shared" si="1"/>
        <v>7756641.0798925795</v>
      </c>
    </row>
    <row r="37" spans="1:12" x14ac:dyDescent="0.25">
      <c r="A37" t="s">
        <v>3</v>
      </c>
      <c r="B37" s="19"/>
      <c r="C37" s="19">
        <f>-(C35+C36)*$B$21</f>
        <v>-1000000</v>
      </c>
      <c r="D37" s="19">
        <f t="shared" ref="D37:L37" si="2">-(D35+D36)*$B$21</f>
        <v>-1035000</v>
      </c>
      <c r="E37" s="19">
        <f t="shared" si="2"/>
        <v>-1071450</v>
      </c>
      <c r="F37" s="19">
        <f t="shared" si="2"/>
        <v>-1109416.5</v>
      </c>
      <c r="G37" s="19">
        <f t="shared" si="2"/>
        <v>-1148969.2050000001</v>
      </c>
      <c r="H37" s="19">
        <f t="shared" si="2"/>
        <v>-638140.78125</v>
      </c>
      <c r="I37" s="19">
        <f t="shared" si="2"/>
        <v>-670047.8203125</v>
      </c>
      <c r="J37" s="19">
        <f t="shared" si="2"/>
        <v>-703550.21132812509</v>
      </c>
      <c r="K37" s="19">
        <f t="shared" si="2"/>
        <v>-738727.72189453139</v>
      </c>
      <c r="L37" s="19">
        <f t="shared" si="2"/>
        <v>-775664.10798925802</v>
      </c>
    </row>
    <row r="38" spans="1:12" x14ac:dyDescent="0.25">
      <c r="A38" t="s">
        <v>21</v>
      </c>
      <c r="B38" s="19"/>
      <c r="C38" s="19">
        <f>-(C35+C36)*$B$22</f>
        <v>-3000000</v>
      </c>
      <c r="D38" s="19">
        <f t="shared" ref="D38:L38" si="3">-(D35+D36)*$B$22</f>
        <v>-3105000</v>
      </c>
      <c r="E38" s="19">
        <f t="shared" si="3"/>
        <v>-3214350</v>
      </c>
      <c r="F38" s="19">
        <f t="shared" si="3"/>
        <v>-3328249.5</v>
      </c>
      <c r="G38" s="19">
        <f t="shared" si="3"/>
        <v>-3446907.6150000002</v>
      </c>
      <c r="H38" s="19">
        <f t="shared" si="3"/>
        <v>-1914422.34375</v>
      </c>
      <c r="I38" s="19">
        <f t="shared" si="3"/>
        <v>-2010143.4609375</v>
      </c>
      <c r="J38" s="19">
        <f t="shared" si="3"/>
        <v>-2110650.6339843748</v>
      </c>
      <c r="K38" s="19">
        <f t="shared" si="3"/>
        <v>-2216183.1656835941</v>
      </c>
      <c r="L38" s="19">
        <f t="shared" si="3"/>
        <v>-2326992.3239677739</v>
      </c>
    </row>
    <row r="39" spans="1:12" x14ac:dyDescent="0.25">
      <c r="A39" s="1" t="s">
        <v>39</v>
      </c>
      <c r="B39" s="19">
        <f>-(((C35+C36)*$B$28))</f>
        <v>-2500000</v>
      </c>
      <c r="C39" s="19">
        <f>-(((D35+D36)*$B$28)-((C35+C36)*$B$28))</f>
        <v>-87500</v>
      </c>
      <c r="D39" s="19">
        <f t="shared" ref="D39:K39" si="4">-(((E35+E36)*$B$28)-((D35+D36)*$B$28))</f>
        <v>-91125</v>
      </c>
      <c r="E39" s="19">
        <f t="shared" si="4"/>
        <v>-94916.25</v>
      </c>
      <c r="F39" s="19">
        <f>-(((G35+G36)*$B$28)-((F35+F36)*$B$28))</f>
        <v>-98881.762500000186</v>
      </c>
      <c r="G39" s="19">
        <f>-(((H35+H36)*$B$28)-((G35+G36)*$B$28))</f>
        <v>1277071.0593750002</v>
      </c>
      <c r="H39" s="19">
        <f>-(((I35+I36)*$B$28)-((H35+H36)*$B$28))</f>
        <v>-79767.59765625</v>
      </c>
      <c r="I39" s="19">
        <f t="shared" si="4"/>
        <v>-83755.9775390625</v>
      </c>
      <c r="J39" s="19">
        <f t="shared" si="4"/>
        <v>-87943.776416015811</v>
      </c>
      <c r="K39" s="19">
        <f t="shared" si="4"/>
        <v>-92340.965236816555</v>
      </c>
      <c r="L39" s="19">
        <f>L36*B28</f>
        <v>1939160.2699731449</v>
      </c>
    </row>
    <row r="40" spans="1:12" x14ac:dyDescent="0.25">
      <c r="A40" t="s">
        <v>22</v>
      </c>
      <c r="B40" s="19"/>
      <c r="C40" s="19">
        <f>-(C35+C36)*$B$23</f>
        <v>-1634615.3846153847</v>
      </c>
      <c r="D40" s="19">
        <f t="shared" ref="D40:L40" si="5">-(D35+D36)*$B$23</f>
        <v>-1691826.923076923</v>
      </c>
      <c r="E40" s="19">
        <f t="shared" si="5"/>
        <v>-1751408.6538461538</v>
      </c>
      <c r="F40" s="19">
        <f t="shared" si="5"/>
        <v>-1813469.2788461538</v>
      </c>
      <c r="G40" s="19">
        <f t="shared" si="5"/>
        <v>-1878122.7389423079</v>
      </c>
      <c r="H40" s="19">
        <f t="shared" si="5"/>
        <v>-1043114.7385817308</v>
      </c>
      <c r="I40" s="19">
        <f t="shared" si="5"/>
        <v>-1095270.4755108173</v>
      </c>
      <c r="J40" s="19">
        <f t="shared" si="5"/>
        <v>-1150033.9992863582</v>
      </c>
      <c r="K40" s="19">
        <f t="shared" si="5"/>
        <v>-1207535.6992506762</v>
      </c>
      <c r="L40" s="19">
        <f t="shared" si="5"/>
        <v>-1267912.4842132102</v>
      </c>
    </row>
    <row r="41" spans="1:12" ht="15.75" thickBot="1" x14ac:dyDescent="0.3">
      <c r="A41" s="3" t="s">
        <v>24</v>
      </c>
      <c r="B41" s="20">
        <f>SUM(B34:B40)</f>
        <v>-22500000</v>
      </c>
      <c r="C41" s="20">
        <f>SUM(C35:C40)</f>
        <v>4277884.615384615</v>
      </c>
      <c r="D41" s="20">
        <f t="shared" ref="D41:L41" si="6">SUM(D35:D40)</f>
        <v>4427048.076923077</v>
      </c>
      <c r="E41" s="20">
        <f t="shared" si="6"/>
        <v>4582375.096153846</v>
      </c>
      <c r="F41" s="20">
        <f t="shared" si="6"/>
        <v>4744147.9586538458</v>
      </c>
      <c r="G41" s="20">
        <f t="shared" si="6"/>
        <v>6292763.5504326932</v>
      </c>
      <c r="H41" s="20">
        <f t="shared" si="6"/>
        <v>2705962.351262019</v>
      </c>
      <c r="I41" s="20">
        <f t="shared" si="6"/>
        <v>2841260.4688251205</v>
      </c>
      <c r="J41" s="20">
        <f t="shared" si="6"/>
        <v>2983323.4922663765</v>
      </c>
      <c r="K41" s="20">
        <f t="shared" si="6"/>
        <v>3132489.6668796944</v>
      </c>
      <c r="L41" s="20">
        <f t="shared" si="6"/>
        <v>5325232.4336954821</v>
      </c>
    </row>
    <row r="42" spans="1:12" ht="15.75" thickTop="1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x14ac:dyDescent="0.25">
      <c r="A43" t="s">
        <v>26</v>
      </c>
      <c r="B43" s="19"/>
      <c r="C43" s="19">
        <f>$B$18*$B$26</f>
        <v>-2000000</v>
      </c>
      <c r="D43" s="19">
        <f>($B$18-$C$43)*$B$26</f>
        <v>-1800000</v>
      </c>
      <c r="E43" s="19">
        <f>($B$18-$C$43-$D$43)*$B$26</f>
        <v>-1620000</v>
      </c>
      <c r="F43" s="19">
        <f>($B$18-$C$43-$D$43-$E$43)*$B$26</f>
        <v>-1458000</v>
      </c>
      <c r="G43" s="19">
        <f>($B$18-$C$43-$D$43-$E$43-$F$43)*$B$26</f>
        <v>-1312200</v>
      </c>
      <c r="H43" s="19">
        <f>($B$18-$C$43-$D$43-$E$43-$F$43-$G$43)*$B$26</f>
        <v>-1180980</v>
      </c>
      <c r="I43" s="19">
        <f>($B$18-$C$43-$D$43-$E$43-$F$43-$G$43-$H$43)*$B$26</f>
        <v>-1062882</v>
      </c>
      <c r="J43" s="19">
        <f>($B$18-$C$43-$D$43-$E$43-$F$43-$G$43-$H$43-$I$43)*$B$26</f>
        <v>-956593.8</v>
      </c>
      <c r="K43" s="19">
        <f>($B$18-$C$43-$D$43-$E$43-$F$43-$G$43-$H$43-$I$43-$J$43)*$B$26</f>
        <v>-860934.41999999993</v>
      </c>
      <c r="L43" s="19">
        <f>($B$18-$C$43-$D$43-$E$43-$F$43-$G$43-$H$43-$I$43-$J$43-$K$43)*$B$26</f>
        <v>-774840.978</v>
      </c>
    </row>
    <row r="44" spans="1:12" x14ac:dyDescent="0.25">
      <c r="A44" t="s">
        <v>27</v>
      </c>
      <c r="B44" s="19"/>
      <c r="C44" s="19">
        <f>SUM(C41:C43)</f>
        <v>2277884.615384615</v>
      </c>
      <c r="D44" s="19">
        <f t="shared" ref="D44:L44" si="7">SUM(D41:D43)</f>
        <v>2627048.076923077</v>
      </c>
      <c r="E44" s="19">
        <f t="shared" si="7"/>
        <v>2962375.096153846</v>
      </c>
      <c r="F44" s="19">
        <f t="shared" si="7"/>
        <v>3286147.9586538458</v>
      </c>
      <c r="G44" s="19">
        <f t="shared" si="7"/>
        <v>4980563.5504326932</v>
      </c>
      <c r="H44" s="19">
        <f t="shared" si="7"/>
        <v>1524982.351262019</v>
      </c>
      <c r="I44" s="19">
        <f t="shared" si="7"/>
        <v>1778378.4688251205</v>
      </c>
      <c r="J44" s="19">
        <f t="shared" si="7"/>
        <v>2026729.6922663765</v>
      </c>
      <c r="K44" s="19">
        <f t="shared" si="7"/>
        <v>2271555.2468796945</v>
      </c>
      <c r="L44" s="19">
        <f t="shared" si="7"/>
        <v>4550391.455695482</v>
      </c>
    </row>
    <row r="45" spans="1:12" x14ac:dyDescent="0.25">
      <c r="A45" t="s">
        <v>28</v>
      </c>
      <c r="B45" s="19"/>
      <c r="C45" s="19">
        <f>-(C44*$B$24)</f>
        <v>-523913.4615384615</v>
      </c>
      <c r="D45" s="19">
        <f t="shared" ref="D45:L45" si="8">-(D44*$B$24)</f>
        <v>-604221.05769230775</v>
      </c>
      <c r="E45" s="19">
        <f t="shared" si="8"/>
        <v>-681346.27211538458</v>
      </c>
      <c r="F45" s="19">
        <f t="shared" si="8"/>
        <v>-755814.03049038455</v>
      </c>
      <c r="G45" s="19">
        <f t="shared" si="8"/>
        <v>-1145529.6165995195</v>
      </c>
      <c r="H45" s="19">
        <f t="shared" si="8"/>
        <v>-350745.9407902644</v>
      </c>
      <c r="I45" s="19">
        <f t="shared" si="8"/>
        <v>-409027.0478297777</v>
      </c>
      <c r="J45" s="19">
        <f t="shared" si="8"/>
        <v>-466147.82922126661</v>
      </c>
      <c r="K45" s="19">
        <f t="shared" si="8"/>
        <v>-522457.70678232977</v>
      </c>
      <c r="L45" s="19">
        <f t="shared" si="8"/>
        <v>-1046590.0348099609</v>
      </c>
    </row>
    <row r="46" spans="1:12" ht="15.75" thickBot="1" x14ac:dyDescent="0.3">
      <c r="A46" s="3" t="s">
        <v>29</v>
      </c>
      <c r="B46" s="20"/>
      <c r="C46" s="20">
        <f>SUM(C44:C45)</f>
        <v>1753971.1538461535</v>
      </c>
      <c r="D46" s="20">
        <f t="shared" ref="D46:L46" si="9">SUM(D44:D45)</f>
        <v>2022827.0192307692</v>
      </c>
      <c r="E46" s="20">
        <f t="shared" si="9"/>
        <v>2281028.8240384613</v>
      </c>
      <c r="F46" s="20">
        <f t="shared" si="9"/>
        <v>2530333.9281634614</v>
      </c>
      <c r="G46" s="20">
        <f t="shared" si="9"/>
        <v>3835033.9338331735</v>
      </c>
      <c r="H46" s="20">
        <f t="shared" si="9"/>
        <v>1174236.4104717546</v>
      </c>
      <c r="I46" s="20">
        <f t="shared" si="9"/>
        <v>1369351.4209953428</v>
      </c>
      <c r="J46" s="20">
        <f t="shared" si="9"/>
        <v>1560581.8630451099</v>
      </c>
      <c r="K46" s="20">
        <f t="shared" si="9"/>
        <v>1749097.5400973647</v>
      </c>
      <c r="L46" s="20">
        <f t="shared" si="9"/>
        <v>3503801.420885521</v>
      </c>
    </row>
    <row r="47" spans="1:12" ht="15.75" thickTop="1" x14ac:dyDescent="0.2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x14ac:dyDescent="0.25">
      <c r="A48" t="s">
        <v>26</v>
      </c>
      <c r="B48" s="19"/>
      <c r="C48" s="19">
        <f t="shared" ref="C48:L48" si="10">-C43</f>
        <v>2000000</v>
      </c>
      <c r="D48" s="19">
        <f t="shared" si="10"/>
        <v>1800000</v>
      </c>
      <c r="E48" s="19">
        <f t="shared" si="10"/>
        <v>1620000</v>
      </c>
      <c r="F48" s="19">
        <f t="shared" si="10"/>
        <v>1458000</v>
      </c>
      <c r="G48" s="19">
        <f t="shared" si="10"/>
        <v>1312200</v>
      </c>
      <c r="H48" s="19">
        <f t="shared" si="10"/>
        <v>1180980</v>
      </c>
      <c r="I48" s="19">
        <f t="shared" si="10"/>
        <v>1062882</v>
      </c>
      <c r="J48" s="19">
        <f t="shared" si="10"/>
        <v>956593.8</v>
      </c>
      <c r="K48" s="19">
        <f t="shared" si="10"/>
        <v>860934.41999999993</v>
      </c>
      <c r="L48" s="19">
        <f t="shared" si="10"/>
        <v>774840.978</v>
      </c>
    </row>
    <row r="49" spans="1:21" ht="15.75" thickBot="1" x14ac:dyDescent="0.3">
      <c r="A49" s="3" t="s">
        <v>30</v>
      </c>
      <c r="B49" s="20">
        <f>B41</f>
        <v>-22500000</v>
      </c>
      <c r="C49" s="20">
        <f>C46+C48</f>
        <v>3753971.1538461535</v>
      </c>
      <c r="D49" s="20">
        <f t="shared" ref="D49:L49" si="11">D46+D48</f>
        <v>3822827.019230769</v>
      </c>
      <c r="E49" s="20">
        <f t="shared" si="11"/>
        <v>3901028.8240384613</v>
      </c>
      <c r="F49" s="20">
        <f t="shared" si="11"/>
        <v>3988333.9281634614</v>
      </c>
      <c r="G49" s="20">
        <f t="shared" si="11"/>
        <v>5147233.9338331735</v>
      </c>
      <c r="H49" s="20">
        <f t="shared" si="11"/>
        <v>2355216.4104717546</v>
      </c>
      <c r="I49" s="20">
        <f t="shared" si="11"/>
        <v>2432233.4209953425</v>
      </c>
      <c r="J49" s="20">
        <f t="shared" si="11"/>
        <v>2517175.6630451102</v>
      </c>
      <c r="K49" s="20">
        <f t="shared" si="11"/>
        <v>2610031.9600973646</v>
      </c>
      <c r="L49" s="20">
        <f t="shared" si="11"/>
        <v>4278642.3988855211</v>
      </c>
    </row>
    <row r="50" spans="1:21" ht="15.75" thickTop="1" x14ac:dyDescent="0.25"/>
    <row r="51" spans="1:21" x14ac:dyDescent="0.25">
      <c r="A51" s="7" t="s">
        <v>31</v>
      </c>
      <c r="B51" s="8">
        <f>IRR(B41:L41)</f>
        <v>0.13573389151861726</v>
      </c>
    </row>
    <row r="52" spans="1:21" x14ac:dyDescent="0.25">
      <c r="A52" s="7" t="s">
        <v>35</v>
      </c>
      <c r="B52" s="8">
        <f>IRR(B49:L49)</f>
        <v>9.3745876076620771E-2</v>
      </c>
    </row>
    <row r="55" spans="1:21" x14ac:dyDescent="0.25">
      <c r="A55" s="16" t="s">
        <v>41</v>
      </c>
      <c r="B55" s="17">
        <v>0.01</v>
      </c>
      <c r="C55" s="17">
        <v>0.02</v>
      </c>
      <c r="D55" s="17">
        <v>0.03</v>
      </c>
      <c r="E55" s="17">
        <v>0.04</v>
      </c>
      <c r="F55" s="17">
        <v>0.05</v>
      </c>
      <c r="G55" s="17">
        <v>0.06</v>
      </c>
      <c r="H55" s="17">
        <v>7.0000000000000007E-2</v>
      </c>
      <c r="I55" s="17">
        <v>0.08</v>
      </c>
      <c r="J55" s="17">
        <v>0.09</v>
      </c>
      <c r="K55" s="17">
        <v>0.1</v>
      </c>
      <c r="L55" s="17">
        <v>0.11</v>
      </c>
      <c r="M55" s="17">
        <v>0.12</v>
      </c>
      <c r="N55" s="17">
        <v>0.13</v>
      </c>
      <c r="O55" s="17">
        <v>0.14000000000000001</v>
      </c>
      <c r="P55" s="17">
        <v>0.15</v>
      </c>
      <c r="Q55" s="17">
        <v>0.16</v>
      </c>
      <c r="R55" s="17">
        <v>0.17</v>
      </c>
      <c r="S55" s="17">
        <v>0.18</v>
      </c>
      <c r="T55" s="17">
        <v>0.19</v>
      </c>
      <c r="U55" s="17">
        <v>0.2</v>
      </c>
    </row>
    <row r="56" spans="1:21" x14ac:dyDescent="0.25">
      <c r="A56" s="16" t="s">
        <v>42</v>
      </c>
      <c r="B56" s="18">
        <f>$B$41+NPV(B55,$C$41:$L$41)</f>
        <v>16708643.296893306</v>
      </c>
      <c r="C56" s="18">
        <f t="shared" ref="C56:U56" si="12">$B$41+NPV(C55,$C$41:$L$41)</f>
        <v>14761844.369132876</v>
      </c>
      <c r="D56" s="18">
        <f t="shared" si="12"/>
        <v>12957767.216520429</v>
      </c>
      <c r="E56" s="18">
        <f t="shared" si="12"/>
        <v>11283583.628359593</v>
      </c>
      <c r="F56" s="18">
        <f t="shared" si="12"/>
        <v>9727787.8448082507</v>
      </c>
      <c r="G56" s="18">
        <f t="shared" si="12"/>
        <v>8280045.2851800919</v>
      </c>
      <c r="H56" s="18">
        <f t="shared" si="12"/>
        <v>6931060.1094586626</v>
      </c>
      <c r="I56" s="18">
        <f t="shared" si="12"/>
        <v>5672459.0927513763</v>
      </c>
      <c r="J56" s="18">
        <f t="shared" si="12"/>
        <v>4496689.6517567933</v>
      </c>
      <c r="K56" s="18">
        <f t="shared" si="12"/>
        <v>3396930.1674295217</v>
      </c>
      <c r="L56" s="18">
        <f t="shared" si="12"/>
        <v>2367011.0075248368</v>
      </c>
      <c r="M56" s="18">
        <f t="shared" si="12"/>
        <v>1401344.8737710491</v>
      </c>
      <c r="N56" s="18">
        <f t="shared" si="12"/>
        <v>494865.28705000877</v>
      </c>
      <c r="O56" s="18">
        <f t="shared" si="12"/>
        <v>-357027.81482250243</v>
      </c>
      <c r="P56" s="18">
        <f t="shared" si="12"/>
        <v>-1158516.2541295774</v>
      </c>
      <c r="Q56" s="18">
        <f t="shared" si="12"/>
        <v>-1913406.3342131376</v>
      </c>
      <c r="R56" s="18">
        <f t="shared" si="12"/>
        <v>-2625166.7719001286</v>
      </c>
      <c r="S56" s="18">
        <f t="shared" si="12"/>
        <v>-3296962.4215979204</v>
      </c>
      <c r="T56" s="18">
        <f t="shared" si="12"/>
        <v>-3931684.296050515</v>
      </c>
      <c r="U56" s="18">
        <f t="shared" si="12"/>
        <v>-4531976.32388971</v>
      </c>
    </row>
    <row r="57" spans="1:21" x14ac:dyDescent="0.25">
      <c r="A57" s="16" t="s">
        <v>47</v>
      </c>
      <c r="B57" s="22">
        <f>$B$49+NPV(B55,$C$49:$L$49)</f>
        <v>10552465.703385975</v>
      </c>
      <c r="C57" s="22">
        <f t="shared" ref="C57:U57" si="13">$B$49+NPV(C55,$C$49:$L$49)</f>
        <v>8928475.3963322155</v>
      </c>
      <c r="D57" s="22">
        <f t="shared" si="13"/>
        <v>7422890.1986770146</v>
      </c>
      <c r="E57" s="22">
        <f t="shared" si="13"/>
        <v>6025108.3662378043</v>
      </c>
      <c r="F57" s="22">
        <f t="shared" si="13"/>
        <v>4725617.8059916683</v>
      </c>
      <c r="G57" s="22">
        <f t="shared" si="13"/>
        <v>3515871.7377362587</v>
      </c>
      <c r="H57" s="22">
        <f t="shared" si="13"/>
        <v>2388179.8044276536</v>
      </c>
      <c r="I57" s="22">
        <f t="shared" si="13"/>
        <v>1335612.5673667341</v>
      </c>
      <c r="J57" s="22">
        <f t="shared" si="13"/>
        <v>351917.61624380946</v>
      </c>
      <c r="K57" s="22">
        <f t="shared" si="13"/>
        <v>-568554.22640268505</v>
      </c>
      <c r="L57" s="22">
        <f t="shared" si="13"/>
        <v>-1430913.9144715741</v>
      </c>
      <c r="M57" s="22">
        <f t="shared" si="13"/>
        <v>-2239791.528599292</v>
      </c>
      <c r="N57" s="22">
        <f t="shared" si="13"/>
        <v>-2999386.9403639995</v>
      </c>
      <c r="O57" s="22">
        <f t="shared" si="13"/>
        <v>-3713514.631311886</v>
      </c>
      <c r="P57" s="22">
        <f t="shared" si="13"/>
        <v>-4385643.3947345316</v>
      </c>
      <c r="Q57" s="22">
        <f t="shared" si="13"/>
        <v>-5018931.5512410253</v>
      </c>
      <c r="R57" s="22">
        <f t="shared" si="13"/>
        <v>-5616258.2259621546</v>
      </c>
      <c r="S57" s="22">
        <f t="shared" si="13"/>
        <v>-6180251.1636650786</v>
      </c>
      <c r="T57" s="22">
        <f t="shared" si="13"/>
        <v>-6713311.4964183755</v>
      </c>
      <c r="U57" s="22">
        <f t="shared" si="13"/>
        <v>-7217635.8252829332</v>
      </c>
    </row>
    <row r="65" spans="9:9" x14ac:dyDescent="0.25">
      <c r="I65" t="s">
        <v>9</v>
      </c>
    </row>
  </sheetData>
  <conditionalFormatting sqref="B34:L49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G. Brovold</dc:creator>
  <cp:lastModifiedBy>Even G. Brovold</cp:lastModifiedBy>
  <dcterms:created xsi:type="dcterms:W3CDTF">2018-10-24T12:26:37Z</dcterms:created>
  <dcterms:modified xsi:type="dcterms:W3CDTF">2018-10-25T14:41:18Z</dcterms:modified>
</cp:coreProperties>
</file>